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itceduco-my.sharepoint.com/personal/estadistica_itc_edu_co/Documents/D.F.P.G/4. 2022/"/>
    </mc:Choice>
  </mc:AlternateContent>
  <xr:revisionPtr revIDLastSave="385" documentId="13_ncr:1_{AFA08201-7C4C-C047-97F5-919FB465E464}" xr6:coauthVersionLast="47" xr6:coauthVersionMax="47" xr10:uidLastSave="{4D8AD7F3-C7D9-4E4B-950D-F423BA051BC9}"/>
  <bookViews>
    <workbookView xWindow="-108" yWindow="-108" windowWidth="23256" windowHeight="12456" firstSheet="1" activeTab="6" xr2:uid="{00000000-000D-0000-FFFF-FFFF00000000}"/>
  </bookViews>
  <sheets>
    <sheet name="Plan de Acción 2021" sheetId="2" state="hidden" r:id="rId1"/>
    <sheet name="Rectoría" sheetId="13" r:id="rId2"/>
    <sheet name="Viceacadémica" sheetId="17" r:id="rId3"/>
    <sheet name="Viceinvestigación" sheetId="18" r:id="rId4"/>
    <sheet name="GIT Extensión y Proy." sheetId="21" r:id="rId5"/>
    <sheet name="Viceadministrativa" sheetId="19" r:id="rId6"/>
    <sheet name="Resumen" sheetId="20" r:id="rId7"/>
    <sheet name="Hoja4" sheetId="16" state="hidden" r:id="rId8"/>
    <sheet name="Hoja3" sheetId="15" state="hidden" r:id="rId9"/>
    <sheet name="Hoja2" sheetId="14" state="hidden" r:id="rId10"/>
    <sheet name="LO INSTITUCIONAL" sheetId="6" state="hidden" r:id="rId11"/>
    <sheet name="LO SOCIAL" sheetId="5" state="hidden" r:id="rId12"/>
    <sheet name="LO AMBIENTAL" sheetId="9" state="hidden" r:id="rId13"/>
    <sheet name="ACANCES 2022" sheetId="10" state="hidden" r:id="rId14"/>
  </sheets>
  <externalReferences>
    <externalReference r:id="rId15"/>
    <externalReference r:id="rId16"/>
    <externalReference r:id="rId17"/>
  </externalReferences>
  <definedNames>
    <definedName name="_xlnm._FilterDatabase" localSheetId="12" hidden="1">'LO AMBIENTAL'!$A$6:$BU$29</definedName>
    <definedName name="_xlnm._FilterDatabase" localSheetId="10" hidden="1">'LO INSTITUCIONAL'!$A$7:$MA$41</definedName>
    <definedName name="_xlnm._FilterDatabase" localSheetId="11" hidden="1">'LO SOCIAL'!$A$5:$MI$35</definedName>
    <definedName name="_xlnm._FilterDatabase" localSheetId="0" hidden="1">'Plan de Acción 2021'!$A$7:$AI$521</definedName>
    <definedName name="_xlnm._FilterDatabase" localSheetId="2" hidden="1">Viceacadémica!$B$2:$Q$215</definedName>
    <definedName name="_xlnm._FilterDatabase" localSheetId="5" hidden="1">Viceadministrativa!$A$2:$P$107</definedName>
    <definedName name="Ambiental">Hoja2!$E$3:$E$8</definedName>
    <definedName name="DATOS">Hoja2!$H$13:$H$21</definedName>
    <definedName name="DE" localSheetId="2">[1]Hoja2!$G$4:$G$7</definedName>
    <definedName name="DE" localSheetId="5">[2]Hoja2!$G$4:$G$7</definedName>
    <definedName name="DE">Hoja2!$G$4:$G$7</definedName>
    <definedName name="EST" localSheetId="5">Viceadministrativa!#REF!</definedName>
    <definedName name="EST">Rectoría!$A$3</definedName>
    <definedName name="ESTRATEGIA" localSheetId="2">[1]Hoja2!$A$3:$A$5</definedName>
    <definedName name="ESTRATEGIA" localSheetId="5">[2]Hoja2!$A$3:$A$5</definedName>
    <definedName name="ESTRATEGIA">Hoja2!$A$3:$A$5</definedName>
    <definedName name="ETAPA">'Plan de Acción 2021'!$A$529:$A$534</definedName>
    <definedName name="ETAPAS">'Plan de Acción 2021'!$A$528:$A$534</definedName>
    <definedName name="IN" localSheetId="2">[1]Hoja2!$L$2:$L$77</definedName>
    <definedName name="IN" localSheetId="5">[2]Hoja2!$L$2:$L$77</definedName>
    <definedName name="IN">Hoja2!$L$2:$L$77</definedName>
    <definedName name="Institucional">Hoja2!$C$3:$C$15</definedName>
    <definedName name="Isntitucional">Hoja2!$F$3:$F$30</definedName>
    <definedName name="lola">Hoja2!$C$3:$C$15</definedName>
    <definedName name="ME" localSheetId="2">[1]Hoja2!$F$3:$F$73</definedName>
    <definedName name="ME" localSheetId="5">[2]Hoja2!$F$3:$F$73</definedName>
    <definedName name="ME">Hoja2!$F$3:$F$73</definedName>
    <definedName name="OE" localSheetId="2">[1]Hoja2!$B$3:$B$13</definedName>
    <definedName name="OE" localSheetId="5">[2]Hoja2!$B$3:$B$13</definedName>
    <definedName name="OE">Hoja2!$B$3:$B$13</definedName>
    <definedName name="PES">[1]Hoja2!$C$3:$C$29</definedName>
    <definedName name="PI">Hoja2!$L$3:$L$31</definedName>
    <definedName name="RECTORÍA">Hoja2!$H$3:$H$12</definedName>
    <definedName name="Social">Hoja2!$D$3:$D$10</definedName>
    <definedName name="SU" localSheetId="2">[1]Hoja2!$H$3:$H$38</definedName>
    <definedName name="SU" localSheetId="5">[2]Hoja2!$H$3:$H$38</definedName>
    <definedName name="SU">Hoja2!$H$3:$H$38</definedName>
    <definedName name="VICERRECTORÍA.ACADÉMICA">Hoja2!$H$22:$H$33</definedName>
    <definedName name="VICERRECTORÍA.ADMINISTRATIVA.Y.FINANCIERA">Hoja2!$H$13:$H$21</definedName>
    <definedName name="VICERRECTORÍA.DE.INVESTIGACIÓN.EXTENSIÓN.Y.TRANSFERENCIA">Hoja2!$H$34:$H$38</definedName>
    <definedName name="VICERRECTORÍA1">Hoja2!$H$13:$H$21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0" l="1"/>
  <c r="M56" i="13"/>
  <c r="M55" i="13"/>
  <c r="M54" i="13"/>
  <c r="L53" i="13"/>
  <c r="M52" i="13"/>
  <c r="M51" i="13"/>
  <c r="C7" i="20"/>
  <c r="C6" i="20"/>
  <c r="C5" i="20"/>
  <c r="N71" i="17"/>
  <c r="N74" i="17"/>
  <c r="N72" i="17"/>
  <c r="N51" i="17"/>
  <c r="N153" i="17"/>
  <c r="I6" i="21"/>
  <c r="I60" i="21" s="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2" i="21"/>
  <c r="I70" i="21" s="1"/>
  <c r="I63" i="21"/>
  <c r="I64" i="21"/>
  <c r="I65" i="21"/>
  <c r="I66" i="21"/>
  <c r="I67" i="21"/>
  <c r="I68" i="21"/>
  <c r="I69" i="21"/>
  <c r="I72" i="21"/>
  <c r="I103" i="21" s="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4" i="21" l="1"/>
  <c r="M40" i="13" l="1"/>
  <c r="L40" i="13"/>
  <c r="M34" i="13"/>
  <c r="M24" i="13" l="1"/>
  <c r="M23" i="13" l="1"/>
  <c r="M22" i="13"/>
  <c r="M21" i="13"/>
  <c r="M20" i="13"/>
  <c r="M19" i="13"/>
  <c r="M18" i="13"/>
  <c r="M17" i="13"/>
  <c r="M16" i="13"/>
  <c r="M15" i="13"/>
  <c r="M14" i="13"/>
  <c r="M13" i="13"/>
  <c r="M12" i="13"/>
  <c r="L27" i="19" l="1"/>
  <c r="L3" i="19"/>
  <c r="L4" i="19"/>
  <c r="L5" i="19"/>
  <c r="L6" i="19"/>
  <c r="L7" i="19"/>
  <c r="L8" i="19"/>
  <c r="L9" i="19"/>
  <c r="L10" i="19"/>
  <c r="L11" i="19"/>
  <c r="L12" i="19"/>
  <c r="L13" i="19"/>
  <c r="L14" i="19"/>
  <c r="L15" i="19"/>
  <c r="L17" i="19"/>
  <c r="L18" i="19"/>
  <c r="L19" i="19"/>
  <c r="L20" i="19"/>
  <c r="L21" i="19"/>
  <c r="L22" i="19"/>
  <c r="L23" i="19"/>
  <c r="L24" i="19"/>
  <c r="L29" i="19"/>
  <c r="L30" i="19"/>
  <c r="L31" i="19"/>
  <c r="L41" i="19"/>
  <c r="L42" i="19"/>
  <c r="L43" i="19"/>
  <c r="L44" i="19"/>
  <c r="L45" i="19"/>
  <c r="L46" i="19"/>
  <c r="K47" i="19"/>
  <c r="L47" i="19" s="1"/>
  <c r="L48" i="19"/>
  <c r="L49" i="19"/>
  <c r="L50" i="19"/>
  <c r="L51" i="19"/>
  <c r="L52" i="19"/>
  <c r="L53" i="19"/>
  <c r="L54" i="19"/>
  <c r="L55" i="19"/>
  <c r="L56" i="19"/>
  <c r="L57" i="19"/>
  <c r="L58" i="19"/>
  <c r="L59" i="19"/>
  <c r="L60" i="19"/>
  <c r="I30" i="18" l="1"/>
  <c r="N3" i="17" l="1"/>
  <c r="N4" i="17"/>
  <c r="N5" i="17"/>
  <c r="N6" i="17"/>
  <c r="N7" i="17"/>
  <c r="N8" i="17"/>
  <c r="N9" i="17"/>
  <c r="N11" i="17"/>
  <c r="N13" i="17"/>
  <c r="N14" i="17"/>
  <c r="N15" i="17"/>
  <c r="N16" i="17"/>
  <c r="N17" i="17"/>
  <c r="N18" i="17"/>
  <c r="N21" i="17"/>
  <c r="N23" i="17"/>
  <c r="N25" i="17"/>
  <c r="N26" i="17"/>
  <c r="N44" i="17"/>
  <c r="N45" i="17"/>
  <c r="N46" i="17"/>
  <c r="N47" i="17"/>
  <c r="N48" i="17"/>
  <c r="M49" i="17"/>
  <c r="N49" i="17" s="1"/>
  <c r="N52" i="17"/>
  <c r="N53" i="17"/>
  <c r="N54" i="17"/>
  <c r="N55" i="17"/>
  <c r="M56" i="17"/>
  <c r="N56" i="17" s="1"/>
  <c r="N57" i="17"/>
  <c r="N58" i="17"/>
  <c r="N59" i="17"/>
  <c r="N60" i="17"/>
  <c r="N62" i="17"/>
  <c r="N63" i="17"/>
  <c r="N67" i="17"/>
  <c r="N68" i="17"/>
  <c r="N69" i="17"/>
  <c r="N70" i="17"/>
  <c r="N73" i="17"/>
  <c r="N75" i="17"/>
  <c r="N76" i="17"/>
  <c r="N77" i="17"/>
  <c r="N78" i="17"/>
  <c r="N79" i="17"/>
  <c r="N80" i="17"/>
  <c r="N81" i="17"/>
  <c r="N82" i="17"/>
  <c r="N83" i="17"/>
  <c r="N84" i="17"/>
  <c r="N85" i="17"/>
  <c r="N86" i="17"/>
  <c r="N87" i="17"/>
  <c r="N88" i="17"/>
  <c r="N89" i="17"/>
  <c r="N90" i="17"/>
  <c r="N91" i="17"/>
  <c r="N92" i="17"/>
  <c r="N93" i="17"/>
  <c r="N94" i="17"/>
  <c r="N95" i="17"/>
  <c r="N96" i="17"/>
  <c r="N97" i="17"/>
  <c r="N98" i="17"/>
  <c r="N99" i="17"/>
  <c r="N100" i="17"/>
  <c r="N101" i="17"/>
  <c r="N102" i="17"/>
  <c r="N103" i="17"/>
  <c r="N104" i="17"/>
  <c r="N105" i="17"/>
  <c r="N106" i="17"/>
  <c r="N107" i="17"/>
  <c r="N108" i="17"/>
  <c r="N109" i="17"/>
  <c r="N110" i="17"/>
  <c r="N111" i="17"/>
  <c r="N112" i="17"/>
  <c r="N113" i="17"/>
  <c r="N114" i="17"/>
  <c r="N115" i="17"/>
  <c r="N116" i="17"/>
  <c r="N117" i="17"/>
  <c r="N118" i="17"/>
  <c r="N119" i="17"/>
  <c r="N120" i="17"/>
  <c r="N121" i="17"/>
  <c r="N122" i="17"/>
  <c r="N123" i="17"/>
  <c r="N124" i="17"/>
  <c r="N125" i="17"/>
  <c r="N126" i="17"/>
  <c r="N127" i="17"/>
  <c r="N128" i="17"/>
  <c r="N129" i="17"/>
  <c r="N132" i="17"/>
  <c r="N133" i="17"/>
  <c r="N134" i="17"/>
  <c r="N135" i="17"/>
  <c r="N136" i="17"/>
  <c r="N137" i="17"/>
  <c r="N138" i="17"/>
  <c r="N139" i="17"/>
  <c r="N141" i="17"/>
  <c r="N142" i="17"/>
  <c r="N143" i="17"/>
  <c r="N144" i="17"/>
  <c r="N145" i="17"/>
  <c r="N146" i="17"/>
  <c r="N147" i="17"/>
  <c r="N148" i="17"/>
  <c r="N149" i="17"/>
  <c r="N150" i="17"/>
  <c r="N151" i="17"/>
  <c r="N152" i="17"/>
  <c r="N154" i="17"/>
  <c r="N155" i="17"/>
  <c r="N156" i="17"/>
  <c r="N160" i="17"/>
  <c r="N161" i="17"/>
  <c r="N162" i="17"/>
  <c r="N165" i="17"/>
  <c r="N166" i="17"/>
  <c r="N167" i="17"/>
  <c r="N168" i="17"/>
  <c r="N169" i="17"/>
  <c r="N171" i="17"/>
  <c r="N172" i="17"/>
  <c r="N173" i="17"/>
  <c r="N174" i="17"/>
  <c r="N175" i="17"/>
  <c r="N176" i="17"/>
  <c r="N177" i="17"/>
  <c r="N179" i="17"/>
  <c r="N180" i="17"/>
  <c r="N181" i="17"/>
  <c r="N182" i="17"/>
  <c r="N183" i="17"/>
  <c r="N185" i="17"/>
  <c r="N187" i="17"/>
  <c r="N188" i="17"/>
  <c r="N189" i="17"/>
  <c r="N190" i="17"/>
  <c r="N191" i="17"/>
  <c r="N192" i="17"/>
  <c r="N193" i="17"/>
  <c r="N194" i="17"/>
  <c r="N195" i="17"/>
  <c r="N196" i="17"/>
  <c r="M197" i="17"/>
  <c r="N197" i="17" s="1"/>
  <c r="M198" i="17"/>
  <c r="N198" i="17" s="1"/>
  <c r="M199" i="17"/>
  <c r="N199" i="17"/>
  <c r="M200" i="17"/>
  <c r="N200" i="17" s="1"/>
  <c r="M201" i="17"/>
  <c r="N201" i="17" s="1"/>
  <c r="M202" i="17"/>
  <c r="N202" i="17" s="1"/>
  <c r="N203" i="17"/>
  <c r="N204" i="17"/>
  <c r="N205" i="17"/>
  <c r="N206" i="17"/>
  <c r="N207" i="17"/>
  <c r="N208" i="17"/>
  <c r="N209" i="17"/>
  <c r="N210" i="17"/>
  <c r="N211" i="17"/>
  <c r="N212" i="17"/>
  <c r="N213" i="17"/>
  <c r="N214" i="17"/>
  <c r="N215" i="17"/>
  <c r="C235" i="17"/>
  <c r="C238" i="17" s="1"/>
  <c r="D235" i="17"/>
  <c r="E235" i="17"/>
  <c r="F235" i="17"/>
  <c r="G235" i="17"/>
  <c r="H235" i="17"/>
  <c r="I235" i="17"/>
  <c r="J235" i="17"/>
  <c r="C237" i="17"/>
  <c r="C4" i="20" l="1"/>
  <c r="G238" i="17"/>
  <c r="M9" i="13" l="1"/>
  <c r="L8" i="13"/>
  <c r="M8" i="13" s="1"/>
  <c r="M7" i="13"/>
  <c r="L6" i="13"/>
  <c r="M6" i="13" s="1"/>
  <c r="M5" i="13"/>
  <c r="M4" i="13"/>
  <c r="M3" i="13"/>
  <c r="C8" i="20" s="1"/>
  <c r="X28" i="6" l="1"/>
  <c r="U28" i="6"/>
  <c r="R28" i="6"/>
  <c r="O28" i="6"/>
  <c r="X25" i="6"/>
  <c r="U25" i="6"/>
  <c r="R25" i="6"/>
  <c r="O25" i="6"/>
  <c r="X24" i="6"/>
  <c r="U24" i="6"/>
  <c r="R24" i="6"/>
  <c r="O24" i="6"/>
  <c r="N131" i="2"/>
  <c r="O131" i="2" s="1"/>
  <c r="N130" i="2"/>
  <c r="O130" i="2" s="1"/>
  <c r="N129" i="2"/>
  <c r="O129" i="2" s="1"/>
  <c r="N128" i="2"/>
  <c r="O128" i="2" s="1"/>
  <c r="N127" i="2"/>
  <c r="O127" i="2" s="1"/>
  <c r="N126" i="2"/>
  <c r="O126" i="2" s="1"/>
  <c r="N125" i="2"/>
  <c r="O125" i="2" s="1"/>
  <c r="N124" i="2"/>
  <c r="O124" i="2" s="1"/>
  <c r="N132" i="2"/>
  <c r="O132" i="2" s="1"/>
  <c r="N133" i="2"/>
  <c r="O133" i="2" s="1"/>
  <c r="N134" i="2"/>
  <c r="O134" i="2" s="1"/>
  <c r="X19" i="6"/>
  <c r="U19" i="6"/>
  <c r="R19" i="6"/>
  <c r="O19" i="6"/>
  <c r="X14" i="6"/>
  <c r="U14" i="6"/>
  <c r="R14" i="6"/>
  <c r="O14" i="6"/>
  <c r="X11" i="6"/>
  <c r="U11" i="6"/>
  <c r="R11" i="6"/>
  <c r="X10" i="6"/>
  <c r="U10" i="6"/>
  <c r="R10" i="6"/>
  <c r="O10" i="6"/>
  <c r="X8" i="6"/>
  <c r="U8" i="6"/>
  <c r="R8" i="6"/>
  <c r="O8" i="6"/>
  <c r="W25" i="9"/>
  <c r="T25" i="9"/>
  <c r="Q25" i="9"/>
  <c r="N25" i="9"/>
  <c r="W24" i="9"/>
  <c r="T24" i="9"/>
  <c r="Q24" i="9"/>
  <c r="N24" i="9"/>
  <c r="W23" i="9"/>
  <c r="T23" i="9"/>
  <c r="Q23" i="9"/>
  <c r="N23" i="9"/>
  <c r="L23" i="9"/>
  <c r="W22" i="9"/>
  <c r="T22" i="9"/>
  <c r="Q22" i="9"/>
  <c r="N22" i="9"/>
  <c r="N21" i="9"/>
  <c r="W20" i="9"/>
  <c r="T20" i="9"/>
  <c r="Q20" i="9"/>
  <c r="W19" i="9"/>
  <c r="T19" i="9"/>
  <c r="Q19" i="9"/>
  <c r="N20" i="9"/>
  <c r="N19" i="9"/>
  <c r="W18" i="9"/>
  <c r="T18" i="9"/>
  <c r="Q18" i="9"/>
  <c r="N18" i="9"/>
  <c r="W17" i="9"/>
  <c r="T17" i="9"/>
  <c r="Q17" i="9"/>
  <c r="N17" i="9"/>
  <c r="W16" i="9"/>
  <c r="T16" i="9"/>
  <c r="Q16" i="9"/>
  <c r="N16" i="9"/>
  <c r="W15" i="9"/>
  <c r="T15" i="9"/>
  <c r="Q15" i="9"/>
  <c r="N15" i="9"/>
  <c r="W14" i="9"/>
  <c r="T14" i="9"/>
  <c r="Q14" i="9"/>
  <c r="W13" i="9"/>
  <c r="T13" i="9"/>
  <c r="Q13" i="9"/>
  <c r="N14" i="9"/>
  <c r="N13" i="9"/>
  <c r="W12" i="9"/>
  <c r="T12" i="9"/>
  <c r="Q12" i="9"/>
  <c r="N12" i="9"/>
  <c r="W11" i="9"/>
  <c r="T11" i="9"/>
  <c r="Q11" i="9"/>
  <c r="N11" i="9"/>
  <c r="W10" i="9"/>
  <c r="T10" i="9"/>
  <c r="Q10" i="9"/>
  <c r="N10" i="9"/>
  <c r="W9" i="9"/>
  <c r="T9" i="9"/>
  <c r="Q9" i="9"/>
  <c r="N9" i="9"/>
  <c r="W8" i="9"/>
  <c r="T8" i="9"/>
  <c r="Q8" i="9"/>
  <c r="N8" i="9"/>
  <c r="T32" i="5"/>
  <c r="U32" i="5" s="1"/>
  <c r="Q32" i="5"/>
  <c r="R32" i="5" s="1"/>
  <c r="N32" i="5"/>
  <c r="O32" i="5" s="1"/>
  <c r="K32" i="5"/>
  <c r="L32" i="5" s="1"/>
  <c r="T31" i="5"/>
  <c r="Q31" i="5"/>
  <c r="N31" i="5"/>
  <c r="K31" i="5"/>
  <c r="T30" i="5"/>
  <c r="Q30" i="5"/>
  <c r="N30" i="5"/>
  <c r="K30" i="5"/>
  <c r="T29" i="5"/>
  <c r="Q29" i="5"/>
  <c r="N29" i="5"/>
  <c r="K29" i="5"/>
  <c r="K28" i="5"/>
  <c r="I28" i="5"/>
  <c r="T27" i="5"/>
  <c r="Q27" i="5"/>
  <c r="N27" i="5"/>
  <c r="K27" i="5"/>
  <c r="T26" i="5"/>
  <c r="Q26" i="5"/>
  <c r="N26" i="5"/>
  <c r="K26" i="5"/>
  <c r="T25" i="5"/>
  <c r="Q25" i="5"/>
  <c r="N25" i="5"/>
  <c r="K25" i="5"/>
  <c r="T24" i="5"/>
  <c r="Q24" i="5"/>
  <c r="N24" i="5"/>
  <c r="K24" i="5"/>
  <c r="T23" i="5"/>
  <c r="U23" i="5" s="1"/>
  <c r="Q23" i="5"/>
  <c r="R23" i="5" s="1"/>
  <c r="N23" i="5"/>
  <c r="O23" i="5" s="1"/>
  <c r="K23" i="5"/>
  <c r="L23" i="5" s="1"/>
  <c r="T22" i="5"/>
  <c r="Q22" i="5"/>
  <c r="N22" i="5"/>
  <c r="K22" i="5"/>
  <c r="T21" i="5"/>
  <c r="Q21" i="5"/>
  <c r="N21" i="5"/>
  <c r="K21" i="5"/>
  <c r="T20" i="5"/>
  <c r="Q20" i="5"/>
  <c r="N20" i="5"/>
  <c r="K20" i="5"/>
  <c r="T17" i="5"/>
  <c r="Q17" i="5"/>
  <c r="N17" i="5"/>
  <c r="K17" i="5"/>
  <c r="T15" i="5"/>
  <c r="Q15" i="5"/>
  <c r="N15" i="5"/>
  <c r="K15" i="5"/>
  <c r="T14" i="5"/>
  <c r="Q14" i="5"/>
  <c r="N14" i="5"/>
  <c r="K14" i="5"/>
  <c r="T13" i="5"/>
  <c r="Q13" i="5"/>
  <c r="N13" i="5"/>
  <c r="K13" i="5"/>
  <c r="T12" i="5"/>
  <c r="Q12" i="5"/>
  <c r="N12" i="5"/>
  <c r="K12" i="5"/>
  <c r="T10" i="5"/>
  <c r="Q10" i="5"/>
  <c r="N10" i="5"/>
  <c r="K10" i="5"/>
  <c r="T11" i="5"/>
  <c r="Q11" i="5"/>
  <c r="N11" i="5"/>
  <c r="K11" i="5"/>
  <c r="T9" i="5"/>
  <c r="Q9" i="5"/>
  <c r="N9" i="5"/>
  <c r="K9" i="5"/>
  <c r="T8" i="5"/>
  <c r="Q8" i="5"/>
  <c r="N8" i="5"/>
  <c r="K8" i="5"/>
  <c r="T6" i="5"/>
  <c r="Q6" i="5"/>
  <c r="N6" i="5"/>
  <c r="K6" i="5"/>
  <c r="X37" i="6"/>
  <c r="U37" i="6"/>
  <c r="R37" i="6"/>
  <c r="O37" i="6"/>
  <c r="X36" i="6"/>
  <c r="U36" i="6"/>
  <c r="R36" i="6"/>
  <c r="O36" i="6"/>
  <c r="X35" i="6"/>
  <c r="U35" i="6"/>
  <c r="R35" i="6"/>
  <c r="O35" i="6"/>
  <c r="X34" i="6"/>
  <c r="U34" i="6"/>
  <c r="R34" i="6"/>
  <c r="O34" i="6"/>
  <c r="X33" i="6"/>
  <c r="Y33" i="6" s="1"/>
  <c r="U33" i="6"/>
  <c r="V33" i="6" s="1"/>
  <c r="R33" i="6"/>
  <c r="S33" i="6" s="1"/>
  <c r="O33" i="6"/>
  <c r="P33" i="6" s="1"/>
  <c r="X32" i="6"/>
  <c r="U32" i="6"/>
  <c r="R32" i="6"/>
  <c r="O32" i="6"/>
  <c r="X31" i="6"/>
  <c r="U31" i="6"/>
  <c r="R31" i="6"/>
  <c r="O31" i="6"/>
  <c r="X30" i="6"/>
  <c r="U30" i="6"/>
  <c r="R30" i="6"/>
  <c r="O30" i="6"/>
  <c r="X29" i="6"/>
  <c r="U29" i="6"/>
  <c r="R29" i="6"/>
  <c r="O29" i="6"/>
  <c r="X27" i="6"/>
  <c r="Y27" i="6" s="1"/>
  <c r="U27" i="6"/>
  <c r="V27" i="6" s="1"/>
  <c r="R27" i="6"/>
  <c r="S27" i="6" s="1"/>
  <c r="O27" i="6"/>
  <c r="P27" i="6" s="1"/>
  <c r="X26" i="6"/>
  <c r="U26" i="6"/>
  <c r="R26" i="6"/>
  <c r="O26" i="6"/>
  <c r="X23" i="6"/>
  <c r="U23" i="6"/>
  <c r="R23" i="6"/>
  <c r="O23" i="6"/>
  <c r="X22" i="6"/>
  <c r="U22" i="6"/>
  <c r="R22" i="6"/>
  <c r="O22" i="6"/>
  <c r="X21" i="6"/>
  <c r="U21" i="6"/>
  <c r="R21" i="6"/>
  <c r="O21" i="6"/>
  <c r="X20" i="6"/>
  <c r="U20" i="6"/>
  <c r="R20" i="6"/>
  <c r="O20" i="6"/>
  <c r="X16" i="6"/>
  <c r="U16" i="6"/>
  <c r="R16" i="6"/>
  <c r="O16" i="6"/>
  <c r="X15" i="6"/>
  <c r="Y15" i="6" s="1"/>
  <c r="U15" i="6"/>
  <c r="V15" i="6" s="1"/>
  <c r="R15" i="6"/>
  <c r="S15" i="6" s="1"/>
  <c r="O15" i="6"/>
  <c r="P15" i="6" s="1"/>
  <c r="X13" i="6"/>
  <c r="U13" i="6"/>
  <c r="R13" i="6"/>
  <c r="O13" i="6"/>
  <c r="X12" i="6"/>
  <c r="Y12" i="6" s="1"/>
  <c r="U12" i="6"/>
  <c r="V12" i="6" s="1"/>
  <c r="R12" i="6"/>
  <c r="S12" i="6" s="1"/>
  <c r="O12" i="6"/>
  <c r="O11" i="6"/>
  <c r="X23" i="9" l="1"/>
  <c r="R23" i="9"/>
  <c r="U23" i="9"/>
  <c r="O23" i="9"/>
  <c r="L28" i="5"/>
  <c r="R9" i="6"/>
  <c r="X9" i="6"/>
  <c r="O9" i="6"/>
  <c r="P12" i="6" l="1"/>
  <c r="N34" i="2" l="1"/>
  <c r="O34" i="2" s="1"/>
  <c r="N9" i="2"/>
  <c r="N10" i="2"/>
  <c r="N11" i="2"/>
  <c r="N12" i="2"/>
  <c r="N13" i="2"/>
  <c r="N14" i="2"/>
  <c r="N15" i="2"/>
  <c r="N16" i="2"/>
  <c r="N17" i="2"/>
  <c r="N18" i="2"/>
  <c r="N19" i="2"/>
  <c r="N20" i="2"/>
  <c r="N21" i="2"/>
  <c r="N22" i="2"/>
  <c r="N23" i="2"/>
  <c r="N24" i="2"/>
  <c r="N25" i="2"/>
  <c r="N26" i="2"/>
  <c r="N27" i="2"/>
  <c r="N28" i="2"/>
  <c r="N29" i="2"/>
  <c r="N30" i="2"/>
  <c r="N31" i="2"/>
  <c r="N32" i="2"/>
  <c r="N33" i="2"/>
  <c r="N35" i="2"/>
  <c r="N36" i="2"/>
  <c r="N37" i="2"/>
  <c r="N38" i="2"/>
  <c r="N39" i="2"/>
  <c r="N40" i="2"/>
  <c r="N41" i="2"/>
  <c r="N42" i="2"/>
  <c r="N43" i="2"/>
  <c r="N44" i="2"/>
  <c r="N45" i="2"/>
  <c r="N46" i="2"/>
  <c r="N47" i="2"/>
  <c r="N48" i="2"/>
  <c r="N49" i="2"/>
  <c r="N50" i="2"/>
  <c r="N51" i="2"/>
  <c r="N52" i="2"/>
  <c r="N53" i="2"/>
  <c r="O53" i="2" s="1"/>
  <c r="N54" i="2"/>
  <c r="O54" i="2" s="1"/>
  <c r="N55" i="2"/>
  <c r="O55" i="2" s="1"/>
  <c r="N56" i="2"/>
  <c r="O56" i="2" s="1"/>
  <c r="N57" i="2"/>
  <c r="O57" i="2" s="1"/>
  <c r="N58" i="2"/>
  <c r="O58" i="2" s="1"/>
  <c r="N59" i="2"/>
  <c r="O59" i="2" s="1"/>
  <c r="N60" i="2"/>
  <c r="O60" i="2" s="1"/>
  <c r="N61" i="2"/>
  <c r="O61" i="2" s="1"/>
  <c r="N62" i="2"/>
  <c r="O62" i="2" s="1"/>
  <c r="N63" i="2"/>
  <c r="O63" i="2" s="1"/>
  <c r="N64" i="2"/>
  <c r="O64" i="2" s="1"/>
  <c r="N65" i="2"/>
  <c r="O65" i="2" s="1"/>
  <c r="N66" i="2"/>
  <c r="O66" i="2" s="1"/>
  <c r="N67" i="2"/>
  <c r="O67" i="2" s="1"/>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9" i="2"/>
  <c r="N248"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8" i="2"/>
  <c r="N409" i="2"/>
  <c r="N410" i="2"/>
  <c r="N411" i="2"/>
  <c r="N412" i="2"/>
  <c r="N413" i="2"/>
  <c r="N414" i="2"/>
  <c r="N415" i="2"/>
  <c r="N416" i="2"/>
  <c r="N417" i="2"/>
  <c r="N418" i="2"/>
  <c r="N419" i="2"/>
  <c r="N420" i="2"/>
  <c r="N421" i="2"/>
  <c r="N422" i="2"/>
  <c r="N423" i="2"/>
  <c r="N424" i="2"/>
  <c r="N425" i="2"/>
  <c r="N426" i="2"/>
  <c r="N427" i="2"/>
  <c r="N428" i="2"/>
  <c r="N429" i="2"/>
  <c r="N430" i="2"/>
  <c r="N431"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O502" i="2" l="1"/>
  <c r="O501" i="2"/>
  <c r="O500" i="2"/>
  <c r="O499" i="2"/>
  <c r="O498" i="2"/>
  <c r="O497" i="2"/>
  <c r="O496" i="2"/>
  <c r="O495" i="2"/>
  <c r="O494" i="2"/>
  <c r="O493" i="2"/>
  <c r="O492" i="2"/>
  <c r="O491" i="2"/>
  <c r="O490" i="2"/>
  <c r="O489" i="2"/>
  <c r="O511" i="2"/>
  <c r="O510" i="2"/>
  <c r="O509" i="2"/>
  <c r="O508" i="2"/>
  <c r="O507" i="2"/>
  <c r="O506" i="2"/>
  <c r="O505" i="2"/>
  <c r="O504" i="2"/>
  <c r="O503" i="2"/>
  <c r="O519" i="2"/>
  <c r="O518" i="2"/>
  <c r="O517" i="2"/>
  <c r="O516" i="2"/>
  <c r="O515" i="2"/>
  <c r="O514" i="2"/>
  <c r="U9" i="6" l="1"/>
  <c r="O353" i="2"/>
  <c r="O352" i="2"/>
  <c r="O351" i="2"/>
  <c r="O350" i="2"/>
  <c r="O349" i="2"/>
  <c r="O348" i="2"/>
  <c r="O347" i="2"/>
  <c r="O335" i="2"/>
  <c r="O334" i="2"/>
  <c r="O337" i="2"/>
  <c r="O333" i="2"/>
  <c r="O332" i="2"/>
  <c r="O319" i="2"/>
  <c r="O318" i="2"/>
  <c r="O315" i="2"/>
  <c r="O294" i="2"/>
  <c r="O181" i="2" l="1"/>
  <c r="O180" i="2"/>
  <c r="E8" i="10" l="1"/>
  <c r="K7" i="10"/>
  <c r="C29" i="10" l="1"/>
  <c r="C24" i="10"/>
  <c r="L8" i="6"/>
  <c r="P8" i="6" s="1"/>
  <c r="L18" i="6" l="1"/>
  <c r="O30" i="5"/>
  <c r="O24" i="5"/>
  <c r="O22" i="5"/>
  <c r="O21" i="5"/>
  <c r="O20" i="5"/>
  <c r="Y14" i="6"/>
  <c r="V14" i="6"/>
  <c r="S14" i="6"/>
  <c r="P14" i="6"/>
  <c r="L25" i="9"/>
  <c r="L24" i="9"/>
  <c r="L22" i="9"/>
  <c r="L21" i="9"/>
  <c r="L20" i="9"/>
  <c r="L19" i="9"/>
  <c r="O173" i="2"/>
  <c r="L18" i="9"/>
  <c r="L17" i="9"/>
  <c r="L16" i="9"/>
  <c r="L15" i="9"/>
  <c r="L14" i="9"/>
  <c r="L13" i="9"/>
  <c r="L12" i="9"/>
  <c r="L11" i="9"/>
  <c r="L10" i="9"/>
  <c r="L9" i="9"/>
  <c r="L8" i="9"/>
  <c r="I31" i="5"/>
  <c r="I30" i="5"/>
  <c r="U30" i="5" s="1"/>
  <c r="I29" i="5"/>
  <c r="U28" i="5"/>
  <c r="I27" i="5"/>
  <c r="I26" i="5"/>
  <c r="I25" i="5"/>
  <c r="I24" i="5"/>
  <c r="U24" i="5" s="1"/>
  <c r="I22" i="5"/>
  <c r="L22" i="5" s="1"/>
  <c r="I21" i="5"/>
  <c r="U21" i="5" s="1"/>
  <c r="I20" i="5"/>
  <c r="U20" i="5" s="1"/>
  <c r="I10" i="5"/>
  <c r="I17" i="5"/>
  <c r="I15" i="5"/>
  <c r="I14" i="5"/>
  <c r="I13" i="5"/>
  <c r="I11" i="5"/>
  <c r="I12" i="5"/>
  <c r="I9" i="5"/>
  <c r="I8" i="5"/>
  <c r="I7" i="5"/>
  <c r="R7" i="5" s="1"/>
  <c r="I6" i="5"/>
  <c r="L37" i="6"/>
  <c r="L36" i="6"/>
  <c r="L35" i="6"/>
  <c r="O139" i="2"/>
  <c r="L34" i="6"/>
  <c r="O137" i="2"/>
  <c r="N33" i="6"/>
  <c r="L32" i="6"/>
  <c r="L31" i="6"/>
  <c r="L30" i="6"/>
  <c r="L29" i="6"/>
  <c r="L28" i="6"/>
  <c r="P28" i="6" s="1"/>
  <c r="L27" i="6"/>
  <c r="L26" i="6"/>
  <c r="L25" i="6"/>
  <c r="L24" i="6"/>
  <c r="P24" i="6" s="1"/>
  <c r="L23" i="6"/>
  <c r="L22" i="6"/>
  <c r="O370" i="2"/>
  <c r="O19" i="9" l="1"/>
  <c r="X19" i="9"/>
  <c r="R19" i="9"/>
  <c r="U19" i="9"/>
  <c r="R24" i="9"/>
  <c r="U24" i="9"/>
  <c r="O24" i="9"/>
  <c r="X24" i="9"/>
  <c r="U20" i="9"/>
  <c r="R20" i="9"/>
  <c r="O20" i="9"/>
  <c r="X20" i="9"/>
  <c r="R25" i="9"/>
  <c r="X25" i="9"/>
  <c r="U25" i="9"/>
  <c r="O25" i="9"/>
  <c r="O18" i="9"/>
  <c r="X18" i="9"/>
  <c r="R18" i="9"/>
  <c r="U18" i="9"/>
  <c r="U21" i="9"/>
  <c r="R21" i="9"/>
  <c r="X21" i="9"/>
  <c r="O21" i="9"/>
  <c r="U22" i="9"/>
  <c r="O22" i="9"/>
  <c r="X22" i="9"/>
  <c r="R22" i="9"/>
  <c r="X16" i="9"/>
  <c r="U16" i="9"/>
  <c r="O16" i="9"/>
  <c r="R16" i="9"/>
  <c r="U17" i="9"/>
  <c r="X17" i="9"/>
  <c r="O17" i="9"/>
  <c r="R17" i="9"/>
  <c r="O15" i="9"/>
  <c r="X15" i="9"/>
  <c r="R15" i="9"/>
  <c r="U15" i="9"/>
  <c r="R12" i="9"/>
  <c r="O12" i="9"/>
  <c r="X12" i="9"/>
  <c r="U12" i="9"/>
  <c r="O13" i="9"/>
  <c r="X13" i="9"/>
  <c r="U13" i="9"/>
  <c r="R13" i="9"/>
  <c r="R14" i="9"/>
  <c r="U14" i="9"/>
  <c r="O14" i="9"/>
  <c r="X14" i="9"/>
  <c r="U11" i="9"/>
  <c r="O11" i="9"/>
  <c r="X11" i="9"/>
  <c r="R11" i="9"/>
  <c r="R10" i="9"/>
  <c r="O10" i="9"/>
  <c r="X10" i="9"/>
  <c r="U10" i="9"/>
  <c r="U9" i="9"/>
  <c r="X9" i="9"/>
  <c r="O9" i="9"/>
  <c r="R9" i="9"/>
  <c r="R8" i="9"/>
  <c r="O8" i="9"/>
  <c r="X8" i="9"/>
  <c r="U8" i="9"/>
  <c r="O25" i="5"/>
  <c r="L25" i="5"/>
  <c r="U25" i="5"/>
  <c r="R25" i="5"/>
  <c r="L29" i="5"/>
  <c r="U29" i="5"/>
  <c r="R29" i="5"/>
  <c r="O29" i="5"/>
  <c r="U26" i="5"/>
  <c r="R26" i="5"/>
  <c r="L26" i="5"/>
  <c r="O26" i="5"/>
  <c r="O27" i="5"/>
  <c r="U27" i="5"/>
  <c r="R27" i="5"/>
  <c r="L27" i="5"/>
  <c r="O31" i="5"/>
  <c r="L31" i="5"/>
  <c r="U31" i="5"/>
  <c r="R31" i="5"/>
  <c r="U10" i="5"/>
  <c r="R10" i="5"/>
  <c r="O10" i="5"/>
  <c r="U15" i="5"/>
  <c r="R15" i="5"/>
  <c r="O15" i="5"/>
  <c r="L15" i="5"/>
  <c r="R13" i="5"/>
  <c r="O13" i="5"/>
  <c r="L13" i="5"/>
  <c r="U13" i="5"/>
  <c r="O14" i="5"/>
  <c r="R14" i="5"/>
  <c r="U14" i="5"/>
  <c r="L14" i="5"/>
  <c r="O12" i="5"/>
  <c r="L12" i="5"/>
  <c r="U12" i="5"/>
  <c r="R12" i="5"/>
  <c r="U11" i="5"/>
  <c r="R11" i="5"/>
  <c r="O11" i="5"/>
  <c r="L11" i="5"/>
  <c r="U17" i="5"/>
  <c r="O17" i="5"/>
  <c r="R17" i="5"/>
  <c r="L17" i="5"/>
  <c r="R8" i="5"/>
  <c r="O8" i="5"/>
  <c r="U8" i="5"/>
  <c r="L8" i="5"/>
  <c r="L10" i="5"/>
  <c r="U9" i="5"/>
  <c r="R9" i="5"/>
  <c r="O9" i="5"/>
  <c r="L9" i="5"/>
  <c r="R6" i="5"/>
  <c r="O6" i="5"/>
  <c r="U6" i="5"/>
  <c r="L6" i="5"/>
  <c r="S37" i="6"/>
  <c r="V37" i="6"/>
  <c r="P37" i="6"/>
  <c r="Y37" i="6"/>
  <c r="Y36" i="6"/>
  <c r="S36" i="6"/>
  <c r="V36" i="6"/>
  <c r="P36" i="6"/>
  <c r="Y34" i="6"/>
  <c r="P34" i="6"/>
  <c r="S34" i="6"/>
  <c r="V34" i="6"/>
  <c r="Y35" i="6"/>
  <c r="P35" i="6"/>
  <c r="S35" i="6"/>
  <c r="V35" i="6"/>
  <c r="V32" i="6"/>
  <c r="S32" i="6"/>
  <c r="Y32" i="6"/>
  <c r="P32" i="6"/>
  <c r="S31" i="6"/>
  <c r="V31" i="6"/>
  <c r="Y31" i="6"/>
  <c r="P31" i="6"/>
  <c r="S30" i="6"/>
  <c r="V30" i="6"/>
  <c r="Y30" i="6"/>
  <c r="P30" i="6"/>
  <c r="P29" i="6"/>
  <c r="S29" i="6"/>
  <c r="V29" i="6"/>
  <c r="Y29" i="6"/>
  <c r="S26" i="6"/>
  <c r="V26" i="6"/>
  <c r="Y26" i="6"/>
  <c r="P26" i="6"/>
  <c r="S25" i="6"/>
  <c r="Y25" i="6"/>
  <c r="P25" i="6"/>
  <c r="V25" i="6"/>
  <c r="Y24" i="6"/>
  <c r="V24" i="6"/>
  <c r="S24" i="6"/>
  <c r="P23" i="6"/>
  <c r="S23" i="6"/>
  <c r="V23" i="6"/>
  <c r="Y23" i="6"/>
  <c r="V22" i="6"/>
  <c r="S22" i="6"/>
  <c r="P22" i="6"/>
  <c r="Y22" i="6"/>
  <c r="S28" i="6"/>
  <c r="Y28" i="6"/>
  <c r="V28" i="6"/>
  <c r="L24" i="5"/>
  <c r="L30" i="5"/>
  <c r="L21" i="5"/>
  <c r="O7" i="5"/>
  <c r="U7" i="5"/>
  <c r="R21" i="5"/>
  <c r="R22" i="5"/>
  <c r="L7" i="5"/>
  <c r="R28" i="5"/>
  <c r="L20" i="5"/>
  <c r="R20" i="5"/>
  <c r="U22" i="5"/>
  <c r="R24" i="5"/>
  <c r="R30" i="5"/>
  <c r="O28" i="5"/>
  <c r="O366" i="2"/>
  <c r="O365" i="2"/>
  <c r="O363" i="2"/>
  <c r="O362" i="2"/>
  <c r="O361" i="2"/>
  <c r="O360" i="2"/>
  <c r="O359" i="2"/>
  <c r="O358" i="2"/>
  <c r="O357" i="2"/>
  <c r="O356" i="2"/>
  <c r="O355" i="2"/>
  <c r="O345" i="2"/>
  <c r="O344" i="2"/>
  <c r="O343" i="2"/>
  <c r="O29" i="9" l="1"/>
  <c r="O28" i="9"/>
  <c r="O27" i="9"/>
  <c r="R28" i="9"/>
  <c r="X28" i="9"/>
  <c r="O33" i="5"/>
  <c r="U29" i="9"/>
  <c r="R26" i="9"/>
  <c r="R27" i="9"/>
  <c r="X26" i="9"/>
  <c r="X27" i="9"/>
  <c r="L33" i="5"/>
  <c r="R34" i="5"/>
  <c r="R29" i="9"/>
  <c r="O26" i="9"/>
  <c r="X29" i="9"/>
  <c r="U33" i="5"/>
  <c r="R35" i="5"/>
  <c r="U28" i="9"/>
  <c r="U26" i="9"/>
  <c r="U27" i="9"/>
  <c r="R33" i="5"/>
  <c r="U35" i="5"/>
  <c r="O34" i="5"/>
  <c r="O35" i="5"/>
  <c r="L34" i="5"/>
  <c r="L35" i="5"/>
  <c r="U34" i="5"/>
  <c r="O330" i="2"/>
  <c r="O329" i="2"/>
  <c r="O326" i="2"/>
  <c r="O328" i="2"/>
  <c r="O327" i="2"/>
  <c r="O291" i="2"/>
  <c r="O298" i="2"/>
  <c r="O317" i="2"/>
  <c r="O314" i="2"/>
  <c r="O313" i="2"/>
  <c r="O312" i="2"/>
  <c r="O311" i="2"/>
  <c r="O310" i="2"/>
  <c r="O320" i="2"/>
  <c r="O316" i="2"/>
  <c r="O309" i="2"/>
  <c r="O303" i="2"/>
  <c r="O302" i="2"/>
  <c r="O301" i="2"/>
  <c r="O300" i="2"/>
  <c r="O299" i="2"/>
  <c r="O297" i="2"/>
  <c r="O295" i="2"/>
  <c r="O293" i="2"/>
  <c r="O285" i="2"/>
  <c r="O283" i="2"/>
  <c r="O282" i="2"/>
  <c r="L13" i="6"/>
  <c r="S13" i="6" l="1"/>
  <c r="P13" i="6"/>
  <c r="V13" i="6"/>
  <c r="Y13" i="6"/>
  <c r="Y28" i="9"/>
  <c r="V35" i="5"/>
  <c r="C6" i="10" s="1"/>
  <c r="Y29" i="9"/>
  <c r="Y27" i="9"/>
  <c r="V34" i="5"/>
  <c r="O197" i="2"/>
  <c r="L21" i="6"/>
  <c r="L20" i="6"/>
  <c r="L19" i="6"/>
  <c r="L16" i="6"/>
  <c r="L12" i="6"/>
  <c r="L11" i="6"/>
  <c r="L10" i="6"/>
  <c r="L9" i="6"/>
  <c r="F8" i="5"/>
  <c r="I14" i="6"/>
  <c r="O190" i="2"/>
  <c r="O409" i="2"/>
  <c r="O412" i="2"/>
  <c r="O413" i="2"/>
  <c r="O430" i="2"/>
  <c r="O433" i="2"/>
  <c r="O434" i="2"/>
  <c r="O435" i="2"/>
  <c r="O436" i="2"/>
  <c r="O438" i="2"/>
  <c r="O440" i="2"/>
  <c r="O441" i="2"/>
  <c r="O443" i="2"/>
  <c r="O444" i="2"/>
  <c r="O445" i="2"/>
  <c r="O446" i="2"/>
  <c r="O450" i="2"/>
  <c r="O484" i="2"/>
  <c r="O485" i="2"/>
  <c r="O512" i="2"/>
  <c r="O259" i="2"/>
  <c r="O263" i="2"/>
  <c r="O266" i="2"/>
  <c r="O280" i="2"/>
  <c r="O272" i="2"/>
  <c r="O275" i="2"/>
  <c r="O287" i="2"/>
  <c r="O378" i="2"/>
  <c r="O379" i="2"/>
  <c r="O389" i="2"/>
  <c r="O392" i="2"/>
  <c r="O395" i="2"/>
  <c r="O396" i="2"/>
  <c r="O400" i="2"/>
  <c r="O401" i="2"/>
  <c r="O402" i="2"/>
  <c r="O403" i="2"/>
  <c r="O404" i="2"/>
  <c r="O405" i="2"/>
  <c r="O406" i="2"/>
  <c r="O110" i="2"/>
  <c r="O111" i="2"/>
  <c r="O112" i="2"/>
  <c r="O113" i="2"/>
  <c r="O114" i="2"/>
  <c r="O115" i="2"/>
  <c r="O116" i="2"/>
  <c r="O117" i="2"/>
  <c r="O118" i="2"/>
  <c r="O119" i="2"/>
  <c r="O120" i="2"/>
  <c r="O121" i="2"/>
  <c r="O122" i="2"/>
  <c r="O123" i="2"/>
  <c r="O140" i="2"/>
  <c r="O150" i="2"/>
  <c r="O151" i="2"/>
  <c r="O152" i="2"/>
  <c r="O153" i="2"/>
  <c r="O162" i="2"/>
  <c r="O163" i="2"/>
  <c r="O164" i="2"/>
  <c r="O165" i="2"/>
  <c r="O166" i="2"/>
  <c r="O169" i="2"/>
  <c r="O186" i="2"/>
  <c r="O189" i="2"/>
  <c r="O193" i="2"/>
  <c r="O194" i="2"/>
  <c r="O195" i="2"/>
  <c r="O196" i="2"/>
  <c r="O198" i="2"/>
  <c r="O199" i="2"/>
  <c r="O200" i="2"/>
  <c r="O201" i="2"/>
  <c r="O204" i="2"/>
  <c r="O212" i="2"/>
  <c r="O213" i="2"/>
  <c r="O215" i="2"/>
  <c r="O216" i="2"/>
  <c r="O217" i="2"/>
  <c r="O218"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9" i="2"/>
  <c r="O248" i="2"/>
  <c r="O250" i="2"/>
  <c r="O251" i="2"/>
  <c r="O9" i="2"/>
  <c r="O10" i="2"/>
  <c r="O11" i="2"/>
  <c r="O12" i="2"/>
  <c r="O13" i="2"/>
  <c r="O14" i="2"/>
  <c r="O17" i="2"/>
  <c r="O18" i="2"/>
  <c r="O19" i="2"/>
  <c r="O20" i="2"/>
  <c r="O21" i="2"/>
  <c r="O22" i="2"/>
  <c r="O23" i="2"/>
  <c r="O24" i="2"/>
  <c r="O25" i="2"/>
  <c r="O33" i="2"/>
  <c r="O35" i="2"/>
  <c r="O36" i="2"/>
  <c r="O37" i="2"/>
  <c r="O38" i="2"/>
  <c r="O39" i="2"/>
  <c r="O40" i="2"/>
  <c r="O41" i="2"/>
  <c r="O42" i="2"/>
  <c r="O48" i="2"/>
  <c r="O49" i="2"/>
  <c r="O50" i="2"/>
  <c r="O51" i="2"/>
  <c r="O52"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100" i="2"/>
  <c r="O101" i="2"/>
  <c r="O102" i="2"/>
  <c r="O105" i="2"/>
  <c r="O178" i="2"/>
  <c r="O177" i="2"/>
  <c r="O176" i="2"/>
  <c r="O175" i="2"/>
  <c r="O174" i="2"/>
  <c r="O172" i="2"/>
  <c r="O171" i="2"/>
  <c r="O170" i="2"/>
  <c r="O168" i="2"/>
  <c r="O167" i="2"/>
  <c r="O161" i="2"/>
  <c r="O160" i="2"/>
  <c r="O159" i="2"/>
  <c r="O149" i="2"/>
  <c r="O148" i="2"/>
  <c r="O147" i="2"/>
  <c r="O146" i="2"/>
  <c r="O145" i="2"/>
  <c r="O144" i="2"/>
  <c r="O143" i="2"/>
  <c r="O142" i="2"/>
  <c r="O141" i="2"/>
  <c r="O138" i="2"/>
  <c r="O136" i="2"/>
  <c r="O390" i="2"/>
  <c r="O391" i="2"/>
  <c r="O393" i="2"/>
  <c r="O394" i="2"/>
  <c r="O397" i="2"/>
  <c r="O398" i="2"/>
  <c r="O399" i="2"/>
  <c r="O253" i="2"/>
  <c r="O254" i="2"/>
  <c r="O255" i="2"/>
  <c r="O256" i="2"/>
  <c r="O257" i="2"/>
  <c r="O258" i="2"/>
  <c r="O260" i="2"/>
  <c r="O261" i="2"/>
  <c r="O262" i="2"/>
  <c r="O264" i="2"/>
  <c r="O265" i="2"/>
  <c r="O267" i="2"/>
  <c r="O268" i="2"/>
  <c r="O269" i="2"/>
  <c r="O270" i="2"/>
  <c r="O271" i="2"/>
  <c r="O273" i="2"/>
  <c r="O274" i="2"/>
  <c r="O276" i="2"/>
  <c r="O277" i="2"/>
  <c r="O278" i="2"/>
  <c r="O279" i="2"/>
  <c r="O281" i="2"/>
  <c r="O284" i="2"/>
  <c r="O286" i="2"/>
  <c r="O288" i="2"/>
  <c r="O289" i="2"/>
  <c r="O290" i="2"/>
  <c r="O292" i="2"/>
  <c r="O296" i="2"/>
  <c r="O304" i="2"/>
  <c r="O305" i="2"/>
  <c r="O306" i="2"/>
  <c r="O307" i="2"/>
  <c r="O308" i="2"/>
  <c r="O321" i="2"/>
  <c r="O322" i="2"/>
  <c r="O323" i="2"/>
  <c r="O324" i="2"/>
  <c r="O325" i="2"/>
  <c r="O331" i="2"/>
  <c r="O336" i="2"/>
  <c r="O338" i="2"/>
  <c r="O339" i="2"/>
  <c r="O340" i="2"/>
  <c r="O341" i="2"/>
  <c r="O342" i="2"/>
  <c r="O346" i="2"/>
  <c r="O354" i="2"/>
  <c r="O364" i="2"/>
  <c r="O367" i="2"/>
  <c r="O368" i="2"/>
  <c r="O369" i="2"/>
  <c r="O371" i="2"/>
  <c r="O372" i="2"/>
  <c r="O373" i="2"/>
  <c r="O374" i="2"/>
  <c r="O375" i="2"/>
  <c r="O376" i="2"/>
  <c r="O377" i="2"/>
  <c r="O380" i="2"/>
  <c r="O381" i="2"/>
  <c r="O382" i="2"/>
  <c r="O383" i="2"/>
  <c r="O384" i="2"/>
  <c r="O385" i="2"/>
  <c r="O386" i="2"/>
  <c r="O387" i="2"/>
  <c r="O388" i="2"/>
  <c r="O410" i="2"/>
  <c r="O411" i="2"/>
  <c r="O414" i="2"/>
  <c r="O415" i="2"/>
  <c r="O416" i="2"/>
  <c r="O417" i="2"/>
  <c r="O418" i="2"/>
  <c r="O419" i="2"/>
  <c r="O420" i="2"/>
  <c r="O421" i="2"/>
  <c r="O422" i="2"/>
  <c r="O423" i="2"/>
  <c r="O424" i="2"/>
  <c r="O425" i="2"/>
  <c r="O426" i="2"/>
  <c r="O427" i="2"/>
  <c r="O428" i="2"/>
  <c r="O429" i="2"/>
  <c r="O431" i="2"/>
  <c r="O437" i="2"/>
  <c r="O439" i="2"/>
  <c r="O442" i="2"/>
  <c r="O488" i="2"/>
  <c r="O214" i="2"/>
  <c r="O219" i="2"/>
  <c r="O220" i="2"/>
  <c r="O99" i="2"/>
  <c r="O103" i="2"/>
  <c r="O104" i="2"/>
  <c r="J74" i="2"/>
  <c r="J88" i="2"/>
  <c r="O26" i="2"/>
  <c r="O27" i="2"/>
  <c r="O28" i="2"/>
  <c r="O29" i="2"/>
  <c r="O30" i="2"/>
  <c r="O31" i="2"/>
  <c r="O32" i="2"/>
  <c r="O43" i="2"/>
  <c r="O44" i="2"/>
  <c r="O45" i="2"/>
  <c r="O46" i="2"/>
  <c r="O47" i="2"/>
  <c r="N8" i="2"/>
  <c r="O8" i="2" s="1"/>
  <c r="O15" i="2"/>
  <c r="O16" i="2"/>
  <c r="O107" i="2"/>
  <c r="O108" i="2"/>
  <c r="O109" i="2"/>
  <c r="O135" i="2"/>
  <c r="O154" i="2"/>
  <c r="O155" i="2"/>
  <c r="O156" i="2"/>
  <c r="O157" i="2"/>
  <c r="O158" i="2"/>
  <c r="O179" i="2"/>
  <c r="O182" i="2"/>
  <c r="O183" i="2"/>
  <c r="O184" i="2"/>
  <c r="O185" i="2"/>
  <c r="O187" i="2"/>
  <c r="O188" i="2"/>
  <c r="O202" i="2"/>
  <c r="O203" i="2"/>
  <c r="O205" i="2"/>
  <c r="O206" i="2"/>
  <c r="O207" i="2"/>
  <c r="O208" i="2"/>
  <c r="O209" i="2"/>
  <c r="O210" i="2"/>
  <c r="O211" i="2"/>
  <c r="AH407" i="2"/>
  <c r="V33" i="5" l="1"/>
  <c r="H5" i="10" s="1"/>
  <c r="Y26" i="9"/>
  <c r="H6" i="10" s="1"/>
  <c r="P21" i="6"/>
  <c r="V21" i="6"/>
  <c r="S21" i="6"/>
  <c r="Y21" i="6"/>
  <c r="V20" i="6"/>
  <c r="S20" i="6"/>
  <c r="P20" i="6"/>
  <c r="Y20" i="6"/>
  <c r="V16" i="6"/>
  <c r="P16" i="6"/>
  <c r="Y16" i="6"/>
  <c r="S16" i="6"/>
  <c r="V11" i="6"/>
  <c r="P11" i="6"/>
  <c r="Y11" i="6"/>
  <c r="S11" i="6"/>
  <c r="Y10" i="6"/>
  <c r="V10" i="6"/>
  <c r="S10" i="6"/>
  <c r="P10" i="6"/>
  <c r="P9" i="6"/>
  <c r="S9" i="6"/>
  <c r="O408" i="2"/>
  <c r="V9" i="6"/>
  <c r="Y9" i="6"/>
  <c r="S19" i="6"/>
  <c r="Y19" i="6"/>
  <c r="V19" i="6"/>
  <c r="P19" i="6"/>
  <c r="O106" i="2"/>
  <c r="O252" i="2" a="1"/>
  <c r="O252" i="2" s="1"/>
  <c r="O513" i="2"/>
  <c r="O407" i="2" a="1"/>
  <c r="O407" i="2" s="1"/>
  <c r="O520" i="2" l="1" a="1"/>
  <c r="O520" i="2" s="1"/>
  <c r="V40" i="6"/>
  <c r="S41" i="6"/>
  <c r="Y41" i="6"/>
  <c r="S40" i="6"/>
  <c r="V41" i="6"/>
  <c r="Y40" i="6"/>
  <c r="P41" i="6"/>
  <c r="P40" i="6"/>
  <c r="Z40" i="6" l="1"/>
  <c r="C5" i="10" s="1"/>
  <c r="Z41" i="6"/>
  <c r="C4" i="10" s="1"/>
  <c r="S8" i="6"/>
  <c r="Y8" i="6"/>
  <c r="V8" i="6"/>
  <c r="S39" i="6" l="1"/>
  <c r="V39" i="6"/>
  <c r="Y39" i="6"/>
  <c r="P39" i="6"/>
  <c r="Z39" i="6" l="1"/>
  <c r="C3" i="10" l="1"/>
  <c r="C8" i="10" s="1"/>
  <c r="C26" i="10" s="1"/>
  <c r="C30" i="10" s="1"/>
  <c r="Z38" i="6"/>
  <c r="H4" i="10" s="1"/>
  <c r="D3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G26" authorId="0" shapeId="0" xr:uid="{00000000-0006-0000-0000-000001000000}">
      <text>
        <r>
          <rPr>
            <b/>
            <sz val="9"/>
            <color indexed="81"/>
            <rFont val="Tahoma"/>
            <family val="2"/>
          </rPr>
          <t>Medición meta etsratégica</t>
        </r>
      </text>
    </comment>
    <comment ref="G39" authorId="0" shapeId="0" xr:uid="{00000000-0006-0000-0000-000002000000}">
      <text>
        <r>
          <rPr>
            <b/>
            <sz val="9"/>
            <color indexed="81"/>
            <rFont val="Tahoma"/>
            <family val="2"/>
          </rPr>
          <t>Medición meta etsratégica</t>
        </r>
      </text>
    </comment>
    <comment ref="G40" authorId="0" shapeId="0" xr:uid="{00000000-0006-0000-0000-000003000000}">
      <text>
        <r>
          <rPr>
            <b/>
            <sz val="9"/>
            <color indexed="81"/>
            <rFont val="Tahoma"/>
            <family val="2"/>
          </rPr>
          <t>Medición meta etsratégica</t>
        </r>
      </text>
    </comment>
    <comment ref="G42" authorId="0" shapeId="0" xr:uid="{00000000-0006-0000-0000-000004000000}">
      <text>
        <r>
          <rPr>
            <b/>
            <sz val="9"/>
            <color indexed="81"/>
            <rFont val="Tahoma"/>
            <family val="2"/>
          </rPr>
          <t>Medición meta etsratégica</t>
        </r>
      </text>
    </comment>
    <comment ref="G55" authorId="0" shapeId="0" xr:uid="{00000000-0006-0000-0000-000005000000}">
      <text>
        <r>
          <rPr>
            <b/>
            <sz val="9"/>
            <color indexed="81"/>
            <rFont val="Tahoma"/>
            <family val="2"/>
          </rPr>
          <t>Medición meta etsratégica</t>
        </r>
      </text>
    </comment>
    <comment ref="G68" authorId="0" shapeId="0" xr:uid="{00000000-0006-0000-0000-000006000000}">
      <text>
        <r>
          <rPr>
            <b/>
            <sz val="9"/>
            <color indexed="81"/>
            <rFont val="Tahoma"/>
            <family val="2"/>
          </rPr>
          <t>Medición meta etsratégica</t>
        </r>
      </text>
    </comment>
    <comment ref="G87" authorId="0" shapeId="0" xr:uid="{00000000-0006-0000-0000-000007000000}">
      <text>
        <r>
          <rPr>
            <b/>
            <sz val="9"/>
            <color indexed="81"/>
            <rFont val="Tahoma"/>
            <family val="2"/>
          </rPr>
          <t>Medición meta etsratégica</t>
        </r>
      </text>
    </comment>
    <comment ref="G95" authorId="0" shapeId="0" xr:uid="{00000000-0006-0000-0000-000008000000}">
      <text>
        <r>
          <rPr>
            <b/>
            <sz val="9"/>
            <color indexed="81"/>
            <rFont val="Tahoma"/>
            <family val="2"/>
          </rPr>
          <t>Medición meta etsratégica</t>
        </r>
      </text>
    </comment>
    <comment ref="G98" authorId="0" shapeId="0" xr:uid="{00000000-0006-0000-0000-000009000000}">
      <text>
        <r>
          <rPr>
            <b/>
            <sz val="9"/>
            <color indexed="81"/>
            <rFont val="Tahoma"/>
            <family val="2"/>
          </rPr>
          <t>Medición meta etsratégica</t>
        </r>
      </text>
    </comment>
    <comment ref="G99" authorId="0" shapeId="0" xr:uid="{00000000-0006-0000-0000-00000A000000}">
      <text>
        <r>
          <rPr>
            <b/>
            <sz val="9"/>
            <color indexed="81"/>
            <rFont val="Tahoma"/>
            <family val="2"/>
          </rPr>
          <t>Medición meta etsratégica</t>
        </r>
      </text>
    </comment>
    <comment ref="G135" authorId="0" shapeId="0" xr:uid="{00000000-0006-0000-0000-00000B000000}">
      <text>
        <r>
          <rPr>
            <b/>
            <sz val="9"/>
            <color indexed="81"/>
            <rFont val="Tahoma"/>
            <family val="2"/>
          </rPr>
          <t>Medición meta etsratégica</t>
        </r>
      </text>
    </comment>
    <comment ref="G136" authorId="0" shapeId="0" xr:uid="{00000000-0006-0000-0000-00000C000000}">
      <text>
        <r>
          <rPr>
            <b/>
            <sz val="9"/>
            <color indexed="81"/>
            <rFont val="Tahoma"/>
            <family val="2"/>
          </rPr>
          <t>Medición meta etsratégica</t>
        </r>
      </text>
    </comment>
    <comment ref="G138" authorId="0" shapeId="0" xr:uid="{00000000-0006-0000-0000-00000D000000}">
      <text>
        <r>
          <rPr>
            <b/>
            <sz val="9"/>
            <color indexed="81"/>
            <rFont val="Tahoma"/>
            <family val="2"/>
          </rPr>
          <t>Medición meta etsratégica</t>
        </r>
      </text>
    </comment>
    <comment ref="G140" authorId="0" shapeId="0" xr:uid="{00000000-0006-0000-0000-00000E000000}">
      <text>
        <r>
          <rPr>
            <b/>
            <sz val="9"/>
            <color indexed="81"/>
            <rFont val="Tahoma"/>
            <family val="2"/>
          </rPr>
          <t>Medición meta etsratégica</t>
        </r>
      </text>
    </comment>
    <comment ref="G141" authorId="0" shapeId="0" xr:uid="{00000000-0006-0000-0000-00000F000000}">
      <text>
        <r>
          <rPr>
            <b/>
            <sz val="9"/>
            <color indexed="81"/>
            <rFont val="Tahoma"/>
            <family val="2"/>
          </rPr>
          <t>Medición meta etsratégica</t>
        </r>
      </text>
    </comment>
    <comment ref="G142" authorId="0" shapeId="0" xr:uid="{00000000-0006-0000-0000-000010000000}">
      <text>
        <r>
          <rPr>
            <b/>
            <sz val="9"/>
            <color indexed="81"/>
            <rFont val="Tahoma"/>
            <family val="2"/>
          </rPr>
          <t>Medición meta etsratégica</t>
        </r>
      </text>
    </comment>
    <comment ref="G148" authorId="0" shapeId="0" xr:uid="{00000000-0006-0000-0000-000011000000}">
      <text>
        <r>
          <rPr>
            <b/>
            <sz val="9"/>
            <color indexed="81"/>
            <rFont val="Tahoma"/>
            <family val="2"/>
          </rPr>
          <t>Medición meta estratégica</t>
        </r>
      </text>
    </comment>
    <comment ref="G151" authorId="0" shapeId="0" xr:uid="{00000000-0006-0000-0000-000012000000}">
      <text>
        <r>
          <rPr>
            <b/>
            <sz val="9"/>
            <color indexed="81"/>
            <rFont val="Tahoma"/>
            <family val="2"/>
          </rPr>
          <t>Medición meta etsratégica</t>
        </r>
      </text>
    </comment>
    <comment ref="G167" authorId="0" shapeId="0" xr:uid="{00000000-0006-0000-0000-000013000000}">
      <text>
        <r>
          <rPr>
            <b/>
            <sz val="9"/>
            <color indexed="81"/>
            <rFont val="Tahoma"/>
            <family val="2"/>
          </rPr>
          <t>Medición meta etsratégica</t>
        </r>
      </text>
    </comment>
    <comment ref="G170" authorId="0" shapeId="0" xr:uid="{00000000-0006-0000-0000-000014000000}">
      <text>
        <r>
          <rPr>
            <b/>
            <sz val="9"/>
            <color indexed="81"/>
            <rFont val="Tahoma"/>
            <family val="2"/>
          </rPr>
          <t>Medición meta etsratégica</t>
        </r>
      </text>
    </comment>
    <comment ref="G171" authorId="0" shapeId="0" xr:uid="{00000000-0006-0000-0000-000015000000}">
      <text>
        <r>
          <rPr>
            <b/>
            <sz val="9"/>
            <color indexed="81"/>
            <rFont val="Tahoma"/>
            <family val="2"/>
          </rPr>
          <t>Medición meta etsratégica</t>
        </r>
      </text>
    </comment>
    <comment ref="G172" authorId="0" shapeId="0" xr:uid="{00000000-0006-0000-0000-000016000000}">
      <text>
        <r>
          <rPr>
            <b/>
            <sz val="9"/>
            <color indexed="81"/>
            <rFont val="Tahoma"/>
            <family val="2"/>
          </rPr>
          <t>Medición meta etsratégica</t>
        </r>
      </text>
    </comment>
    <comment ref="G176" authorId="0" shapeId="0" xr:uid="{00000000-0006-0000-0000-000017000000}">
      <text>
        <r>
          <rPr>
            <b/>
            <sz val="9"/>
            <color indexed="81"/>
            <rFont val="Tahoma"/>
            <family val="2"/>
          </rPr>
          <t>Medición meta etsratégica</t>
        </r>
      </text>
    </comment>
    <comment ref="G182" authorId="0" shapeId="0" xr:uid="{00000000-0006-0000-0000-000018000000}">
      <text>
        <r>
          <rPr>
            <b/>
            <sz val="9"/>
            <color indexed="81"/>
            <rFont val="Tahoma"/>
            <family val="2"/>
          </rPr>
          <t>Medición meta etsratégica</t>
        </r>
      </text>
    </comment>
    <comment ref="G183" authorId="0" shapeId="0" xr:uid="{00000000-0006-0000-0000-000019000000}">
      <text>
        <r>
          <rPr>
            <b/>
            <sz val="9"/>
            <color indexed="81"/>
            <rFont val="Tahoma"/>
            <family val="2"/>
          </rPr>
          <t xml:space="preserve">Medición de meta estratégica
</t>
        </r>
      </text>
    </comment>
    <comment ref="G190" authorId="0" shapeId="0" xr:uid="{00000000-0006-0000-0000-00001A000000}">
      <text>
        <r>
          <rPr>
            <b/>
            <sz val="9"/>
            <color indexed="81"/>
            <rFont val="Tahoma"/>
            <family val="2"/>
          </rPr>
          <t>Medición de meta estratégica</t>
        </r>
      </text>
    </comment>
    <comment ref="G191" authorId="0" shapeId="0" xr:uid="{00000000-0006-0000-0000-00001B000000}">
      <text>
        <r>
          <rPr>
            <b/>
            <sz val="9"/>
            <color indexed="81"/>
            <rFont val="Tahoma"/>
            <family val="2"/>
          </rPr>
          <t>Medición de meta estratégica</t>
        </r>
      </text>
    </comment>
    <comment ref="G194" authorId="0" shapeId="0" xr:uid="{00000000-0006-0000-0000-00001C000000}">
      <text>
        <r>
          <rPr>
            <b/>
            <sz val="9"/>
            <color indexed="81"/>
            <rFont val="Tahoma"/>
            <family val="2"/>
          </rPr>
          <t>Medición de meta estratégica</t>
        </r>
      </text>
    </comment>
    <comment ref="G195" authorId="0" shapeId="0" xr:uid="{00000000-0006-0000-0000-00001D000000}">
      <text>
        <r>
          <rPr>
            <b/>
            <sz val="9"/>
            <color indexed="81"/>
            <rFont val="Tahoma"/>
            <family val="2"/>
          </rPr>
          <t>Medición de meta estratégica</t>
        </r>
      </text>
    </comment>
    <comment ref="G196" authorId="0" shapeId="0" xr:uid="{00000000-0006-0000-0000-00001E000000}">
      <text>
        <r>
          <rPr>
            <b/>
            <sz val="9"/>
            <color indexed="81"/>
            <rFont val="Tahoma"/>
            <family val="2"/>
          </rPr>
          <t>Medición de meta estratégica</t>
        </r>
      </text>
    </comment>
    <comment ref="G197" authorId="0" shapeId="0" xr:uid="{00000000-0006-0000-0000-00001F000000}">
      <text>
        <r>
          <rPr>
            <b/>
            <sz val="9"/>
            <color indexed="81"/>
            <rFont val="Tahoma"/>
            <family val="2"/>
          </rPr>
          <t>Medición de meta estratégica</t>
        </r>
      </text>
    </comment>
    <comment ref="G248" authorId="0" shapeId="0" xr:uid="{00000000-0006-0000-0000-000020000000}">
      <text>
        <r>
          <rPr>
            <b/>
            <sz val="9"/>
            <color indexed="81"/>
            <rFont val="Tahoma"/>
            <family val="2"/>
          </rPr>
          <t>Medición de meta estratégica</t>
        </r>
      </text>
    </comment>
    <comment ref="G250" authorId="0" shapeId="0" xr:uid="{00000000-0006-0000-0000-000021000000}">
      <text>
        <r>
          <rPr>
            <b/>
            <sz val="9"/>
            <color indexed="81"/>
            <rFont val="Tahoma"/>
            <family val="2"/>
          </rPr>
          <t>Medición de meta estratégica</t>
        </r>
      </text>
    </comment>
    <comment ref="G251" authorId="0" shapeId="0" xr:uid="{00000000-0006-0000-0000-000022000000}">
      <text>
        <r>
          <rPr>
            <b/>
            <sz val="9"/>
            <color indexed="81"/>
            <rFont val="Tahoma"/>
            <family val="2"/>
          </rPr>
          <t>Medición de meta estratégica</t>
        </r>
      </text>
    </comment>
    <comment ref="G253" authorId="0" shapeId="0" xr:uid="{00000000-0006-0000-0000-000023000000}">
      <text>
        <r>
          <rPr>
            <b/>
            <sz val="9"/>
            <color indexed="81"/>
            <rFont val="Tahoma"/>
            <family val="2"/>
          </rPr>
          <t>Medición de meta estratégica</t>
        </r>
      </text>
    </comment>
    <comment ref="G254" authorId="0" shapeId="0" xr:uid="{00000000-0006-0000-0000-000024000000}">
      <text>
        <r>
          <rPr>
            <b/>
            <sz val="9"/>
            <color indexed="81"/>
            <rFont val="Tahoma"/>
            <family val="2"/>
          </rPr>
          <t>Medición de meta estratégica</t>
        </r>
      </text>
    </comment>
    <comment ref="G257" authorId="0" shapeId="0" xr:uid="{00000000-0006-0000-0000-000025000000}">
      <text>
        <r>
          <rPr>
            <b/>
            <sz val="9"/>
            <color indexed="81"/>
            <rFont val="Tahoma"/>
            <family val="2"/>
          </rPr>
          <t>Medición de meta estratégica</t>
        </r>
      </text>
    </comment>
    <comment ref="G259" authorId="0" shapeId="0" xr:uid="{00000000-0006-0000-0000-000026000000}">
      <text>
        <r>
          <rPr>
            <b/>
            <sz val="9"/>
            <color indexed="81"/>
            <rFont val="Tahoma"/>
            <family val="2"/>
          </rPr>
          <t>Medición de meta estratégica</t>
        </r>
      </text>
    </comment>
    <comment ref="G260" authorId="0" shapeId="0" xr:uid="{00000000-0006-0000-0000-000027000000}">
      <text>
        <r>
          <rPr>
            <b/>
            <sz val="9"/>
            <color indexed="81"/>
            <rFont val="Tahoma"/>
            <family val="2"/>
          </rPr>
          <t>Medición de meta estratégica</t>
        </r>
      </text>
    </comment>
    <comment ref="G262" authorId="0" shapeId="0" xr:uid="{00000000-0006-0000-0000-000028000000}">
      <text>
        <r>
          <rPr>
            <b/>
            <sz val="9"/>
            <color indexed="81"/>
            <rFont val="Tahoma"/>
            <family val="2"/>
          </rPr>
          <t>Medición de meta estratégica</t>
        </r>
      </text>
    </comment>
    <comment ref="G263" authorId="0" shapeId="0" xr:uid="{00000000-0006-0000-0000-000029000000}">
      <text>
        <r>
          <rPr>
            <b/>
            <sz val="9"/>
            <color indexed="81"/>
            <rFont val="Tahoma"/>
            <family val="2"/>
          </rPr>
          <t>Medición de meta estratégica</t>
        </r>
      </text>
    </comment>
    <comment ref="G266" authorId="0" shapeId="0" xr:uid="{00000000-0006-0000-0000-00002A000000}">
      <text>
        <r>
          <rPr>
            <b/>
            <sz val="9"/>
            <color indexed="81"/>
            <rFont val="Tahoma"/>
            <family val="2"/>
          </rPr>
          <t>Medición de meta estratégica</t>
        </r>
      </text>
    </comment>
    <comment ref="G280" authorId="0" shapeId="0" xr:uid="{00000000-0006-0000-0000-00002B000000}">
      <text>
        <r>
          <rPr>
            <b/>
            <sz val="9"/>
            <color indexed="81"/>
            <rFont val="Tahoma"/>
            <family val="2"/>
          </rPr>
          <t>Medición de meta estratégica</t>
        </r>
      </text>
    </comment>
    <comment ref="G281" authorId="0" shapeId="0" xr:uid="{00000000-0006-0000-0000-00002C000000}">
      <text>
        <r>
          <rPr>
            <b/>
            <sz val="9"/>
            <color indexed="81"/>
            <rFont val="Tahoma"/>
            <family val="2"/>
          </rPr>
          <t>Medición de meta estratégica</t>
        </r>
      </text>
    </comment>
    <comment ref="G284" authorId="0" shapeId="0" xr:uid="{00000000-0006-0000-0000-00002D000000}">
      <text>
        <r>
          <rPr>
            <b/>
            <sz val="9"/>
            <color indexed="81"/>
            <rFont val="Tahoma"/>
            <family val="2"/>
          </rPr>
          <t>Medición de meta estratégica</t>
        </r>
      </text>
    </comment>
    <comment ref="G285" authorId="0" shapeId="0" xr:uid="{00000000-0006-0000-0000-00002E000000}">
      <text>
        <r>
          <rPr>
            <b/>
            <sz val="9"/>
            <color indexed="81"/>
            <rFont val="Tahoma"/>
            <family val="2"/>
          </rPr>
          <t>Medición de meta estratégica</t>
        </r>
      </text>
    </comment>
    <comment ref="G286" authorId="0" shapeId="0" xr:uid="{00000000-0006-0000-0000-00002F000000}">
      <text>
        <r>
          <rPr>
            <b/>
            <sz val="9"/>
            <color indexed="81"/>
            <rFont val="Tahoma"/>
            <family val="2"/>
          </rPr>
          <t>Medición de meta estratégica</t>
        </r>
      </text>
    </comment>
    <comment ref="G287" authorId="0" shapeId="0" xr:uid="{00000000-0006-0000-0000-000030000000}">
      <text>
        <r>
          <rPr>
            <b/>
            <sz val="9"/>
            <color indexed="81"/>
            <rFont val="Tahoma"/>
            <family val="2"/>
          </rPr>
          <t>Medición de meta estratégica</t>
        </r>
      </text>
    </comment>
    <comment ref="G288" authorId="0" shapeId="0" xr:uid="{00000000-0006-0000-0000-000031000000}">
      <text>
        <r>
          <rPr>
            <b/>
            <sz val="9"/>
            <color indexed="81"/>
            <rFont val="Tahoma"/>
            <family val="2"/>
          </rPr>
          <t>Medición de meta estratégica</t>
        </r>
      </text>
    </comment>
    <comment ref="G338" authorId="0" shapeId="0" xr:uid="{00000000-0006-0000-0000-000032000000}">
      <text>
        <r>
          <rPr>
            <b/>
            <sz val="9"/>
            <color indexed="81"/>
            <rFont val="Tahoma"/>
            <family val="2"/>
          </rPr>
          <t>Medición de meta estratégica</t>
        </r>
      </text>
    </comment>
    <comment ref="G339" authorId="0" shapeId="0" xr:uid="{00000000-0006-0000-0000-000033000000}">
      <text>
        <r>
          <rPr>
            <b/>
            <sz val="9"/>
            <color indexed="81"/>
            <rFont val="Tahoma"/>
            <family val="2"/>
          </rPr>
          <t>Medición de meta estratégica</t>
        </r>
      </text>
    </comment>
    <comment ref="G345" authorId="0" shapeId="0" xr:uid="{00000000-0006-0000-0000-000034000000}">
      <text>
        <r>
          <rPr>
            <b/>
            <sz val="9"/>
            <color indexed="81"/>
            <rFont val="Tahoma"/>
            <family val="2"/>
          </rPr>
          <t>Medición de meta estratégica</t>
        </r>
      </text>
    </comment>
    <comment ref="G367" authorId="0" shapeId="0" xr:uid="{00000000-0006-0000-0000-000035000000}">
      <text>
        <r>
          <rPr>
            <b/>
            <sz val="9"/>
            <color indexed="81"/>
            <rFont val="Tahoma"/>
            <family val="2"/>
          </rPr>
          <t>Medición de meta estratégica</t>
        </r>
      </text>
    </comment>
    <comment ref="G408" authorId="0" shapeId="0" xr:uid="{00000000-0006-0000-0000-000036000000}">
      <text>
        <r>
          <rPr>
            <b/>
            <sz val="9"/>
            <color indexed="81"/>
            <rFont val="Tahoma"/>
            <family val="2"/>
          </rPr>
          <t>Medición de meta estratégica</t>
        </r>
      </text>
    </comment>
    <comment ref="G409" authorId="0" shapeId="0" xr:uid="{00000000-0006-0000-0000-000037000000}">
      <text>
        <r>
          <rPr>
            <b/>
            <sz val="9"/>
            <color indexed="81"/>
            <rFont val="Tahoma"/>
            <family val="2"/>
          </rPr>
          <t>Medición de meta estratégica</t>
        </r>
      </text>
    </comment>
    <comment ref="G412" authorId="0" shapeId="0" xr:uid="{00000000-0006-0000-0000-000038000000}">
      <text>
        <r>
          <rPr>
            <b/>
            <sz val="9"/>
            <color indexed="81"/>
            <rFont val="Tahoma"/>
            <family val="2"/>
          </rPr>
          <t>Medición de meta estratégica</t>
        </r>
      </text>
    </comment>
    <comment ref="G418" authorId="0" shapeId="0" xr:uid="{00000000-0006-0000-0000-000039000000}">
      <text>
        <r>
          <rPr>
            <b/>
            <sz val="9"/>
            <color indexed="81"/>
            <rFont val="Tahoma"/>
            <family val="2"/>
          </rPr>
          <t>Medición de meta estratégica</t>
        </r>
      </text>
    </comment>
    <comment ref="G430" authorId="0" shapeId="0" xr:uid="{00000000-0006-0000-0000-00003A000000}">
      <text>
        <r>
          <rPr>
            <b/>
            <sz val="9"/>
            <color indexed="81"/>
            <rFont val="Tahoma"/>
            <family val="2"/>
          </rPr>
          <t>Medición de meta estratégica</t>
        </r>
      </text>
    </comment>
    <comment ref="G433" authorId="0" shapeId="0" xr:uid="{00000000-0006-0000-0000-00003B000000}">
      <text>
        <r>
          <rPr>
            <b/>
            <sz val="9"/>
            <color indexed="81"/>
            <rFont val="Tahoma"/>
            <family val="2"/>
          </rPr>
          <t>Medición de meta estratégica</t>
        </r>
      </text>
    </comment>
    <comment ref="G439" authorId="0" shapeId="0" xr:uid="{00000000-0006-0000-0000-00003C000000}">
      <text>
        <r>
          <rPr>
            <b/>
            <sz val="9"/>
            <color indexed="81"/>
            <rFont val="Tahoma"/>
            <family val="2"/>
          </rPr>
          <t>Medición de meta estratégica</t>
        </r>
      </text>
    </comment>
    <comment ref="G441" authorId="0" shapeId="0" xr:uid="{00000000-0006-0000-0000-00003D000000}">
      <text>
        <r>
          <rPr>
            <b/>
            <sz val="9"/>
            <color indexed="81"/>
            <rFont val="Tahoma"/>
            <family val="2"/>
          </rPr>
          <t>Medición de meta estratégica</t>
        </r>
      </text>
    </comment>
    <comment ref="G445" authorId="0" shapeId="0" xr:uid="{00000000-0006-0000-0000-00003E000000}">
      <text>
        <r>
          <rPr>
            <b/>
            <sz val="9"/>
            <color indexed="81"/>
            <rFont val="Tahoma"/>
            <family val="2"/>
          </rPr>
          <t>Medición de meta estratégica</t>
        </r>
      </text>
    </comment>
    <comment ref="G446" authorId="0" shapeId="0" xr:uid="{00000000-0006-0000-0000-00003F000000}">
      <text>
        <r>
          <rPr>
            <b/>
            <sz val="9"/>
            <color indexed="81"/>
            <rFont val="Tahoma"/>
            <family val="2"/>
          </rPr>
          <t>Medición de meta estratégica</t>
        </r>
      </text>
    </comment>
    <comment ref="G450" authorId="0" shapeId="0" xr:uid="{00000000-0006-0000-0000-000040000000}">
      <text>
        <r>
          <rPr>
            <b/>
            <sz val="9"/>
            <color indexed="81"/>
            <rFont val="Tahoma"/>
            <family val="2"/>
          </rPr>
          <t>Medición de meta estratégica</t>
        </r>
      </text>
    </comment>
    <comment ref="G484" authorId="0" shapeId="0" xr:uid="{00000000-0006-0000-0000-000041000000}">
      <text>
        <r>
          <rPr>
            <b/>
            <sz val="9"/>
            <color indexed="81"/>
            <rFont val="Tahoma"/>
            <family val="2"/>
          </rPr>
          <t>Medición de meta estratégica</t>
        </r>
      </text>
    </comment>
    <comment ref="G485" authorId="0" shapeId="0" xr:uid="{00000000-0006-0000-0000-000042000000}">
      <text>
        <r>
          <rPr>
            <b/>
            <sz val="9"/>
            <color indexed="81"/>
            <rFont val="Tahoma"/>
            <family val="2"/>
          </rPr>
          <t>Medición de meta estratégica</t>
        </r>
      </text>
    </comment>
    <comment ref="G512" authorId="0" shapeId="0" xr:uid="{00000000-0006-0000-0000-000043000000}">
      <text>
        <r>
          <rPr>
            <b/>
            <sz val="9"/>
            <color indexed="81"/>
            <rFont val="Tahoma"/>
            <family val="2"/>
          </rPr>
          <t xml:space="preserve">Medición meta etsrategica
</t>
        </r>
      </text>
    </comment>
    <comment ref="G513" authorId="0" shapeId="0" xr:uid="{00000000-0006-0000-0000-000044000000}">
      <text>
        <r>
          <rPr>
            <b/>
            <sz val="9"/>
            <color indexed="81"/>
            <rFont val="Tahoma"/>
            <family val="2"/>
          </rPr>
          <t>Medición meta estrategica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tc={F6944B22-A4CF-406C-A433-767399C5D033}</author>
    <author>tc={E3690C4A-1935-44B7-ADB2-83637D3F26D1}</author>
    <author>GESTIÓN AMBIENTAL ETITC.</author>
  </authors>
  <commentList>
    <comment ref="I29" authorId="0" shapeId="0" xr:uid="{F6944B22-A4CF-406C-A433-767399C5D03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hizo estudio de mercado y herramientas como Fortinet, Mnemo, Tenable son muy buenas pero el presupuesto de la Escuela no da para una tecnología así que en el estudio de mercado seleccione el de menor valor</t>
      </text>
    </comment>
    <comment ref="J30" authorId="1" shapeId="0" xr:uid="{E3690C4A-1935-44B7-ADB2-83637D3F26D1}">
      <text>
        <t>[Comentario encadenado]
Su versión de Excel le permite leer este comentario encadenado; sin embargo, las ediciones que se apliquen se quitarán si el archivo se abre en una versión más reciente de Excel. Más información: https://go.microsoft.com/fwlink/?linkid=870924
Comentario:
    Licencias se vencen el 05 de Mayo 2023</t>
      </text>
    </comment>
    <comment ref="H43" authorId="2" shapeId="0" xr:uid="{C2044CC2-2A68-44A2-9845-479389B067F6}">
      <text>
        <r>
          <rPr>
            <b/>
            <sz val="9"/>
            <color indexed="81"/>
            <rFont val="Tahoma"/>
            <family val="2"/>
          </rPr>
          <t>GESTIÓN AMBIENTAL ETITC.:</t>
        </r>
        <r>
          <rPr>
            <sz val="9"/>
            <color indexed="81"/>
            <rFont val="Tahoma"/>
            <family val="2"/>
          </rPr>
          <t>Se debe validar con la Vice Administrativa si esta actividad se va a ejecutar dese Planta Física o desde Gestión Ambiental.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Z38" authorId="0" shapeId="0" xr:uid="{00000000-0006-0000-0400-000001000000}">
      <text>
        <r>
          <rPr>
            <sz val="9"/>
            <color indexed="81"/>
            <rFont val="Tahoma"/>
            <family val="2"/>
          </rPr>
          <t xml:space="preserve">AVANCE GENERAL "LO INSTITUCIONAL" 2022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mylife</author>
    <author>ANDRES</author>
  </authors>
  <commentList>
    <comment ref="G9" authorId="0" shapeId="0" xr:uid="{00000000-0006-0000-0500-000001000000}">
      <text>
        <r>
          <rPr>
            <sz val="9"/>
            <color indexed="81"/>
            <rFont val="Tahoma"/>
            <family val="2"/>
          </rPr>
          <t xml:space="preserve">Del PEI actualizado
</t>
        </r>
      </text>
    </comment>
    <comment ref="I19" authorId="1" shapeId="0" xr:uid="{00000000-0006-0000-0500-000002000000}">
      <text>
        <r>
          <rPr>
            <sz val="9"/>
            <color indexed="81"/>
            <rFont val="Tahoma"/>
            <family val="2"/>
          </rPr>
          <t xml:space="preserve">N/A
</t>
        </r>
      </text>
    </comment>
    <comment ref="G27" authorId="0" shapeId="0" xr:uid="{00000000-0006-0000-0500-000003000000}">
      <text>
        <r>
          <rPr>
            <b/>
            <sz val="9"/>
            <color indexed="81"/>
            <rFont val="Tahoma"/>
            <family val="2"/>
          </rPr>
          <t xml:space="preserve">25%
25 empresas </t>
        </r>
      </text>
    </comment>
    <comment ref="G32" authorId="0" shapeId="0" xr:uid="{00000000-0006-0000-0500-000004000000}">
      <text>
        <r>
          <rPr>
            <b/>
            <sz val="9"/>
            <color indexed="81"/>
            <rFont val="Tahoma"/>
            <family val="2"/>
          </rPr>
          <t>25%
1 convenio firmado con comunidades vulnerables</t>
        </r>
      </text>
    </comment>
    <comment ref="V33" authorId="1" shapeId="0" xr:uid="{00000000-0006-0000-0500-000005000000}">
      <text>
        <r>
          <rPr>
            <b/>
            <sz val="9"/>
            <color indexed="81"/>
            <rFont val="Tahoma"/>
            <family val="2"/>
          </rPr>
          <t>AVANCE GENERAL "LO SOCIAL" 2022</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Y26" authorId="0" shapeId="0" xr:uid="{00000000-0006-0000-0600-000001000000}">
      <text>
        <r>
          <rPr>
            <sz val="9"/>
            <color indexed="81"/>
            <rFont val="Tahoma"/>
            <family val="2"/>
          </rPr>
          <t xml:space="preserve">AVANCE GENERAL "LO AMBIENTAL" 2022
</t>
        </r>
      </text>
    </comment>
  </commentList>
</comments>
</file>

<file path=xl/sharedStrings.xml><?xml version="1.0" encoding="utf-8"?>
<sst xmlns="http://schemas.openxmlformats.org/spreadsheetml/2006/main" count="6459" uniqueCount="2124">
  <si>
    <t>Avance en tiempo</t>
  </si>
  <si>
    <t>Despacho</t>
  </si>
  <si>
    <t>INFORMÁTICA Y COMUNICACIONES</t>
  </si>
  <si>
    <t>ORII</t>
  </si>
  <si>
    <t>PLANTA FÍSICA</t>
  </si>
  <si>
    <t>TALENTO HUMANO</t>
  </si>
  <si>
    <t>BIENESTAR UNIVERSITARIO</t>
  </si>
  <si>
    <t>DESPACHO</t>
  </si>
  <si>
    <t>TALLERES Y LABORATORIOS</t>
  </si>
  <si>
    <t>INVESTIGACIÓN</t>
  </si>
  <si>
    <t>CENTRO DE LENGUAS</t>
  </si>
  <si>
    <t>EXTENSIÓN</t>
  </si>
  <si>
    <t>EGRESADOS</t>
  </si>
  <si>
    <t>RECTORÍA</t>
  </si>
  <si>
    <t>VICERRECTORÍA ACADÉMICA</t>
  </si>
  <si>
    <t>PLAN DE ACCIÓN INSTITUCIONAL 2022</t>
  </si>
  <si>
    <t>CÓDIGO:  DIE-FO-10</t>
  </si>
  <si>
    <t>VERSIÓN: 1</t>
  </si>
  <si>
    <t>VIGENCIA: ENERO de 2021</t>
  </si>
  <si>
    <t>PÁGINA:    1 de 1</t>
  </si>
  <si>
    <t>ÁREA</t>
  </si>
  <si>
    <t>ESTRATEGIA</t>
  </si>
  <si>
    <t>OBJETIVO ESTRATÉGICO</t>
  </si>
  <si>
    <t>SUBÁREA</t>
  </si>
  <si>
    <t>PROYECTO ESTRATÉGICO</t>
  </si>
  <si>
    <t>META ESTRATEGICA</t>
  </si>
  <si>
    <t>ACTIVIDAD</t>
  </si>
  <si>
    <t>INDICADOR</t>
  </si>
  <si>
    <t>PRODUCTO / EVIDENCIA</t>
  </si>
  <si>
    <t>PRESUPUESTO ASIGNADO</t>
  </si>
  <si>
    <t>FECHA INICIO</t>
  </si>
  <si>
    <t>FECHA FIN</t>
  </si>
  <si>
    <t>FECHA SEGUIMIENTO</t>
  </si>
  <si>
    <t>% AVANCE EN EL TIEMPO</t>
  </si>
  <si>
    <t>META ANUAL</t>
  </si>
  <si>
    <t>PROGRAMACIÓN META TRIMESTRAL</t>
  </si>
  <si>
    <t>SEGUIMIENTO TRIMESTRE 1</t>
  </si>
  <si>
    <t>SEGUIMIENTO TRIMESTRE 2</t>
  </si>
  <si>
    <t>SEGUIMIENTO TRIMESTRE 3</t>
  </si>
  <si>
    <t>SEGUIMIENTO TRIMESTRE 4</t>
  </si>
  <si>
    <t>Meta T1</t>
  </si>
  <si>
    <t>Meta T2</t>
  </si>
  <si>
    <t>Meta T3</t>
  </si>
  <si>
    <t>Meta T4</t>
  </si>
  <si>
    <t>x</t>
  </si>
  <si>
    <t>% CUMPLIMIENTO META T1</t>
  </si>
  <si>
    <t>OBSERVACIONES</t>
  </si>
  <si>
    <t>UBICACIÓN DE EVIDENCIA / SOPORTE</t>
  </si>
  <si>
    <t>% CUMPLIMIENTO META T2</t>
  </si>
  <si>
    <t>% CUMPLIMIENTO META T3</t>
  </si>
  <si>
    <t>% CUMPLIMIENTO META T4</t>
  </si>
  <si>
    <t>Lo Institucional: La transformación cultural de la ETITC</t>
  </si>
  <si>
    <t>OE-1-Consolidar la calidad académica para la acreditación institucional de alta calidad respaldada fortalecimiento
de la gestión, la infraestructura tecnológica y física.</t>
  </si>
  <si>
    <t>OFICINA DE CONTROL INTERNO</t>
  </si>
  <si>
    <t>PE-5- MIPG y los sistemas de gestión para una gobernanza transparente</t>
  </si>
  <si>
    <t>ME-5- Alinear el modelo MIPG con el Sistema Integrado de Gestión (SIG) para la acreditación</t>
  </si>
  <si>
    <t>Formular y desarrollar el programa anual de auditorías.</t>
  </si>
  <si>
    <t>Porcentaje de alineación del MIPG con el SIG.</t>
  </si>
  <si>
    <t>Plan de auditorías formulado y desarrollado</t>
  </si>
  <si>
    <t>N/A</t>
  </si>
  <si>
    <t>Presentación de informes a entes externos</t>
  </si>
  <si>
    <t>Informes presentados y publicados</t>
  </si>
  <si>
    <t>Presentación de informes de requerimiento legal</t>
  </si>
  <si>
    <t xml:space="preserve">Seguimiento al Plan Anticorrupción y de Atención al Ciudadano y  mapas de riesgo de corrupción.  </t>
  </si>
  <si>
    <t>Informe cuatrimestral de los seguimientos realizados</t>
  </si>
  <si>
    <t xml:space="preserve">Seguimiento a la efectividad de las acciones de los planes de mejoramiento </t>
  </si>
  <si>
    <t xml:space="preserve">Seguimientos realizados a los procesos </t>
  </si>
  <si>
    <t xml:space="preserve">Actividades de autocontrol </t>
  </si>
  <si>
    <t>Campañas de autocontrol realizadas</t>
  </si>
  <si>
    <t>Seguimiento a mapas de riesgos</t>
  </si>
  <si>
    <t>Seguimientos realizados e informe al final de la vigencia,</t>
  </si>
  <si>
    <t>0E-01-Consolidar la calidad académica para la acreditación institucional de alta calidad respaldada fortalecimiento
de la gestión, la infraestructura tecnológica y física.</t>
  </si>
  <si>
    <t>OFICINA DE SEGURIDAD DE LA INFORMACIÓN</t>
  </si>
  <si>
    <t>PE-10-Transformación  digital de la ETITC</t>
  </si>
  <si>
    <t>ME-19-Implementar un modelo estratégico para impulsar la evolución digital de la ETITC, plasmado en el PETI.</t>
  </si>
  <si>
    <t xml:space="preserve">Llevar a cabo el proceso precontractual con su respectivo seguimiento </t>
  </si>
  <si>
    <t>Porcentaje de implementación de la política de Gobierno Digital</t>
  </si>
  <si>
    <t xml:space="preserve">Proceso precontractual ejecutado </t>
  </si>
  <si>
    <t xml:space="preserve">Adquirir Equipo MSI KATANA GF66-11UC/COREi5 11400H+16GB 3200+M2 NVME512G+4GB RTX3050+15,6" IPS 144Hz FHD/FREE para el desarrollo de pruebas de Pentesting </t>
  </si>
  <si>
    <t>Desarrollo de pruebas de pentesting a los servicios de lnformación de la ETITC</t>
  </si>
  <si>
    <t>Renovación de 50 licencias de la herramienta de correlacionamiento de eventos de seguridad SEM Y Adquisición de Network Configuration Manager durante un año.</t>
  </si>
  <si>
    <t xml:space="preserve">Aumentar la capacidad de servidores con la protección de la herramienta SEM </t>
  </si>
  <si>
    <t>Renovación de licenciamiento Deslock y Safética</t>
  </si>
  <si>
    <t>Prevención de fuga de datos contra amenazas de accesos no autorizados dando cumplimiento a la Política de Gobierno Digital</t>
  </si>
  <si>
    <t>Organizar actividades necesarias para las auditorías de seguimiento de la certificación NTC ISO IEC 27001:2013</t>
  </si>
  <si>
    <t>Recertificación de la NTC ISO IEC 27001:2013</t>
  </si>
  <si>
    <t>Adquisición de servicios para la Implementación del protocolo IPv6 para la ETITC</t>
  </si>
  <si>
    <t>Puesta en marcha del protocolo IPv6 para la ETITC</t>
  </si>
  <si>
    <t>Prestación de servicios para el Análisis de Vulnerabilidades y Ethical Hacking a nuestros sistemas de información</t>
  </si>
  <si>
    <t>Realizar análisis de vulnerabilidades externa</t>
  </si>
  <si>
    <t>Realizar actividades de seguimiento a la implementación y puesta en marcha del proyecto.</t>
  </si>
  <si>
    <t xml:space="preserve">Proceso de seguimiento ejecutado </t>
  </si>
  <si>
    <t>OE-2-Fortalecer y potenciar el Talento Humano en las plantas de personal docente y administrativa.</t>
  </si>
  <si>
    <t>PE-7- Consolidación y aseguramiento del Talento Humano para el mejoramiento de las capacidades en las plantas administrativas y docentes</t>
  </si>
  <si>
    <t>ME-12-Dar continuidad al Talento Humano integral en las plantas de personal.</t>
  </si>
  <si>
    <t>Curso o Capacitación en formación basados en el marco de trabajo como el modelo C2M2 (Modelo de Madurez de Capacidad de Ciberseguridad), la serie de normas ISO 27000 y la ISO 31000:2009 de Gestión del Riesgo para fomentar cultura de Gobernanza Digital</t>
  </si>
  <si>
    <t>Procentaje de apropiación presupuestal para el pago del personal de planta</t>
  </si>
  <si>
    <t>Creación a Aula Virtual con las tematicas vistas en la certificación</t>
  </si>
  <si>
    <t>Curso o Capacitación de Certified Ethical Hacker V11
Certificado por Ec-Council para cumplir con los lineamientos de GEL</t>
  </si>
  <si>
    <t>Fortalecimiento de las dependencias en temas relacionados con la Ciberseguridad y cultura de gobernanza digital, cumpliendo con los lineamientos de Gobierno en Línea.</t>
  </si>
  <si>
    <t>Realizar pruebas piloto en Ethical Hacking a los servicios de información de la ETITC</t>
  </si>
  <si>
    <t>OE-4-Fortalecer la visibilidad de la escuela bajo en entorno de asertividad para el posicionamiento
nacional e internacional.</t>
  </si>
  <si>
    <t>PE-12-Internacionalización para ampliar fronteras de conocimiento</t>
  </si>
  <si>
    <t>ME-23- Consolidar la política de internacionalización y cooperación Nacional e Internacional de la ETITC.</t>
  </si>
  <si>
    <t xml:space="preserve">Llevar a cabo las actividades planeadas para la comunidad de apoyo para clases espejo </t>
  </si>
  <si>
    <t>Porcentaje de implementación de la Política Institucional de internacionalización y cooperación Nacional e Internacional.</t>
  </si>
  <si>
    <t>Repositorio con grabaciones de encuentros realizados</t>
  </si>
  <si>
    <t>Sistematización, listas de asistencia y repositorio con grabaciones de las colaboraciones interinstitucionales realizadas</t>
  </si>
  <si>
    <t>SECRETARÍA GENERAL</t>
  </si>
  <si>
    <t>Acompañamiento a la actualización de la mejora normativa institucional con las áreas misionales y de apoyo</t>
  </si>
  <si>
    <t>Resoluciones que surjan de las actualizaciones</t>
  </si>
  <si>
    <t>Por definir</t>
  </si>
  <si>
    <t>Actualización y reporte de las plataformas de control y seguimiento de actividades judiciales e institucionales</t>
  </si>
  <si>
    <t>Soportes de reporte generadas por plataformas</t>
  </si>
  <si>
    <t>Diseño y actualización de la base de datos de los procesos disciplinarios de primera instancia que conoce la Secretaría General</t>
  </si>
  <si>
    <t>Base de datos actualizada</t>
  </si>
  <si>
    <t>Diseño e implementación de campañas de sensibilización sobre el correcto actuar del servidor público</t>
  </si>
  <si>
    <t>Documentos que surjan de las campañas</t>
  </si>
  <si>
    <t>Acompañamiento logístico y preparación del proceso de grados y ceremonias</t>
  </si>
  <si>
    <t>Ceremonias de grado realizadas</t>
  </si>
  <si>
    <t>OFICINA ASESORA DE PLANEACIÓN</t>
  </si>
  <si>
    <t>Seguimiento a planes institucional (Plan Anticorrupción y de Atención al Ciudadano, Plan de Acción Sectorial, Plan de Acción)</t>
  </si>
  <si>
    <t>Seguimientos y monitoreos realizados</t>
  </si>
  <si>
    <t>Hacer seguimiento a los espacios de Participación ciudadana (5)</t>
  </si>
  <si>
    <t xml:space="preserve">Fortalecer la implementación del Modelo Integrado de Planeación y Gestión.  </t>
  </si>
  <si>
    <t xml:space="preserve">Políticas de desarrollo administrativo fortalecidad </t>
  </si>
  <si>
    <t>Seguimiento y monitoreo al contenido de la matriz ITA (Índice de transparencia)</t>
  </si>
  <si>
    <t xml:space="preserve">Reporte ITA realizado </t>
  </si>
  <si>
    <t>Reporte de información ante entidades externas</t>
  </si>
  <si>
    <t>Reporte realizado</t>
  </si>
  <si>
    <t xml:space="preserve">Formulación, seguimiento de planes,   proyectos e indicadores </t>
  </si>
  <si>
    <t xml:space="preserve">Seguimietno y reportes realizados </t>
  </si>
  <si>
    <t>PE-5- MIPG - y los sistemas de gestión para una gobernanza transparente</t>
  </si>
  <si>
    <t>ME-9- Implementar modelo de Gestión por Proyectos con metodologías aplicables según fuente de recursos.</t>
  </si>
  <si>
    <t>Implementación del Banco del Proyectos Institucional y capacitación (Implementación, seguimiento y monitoreo)</t>
  </si>
  <si>
    <t>Porcentaje de proyectos del PDI gestionados por metodologías exigibles.</t>
  </si>
  <si>
    <t>Banco del Proyectos Institucional implementadao</t>
  </si>
  <si>
    <t>ME-6- Diseñar e implementar el Sistema Unificado de Información y Estadística (SUIE).</t>
  </si>
  <si>
    <t>Levantamiento y análisis de información 
Ejecución de la etapa precontractual</t>
  </si>
  <si>
    <t xml:space="preserve">Porcentaje de implementación del SUIE. </t>
  </si>
  <si>
    <t>Fase de diseño concluida</t>
  </si>
  <si>
    <t>Desarrollo, pruebas y seguimiento al  funcionamiento del SUIE</t>
  </si>
  <si>
    <t xml:space="preserve">SUIE puesto en funcionamiento </t>
  </si>
  <si>
    <t>Dar conttinuidad a las correcta aplicación de las políticas de desarrollo administrativo  del MIPG 2.0</t>
  </si>
  <si>
    <t xml:space="preserve">IDI </t>
  </si>
  <si>
    <t>OFICINA DE CALIDAD</t>
  </si>
  <si>
    <t>PE-1- Acreditación Institucional de alta calidad</t>
  </si>
  <si>
    <t>ME-1- Obtener la Acreditación Institucional de Alta Calidad en el 2024</t>
  </si>
  <si>
    <t>Renovación de membresia de icontec</t>
  </si>
  <si>
    <t>Porcentaje de cumplimiento en las fases del Consejo Nacional de Acreditación</t>
  </si>
  <si>
    <t>Membresía renovada</t>
  </si>
  <si>
    <t>Ejecutar las actividades de la oficina de Calidad de la Escuela Tecnológica Instituto Técnico Central</t>
  </si>
  <si>
    <t>Ejecución contractual</t>
  </si>
  <si>
    <t>Organizar y realizar todas las actividades necesarias para las auditorías de seguimiento y renovación de las certificaciones NTC ISO 9001:2015 y NTC ISO IEC 27001:2013</t>
  </si>
  <si>
    <t>Auditorías realizadas</t>
  </si>
  <si>
    <t>Apoyar la evaluación de la gestión de riesgos en la entidad como insumo para la toma de decisiones</t>
  </si>
  <si>
    <t>Mapas de riesgos</t>
  </si>
  <si>
    <t>Fortalecer la socialización del sistema de gestión integrado a través de publicidad, vallas y/o actividades.</t>
  </si>
  <si>
    <t>Campañas, correos, amteriales</t>
  </si>
  <si>
    <t>ASEGURAMIENTO DE LA CALIDAD</t>
  </si>
  <si>
    <t>Finalizar informes planes de mejoramiento 2017-2018 por Facultad</t>
  </si>
  <si>
    <t>Documentos Planes de mejoramiento por Facultad</t>
  </si>
  <si>
    <t>Elaborar informes planes de mejoramiento 2019-2020 por Facultad</t>
  </si>
  <si>
    <t>Elaborar informe general de planes de mejoramiento 2019-2020</t>
  </si>
  <si>
    <t>Documento Plan de mejoramiento general</t>
  </si>
  <si>
    <t>Elaborar boletínes del SIACET</t>
  </si>
  <si>
    <t>3 Boletínes</t>
  </si>
  <si>
    <t>Construir matriz de evidencias a partir de las condiciones de calidad y los criterios normativos</t>
  </si>
  <si>
    <t>Matriz de evidencias</t>
  </si>
  <si>
    <t>Proponer el modelo de autoevalución con fines de acreditación de programas.</t>
  </si>
  <si>
    <t>Modelo de Autoevaluación</t>
  </si>
  <si>
    <t>Verificar la definición de lineamientos asociados a las políticas institucionales a partir del Decreto 1330 de 2019</t>
  </si>
  <si>
    <t>Políticas Institucionales</t>
  </si>
  <si>
    <t xml:space="preserve">Ejecutar procesos y estrategicas dirigidos  a la acreditación institucional </t>
  </si>
  <si>
    <t>Processo ejecutados</t>
  </si>
  <si>
    <t>OE-1 Consolidar la calidad académica para la acreditación institucional de alta calidad respaldada fortalecimiento de la gestión, la infraestructura tecnológica y física.</t>
  </si>
  <si>
    <t>AUTOEVALUACIÓN</t>
  </si>
  <si>
    <t>PE-1- Acreditación institucional de Alta Calidad</t>
  </si>
  <si>
    <t>ME-1 Obtener la acreditación institucional de alta calidad en el 2024</t>
  </si>
  <si>
    <t>Articular el modelo de autoevaluación institucional con el modelo de autoevaluación de programas.</t>
  </si>
  <si>
    <t>Desarrollar 8 ejercicios de autoevaluación de programas.</t>
  </si>
  <si>
    <t>Radicar la solicitud de renovación de la acreditación de 8 programas de pregrado.</t>
  </si>
  <si>
    <t>Garantizar que los ejercicios de autoevaluación y los procesos en cumplimiento del Decreto 1330 de 2019 y Acuerdo 02 de 2020 sean visibles, claros y transparentes entre la comunidad institucional</t>
  </si>
  <si>
    <t>Consolidar la documentación de condiciones iniciales para el inicio al ejercicio de acreditación institucional</t>
  </si>
  <si>
    <t>Lo social: un acuerdo para lo fundamental</t>
  </si>
  <si>
    <t>OE-6 Aumentar la cobertura mediante programas de educación superior diferenciados, con alta pertinencia regional de la institución.</t>
  </si>
  <si>
    <t>PE-14- Nuevos programas de pregrado y posgrado</t>
  </si>
  <si>
    <t>ME-29 Lograr para 2024, 3 carreras profesionales articulados por ciclos propedéuticos TP-TG-PU (Ing. Agrícola, Ing. Ambiental e Ing. Energías) y 1 maestría (seguridad informática)</t>
  </si>
  <si>
    <t>Concluir el proceso de condiciones institucionales ante el Ministerio de Educación Nacional. (1. Visita de EE, 2. Informe de Pares)</t>
  </si>
  <si>
    <t>Programas nuevos con registro calificado/Programas nuevos propuestos al MEN y al CNA*100</t>
  </si>
  <si>
    <t>Concluir el proceso de renovación de registro calificado del programa de Ingeniería Mecánica articulada por ciclos propedéuticos con los niveles Técnico Profesional y Tecnología ante el Ministerio de Educación Nacional (1. Completitud, 2. Visita de EE, 2. Informe de Pares)</t>
  </si>
  <si>
    <t>Asesorar a las facultades para el avance documental, consolidación de evidencias en cumplimiento con el Decreto 1330 de 2019, radicación, atención completitud.
1. Ing. Agrícola (3 niveles), 2. Ing. Ambiental (3 niveles), 3. Ing. Energías (3 niveles), 4. Maestría (1 programa), 5. Especializaciónes universitarias (1 programa), 6. Ing. Prof. Farmacéuticos (3 niveles)</t>
  </si>
  <si>
    <t>ME-30 Lograr al 2024, que el 50% de los programas con registro calificado en la modalidad presencial estén convertidos a modalidad semipresencial (blended)</t>
  </si>
  <si>
    <t>Capacitar a la Institución frente los mecanismos diseñados para el cumplimiento de la modificación.</t>
  </si>
  <si>
    <t>Lo Ambiental: Un nuevo acuerdo por la vida y para la vida en contexto ambiental</t>
  </si>
  <si>
    <t>OE-11 Aumentar la cobertura mediante programas de educación superior diferenciados,
con alta pertinencia regional.</t>
  </si>
  <si>
    <t>PE-27- Diseñar y ofertar nuevos programas de pregrado con alta pertinencia regional rural</t>
  </si>
  <si>
    <t>ME-69 Estructurar y gestionar el registro de pregrado de Ingeniería Agrícola por ciclos</t>
  </si>
  <si>
    <t>Capacitar a la Institución frente los mecanismos diseñados para el cumplimiento de la solicitud de nuevo registro.</t>
  </si>
  <si>
    <t>Programas con registro calificado en la modalidad semipresencial/ programas con registro calificado en la modalidad presencial*100</t>
  </si>
  <si>
    <t>ME-70 Estructurar y gestionar el registro de pregrado de Ingeniería Ambiental por ciclos</t>
  </si>
  <si>
    <t>ME-71 Estructurar y gestionar el registro de pregrado de Ingeniería Energética por ciclos</t>
  </si>
  <si>
    <t>OE-10-Establecer un nuevo acuerdo ambiental mediante una
política institucional ambiental y la catedra institucional
en la ETITC</t>
  </si>
  <si>
    <t>GESTIÓN AMBIENTAL</t>
  </si>
  <si>
    <t xml:space="preserve">PE-22- Política institucional ambiental en la ETITC alineada al sistema de gestión ambiental </t>
  </si>
  <si>
    <t>ME-56 Implementar una política ambiental bajo consideraciones de sostenibilidad.</t>
  </si>
  <si>
    <t xml:space="preserve">Estudios previos  para el contrato del proveedor: Laboratorio certificado por el IDEAM  para le muestreo y analisis de PCB en las matrices que se necesitan. </t>
  </si>
  <si>
    <t>Porcentaje de la política ambiental implementado.</t>
  </si>
  <si>
    <t xml:space="preserve">Estudios previos realizados </t>
  </si>
  <si>
    <t>Muetreo y análisis del contenido de PCB de la Maquina electroerosionadora y el Transformador de la Subestación.</t>
  </si>
  <si>
    <t>Ejecución contractual realizado</t>
  </si>
  <si>
    <t>Radicado de la Autoridad Ambiental del reporte de los resultados de la caracterización de los equipos.</t>
  </si>
  <si>
    <t xml:space="preserve">Radicación de los documentos ante el ente ambiental </t>
  </si>
  <si>
    <t xml:space="preserve">Adquisición de: Caja cartón coarrugado con bolsas interiores de PE de 0,05 mm de grosor, ideales para la recogida, transporte y eliminación de crist ales rotos en el laboratorio, 203x203x254 mm 
</t>
  </si>
  <si>
    <t xml:space="preserve">Elementos adquiridos </t>
  </si>
  <si>
    <t>Adecuación de invernadero para la impelmentación de una huerta urbana que apoye los proceso de educación ambeintal de la ETITC</t>
  </si>
  <si>
    <t>espacios verdes adecuados</t>
  </si>
  <si>
    <t>Profesional en Ingeniería Ambiental Administración Ambiental o afines con experiencia en implementación de la norma ISO14001:2015. Preferiblemente con formación como Auditor Interno en ISO 1401.</t>
  </si>
  <si>
    <t>Ejecución del proceso contractual</t>
  </si>
  <si>
    <t>Tecnologo o tecnico en saneamiento ambiental, gestión ambiental o afines para el apoyo en la implementación del Sistema de Gestión Ambiental.</t>
  </si>
  <si>
    <t>Identificar los puntos de vertimientos al sistema público de alcantarillado mediante Prueba de Anilinas.</t>
  </si>
  <si>
    <t>100% de las cajas de inspección identificadas</t>
  </si>
  <si>
    <t>Adecuar pocetas de laboratorio de Química para colectar vertimientos de las prácticas</t>
  </si>
  <si>
    <t>Trampa de grasas instalada en la poceta de la cafeteria</t>
  </si>
  <si>
    <t>Instalar Trampa de grasas en la poceta de la cafeteria y realizar el respectivo seguimiento</t>
  </si>
  <si>
    <t>Seguimiento alas pocetas relizado</t>
  </si>
  <si>
    <t>Contratación de laboratorio autorizado por el IDEAM para la caracterización de los vertimeintos No Domésticos</t>
  </si>
  <si>
    <t>Laboratorios que cumple requisitos legales contratado</t>
  </si>
  <si>
    <t>Recepción de los resultados de la caracterización de vertimeintos</t>
  </si>
  <si>
    <t>Vertimientos No Domesticos Caracterizados.</t>
  </si>
  <si>
    <t>Reportar los resultados de la caracterización de vertimientos ante la SDA y la EAAB.</t>
  </si>
  <si>
    <t>Resultados de caracterización reportados.</t>
  </si>
  <si>
    <t>Levantamiento de información y estadística</t>
  </si>
  <si>
    <t>Certificación del SGA bajo estandares de la ISO14001:2015</t>
  </si>
  <si>
    <t>Análisis y clasificación de la información</t>
  </si>
  <si>
    <t xml:space="preserve">Estudios previos para el contratar el proveedor: Laboratorio certificado por el IDEAM  para el Estudio de Emisiones. </t>
  </si>
  <si>
    <t>Estudios previos  realizados</t>
  </si>
  <si>
    <t>Estudio de Emisiones bajo las condiciones establecidas en la Res. 909 de 2008</t>
  </si>
  <si>
    <t>Estudio de emisiones del 100% de las fuentes fijas relizado</t>
  </si>
  <si>
    <t>Radicado de la Autoridad Ambiental</t>
  </si>
  <si>
    <t>Resultados de caracterización reportados</t>
  </si>
  <si>
    <t>Diseño de los sistemas de control de emisiones y altura de los ductos de ventilación</t>
  </si>
  <si>
    <t>Diseños del sistema de control de emisiones realizado</t>
  </si>
  <si>
    <t xml:space="preserve">PE-24- Optimización en el consumo de energía eléctrica y uso de energías alternativas. </t>
  </si>
  <si>
    <t>ME-60 realizar la adecuada disposición de todos los residuos producidos  en el area de infraestructura, talleres y laboratorios.</t>
  </si>
  <si>
    <t>Estudios previos para contratar el proveedor de elementos para el manejo de aceite lubricante usado.</t>
  </si>
  <si>
    <t xml:space="preserve">Porcentaje de adecuación de residuos cumplido </t>
  </si>
  <si>
    <t>Adquisición de elementos para el manejo adecuado del aceite lubricante usado.
6 Estibas antiderrame Capacidad: 60,5 galones (229 litros)
1 Tanque Doble Pared para Aceite Usado, 300 Litros
1 Carro para bidón de 180-220 Kg (para transporte interno)
1 bandeja de drenaje de aceite, portatil, de bajo perfil, con bomba manual</t>
  </si>
  <si>
    <t>Estudio de emisiones del 100% de las fuentes fijas realizado</t>
  </si>
  <si>
    <t xml:space="preserve">Capacitación </t>
  </si>
  <si>
    <t>Capacitación al personal encargado del mantenimiento de las maquinas</t>
  </si>
  <si>
    <t xml:space="preserve">Capacitación realizada </t>
  </si>
  <si>
    <t>Estudios previos  para el contrato del gestor de RESPEL Biológicos y No Biológicos.</t>
  </si>
  <si>
    <t>Estudios previos realizados</t>
  </si>
  <si>
    <t>Reportar y entregar de forma adecuada los RESPEL Biológicos y No Biológicos generados en las 4 sedes de la ETITC.</t>
  </si>
  <si>
    <t xml:space="preserve">Bitácora de generación de residuos </t>
  </si>
  <si>
    <t>Estudios previos para el contrato del proveedor de señalización.</t>
  </si>
  <si>
    <t>Señalización para el Cuarto de almacenamiento de: Residuos, RESPEL, Aceite Insudtrial Usado y remarcación de canecas de puntos ecológicos.</t>
  </si>
  <si>
    <t>Espacios señalizados</t>
  </si>
  <si>
    <t>Capacitación a la comunidad de la ETITC para el manejo adecuado de los elementos y espacios para la separación y almacenamiento temporal de residuos.</t>
  </si>
  <si>
    <t>Personal de la ETITC capacitado</t>
  </si>
  <si>
    <t>ME-58  lograr el 10% de ahorro energético</t>
  </si>
  <si>
    <t>Estudios previos para el contrato del proveedor que realice el inventario energético en la Sede Central de la ETITC.</t>
  </si>
  <si>
    <t>Porcentaje de ahorro alcanzado</t>
  </si>
  <si>
    <t>3.5%</t>
  </si>
  <si>
    <t>- 'Inventario Energetico
- Análisis comparativo de cosumo por areas
- Recomendaciones de estrategias para el ahorro de consumo de energia electrica</t>
  </si>
  <si>
    <t>Hacer seguimiento al plan de gestión ambiental (actividades relacionadas con ahorro energetico)</t>
  </si>
  <si>
    <t xml:space="preserve">Matriz de seguimeinto. </t>
  </si>
  <si>
    <t>ME-59 Implementar el programa de racionalización de consumo de papel</t>
  </si>
  <si>
    <t>Implementar el programa de racionalización de consumo de papel</t>
  </si>
  <si>
    <t>Porcentaje de implementación del programa  racionalización de consumo de papel</t>
  </si>
  <si>
    <t>Informe de ejecución</t>
  </si>
  <si>
    <t>OFICINA DE COMUNICACIONES</t>
  </si>
  <si>
    <t>ME-7- Aumentar la visibilidad institucional de la Escuela mediante estrategias de marketing digital.</t>
  </si>
  <si>
    <t>Diseñar y estructurar la política de comunicaciones de la ETITC</t>
  </si>
  <si>
    <t>Número de estrategias de posicionamiento implementadas.</t>
  </si>
  <si>
    <t xml:space="preserve">Documento elaborado </t>
  </si>
  <si>
    <t>Elaboración y selección de estrategias según la política de comunicaciones institucional</t>
  </si>
  <si>
    <t>Estrategias elaboradas</t>
  </si>
  <si>
    <t>Sistemas de control y plan de contingencias</t>
  </si>
  <si>
    <t>Sistemas de control y plan de contingencias desarrollado</t>
  </si>
  <si>
    <t>Desarrollo de las estretegias (seguimiento y evaluación)</t>
  </si>
  <si>
    <t>Estreategias implementadas</t>
  </si>
  <si>
    <t>PE-11- Implementación de estrategias de comunicación externas e internas y fortalecimiento de la gestión documental: LA ETITC COMUNICA</t>
  </si>
  <si>
    <t>ME-21- Fortalecer los canales existentes para la comunicación interna - externa.</t>
  </si>
  <si>
    <t xml:space="preserve">Identificar las necesidades de cada área y consolidar parrilla de contenido </t>
  </si>
  <si>
    <t>Porcentaje de implementación de la Política Institucional de Comunicaciones.</t>
  </si>
  <si>
    <t>Parrilla consolidada</t>
  </si>
  <si>
    <t xml:space="preserve">Ejecución de la parrilla de contenido con su respectivo seguimiento y evaluación de impacto </t>
  </si>
  <si>
    <t>Proceso de ejecución de la parrilla completado</t>
  </si>
  <si>
    <t xml:space="preserve">Realizar el programa Institución al Día como espacio de participación ciudadana </t>
  </si>
  <si>
    <t>Programas realizados</t>
  </si>
  <si>
    <t>VICERRECTORÍA ADMINISTRATIVA Y FINANCIERA</t>
  </si>
  <si>
    <t>Estrategia 1.
Lo institucional: La transformación cultural de la ETITC</t>
  </si>
  <si>
    <t>INFRAESTRUCTURA ELÉCTRICA</t>
  </si>
  <si>
    <t>PE-10- Transformación digital de la ETITC</t>
  </si>
  <si>
    <t>ME-17- Adecuar las capacidades tecnológicas para atender las necesidades de los procesos misionales.</t>
  </si>
  <si>
    <t>Prestación de servicios profesionales como apoyo a la gestión del área de infraestructura eléctrica para realizar adecuación y soporte de sistemas eléctricos y de redes de datos normalizados y especiales, diseño, implementación y mantenimiento de sistemas de iluminación y protección y soporte en la preparación de documentos de redes de datos y comunicaciones. según normatividad vigente (11 meses)</t>
  </si>
  <si>
    <t>Proyectos de TICS ejecutados / Proyectos de TICS programados para la academia</t>
  </si>
  <si>
    <t xml:space="preserve">Ejecución contractual </t>
  </si>
  <si>
    <t>Prestación de servicios como apoyo a la gestión del área de infraestructura eléctrica, para realizar adecuación y soporte de sistemas eléctricos normalizados y especiales, mantenimiento de sistemas de iluminación y protección y soporte en la preparación de documentos de redes electricas, según normatividad vigente (tecnologo electricista o afines)</t>
  </si>
  <si>
    <t>contratación de la prestación de servicios como apoyo a la gestión del área de infraestructura eléctrica, para desarrollar las actividades de adecuación de sistemas eléctricos normalizados y especiales, mantenimiento preventivo de equipos de misión crítica e implementación y mantenimiento de sistemas de automatización de los diferentes equipos de la etitc. (tecnologo electricista o afines)</t>
  </si>
  <si>
    <t>Contratación de la prestación de servicios como apoyo a la gestión del área de infraestructura eléctrica de las extensión Carvajal y Tintal de la Escuela Tecnológica Instituto Técnico Central para realizar adecuación y soporte de sistemas eléctricos normalizados, mantenimiento de sistemas de iluminación y protección eléctrica. según normatividad vigente. (técnico electricista o afines)</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</si>
  <si>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</si>
  <si>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</si>
  <si>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del mantenimiento preventivo y correctivo especializado de las UPS y Reguladores</t>
  </si>
  <si>
    <t>Contratación de mantenimiento preventivo, correctivo y certificación de los Sistema automatizados de apertura/cierre puertas calle 15, carrera 17 y patio central</t>
  </si>
  <si>
    <t>Contratación de mantenimiento preventivo y correctivo especializado de la plataforma elevadora GENIE</t>
  </si>
  <si>
    <t>Contratación de mantenimiento preventivo y correctivo de sistema de puesta a tierra de la sede Centro (apantallamiento)</t>
  </si>
  <si>
    <t>Contratación del mantenimiento preventivo y correctivo especializado del sistema de automatización de iluminación (GreenMax)</t>
  </si>
  <si>
    <t>Contratación del Mantenimiento preventivo y correctivo de los sistemas audio, video e iluminación artistica (Auditorio, teatro, capilla y sonido general)</t>
  </si>
  <si>
    <t xml:space="preserve">Contratación del mantenimiento correctivo y preventivo especializado de los controles de acceso </t>
  </si>
  <si>
    <t>Contratación del mantenimiento correctivo y preventivo especializado del CCTV.</t>
  </si>
  <si>
    <t>Contratación del mantenimiento correctivo y preventivo especializado del sistema de alerta sismica</t>
  </si>
  <si>
    <t>Contratación del mantenimiento correctivo y preventivo especializado del sistema de audioevacuación</t>
  </si>
  <si>
    <t>Contratación del mantenimiento correctivo y preventivo especializado de la planta solar fotovoltaica de 22 kWp</t>
  </si>
  <si>
    <t>Estrategia 3.
Lo ambiental: un acuerdo por y para la vida en contexto ambiental.</t>
  </si>
  <si>
    <t>OE-10
Establecer un nuevo acuerdo ambiental mediante una política institucional ambiental y la catedra institucional en la ETITC.</t>
  </si>
  <si>
    <t>PE-24-Optimización en el consumo de energía y uso de energias alternativas</t>
  </si>
  <si>
    <t>ME-58- Lograr el Diez porciento (10%) de ahorro energético</t>
  </si>
  <si>
    <t>Compra de Iluminación con sistema de abastecimiento energético por medio fotovoltaico para los parqueaderos de la sede Centro</t>
  </si>
  <si>
    <t>Suministro, instalación y puesta en funcionamiento de la fase 1 de una planta de energía solar fotovoltaica en las cubiertas de los bloques F,G,H de la sede Centro.</t>
  </si>
  <si>
    <t>Fase 1 de una planta de energía solar fotovoltaica en las cubiertas puesta en marcha</t>
  </si>
  <si>
    <t>Contratación del Diseño e implementación de malla de tierras electricas de la sede Centro</t>
  </si>
  <si>
    <t>Contratación del Diseño e implementación de malla de tierras de telecomunicaciones de la sede Centro</t>
  </si>
  <si>
    <t>Contratación del Diseño e implementación del banco de compensación automática (condensadores) de la sede Centro</t>
  </si>
  <si>
    <t>Contratación del diseño y cambio de tablero de distribución eléctrica principal con las respectivas protecciones de la sede Centro</t>
  </si>
  <si>
    <t>Compra de materiales y herramientas para mantenimiento general de la Escuela</t>
  </si>
  <si>
    <t>Adquisición de materiales</t>
  </si>
  <si>
    <t>Ampliación del sistema de CCTV en todas las sedes</t>
  </si>
  <si>
    <t xml:space="preserve">Sinstemas ampliados </t>
  </si>
  <si>
    <t>Compra de materiales para realizar la actualización del cableado eléctrico y de redes de oficinas administrativas, investigación y de personal</t>
  </si>
  <si>
    <t>Compra de UPS trifásicas para algunos sectores de la sede Centro</t>
  </si>
  <si>
    <t>Contratación de la Integración de sistema TOIOTEM al sistema de control de acceso actual de la sede Centro</t>
  </si>
  <si>
    <t>OE-5
Consolidar la infraestructura física de la Escuela para el desarrollo de la academia y la consolidación de las nuevas apuestas institucionales</t>
  </si>
  <si>
    <t>PE-13
Gestión integral de inmuebles</t>
  </si>
  <si>
    <t>ME-24
Englobar todos los predios que integran la sede Central</t>
  </si>
  <si>
    <t xml:space="preserve">Por definir </t>
  </si>
  <si>
    <t>Prestación de servicios profesionales  como apoyo a la gestión de inmuebles de la ETITC y sus sedes para la vigencia 2022</t>
  </si>
  <si>
    <t>Porcentaje de englobe de los predios que integran la sede central</t>
  </si>
  <si>
    <t>Acta de inicio del contrato</t>
  </si>
  <si>
    <t>ME-25 
Determinar el aprovechamiento del inmueble de la calle 18 a partir del POT aprobado</t>
  </si>
  <si>
    <t xml:space="preserve">Estudios técnicos estructurales, arquitectónicos, de redes,  de uso, contexto y demás necesarias para definir la viabilidad de la casa y edificio de la sede calle 18 de la escuela tecnológica instituto técnico central. </t>
  </si>
  <si>
    <t xml:space="preserve">Porcentaje de ejecución de las intervenciones físicas.
</t>
  </si>
  <si>
    <t>1. Proceso de contratación
2. Ejecución del estudio</t>
  </si>
  <si>
    <t>Porcentaje de espacios aprovechados y con uso en el inmueble</t>
  </si>
  <si>
    <t>por definir</t>
  </si>
  <si>
    <t>ME-26
Formular el Plan de administración e intervención de las instalaciones en comodato (Localidad Kennedy)</t>
  </si>
  <si>
    <t>Avance del documento del plan de administración e intevención de las instalaciones en comodato de la etitc</t>
  </si>
  <si>
    <t xml:space="preserve">Porcentaje de formulación del Plan de administración e intervención de las instalaciones en comodato.
</t>
  </si>
  <si>
    <t>Documento</t>
  </si>
  <si>
    <t xml:space="preserve">Porcentaje de ejecución del Plan de administración e intervención de las instalaciones en comodato.
</t>
  </si>
  <si>
    <t>ME-27
Formular e implementar el modelo operativo de administración de inmuebles</t>
  </si>
  <si>
    <t>Avance del documento del modelo operativo de administración de inmuebles</t>
  </si>
  <si>
    <t>Porcentaje de formulación e implementación del modelo operativo para la administración de inmuebles.</t>
  </si>
  <si>
    <t>Ejecución de planes de mantenimiento en los inmuebles</t>
  </si>
  <si>
    <t>Ordenes de trabajo</t>
  </si>
  <si>
    <t>ME-28
Gestionar la consecición de un nuevo Campus para la Escuela</t>
  </si>
  <si>
    <t>Porcentaje de implementación de la estrategia de consecución del Campus.</t>
  </si>
  <si>
    <t>Estrategia 3.
Lo ambiental: Un acuerdo por y para la vida en contexto ambiental</t>
  </si>
  <si>
    <t>OE-10
Establecer un nuevo acuerdo ambiental mediante una política institucional ambiental y la cátedra institucional en la ETITC</t>
  </si>
  <si>
    <t>PE-22
Política institucional ambiental en la ETITC</t>
  </si>
  <si>
    <t>ME-56
Implementar una poítica ambiental bajo consideraciones de sostenibilidad</t>
  </si>
  <si>
    <t>Estudios técnicos para el sistema piloto de aprovechamiento de agua lluvia para el bloque j de la sede central de la etitc.</t>
  </si>
  <si>
    <t>Alquiler de sistema de desodorización de baños incluida la instalación, servicio de recarga mensual, mantenimiento del sistema y asesoría personalizada en la escuela  tecnológica instituto técnico central y sus sedes durante la vigencia 2022</t>
  </si>
  <si>
    <t>1. Proceso de contratación
2. Ejecución del mantenimiento</t>
  </si>
  <si>
    <t>Mantenimiento especializado de patologías en los espacios del sótano. incluye tratamiento, limpieza, impermeabilización y pintura de muros, cubiertas y pisos..</t>
  </si>
  <si>
    <t>PE-24
Optimización de en el consumo de energía eléctrica y uso de energías alternativas</t>
  </si>
  <si>
    <t>ME-60
Realizar la adecuada disposición de todos los residuos producidos en el área de infraestructura, talleres y laboratorios</t>
  </si>
  <si>
    <t>Adecuar los espacios de residuos de las sedes y de los talleres y laboratorios</t>
  </si>
  <si>
    <t>Porcentaje de adecuación de residuos cumplido</t>
  </si>
  <si>
    <t>Espacios organizados</t>
  </si>
  <si>
    <t>Disposición de residuos adecuada</t>
  </si>
  <si>
    <t>Formatos de entrega de residuos</t>
  </si>
  <si>
    <t>PE-25
Diseño e implementación de espacios de "concepto verde" que mejoren la vida académica en las sedes de la ETITC</t>
  </si>
  <si>
    <t>ME-61
Adecuar espacios verdes verticales y horizontales</t>
  </si>
  <si>
    <t>Adecuar espacios verdes verticales y horizontales</t>
  </si>
  <si>
    <t xml:space="preserve">Porcentaje de elaboración del programa de mantenimiento e intervención de los espacios verdes verticales y horizontales
</t>
  </si>
  <si>
    <t>Fabricación del espacio de residuos bajo un sistema de bioconstrucción para la sede central de la escuela tecnológica instituto técnico central</t>
  </si>
  <si>
    <t xml:space="preserve">Porcentaje de ejecución del programa de mantenimiento e intervención de los espacios verdes verticales y horizontales
</t>
  </si>
  <si>
    <t xml:space="preserve">Mantenimiento del invernadero y espacio de piscicultura de la sede central de la etitc. incluye adecuación de la estructura, recubrimiento, instalación de piso, adecuaciones interiores. incluye fabricación e instalación de nuevo módulo de 3mx 3m x 3m con las mismas especificaciones. </t>
  </si>
  <si>
    <t>PE-26
Actualización de la infraestructura física, cumpliendo normativas aplicables y generando espacios adecuados para el desarrollo de actividades académicas y de bienestar en el marco de la sostenibilidad</t>
  </si>
  <si>
    <t>ME-62
Adelantar el 50% del reforzamiento estructural de la sede principal</t>
  </si>
  <si>
    <t>Prestación de servicios profesionales en arquitectura como apoyo a la gestión del área de planta física de las instalaciones de la escuela tecnológica instituto técnico central para la vigencia 2022</t>
  </si>
  <si>
    <t xml:space="preserve">Porcentaje del reforzamiento estructural obtenido </t>
  </si>
  <si>
    <t>Ejecución Contractual</t>
  </si>
  <si>
    <t>Prestación de servicios profesionales como apoyo a la gestión del bien interés cultural de la escuela tecnológica instituto técnico central para la vigencia 2022</t>
  </si>
  <si>
    <t>Prestación de servicios como apoyo a la gestión del área de planta física como auxiliar de arquitectura de la escuela ETITC</t>
  </si>
  <si>
    <t xml:space="preserve">Prestación de servicios como apoyo a la gestión para el área de planta física de la ETITC como:
* Jardinero
*Pintor (todas las instalaciones)
*Ebanista y carpintero (todas las sedes)
*Albañil (todas las sedes)
* Fontanero (Todas las instalaciones)
*Ayudante de mantenimiento (Todas las instalaciones)
*Auxiliar de mantenimiento locativo (Todas las instalaciones)
</t>
  </si>
  <si>
    <t>Prestación de servicios a todo costo para el correcto funcionamiento del sistema de bombeo, lavado de tanques, limpieza de trampa de grasas, desinfección y fumigación de espacios, tratamiento de vectores y tratamiento de hongos en muros de las cuatro sedes de la escuela tecnológica insituto técnico central. incluye mano de obra, materiales, transporte y soporte de emergencia.</t>
  </si>
  <si>
    <t>proyecto - plan de eficiencia energetica - realizar la instalación de paneles solares en los bloques f, g y h, sistema conectado a red electrica actual, para el ahorro de energia.</t>
  </si>
  <si>
    <t>diseño de extracción mecánica para la cocina, laboratorio de física y química y centro de impresión de la sede central en cumplimiento de la normativa vigente. incluye trámites y autorizaciones ante las entidades competentes.</t>
  </si>
  <si>
    <t>diseño del proyecto de remodelación de baterías de baños de la sede central. incluye levantamiento de redes, diseño arquitectónico, diseño de redes, especificaciones, presupuesto, cronograma de obra y trámites de aprobación ante entidades competentes.</t>
  </si>
  <si>
    <t>Realizar la fase iii del mantenimiento especializado de cubiertas, fachadas y espacios interiores de la sede central, sede calle 18 y sede carvajal de la escuela tecnológica instituto técnico central.</t>
  </si>
  <si>
    <t>Fase III completada</t>
  </si>
  <si>
    <t>Realizar la interventoría integral de la fase iii del mantenimiento especializado de cubiertas, fachadas y espacios interiores de la sede central, sede calle 18 y sede carvajal de la escuela tecnológica instituto técnico central.</t>
  </si>
  <si>
    <t>Interventoriia de la fase III realizada</t>
  </si>
  <si>
    <t>Prestación de servicios especializados en conservación del patrimonio para realizar la actualización, complementación, actividades complementarias  y aprobación del plan especial de manejo y protección -pemp- de la sede ETITC, en sus etapas de diagnóstico, estudios técnicos y propuesta para establecer los lineamientos de uso, condiciones de manejo, niveles de intervención para este bien de interés cultural de orden nacional. incluye levantamiento arquitectónico, estudio fitosanitario de estructuras en madera y estudio de patologías.</t>
  </si>
  <si>
    <t>Interventoría para la prestación de servicios especializados en conservación del patrimonio para realizar la actualización, complementación, actividades complementarias  y aprobación del plan especial de manejo y protección -pemp- de la sede central de la escuela tecnológica instituto técnico central (etitc), en sus etapas de diagnóstico, estudios técnicos y propuesta para establecer los lineamientos de uso, condiciones de manejo, niveles de intervención para este bien de interés cultural de orden nacional. incluye levantamiento arquitectónico, estudio fitosanitario de estructuras en madera y estudio de patologías.</t>
  </si>
  <si>
    <t>Suministro de materiales y herramientas para el mantenimiento locativo de la planta física de la escuela tecnológica instituto técnico central y sus sedes.</t>
  </si>
  <si>
    <t>Seguimiento al contrato 225-2020 con el objeto: 	el contratista se compromete con la ETITC a planear, desarrollar y llevar a buen término la gerencia integral del proyecto institucional denominado "proyecto de reforzamiento estructural de la escuela tecnológica instituto técnico central" en las fases señaladas en el anexo técnico</t>
  </si>
  <si>
    <t>Realizar la consultoría técnica encaminada a desarrollar el proceso de revisión técnica, actualización de diseños y obtención de licenciamiento y permisos necesarios para el desarrollo del proyecto denominado “reforzamiento estructural del instituto técnico central – etapa 2, conjunto arquitectónico de la escuela tecnológica instituto técnico central declarado inmueble bien de interés cultural de orden nacional.</t>
  </si>
  <si>
    <t>Interventoría para realizar la consultoría técnica encaminada a desarrollar el proceso de revisión técnica, actualización de diseños y obtención de licenciamiento y permisos necesarios para el desarrollo del proyecto denominado “reforzamiento estructural del instituto técnico central – etapa 2, conjunto arquitectónico de la escuela tecnológica instituto técnico central declarado inmueble bien de interés cultural de orden nacional.</t>
  </si>
  <si>
    <t>ME-63
Construir espacios adecuados para la ubicación del gimnasio y áreas para desarrollo de actividades de bienestar estudiantil, administrativos y docentes</t>
  </si>
  <si>
    <t>Realizar los diseños arquitectónicos, estructurales, de redes, especificaciones y presupuesto del sistema modular</t>
  </si>
  <si>
    <t>Número de espacios intervenidos para el desarrollo de actividades de bienestar.</t>
  </si>
  <si>
    <t>Documentación del proyecto</t>
  </si>
  <si>
    <t>Fabricación del sistema modular para el gimnasio y áreas de bienestar.</t>
  </si>
  <si>
    <t>2.5%</t>
  </si>
  <si>
    <t>Realizar la interventoría integral de la fabricación del sistema modular para el gimnasio y áreas de bienestar.</t>
  </si>
  <si>
    <t>ME-64
Contar con un sistema de control de acceso para la sede principal</t>
  </si>
  <si>
    <t>Señalización de los totem</t>
  </si>
  <si>
    <t xml:space="preserve">Porcentaje efectivo de la implementación del sistema de control en las 3 porterias de la sede central </t>
  </si>
  <si>
    <t>ME-65
Adecuación completa de la sede Calle 18</t>
  </si>
  <si>
    <t>Actividades de mantenimiento en la sede calle 18</t>
  </si>
  <si>
    <t>Adecuar las instalaciones de la sede Calle 18</t>
  </si>
  <si>
    <t>ME-66
Adaptación progresiva de la planta física para implementar la normativa de movilidad reducida</t>
  </si>
  <si>
    <t>Estudio técnico de seguridad humana y accesibilidad universal en el cumplimiento de la normativa vigente. incluye diseño arquitectónico, estructural, redes y trámites ante entidades competentes.</t>
  </si>
  <si>
    <t xml:space="preserve">Porcentaje de gestión para la implementación de la normatividad de movilidad reducida
</t>
  </si>
  <si>
    <t>Estudios realizados</t>
  </si>
  <si>
    <t xml:space="preserve">
Porcentaje de ejecución de la intervenciones necesarias </t>
  </si>
  <si>
    <t>ME-67
Optimización de la oferta de parqueaderos en la sede central</t>
  </si>
  <si>
    <t>Adecuación del parqueadero de la call 15</t>
  </si>
  <si>
    <t xml:space="preserve">Porcentaje de espacios intervenidos del área destinada a parqueaderos  </t>
  </si>
  <si>
    <t>Suministro e instalación de 90 unidades de biciparqueaderos. incluye todos los elementos necesarios para adquirir el sello de calidad del biciparqueadero de la Secretaría de movilidad.</t>
  </si>
  <si>
    <t>Adecuaciones realizadas</t>
  </si>
  <si>
    <t>ME-68
Gestionar las Dotaciones de las instalaciones y sede principal para la permanencia y aumento de la oferta</t>
  </si>
  <si>
    <t>Proceso de bajas de mobiliario</t>
  </si>
  <si>
    <t>Porcentaje de las dotaciones nueva instaladas y mantenimiento de las dotaciones existentes</t>
  </si>
  <si>
    <t>Proceso ejecutado</t>
  </si>
  <si>
    <t>Modernización de mobiliario</t>
  </si>
  <si>
    <t>Mantenimiento especializado de patios, canchas y sus elementos. aplicación de pintura, nivelación, cambio y reposición de elementos faltantes o fracturados en adoquín de arcilla, nivelación y reparación de fisuras en canchas de asfalto y cambio de mallas para canchas de voleibol (1), futbol (8) y basquetbol (8).</t>
  </si>
  <si>
    <t>0E-5- Consolidar la infraestructura física de la Escuela para el desarrollo de la academia y la consolidación
de las nuevas apuestas institucionales.</t>
  </si>
  <si>
    <t>ALMACEN</t>
  </si>
  <si>
    <t>PE-13-Formula e implementar el modelo operativo de administración de inmuebles</t>
  </si>
  <si>
    <t>ME-27-Fortalecimiento a la administración e inmuebles ETITC</t>
  </si>
  <si>
    <t>Apoyo a la gestión el área almacen (2 contratistas)</t>
  </si>
  <si>
    <t>Porcentaje de inplementaicón del modelo operativo de administración de inmuebles</t>
  </si>
  <si>
    <t>Actualización del Manual de Bienes Muebles</t>
  </si>
  <si>
    <t>Documento actualizado</t>
  </si>
  <si>
    <t>Impresora ZEBRA</t>
  </si>
  <si>
    <t>Equipo adquirido</t>
  </si>
  <si>
    <t>ÁREA ADMINISTRATIVA Y FINANCIERA</t>
  </si>
  <si>
    <t>PE-2- Modelo integral de gestión academico-administrativa por Sistema de Créditos Académicos</t>
  </si>
  <si>
    <t>ME-2- Estructurar e implementar el modelo integral de gestión academico-administrativa por Sistema de Créditos Académicos al 2024.</t>
  </si>
  <si>
    <t>Estructurar e implementar el modelo integral de gestión academico-administrativa por Sistema de Créditos Académicos al 2024.</t>
  </si>
  <si>
    <t>Porcentaje de implementación del sistema académico-administrativo por sistema de créditos académicos</t>
  </si>
  <si>
    <t>GESTIÓN DOCUMENTAL</t>
  </si>
  <si>
    <t>PE-11- Implementación de estrategias de comunicación externas e internas y fortalecimiento de la gestión documental: LA ETITC COMUNICA.</t>
  </si>
  <si>
    <t>ME-22- Implementación del PINAR en cumplimiento a los parámetros establecidos por el Archivo General de la Nación.</t>
  </si>
  <si>
    <t>Prestación de servicios en las actividades de gestión documental de la Escuela Tecnológica Instituto Técnico Central</t>
  </si>
  <si>
    <t>Número de actividades ejecutadas del PINAR</t>
  </si>
  <si>
    <t>Fabricación e instalación del sistema rodante de archivo con  con accionamiento mecánico compuesto por 6 carros mecánicos y 2 carros fijos.</t>
  </si>
  <si>
    <t>Sistema de archivo fabricado e instalado</t>
  </si>
  <si>
    <t xml:space="preserve">Diseño, implementación y seguimiento de estrategias orientadas a gestionar el ciclo de vida de los documentos electrónicos, con estándares tecnológicos y estándares archivísticos: SGDEA </t>
  </si>
  <si>
    <t>SGDEA diseñado e Implementado</t>
  </si>
  <si>
    <t>Actualización del Sistema Información de Atención al Ciudadano SIAC</t>
  </si>
  <si>
    <t>% del software actualizado</t>
  </si>
  <si>
    <t>Actualización, implementación y seguimiento de los instrumentos archivísticos</t>
  </si>
  <si>
    <t>Número de Instrumentos actualizados e implementados</t>
  </si>
  <si>
    <t>OE-1- Consolidar la calidad académica para la acreditación institucional de alta calidad respaldada fortalecimiento
de la gestión, la infraestructura tecnológica y física.</t>
  </si>
  <si>
    <t>OFICINA DE CONTRATACIÓN</t>
  </si>
  <si>
    <t xml:space="preserve">Permitir que la ETITC gestione adecuadamente sus compras y contrataciones a través de plataformas electrónicas, lineamientos normativos, documentos estándar, instrumentos de agregación de demanda y técnicas de aprovisionamiento </t>
  </si>
  <si>
    <t>1. Consolidar y publicar el Plan Anual de Adquisiciones, según las necesidades de adquisición de bienes y servicios de la Entidad.</t>
  </si>
  <si>
    <t xml:space="preserve">Realizar capacitaciones a las áreas frente a las modalidades de contratación, el procedimiento pertinente para cada modalidad y la elaboración de los estudios y documentos previos necesarios para iniciar los procesos contractuales. </t>
  </si>
  <si>
    <t>2. Gestionar las modificaciones del Plan Anual de Adquisiciones con la correspondiente justificación y aprobación de acuerdo con los lineamientos del Manual de Contratación de la ETITC y publicar al menos una modificación a mitad de año.</t>
  </si>
  <si>
    <t>EOE.-1-Consolidar la calidad académica para la acreditación institucional de alta calidad respaldada fortalecimiento
de la gestión, la infraestructura tecnológica y física</t>
  </si>
  <si>
    <t>ME-8- Revisión de la  Estructura Organizacional que soporte las nuevas apuestas institucionales</t>
  </si>
  <si>
    <t>Analizar los resultados del contrato suscrito con la UNA
Determinar la oportunidad de diseñar una propuesta para la reestructuración organizacional</t>
  </si>
  <si>
    <t>Propuesta de nueva estructura organizacional presentadas ante las entidades competentes</t>
  </si>
  <si>
    <t>Propuesta elaborada</t>
  </si>
  <si>
    <t>ME-10- Fortalecer la cultura organizacional como soporte del Desarrollo y mejoramiento del clima organizacional.</t>
  </si>
  <si>
    <t xml:space="preserve">*Plan de  Bienstar laboral                                   *Fortalecimiento del   Clima laboral  tenieno en cuenta  la medicion 2021  *Código de integridad,    </t>
  </si>
  <si>
    <t>Porcentaje de apropiación de presupuesto para el pago de plantas de personal</t>
  </si>
  <si>
    <t xml:space="preserve">Plan de Bienestar laboral ejecutado </t>
  </si>
  <si>
    <t xml:space="preserve">Implementación del Plan de Capacitación   </t>
  </si>
  <si>
    <t xml:space="preserve">Plan de capacitación ejecutado </t>
  </si>
  <si>
    <t xml:space="preserve">Ejecución de: 
*Plan anula de vacantes    *Plan de Previsión      </t>
  </si>
  <si>
    <t>Planes ejecutados</t>
  </si>
  <si>
    <t>OE-2 Fortalecer y potenciar el Talento Humano en las plantas de personal docente y administrativa.</t>
  </si>
  <si>
    <t xml:space="preserve">PE-7 - Consolidacion y aseguamiento del Talento Humano para el mejoramiento de las capacidades en las plantas administrativas y diocentes </t>
  </si>
  <si>
    <t>ME-12 - dar continuidad al talento Humano  integral en las plantas administrativas</t>
  </si>
  <si>
    <t xml:space="preserve">Verificación el cumplimiento de todas las activides propias del área en compromiso con el Talento humano Institucional </t>
  </si>
  <si>
    <t>recursos apropiados</t>
  </si>
  <si>
    <t>ME-13- Presentar ante las instancias competentes la solicitud y cumplimiento de requistos para el desarrollo de los procesos meritocraticos de las plantas Administrativas</t>
  </si>
  <si>
    <t>Identificaión de las vacantes  internas y externas para la planeacion del concurso administrativo y docente
53 vacantes reportadas al SIMO para el inicio del Concurso Administrativo</t>
  </si>
  <si>
    <t>Porcentaje de requisitos cumplidos</t>
  </si>
  <si>
    <t>ME-14- Adelantar los proceso meritocraticos de la planta docente</t>
  </si>
  <si>
    <t xml:space="preserve">Selección y vinculacion  por merito  de 4 docentes de Tiempo Completo  y 20 de Medio tiempo </t>
  </si>
  <si>
    <t>Porcentaje de cumplimiento del proceso meritocrático de la planta docente</t>
  </si>
  <si>
    <t>Procesos de vinculación ejecutados</t>
  </si>
  <si>
    <t>PE-8- Estructuración de la carrera docente</t>
  </si>
  <si>
    <t xml:space="preserve">ME-15- Organizar e implementar el sistema  de plan de carrera docente </t>
  </si>
  <si>
    <t xml:space="preserve">Organizar e implementar el sistema  de plan de carrera docente </t>
  </si>
  <si>
    <t>Porcentaje del plan de carrera docente implementado</t>
  </si>
  <si>
    <t>Plan de Carrera Docente estructurado e implementado</t>
  </si>
  <si>
    <t>OE-1-Consolidar la calidad académica para la acreditación institucional de alta calidad respaldada fortalecimiento 
de la gestión, la infraestructura tecnológica y física.</t>
  </si>
  <si>
    <t>ME-12- Dar continuidad al talento humano integral en las plantas de personal.</t>
  </si>
  <si>
    <t>Examenes médicos ocupacionales de ingreso, periódicos y de egreso</t>
  </si>
  <si>
    <t xml:space="preserve">Ejecución de examenes medicos a todo el personal </t>
  </si>
  <si>
    <t xml:space="preserve">Diagnóstico condiciones de Salud </t>
  </si>
  <si>
    <t xml:space="preserve">Informe Diagnostico  condiciones de Salud  </t>
  </si>
  <si>
    <t xml:space="preserve">Definición de profesiogramas  </t>
  </si>
  <si>
    <t>Creacióndeprofesiogramas conforme cargos y necesidades ETITC</t>
  </si>
  <si>
    <t xml:space="preserve">Campaña prevención enfermedades laborales </t>
  </si>
  <si>
    <t>Campaña</t>
  </si>
  <si>
    <t xml:space="preserve">Campaña prevención accidentes de trabajo </t>
  </si>
  <si>
    <t>Camapaña</t>
  </si>
  <si>
    <t>Programa estilos de vida trabajo saludable y prevención consumo sustancias psicoactivas</t>
  </si>
  <si>
    <t xml:space="preserve">Capacitaciones y actividades de estilos de vida y trabajo saludable </t>
  </si>
  <si>
    <t xml:space="preserve">Implementación Sistema de vigilancia epidemiológica y analisis de puesto de trabajo </t>
  </si>
  <si>
    <t xml:space="preserve">Sistema de Vigilancia y analisis de puestos de trabajo </t>
  </si>
  <si>
    <t xml:space="preserve">Semana de la Salud </t>
  </si>
  <si>
    <t xml:space="preserve">Capacitaciones y actividades de promoción y prevención  </t>
  </si>
  <si>
    <t xml:space="preserve">Aplicación bateria de riesgo psicosocial </t>
  </si>
  <si>
    <t>Medicion de riesgo psicosocial ETITC</t>
  </si>
  <si>
    <t>Capacitación mediante el Proyecto de Seguridad Víal para la movilidad Segura "Aula Virtual".</t>
  </si>
  <si>
    <t>Campaña de sensibilización en seguridad vial de acuerdo al rol en la vía con comunidad educativa y administrativos ETITC.</t>
  </si>
  <si>
    <t xml:space="preserve"> Capacitación teórico - práctica en pista (conductores) para dar cumplimiento a los requesitos de la resolución 1565 del Plan de Seguridad Vial</t>
  </si>
  <si>
    <t xml:space="preserve">Entrenamiento </t>
  </si>
  <si>
    <t xml:space="preserve">Apoyo técnico seguridad y salud en el trabajo </t>
  </si>
  <si>
    <t>Gestion en implementación SGSST</t>
  </si>
  <si>
    <t>Auditoria interna certificada SGSST</t>
  </si>
  <si>
    <t xml:space="preserve">Informe de auditoria y plan de acción </t>
  </si>
  <si>
    <t xml:space="preserve">AMBIENTAL: UN ACUERDO POR Y PARA LA VIDA EN CONTEXTO </t>
  </si>
  <si>
    <t>OE-10-Establecer un nuevo acuerdo ambiental mediante una 
política institucional ambiental y la catedra institucional 
en la ETITC</t>
  </si>
  <si>
    <t xml:space="preserve">PE-26 Actualización de la infraestructura fisica cumpliendo normativas aplicables y generando espacios adecuados para el desarrollo de actividades académicas y de bienestar en el marco de la sostenibilidad </t>
  </si>
  <si>
    <t xml:space="preserve">ME- 68  Gestionar las dotaciones de las instalaciones y sede principal para la permanencia y aumento de la oferta </t>
  </si>
  <si>
    <t>Mantenimiento y recarga extintores</t>
  </si>
  <si>
    <t>Porcentaje de las dotaciones nueva instalada y mantenimiento de las dotaciones existentes</t>
  </si>
  <si>
    <t xml:space="preserve">Extintores recargados y aptos para su uso </t>
  </si>
  <si>
    <t xml:space="preserve">Suministro de botiquines </t>
  </si>
  <si>
    <t xml:space="preserve">Dotacion total de botiquines </t>
  </si>
  <si>
    <t xml:space="preserve">Kits de derrames y capacitacion en uso </t>
  </si>
  <si>
    <t xml:space="preserve">Dotacion de  kits de derrames y capacitación en uso </t>
  </si>
  <si>
    <t xml:space="preserve">Adquisición de equipos capacita y mediciones higienicas ocupacionales </t>
  </si>
  <si>
    <t xml:space="preserve">Adquisicion de equipos capacitacion personal y medición en ambientes </t>
  </si>
  <si>
    <t xml:space="preserve">Compra y suministro de elementos de protección personal </t>
  </si>
  <si>
    <t xml:space="preserve">Dotacion elementos de protección personal  </t>
  </si>
  <si>
    <t xml:space="preserve">Implementación Sistema globalmente Armonizado y Rotulación y etiquetado sustancias químicas </t>
  </si>
  <si>
    <t>Sistema globalmente armonizado ETITC</t>
  </si>
  <si>
    <t>Implementación de medidas de protección para trabajo seguro en alturas</t>
  </si>
  <si>
    <t>dotacion medidas de proteccion TSA</t>
  </si>
  <si>
    <t xml:space="preserve">* Formación en trabajo seguro en alturas </t>
  </si>
  <si>
    <t>actualizacion cursos TSA</t>
  </si>
  <si>
    <t>Verificación y certificación equipos de alturas</t>
  </si>
  <si>
    <t>Verificacion y recertificacion TSA</t>
  </si>
  <si>
    <t>OE-3-Fortalecer el ecosistema de funcionalidades digitales para la gestión y el desarrollo de la actividad
misional mediante el uso de las TIC.</t>
  </si>
  <si>
    <t>PE-9- Tecnologías de información y comunicaciones al servicio de la academia y la ciencia</t>
  </si>
  <si>
    <t>ME-18- Incorporar elementos de tecnología a los talleres, laboratorios y aulas para enseñanza remota sincrónica en modalidad de alternancia</t>
  </si>
  <si>
    <t>Prestación de servicios para apoyar las actividades propas del área de informática y comunicaciones.</t>
  </si>
  <si>
    <t>Porcentaje de talleres y aulas habilitados con conexión remota.</t>
  </si>
  <si>
    <t>Renovación software Flexsim (fecha de vencimiento:29/10/2022 )</t>
  </si>
  <si>
    <t>Licencia de Sofware renovada</t>
  </si>
  <si>
    <t>Renovación software ISLonline y 400 licencias de antivirus Eset  (fecha de vencimiento: 10/08/2022 )</t>
  </si>
  <si>
    <t>Renovación software Automation Studio (fecha de vencimiento:22/004/2022)</t>
  </si>
  <si>
    <t>Renovación software Safetica DLP, ISL  y  Deslock (fecha de vencimiento: )</t>
  </si>
  <si>
    <t>Renovación software Simapro (fecha de vencimiento:)</t>
  </si>
  <si>
    <t>Renovación software rextore (fecha de vencimiento:  30/09/2021)</t>
  </si>
  <si>
    <t>Renovación software MasterCam  (fecha de vencimiento: 04/06/2022 )</t>
  </si>
  <si>
    <t>Renovación software Multisim - Labview  (fecha de vencimiento:10/05/2022)</t>
  </si>
  <si>
    <t>Renovación Licenciamiento  Open Value Subscription for Education Solutions (Campus Agreement) (fecha de vencimiento: 23/10/2022)</t>
  </si>
  <si>
    <t>Renovación software Solidworks (fecha de vencimiento: 15/07/2022)</t>
  </si>
  <si>
    <t>Renovación soporte plataforma Gnosoft (fecha de vencimiento:28/10/2021 )</t>
  </si>
  <si>
    <t>Renovación soporte Plataforma Gnosoft investigación (fecha de vencimiento:16/12/2022 )</t>
  </si>
  <si>
    <t>Renovación Software Enterprise Architect (Fecha de vencimiento: 20/04/2022)</t>
  </si>
  <si>
    <t>Renovación "4 licencias de Adobe Cloud + Adobe Sign Enterprise Transactional
Transacciones Anuales 1.500 + 2 Adobe DC pro" (Fecha de vencimiento: 22/10/2022)</t>
  </si>
  <si>
    <t>Renovación soporte y actualizacion SIAC (fecha de vencimiento: 01/12/2022)</t>
  </si>
  <si>
    <t xml:space="preserve">Soporte realizado </t>
  </si>
  <si>
    <t>Adquisición de herramienta para firma electrónica Adobe Sign Enterprise Transacciones Anuales 1.500 + 1 Adobe DC pro</t>
  </si>
  <si>
    <t>Heramienta adquirida</t>
  </si>
  <si>
    <t>Adquisición de herramienta para backups en la nube de One Drive</t>
  </si>
  <si>
    <t>Renovación del soporte de la herramienta para biblioteca KOHA (fecha de vencimiento: junio 2022)</t>
  </si>
  <si>
    <t>Adquisición de insumos para impresoras</t>
  </si>
  <si>
    <t xml:space="preserve">Insumos adquiridos </t>
  </si>
  <si>
    <t>Un mantenimiento correctivo y dos Mantenimientos preventivos de impresoras y scanners</t>
  </si>
  <si>
    <t>Mantenimiento realizado</t>
  </si>
  <si>
    <t>Mantenimiento de impresoras Datacard para carnetización</t>
  </si>
  <si>
    <t>Insumos de mantenimiento portatiles dañados + elementos para soporte y mantenimiento</t>
  </si>
  <si>
    <t xml:space="preserve">Insumos y mantenimiento adquiridos </t>
  </si>
  <si>
    <t xml:space="preserve">Instalación de un (1) canal de internet dedicado 1024 MB y  dos (2) MPLS 256 GB uno (1) de doce (12) MB para las sedes </t>
  </si>
  <si>
    <t>Canal de internet instalado</t>
  </si>
  <si>
    <t xml:space="preserve">ME-17- Adecuar las capacidades tecnológicas para atender las necesidades de los procesos misionales </t>
  </si>
  <si>
    <t>Adquisición e implementación del sistema de Gestión Académica SGA</t>
  </si>
  <si>
    <t>implementación del sistema de Gestión Académica SGA</t>
  </si>
  <si>
    <t>Implementación de IPV6</t>
  </si>
  <si>
    <t>Protocolo IPV6 implementado</t>
  </si>
  <si>
    <t>Soporte de los sistemas de información: siparc, rusia, koha,sigaf y siac</t>
  </si>
  <si>
    <t>siparc, rusia, koha, sigaf y siac con soporte</t>
  </si>
  <si>
    <t>ME-19- Implementar un modelo estratégico para impulsar la evolución digital de la ETITC, plasmado en el PETI.</t>
  </si>
  <si>
    <t>Actualización del modelo estrategico en el PETI</t>
  </si>
  <si>
    <t>Porcentaje de implementación de modelo estratégico en el PETI.</t>
  </si>
  <si>
    <t>PETI actualizado</t>
  </si>
  <si>
    <t>Ejecutar las actividades propias de la adecuación de infraestructura tecnológica en la ETITC</t>
  </si>
  <si>
    <t xml:space="preserve">Instalaciones adecuadas </t>
  </si>
  <si>
    <t>Actualización del PETI según normatividad vigente</t>
  </si>
  <si>
    <t>PETI Actualizado</t>
  </si>
  <si>
    <t>ME-20- Cumplimiento del 100% la Política de Gobierno Digital para 2021.</t>
  </si>
  <si>
    <t xml:space="preserve">Estructurar las actividades estrategicamente con la política de gobierno digital </t>
  </si>
  <si>
    <t>Porcentaje de implementación de la Política de Gobierno Digital</t>
  </si>
  <si>
    <t>Política implementada</t>
  </si>
  <si>
    <t>INSTITUTO DE BACHILLERATO TÉCNICO INDUSTRIAL</t>
  </si>
  <si>
    <t>ME-16- Centro de Atención al Docente del IBTI "La ETITC un lugar para todos."</t>
  </si>
  <si>
    <t xml:space="preserve"> Centro de atención que permita mejorar la condiciones laborales, la calidad de vida y la estadía de los docentes del IBTI en la Escuela.</t>
  </si>
  <si>
    <t>Número de docentes del IBTI  que se benefician del centro de atención / Total de docentes del IBTI *100</t>
  </si>
  <si>
    <t>CAD Diseñado e implementado</t>
  </si>
  <si>
    <t>Lo Social: Un acuerdo para lo fundamental</t>
  </si>
  <si>
    <t>OE-6-Aumentar la cobertura mediante programas de educación superior diferenciados, con alta
pertinencia regional de la institución.</t>
  </si>
  <si>
    <t>PE-15- El IBTI y su papel significativo en la consolidación de la Escuela</t>
  </si>
  <si>
    <t>ME-33 Promover la estrategia de Articulación `de tu escuela a mi escuela y a mi Universidad`</t>
  </si>
  <si>
    <t>Seguimiento y trazabilidad de los estudiantes admitidos a 6 grado 2022</t>
  </si>
  <si>
    <t>Número de estudiantes vinculados en la vigencia / 1300 * 100</t>
  </si>
  <si>
    <t>Seguimiento a estudiantes admitidos realizado</t>
  </si>
  <si>
    <t>1130 Estudiantes matriculados en el IBTI</t>
  </si>
  <si>
    <t xml:space="preserve">Proceso de Admisiones para conseguir el posicionamiento de la meta del proyecto </t>
  </si>
  <si>
    <t>Proceso de admisión ejecutado</t>
  </si>
  <si>
    <t xml:space="preserve">Acompañamiento  a los estudiantes que desean seguir en los PES en su proceso de continuidad academica grado 11 </t>
  </si>
  <si>
    <t>Acompañamiento relizado</t>
  </si>
  <si>
    <t>ME-32 Fortalecer el modelo educativo del IBTI que permita aumentar la cobertura, la permanencia y continuidad de la institución.</t>
  </si>
  <si>
    <t>* Formación docente en evaluación para los aprendizajes.
* Formación docente en interpretación y diseño de preguntas tipo Saber</t>
  </si>
  <si>
    <t>% avance del PEI</t>
  </si>
  <si>
    <t>PEI reestructurado</t>
  </si>
  <si>
    <t>* Jornadas de capacitación durante las semanas de desarrollo Institucional.                                                               * Implenetación de 2 pruebas anuales a lpos estudiantes del IBTI; paralelamente se capacitará a los docentes para la interpretación de los reultados y la definición de estrategias que los mejoren.</t>
  </si>
  <si>
    <t>pei implementado</t>
  </si>
  <si>
    <t xml:space="preserve"> ME-31- Fortalecer el proceso de articulación y/o integración entre las IEM (Instituciones de Educación Media) y la ETITC.</t>
  </si>
  <si>
    <t>Fortalecer el proceso de articulación y/o integración entre las IEM (Instituciones de Educación Media) y la ETITC.</t>
  </si>
  <si>
    <t>Porcentaje de egresados del IBTI que ingresan a PES de la ETITC.</t>
  </si>
  <si>
    <t>Información de las metricas entregadas</t>
  </si>
  <si>
    <t>OE-7 Implementar programas y acciones para asegurar la permanencia de los estudiantes.</t>
  </si>
  <si>
    <t>PE-16- Desarrollo integral y transformación social de la comunidad: bienestar comprometido con la permanencia</t>
  </si>
  <si>
    <t>ME-37- Implementar el Centro de Refuerzo Especializado Académico (CREA).</t>
  </si>
  <si>
    <t>1. Acompañamiento integral y en procesos de aprendizaje</t>
  </si>
  <si>
    <t>Número de estudiantes de los ciclos propedéuticos atendidos en el CREA / Total de estudiantes matriculados en los ciclos propedéuticos * 100</t>
  </si>
  <si>
    <t xml:space="preserve">Acompañamiento realizado </t>
  </si>
  <si>
    <t xml:space="preserve">
2. Caracterización de la población estudiantil en procesos de aprendizaje</t>
  </si>
  <si>
    <t xml:space="preserve">Caraterización de la población realizada </t>
  </si>
  <si>
    <t>ME-36- Implementar el  Banco de electivas de Bienestar Universitario y la Cátedra ETITC</t>
  </si>
  <si>
    <t>Diplomados (8),  cursos (1) y conferencias</t>
  </si>
  <si>
    <t>Número de electivas aprobadas en la vigencia / 3 *100</t>
  </si>
  <si>
    <t>Diplomados,  cursos y conferencias realizados</t>
  </si>
  <si>
    <t>ME-35 Formular e implementar el registro único de seguimiento de información y acompañamiento (RUSIA) de la comunidad educativa de la institución</t>
  </si>
  <si>
    <t>Identificación tiempos de procedimiento y responsables de seguimiento</t>
  </si>
  <si>
    <t>Estudiantes registrados en Rusia durante la vigencia / 3600 * 100</t>
  </si>
  <si>
    <t>Seguimientos realizados</t>
  </si>
  <si>
    <t>1.200 estudiantes registrados en RUSIA</t>
  </si>
  <si>
    <t xml:space="preserve">4. Definición estrategias de mitigación sobre riesgos y poblaciones encontradas  </t>
  </si>
  <si>
    <t>Estrategias definidas</t>
  </si>
  <si>
    <t>Identificación de perfiles de impacto  y reporte de impacto</t>
  </si>
  <si>
    <t>Reportes realizados</t>
  </si>
  <si>
    <t>ME-34- Fortalecer el Programa de Atencion Básica Ampliada.</t>
  </si>
  <si>
    <t>Dar continuidad a los servicios de Bienestar univiersitario</t>
  </si>
  <si>
    <t>Número de participantes en servicios de bienestar / Total de integrantes de la comunidad educativa * 100</t>
  </si>
  <si>
    <t>Servicios ofertados</t>
  </si>
  <si>
    <t xml:space="preserve">CAMPETITC:
Torneos SUE
Torneos externos
carreras atleticas
caminatas
Deportes Extremos
</t>
  </si>
  <si>
    <t xml:space="preserve">Actividades desarrolladas </t>
  </si>
  <si>
    <t>LA ETITC VISACAVI:
Pausas activas
Conferencias
Material Deportivo
Mantenimiento Gimnasio</t>
  </si>
  <si>
    <t>1. Disminuir los factores de riesgo en salud de la comunidad educativa mediante programas, campañas y talleres para mejorar su calidad de vida.</t>
  </si>
  <si>
    <t>Programas, talleres y capacitaciones realizadas</t>
  </si>
  <si>
    <t>2. Promover la salud y prevenir la enfermedad a través de estrategias de acompañamiento individual como colectivo</t>
  </si>
  <si>
    <t>Acompañamientos realizados</t>
  </si>
  <si>
    <t>Formación Espiritual y personal.</t>
  </si>
  <si>
    <t>Actividades realizadas</t>
  </si>
  <si>
    <t>Subsidio de alimentación.</t>
  </si>
  <si>
    <t>Filantropía.</t>
  </si>
  <si>
    <t>Proyecto de Salud Mental, líneas;
1. Docentes, Consecuentemente
2. Estudiantes, Sanamente</t>
  </si>
  <si>
    <t>Proyecto "Yo me quiero, yo me cuido, yo decido bien"</t>
  </si>
  <si>
    <t>Proyecto ejecutado</t>
  </si>
  <si>
    <t>Proyecto La Cultura Somos Todos</t>
  </si>
  <si>
    <t>Proyecto Inclusión Educativa, Intercultural y de Género Para la Comunidad de Educación Superior de La ETITC “Inclúyeme" - Componente Diversidad Sexual y de género</t>
  </si>
  <si>
    <t>Proyecto Inclusión Educativa, Intercultural y de Género Para la Comunidad de Educación Superior de La ETITC “Inclúyeme" - Componente Discapacidad y Diversidad Intercultural</t>
  </si>
  <si>
    <t>Proyecto Bienestar con Impacto social</t>
  </si>
  <si>
    <t xml:space="preserve">PE-23- La catedra institucional de la Escuela </t>
  </si>
  <si>
    <t>ME-57- Diseñar e implementar  la catedra ETITC</t>
  </si>
  <si>
    <t>Diseñar e implementar  la catedra ETITC</t>
  </si>
  <si>
    <t>% de diseño e implementación de la catedra ETITC alcanzado</t>
  </si>
  <si>
    <t>La catedra ETITC  diseñada e implementada</t>
  </si>
  <si>
    <t>OE-1- Consolidar la calidad académica para la acreditación institucional de alta calidad respaldada fortalecimiento
de la gestión, la infraestructura tecnológica y física</t>
  </si>
  <si>
    <t>PE-3- Lenguas Extranjeras como oportunidad para la movilidad internacional</t>
  </si>
  <si>
    <t>ME-3- Desarrollar una política institucional de apropiación de una segunda lengua como parte activa de la gestión curricular, y condición para la titulación en el nivel de ingeniería, a partir del 2023.</t>
  </si>
  <si>
    <t>Adquirir una plataforma académica segundo idioma</t>
  </si>
  <si>
    <t>Porcentaje de programas de educación superior articulados a la política institucional de lengua extranjera</t>
  </si>
  <si>
    <t>Plataforma academica segundo idioma adquirida y puesta en marcha</t>
  </si>
  <si>
    <t>PE1. Acreditación Institucional de Alta Calidad</t>
  </si>
  <si>
    <t>Prestación de servicios en las actividades de aseguramiento de la calidad</t>
  </si>
  <si>
    <t>5 Contratos formalizados. Ejecución contractual Prestación Servicios Profesionales Aseguramiento de Calidad. Ejecución contractual</t>
  </si>
  <si>
    <t xml:space="preserve">Prestación servicios profesionales apoyo a la gestion. actividades del Despacho </t>
  </si>
  <si>
    <t>Ejecución contractual. Prestación de servicios en las actividades del Despacho de la Escuela Tecnológica Instituto Técnico Central</t>
  </si>
  <si>
    <t>PE-4- Modelo de gestión académica curricular soportada en resultados de aprendizaje y competencias</t>
  </si>
  <si>
    <t>ME-4- Implementar el modelo de evaluación por resultados de aprendizaje y competencias, soportado en los lineamientos del MEN y el  sistema interno de aseguramiento de la calidad académica.</t>
  </si>
  <si>
    <t>Capacitación para profesores en resultados de aprendizaje, sus estrategias didacticas y su evaluación.</t>
  </si>
  <si>
    <t>Número de Syllabus actualizados</t>
  </si>
  <si>
    <t>Diseño  y evaluación microcurricular soportada en resultados de aprendizaje y competencias</t>
  </si>
  <si>
    <t>Porcentaje de programas de educación superior articulados al modelo de evaluación por resultados de aprendizaje y competencias</t>
  </si>
  <si>
    <t>Diseño y evaluación microcurricular realizada</t>
  </si>
  <si>
    <t>ME-29-  Lograr  al 2023 el Registro Calificado de 1 Especialización Profesional, 1 Especialización Tecnológica, al 2024, 3 carrera profesional por ciclos y 1 Maestría.</t>
  </si>
  <si>
    <t>Documentos estructurados</t>
  </si>
  <si>
    <t>ME-30-  Lograr al 2024, que el 50% de los programas con registro calificado en la modalidad presencial  esten convertidos a modalidad semipresencial (blended).</t>
  </si>
  <si>
    <t>OE-3- Fortalecer el ecosistema de funcionalidades digitales para la gestión y el desarrollo de la actividad
misional mediante el uso de las TIC.</t>
  </si>
  <si>
    <t>FACULTAD DE ELECTROMECÁNICA</t>
  </si>
  <si>
    <t xml:space="preserve">2° Fase del proyecto aulas para alternancia </t>
  </si>
  <si>
    <t>Elementos adquiridos y con soporte técnico</t>
  </si>
  <si>
    <t>Laboratorio de Inmotica</t>
  </si>
  <si>
    <t>tg</t>
  </si>
  <si>
    <t>Certificar a docentes y estudiantes en nuevas tecnologías de software</t>
  </si>
  <si>
    <t>Docentes y estudintes certificados en nuevas tecnologias de software</t>
  </si>
  <si>
    <t>EOE-11-Aumentar la cobertura mediante programas de educación superior diferenciados,
con alta pertinencia regional.</t>
  </si>
  <si>
    <t xml:space="preserve">PE-27-   Diseñar y ofertar nuevos programas de pregrado con alta pertinencia regional rural
</t>
  </si>
  <si>
    <t>ME-71-  Estructurar  y gestionar el registro de   Pregrado en Ingeniería de energías por ciclos.</t>
  </si>
  <si>
    <t>Diseño y construcción de los nuevos plan de estudios de a nivel de pregrado. Ingenieria en Energias.</t>
  </si>
  <si>
    <t>Porcentaje Registro del pregrado en Ingeniería de energías por ciclos alcanzado</t>
  </si>
  <si>
    <t>Porcentaje del registro alcanzado</t>
  </si>
  <si>
    <t>PE-1- Acreditación Institucional de Alta Calidad</t>
  </si>
  <si>
    <t>Documentos maestros y syllabus  actualizados</t>
  </si>
  <si>
    <t>Fases del Consejo Nacional de Acreditación alcanzadas</t>
  </si>
  <si>
    <t>PE-5- MIPG y Los sistemas de gestión para una gobernanza transparente</t>
  </si>
  <si>
    <t>Profesional de Apoyo Facultad para el apoyo de la gestión</t>
  </si>
  <si>
    <t xml:space="preserve"> Profesional de Apoyo Facultad para el apoyo de la gestión</t>
  </si>
  <si>
    <t>Planificación</t>
  </si>
  <si>
    <t xml:space="preserve">Capacitación a docentes </t>
  </si>
  <si>
    <t>Porcentaje de programas de educación superior articulados al modelo de evaluación por resultados de aprendizaje y competencias.</t>
  </si>
  <si>
    <t>Docentes capacitados</t>
  </si>
  <si>
    <t xml:space="preserve">PE-6- Egresados como embajadores institucionales </t>
  </si>
  <si>
    <t>Apoyo en la implementación del SADE</t>
  </si>
  <si>
    <t>Porcentaje de implementación del SADE.</t>
  </si>
  <si>
    <t>Listados de asistencia, grabaciones de egresados y participación a reuniones y capacitaciones</t>
  </si>
  <si>
    <t>OE.4- Fortalecer la visibilidad de la escuela bajo en entorno de asertividad para el posicionamiento
nacional e internacional.</t>
  </si>
  <si>
    <t>PE12. Internacionalización para ampliar fronteras del conocimiento</t>
  </si>
  <si>
    <t>Participación en eventos como: Encuentro RIEM 2022</t>
  </si>
  <si>
    <t>LIstados de asistencia y grabaciones al encuentro RIEM 2022</t>
  </si>
  <si>
    <t>Movilidad de docentes y estudiantes</t>
  </si>
  <si>
    <t>Movilidades Nacionales. Inscripiciones, pasajes,  y auxilio de viaje (estudiantes)</t>
  </si>
  <si>
    <t xml:space="preserve">Proecesos de movilidad ejecutados </t>
  </si>
  <si>
    <t>OE-7- Implementar programas y acciones para asegurar la permanencia de los estudiantes.</t>
  </si>
  <si>
    <t>Visita a empresas del sector y actividades de acercamiento</t>
  </si>
  <si>
    <t>Grabaciones y listados de visita a empresas del sector y actividades realizadas</t>
  </si>
  <si>
    <t xml:space="preserve">OE-8-Fortalecer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</si>
  <si>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PE-18 Fortalecimiento permanente en competencias de investigacion, ciencia, tecnologia e innovación en la ETITC</t>
  </si>
  <si>
    <t>ME-44- Diseñar  e implementar  un Programa de fortalecimiento de grupos de investigación y ampliación de las modalidades de investigación.</t>
  </si>
  <si>
    <t>Almacen de suministros recuperados de equipos en desuso , que son funcionales para ser usados en proyectos de grado o integradores y reducir el costo de los mismos</t>
  </si>
  <si>
    <t>Programa de fortalecimiento de grupos y de investigación implementado</t>
  </si>
  <si>
    <t xml:space="preserve">Adecuación de almacen </t>
  </si>
  <si>
    <t>Vehiculo Eléctrico y documentación asociada, cotizaciones, facturas de compra, remisiones.</t>
  </si>
  <si>
    <t>Proceso pre y contractual realizado</t>
  </si>
  <si>
    <t>Cargador eléctrico y documentación asociada, cotizaciones, facturas de compra, remisiones.</t>
  </si>
  <si>
    <t>OE-9-La Extensión y la Proyección social como aporte al desarrollo de capacidades.</t>
  </si>
  <si>
    <t>PE-20- Centro de capacitación industrial como espacio de cualificación para la empleabilidad a mediando plazo</t>
  </si>
  <si>
    <t xml:space="preserve">ME-50- Consolidar y fortalecer el vínculo entre empresa, estado - academia ETITC
</t>
  </si>
  <si>
    <t>Personal certificado según AWS</t>
  </si>
  <si>
    <t>Número de empresas vinculadas por diferentes factores con la ETITC/ 40 *100</t>
  </si>
  <si>
    <t>Certificaciones suministradas</t>
  </si>
  <si>
    <t>FACULTAD DE MECATRÓNICA</t>
  </si>
  <si>
    <t>Grabaciones, fotos soporte de las actividades de movilidad e internacionalización</t>
  </si>
  <si>
    <t>Movilidades Nacionales. Inscripciones, pasajes, viáticos (Docentes)</t>
  </si>
  <si>
    <t>Movilidades Internacionales (estudiantes)</t>
  </si>
  <si>
    <t>Movilidades Internacionales (docentes)</t>
  </si>
  <si>
    <t>Movilidades (Asistencia Encuentro con redes Acofi, Congreso Acofi, asistencia a eventos nacionales e internacionals en representación de la ETITC) Decanos y Vicerrector Academico</t>
  </si>
  <si>
    <t>Membresías</t>
  </si>
  <si>
    <t>Encuentro Nacional RIIMA - Red de Ingenieria Mecatronica (Decanos y Directores de programa)</t>
  </si>
  <si>
    <t>Infomatrix 2022</t>
  </si>
  <si>
    <t>Robomatrix 2022</t>
  </si>
  <si>
    <t>Participación experto internacional en II Congreso  Internacional de Educacion en Ciencias Sociales</t>
  </si>
  <si>
    <t>Tiquetes y alojamiento experto internacional en II Congreso  Internacional de Educacion en Ciencias Sociales</t>
  </si>
  <si>
    <t xml:space="preserve"> PE-19- Innovación para el  Fortalecimiento Institucional y el Desarrollo Social.</t>
  </si>
  <si>
    <t>ME-47- Fortalecer las redes de innovación y alianzas estratégicas de cooperación con otros actores del Sistema Nacional de Ciencia Tecnología e Innovación – SNCTI, sector público, privado y academia para actividades de Investigación, Desarrollo e Innovación - I+D+i.</t>
  </si>
  <si>
    <t>Evento STEM, tecnologias convergentes y robotica, (Estudiantes educacion media)</t>
  </si>
  <si>
    <t>Relaciones estratégicas con otros actores del SNCTI</t>
  </si>
  <si>
    <t>Participación en eventos</t>
  </si>
  <si>
    <t>ME-11-Implementar el Sistema de Acompañamiento al desarrollo del Egresado - SADE., con responsabilidad social y académica.</t>
  </si>
  <si>
    <t>Fortalecimiento comunidad egresados</t>
  </si>
  <si>
    <t>Evento fortalecimiento habilidades y competencias egresados facultad Mecatronica</t>
  </si>
  <si>
    <t>PE5. MIPG y Los sistemas de gestión para una gobernanza transparente</t>
  </si>
  <si>
    <t xml:space="preserve">Auxiliar Administrativo Facultad </t>
  </si>
  <si>
    <t>Fortalecimiento de competencias disciplinares de los profesores de la facultad.</t>
  </si>
  <si>
    <t>Procesos de capacitación ejecutados</t>
  </si>
  <si>
    <t>FACULTAD DE PROCESOS INDUSTRIALES</t>
  </si>
  <si>
    <t>Tiquetes Participación experto internacional en X Congreso de gestión del Conocimiento en Ingeniería</t>
  </si>
  <si>
    <t xml:space="preserve">Alojamiento experto internacional en X Congreso Internacional en gestión del conocimiento en Ing. </t>
  </si>
  <si>
    <t>V Encuentro de la red de programa de ingeniería Industrial</t>
  </si>
  <si>
    <t>Eventos con egresados</t>
  </si>
  <si>
    <t>Evento fortaleciemiento habilidades y competencias egresados facultad Procesos</t>
  </si>
  <si>
    <t>PE-4- Modelo de gestión académica curricular soportada en resultados de
aprendizaje y competencias</t>
  </si>
  <si>
    <t>Reunión docentes facultad para mejora curricular del programa</t>
  </si>
  <si>
    <t>Revisar y actualizar los documentos maestros del programa ingenieria en procesos farmaceuticos por ciclos, con fines de solicitud del registro calificado</t>
  </si>
  <si>
    <t>Documentos actualizados</t>
  </si>
  <si>
    <t>Apoyo a la gestión en la Decanatura de Procesos Industriales</t>
  </si>
  <si>
    <t>Ejecucióin contractual</t>
  </si>
  <si>
    <t>PE-9-  Tecnologías de información y comunicaciones al servicio de la academia y la ciencia</t>
  </si>
  <si>
    <t>Renovación licencia FlexSim</t>
  </si>
  <si>
    <t xml:space="preserve">Por confirmar </t>
  </si>
  <si>
    <t>Capacitación en manejo de software especializado Flexsim (por 3 asistentes)</t>
  </si>
  <si>
    <t>Capacitación en manejo de software especializado Flexsim 2 (por 3 asistentes)</t>
  </si>
  <si>
    <t xml:space="preserve"> PE-18- Fortalecimiento permanente en Competencias en investigación, ciencia, tecnología e innovación en la ETITC   </t>
  </si>
  <si>
    <t xml:space="preserve">ME-43- Diseñar  e implementar  un Programa de capacitación permanente para la Investigación, Ciencia, Tecnología e Innovación y de fortalecimiento de la investigación en la ETITC. </t>
  </si>
  <si>
    <t>Programa de capacitación permanente implementado</t>
  </si>
  <si>
    <t>Certificación Lean Mangement como opción de grado</t>
  </si>
  <si>
    <t xml:space="preserve">PE-21- Proyección Social más allá de las fronteras
</t>
  </si>
  <si>
    <t>Oferta de cursos, propuestos por la facultad a la Oficina de extension. e-learning FlexSim</t>
  </si>
  <si>
    <t>Programas de proyección social estructurados</t>
  </si>
  <si>
    <t>ME-70-  Estructurar  y gestionar el registro de   Pregrado en Ingeniería Ambiental por ciclos.</t>
  </si>
  <si>
    <t>Diseño y construcción de los nuevos plan de estudios a nivel de pregrado. Ingenieria Ambiental.</t>
  </si>
  <si>
    <t>Porcentaje Registro del pregrado en Ingeniería Ambiental por ciclos alcanzado</t>
  </si>
  <si>
    <t xml:space="preserve">Diseño y construcción del nuevo programa </t>
  </si>
  <si>
    <t>FACULTAD DE MECÁNICA</t>
  </si>
  <si>
    <t>PE- 12- Internacionalización para ampliar fronteras del conocimiento</t>
  </si>
  <si>
    <t>Participación en el concurso de vehiculo de tracción humana VTH</t>
  </si>
  <si>
    <t>Porcentaje de implementación de la politica Institucional de internacionalización y coperación nacional e internacional</t>
  </si>
  <si>
    <t>Participación en eventos de movilidad académica</t>
  </si>
  <si>
    <t>Participación en el concurso de  vehiculo tracción eléctrica VTE.</t>
  </si>
  <si>
    <t>Movilidades para docentes y estudiantes</t>
  </si>
  <si>
    <t xml:space="preserve">Participación y  asistencia  en encuentro con redes Acofi, Congreso Acofi, asistencia a eventos nacionales e internacionals en representación de la ETITC) </t>
  </si>
  <si>
    <t>Seminarios en gestión  del   mantenimiento, Ensayos No destructivos, estimación de la vida residual de calderas y recipientes a presión</t>
  </si>
  <si>
    <t>ME-69- Estructurar y gestionar el registro de Pregrado en Ingeniería Agrícola por ciclos</t>
  </si>
  <si>
    <t xml:space="preserve">Surtir el proceso para solicitar el registro calificado del pregrado en ingenieria Agricola por ciclos </t>
  </si>
  <si>
    <t>Porcentaje Registro del pregrado en Ingeniería Agrícola por ciclos alcanzado</t>
  </si>
  <si>
    <t xml:space="preserve">Documentos que soporten el proceso de solicitud del registro calificado </t>
  </si>
  <si>
    <t>FACULTAD DE SISTEMAS</t>
  </si>
  <si>
    <t>Reunión Gestión Curricular</t>
  </si>
  <si>
    <t>Sesiones realizadas</t>
  </si>
  <si>
    <t>Actualizar el PEP de la facultad</t>
  </si>
  <si>
    <t>PEP de la Facultad de Sistemas actualizados</t>
  </si>
  <si>
    <t xml:space="preserve">Proceso de formación realizado </t>
  </si>
  <si>
    <t>Formación complementaria - profesores de la facultad.</t>
  </si>
  <si>
    <t>Proceso de capacitación realizado</t>
  </si>
  <si>
    <t>Proyecto Articulador</t>
  </si>
  <si>
    <t>Proyecto Articulador diseñado e implementado</t>
  </si>
  <si>
    <t>Seminario de ingeniería de Sistemas</t>
  </si>
  <si>
    <t>Actiivdad realizada</t>
  </si>
  <si>
    <t>Evento, fortaleciemiento habilidades y competencias egresados facultad</t>
  </si>
  <si>
    <t>Evento realizado</t>
  </si>
  <si>
    <t>PE-12- Internacionalización para ampliar fronteras del conocimiento</t>
  </si>
  <si>
    <t>Encuetro Nacional REDIS - Redde decanos y directores de Ingeniería de Sistemas</t>
  </si>
  <si>
    <t>Grabación de eventos, y documentos que verifiquen la participación en eventos de movilidad académica</t>
  </si>
  <si>
    <t>EHSP 2021 Internacional</t>
  </si>
  <si>
    <t>Sede - Circuitos de maratones</t>
  </si>
  <si>
    <t>Inscripción de equipos Maratón nacional de programación</t>
  </si>
  <si>
    <t>Renovación licencia Enterprise Archictect</t>
  </si>
  <si>
    <t>Renovación adquirida</t>
  </si>
  <si>
    <t>Kits de informática forense (3) y formación</t>
  </si>
  <si>
    <t>Instrumento adquirido</t>
  </si>
  <si>
    <t>Fase II - Laboratorio de IA y Ciencia de Datos</t>
  </si>
  <si>
    <t>Fase II completada</t>
  </si>
  <si>
    <t>PE-14- Nuevos programas  de pregrado y posgrado</t>
  </si>
  <si>
    <t>ME-29-  Lograr  al 2023 el Registro Calificado de 1 Especialización Profesional, 1 Especialización Tecnológica, al 2024, 1 carrera profesional por ciclos y 1 Maestría.</t>
  </si>
  <si>
    <t>Diseño y construcción del programa de Maestría relacionada con Seguirdad Informática (Estudio de Factibilidad)</t>
  </si>
  <si>
    <t>Documento elaborados</t>
  </si>
  <si>
    <t>Diseño y construcción del programa de Maestría relacionada con Seguirdad Informática (Documento mestro y anexos)</t>
  </si>
  <si>
    <t>FACULTAD DE ESPECIALIZACIONES</t>
  </si>
  <si>
    <t>Diseño y construcción de todos los documentos y anexos necesarios para las tres (3) nuevas especializaciones (cambio de caracter académico)</t>
  </si>
  <si>
    <t>Documentos diseñados y estructurados</t>
  </si>
  <si>
    <t>OE-10-Establecer un nuevo acuerdo ambiental mediante una
política institucional ambiental y la catedra institucional
en la ETITC.</t>
  </si>
  <si>
    <t>PE-26- Actualización de la infraestructura física, cumpliendo normativas aplicables y generando espacios adecuados para el desarrollo de actividades académicas y de bienestar en un el marco de la sostenibilidad</t>
  </si>
  <si>
    <t>ME-68- Gestionar las dotaciones de las instalaciones y sede principal para la permanencia y aumento de la oferta</t>
  </si>
  <si>
    <t>Equipos instalados y entregados</t>
  </si>
  <si>
    <t>Porcentaje de las dotaciones nuevas instaladas y mantenimiento de las dotaciones existentes</t>
  </si>
  <si>
    <t>BIBLIOTECA Y MEDIOS EDUCATIVOS</t>
  </si>
  <si>
    <t>Prestación de servicios para el correcto funcionamiento del área</t>
  </si>
  <si>
    <t>Renovación de contenidos y servicios   para la Biblioteca Digital E-Books 7-24, como apoyo a las actividades académicas e investigación de la comunidad en general durante doce (12).  Editorial Pearsons</t>
  </si>
  <si>
    <t>Renovación ejecutada</t>
  </si>
  <si>
    <t xml:space="preserve">Renovación de contenidos y servicios   para la Biblioteca Digital E-Books 7-24, como apoyo a las actividades académicas e investigación de la comunidad en general durante doce (12).  Editorial mc. Graw Hill </t>
  </si>
  <si>
    <t>Renovación Servicio Especializado de Metabiblioteca (servidor en internet modalidad cloud services) de los Sistemas Koha, OJS, Dspace y la implementacion del sistema Metaproxy, Soportes Digitales de Información.</t>
  </si>
  <si>
    <t>Renovación anual de diarios nacionales El TIEMPO, ESPECTADOR PORTAFOLIO y revista
SEMANA</t>
  </si>
  <si>
    <t>Digitalización Proyectos de Grado para Repositorio Institucional</t>
  </si>
  <si>
    <t>Digitalización realizada</t>
  </si>
  <si>
    <t>Actualización de material bibliográfico impreso</t>
  </si>
  <si>
    <t>Elementos bibliograficos adquiridos</t>
  </si>
  <si>
    <t>Adquisición de elementos: 
*Cámara fotográfica Nikon D5600 con lente 18-55 VR
*Impresora Color Duplex Carnets
*1. Cinta Color frente y Negro Reverso
*Cinta de laminado con holograma
*Cinta transparente laminado
*Tarjetas Blancas Calibre 30</t>
  </si>
  <si>
    <t>Servicio de mantenimiento para: 
Preventivo Video Beam
Preventivo Impresora Color Duplex Carnets</t>
  </si>
  <si>
    <t xml:space="preserve">Mantenimientos realizados </t>
  </si>
  <si>
    <t>Los Institucional: La transformación cultural de la ETITC</t>
  </si>
  <si>
    <t>PE-9 Tecnologías de información y comunicaciones al servicio de la academia y la ciencia</t>
  </si>
  <si>
    <t>ME-17 Adecuar las capacidades tecnológicas para atender las necesidades de los procesos misionales.</t>
  </si>
  <si>
    <t>Mantenimiento de horno de inducción y mexcladora de rulos (Fundición)</t>
  </si>
  <si>
    <t xml:space="preserve">Mantenimiento realizado </t>
  </si>
  <si>
    <t>Mantenimiento de equipos de laboratorio quimica y fisica  tales como fuentes de energia  dc y ac,  microscopios binoculares y monoculares de tres objetivos , balanzas electronicas.</t>
  </si>
  <si>
    <t>Mantenimiento de las impresoras del taller de diseño</t>
  </si>
  <si>
    <t>Mantenimiento preventivo, correctivo y calibración de los equipos del taller de electrónica.</t>
  </si>
  <si>
    <t>Mantenimiento preventivo, correctivo de equipos y maquinaria del taller de Metalisteria</t>
  </si>
  <si>
    <t>Mantenimiento y calibración para los equipos del taller de Motores, para el desarrollo de las clases teorico-practicas en apoyo a IBTI, PES y extensión y desarrollo</t>
  </si>
  <si>
    <t xml:space="preserve">Mantenimiento y calibración de: Motores monofasicos, trifasicos, transformadores monofasicos y trifasicos, torrecilla para medidas y máquinas electrícas DL 1013M3, multimetros, osciloscopios, módulos inductivos, capacitivos y resistivos DL Lorenzo, cámara termográfica, analizador de redes, variacs. </t>
  </si>
  <si>
    <t>Mantenimiento preventivo y correctivo y calibración de los equipos:
1. Taller de Mecánica
2. Taller de Automatización industrial
3.Taller de FAB LAB
4. Taller de insustria 4.0
5.Taller instalaciones eléctricas B.T.
6.Taller de domótica
7. taller de tratamientos térmicos.</t>
  </si>
  <si>
    <t>Adquisición de insumos para: 
1. Taller de fundición
2. laboratorio de sistemas
3. Taller de diseño</t>
  </si>
  <si>
    <t>Suministro de insumos y materiales.
Taller de Motores.
taller de electricidad
taller de Mecánica
taller de FAB LAB
taller de Insustria 4.0
taller de Automatización industrial
taller de Instalaciones eléctricas de B.T.
taller de Domótica
taller de Tratamientos térmicos</t>
  </si>
  <si>
    <t xml:space="preserve">Adquisición de equipos de laboratorio para física y química  </t>
  </si>
  <si>
    <t>Compra venta de equipos de instrumentación como apoyo a las actividades academicas para los estudiantes de IBTI y PES de talleres y Laboratorios del taller de electrónica.</t>
  </si>
  <si>
    <t>Suministro de insumos para el desarrollo de las actividades academico tecnicas  de los PES, IBTI y Programas de extension del taller de Metalisteria</t>
  </si>
  <si>
    <t>Modernización Taller metalistería/Soldadura</t>
  </si>
  <si>
    <t>Taller modernizado</t>
  </si>
  <si>
    <t>Organizar el espacio adecuado para el "Laboratorio de Metrología"</t>
  </si>
  <si>
    <t xml:space="preserve">Espacios adecuados </t>
  </si>
  <si>
    <t>Implementar un sistema de información y estadística de consulta y reporte en tiempo real que permita</t>
  </si>
  <si>
    <t xml:space="preserve">Sistema Implementado </t>
  </si>
  <si>
    <t>Presentación digital de los talleres y laboratorios</t>
  </si>
  <si>
    <t>Modernización taller de fundición</t>
  </si>
  <si>
    <t>Laboratorio de vehículos eléctricos</t>
  </si>
  <si>
    <t xml:space="preserve">Laboratorio estructurado y en funcionamiento </t>
  </si>
  <si>
    <t>Interventoría proyectos especiales</t>
  </si>
  <si>
    <t>Contratación Laboratoristas</t>
  </si>
  <si>
    <t xml:space="preserve">OE-5- Consolidar la infraestructura física de la Escuela para el desarrollo de la academia y la consolidación
de las nuevas apuestas institucionales. </t>
  </si>
  <si>
    <t>INSTALACIONES KENNEDY</t>
  </si>
  <si>
    <t>PE-13- Gestión integral de inmuebles</t>
  </si>
  <si>
    <t>ME-26 Formular el plan de administración e intervención  de las instalaciones en comodato Localidad Kennedy</t>
  </si>
  <si>
    <t>Diagnóstico de necesidades de mantenimiento de la infraestructura eléctrica de las instalaciones del Tintal y Carvajal -  Contratación de un profesional que brinde el apoyo en el mantenimiento del sistema eléctrico del Tintal y Carvajal.</t>
  </si>
  <si>
    <t>Porcentaje de formulación del Plan de administración e intervención de las instalaciones en comodato.</t>
  </si>
  <si>
    <t>Diagnóstico realizado</t>
  </si>
  <si>
    <t>Mantener las instalaciones de Kennedy en óptimas condiciones.</t>
  </si>
  <si>
    <t xml:space="preserve">Diagnóstico de necesidadedes para el  desarrollo de las actividades misionales de las instalaciones Tintal y Carvajal -  Contratación de cuatro profesionales que brinden el  servicio en el área de enfermeria Carvajal , psicología, tallerista medios audiovisuales, apoyo talleres y laboratorios  y biblioteca. </t>
  </si>
  <si>
    <t>Diagnóstico de necesidades de mantenimiento de la infraestructura locativa de las instalaciones del Tintal y Carvajal -  Contratación de un profesional que brinde el apoyo en el mantenimiento locativo.</t>
  </si>
  <si>
    <t>Porcentaje de ejecución del Plan de administración e intervención de las instalaciones en comodato.</t>
  </si>
  <si>
    <t>Dotar los talleres y laboratorios de las instalaciones Kennedy</t>
  </si>
  <si>
    <t>Diagnóstico de la necesidad estratégica,implementación - estudio de mercado. Ejecución- compra de los elementos y reclutamiento de un profesional para soporte tecnológico.</t>
  </si>
  <si>
    <t>VICERRECTORIA ACADÉMICA</t>
  </si>
  <si>
    <t>VICERRECTORIA DE INVESTIGACIÓN EXTENSIÓN Y TRANSFERENCIA</t>
  </si>
  <si>
    <t>Los social: Un acuerdo para lo fundamenta</t>
  </si>
  <si>
    <t>PE. 17 Centro de Pensamiento y Desarrollo Tecnológico</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</si>
  <si>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</si>
  <si>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Actividades de  prefactibilidad</t>
  </si>
  <si>
    <t>Estudios de prefactibilidad</t>
  </si>
  <si>
    <t xml:space="preserve">Informes realizados </t>
  </si>
  <si>
    <t>ME-40 Establecer la red institucional y de alianzas estratégicas del Centro con los respectivos sosportes que los respalde</t>
  </si>
  <si>
    <t>Actividades de red institucional</t>
  </si>
  <si>
    <t xml:space="preserve">Lineas de investigación y focos estratégicos definidos </t>
  </si>
  <si>
    <t>Actividades de Coordinación del proyecto (Contrato prestación servicios)</t>
  </si>
  <si>
    <t xml:space="preserve">Actividades de acompañamiento y asesoria del Centro de Pensamiento (Contrato prestación de servicios) </t>
  </si>
  <si>
    <t>PE. 18. Fortalecimiento Permanente en Competencias en Investigación, Ciencia, Tecnología e Innovación en la ETITC</t>
  </si>
  <si>
    <t>ME-43- Diseñar  e implementar  un Programa de capacitación permanente para la Investigación, Ciencia, Tecnología e Innovación y de fortalecimiento de la investigación en la ETITC.</t>
  </si>
  <si>
    <t>Curso de redacción de artículos</t>
  </si>
  <si>
    <t>Programa de capacitaciones permanente implementado</t>
  </si>
  <si>
    <t>Informe de capacitación</t>
  </si>
  <si>
    <t xml:space="preserve">Curso de formulación de proyectos </t>
  </si>
  <si>
    <t xml:space="preserve">Curso de capacitación en vigilancia tecnológica 
</t>
  </si>
  <si>
    <t>Renovación  y capacitación en  base de datos  Web Of Science</t>
  </si>
  <si>
    <t>Resolucion renovación
Informe</t>
  </si>
  <si>
    <r>
      <t>Capacitación en temáticas de propiedad intelectual   y derechos de autor</t>
    </r>
    <r>
      <rPr>
        <sz val="14"/>
        <color rgb="FFFF0000"/>
        <rFont val="Calibri"/>
        <family val="2"/>
        <scheme val="minor"/>
      </rPr>
      <t xml:space="preserve">
</t>
    </r>
  </si>
  <si>
    <t>Informe</t>
  </si>
  <si>
    <t xml:space="preserve">Renovación y capacitación de la herramienta Turnitin </t>
  </si>
  <si>
    <t xml:space="preserve">ME. 44. Diseñar  e implementar  un Programa de fortalecimiento de grupos de investigación y ampliación de las modalidades de investigación. </t>
  </si>
  <si>
    <t>Actividades de gestión de investigación estudiantil  (Contrato Prestación de servicios)</t>
  </si>
  <si>
    <t xml:space="preserve">Programa de fortalecimiento de grupos y de investigación implementado </t>
  </si>
  <si>
    <t>Actividades de gestión de apoyo a la investigación y apoyo a grupos   (Contrato Prestación de servicios)</t>
  </si>
  <si>
    <t xml:space="preserve">Convocatorias 09 -2021 y 10-2022  Financiación  proyectos de investigación para grupos  </t>
  </si>
  <si>
    <t>Proyectos de investigación</t>
  </si>
  <si>
    <t xml:space="preserve">Convocatoria 02   Proyectos Disciplinares </t>
  </si>
  <si>
    <t>Proyectos disciplinares</t>
  </si>
  <si>
    <t>II Encuentro Institucional Docentes investigadores</t>
  </si>
  <si>
    <t xml:space="preserve">Participantes </t>
  </si>
  <si>
    <t xml:space="preserve">Conmemoración dia del investigador </t>
  </si>
  <si>
    <t>informe</t>
  </si>
  <si>
    <t xml:space="preserve">Participación convocatorias externas de proyectos de investigación  ( Convenio SUE-) </t>
  </si>
  <si>
    <t>Proyectos aprobados</t>
  </si>
  <si>
    <t>Afiliación a Redcolsi</t>
  </si>
  <si>
    <t>Resolución Membresía</t>
  </si>
  <si>
    <t>IX Campamento de Semilleros de Investigación</t>
  </si>
  <si>
    <t xml:space="preserve">Informe </t>
  </si>
  <si>
    <t>Encuentro Nodo Bogotá RedColsi</t>
  </si>
  <si>
    <t>Encuentro Nacional RedColsi</t>
  </si>
  <si>
    <t>XI Encuentro Institucional de Semilleros de Investigación</t>
  </si>
  <si>
    <t>INNOVACIÓN</t>
  </si>
  <si>
    <t>PE-19 Innovaciòn para el fortalecimiento institucional y el desarrollo social</t>
  </si>
  <si>
    <t>ME-45 Implementar programa de transferencia de conocimiento ( fortalecer la visibilidad e impacto del conocimiento según los resultados de investiación gerado por la activida científica, tecnológica, académica, social e industrial de la ETITC</t>
  </si>
  <si>
    <t>Actividades de gestión de Innovación (Contrato prestación de servicios)</t>
  </si>
  <si>
    <t>Programa de transfarencias de conocimiento implementado</t>
  </si>
  <si>
    <t>II Convocatoria Acompañamiento emprendimientos de Base Tecnológica</t>
  </si>
  <si>
    <t>ME. 47. Fortalecer las redes de innovación y alianzas estratégicas de cooperación con otros actores del Sistema Nacional de Ciencia Tecnología e Innovación – SNCTI, sector público, privado y academia para actividades de Investigación, Desarrollo e Innovación - I+D+i.</t>
  </si>
  <si>
    <t xml:space="preserve">
I Encuentro Red de investigación e innovación de la ETITC</t>
  </si>
  <si>
    <t>II Encuentro de Mujeres</t>
  </si>
  <si>
    <t>Publicación en revista científica (APC)</t>
  </si>
  <si>
    <t>Articulos</t>
  </si>
  <si>
    <t xml:space="preserve">Afiliación de investigadores a asociaciones y redes de investigación </t>
  </si>
  <si>
    <t>Pago de anualidad de la Patente Prensa de Alacrán con Tensor de Trinquete en la SIC</t>
  </si>
  <si>
    <t xml:space="preserve">Mantenimiento de la Patente Prensa de Alacrán con Tensor de Trinquete </t>
  </si>
  <si>
    <t>ME. 48. Diseñar y estructurar el Observatorio Tecnológico y de Innovación de la ETITC</t>
  </si>
  <si>
    <t xml:space="preserve">Identificación, proyección y protección de productos de investigación con potencial tecnológico y empresarial </t>
  </si>
  <si>
    <t>Inventario productos</t>
  </si>
  <si>
    <t>Diseño del Observatorio tecnológico y de innovación</t>
  </si>
  <si>
    <t>ME-49 Gestionar y crear el proyecto editorial de la Escuela Tecnológica Instituto  Técnico Central</t>
  </si>
  <si>
    <t>Convocatoria Revista Letras ConCiencia TecnoLógica</t>
  </si>
  <si>
    <t xml:space="preserve">Revisión pares 
</t>
  </si>
  <si>
    <t>III Convocatoria Cuadernos ETITC</t>
  </si>
  <si>
    <t>Adquision ISBN</t>
  </si>
  <si>
    <t>Gestión del proceso editorial  (Contrato prestación de servicios)</t>
  </si>
  <si>
    <t>Boletines  ETITC</t>
  </si>
  <si>
    <t>Adquision DOI</t>
  </si>
  <si>
    <t>PE-21- Proyección Social más allá de las fronteras</t>
  </si>
  <si>
    <t>ME-55- Realizar convenios que permitan la participación en convocatorias que den respuesta a comunidades vulnerables.</t>
  </si>
  <si>
    <t>Realizar convenios que permitan la participación en convocatorias que den respuesta a comunidades vulnerables.</t>
  </si>
  <si>
    <t>Convenios reaiizados con comunidades vulnerables</t>
  </si>
  <si>
    <t>Convenios suscritos</t>
  </si>
  <si>
    <t>PE-20- Centro de Capacitación Industrial  como espacio de cualificación  para la empleabilidad a inmediato plazo.</t>
  </si>
  <si>
    <t xml:space="preserve">Crear vinculos estrategicos con empresas del sector </t>
  </si>
  <si>
    <t xml:space="preserve">Vinculos creados </t>
  </si>
  <si>
    <t xml:space="preserve">Incripciones a capacitaciones y eventos nacionales e internacionales </t>
  </si>
  <si>
    <t>Inscripciones realizadas</t>
  </si>
  <si>
    <t xml:space="preserve">Visitar empresas e instituciones </t>
  </si>
  <si>
    <t xml:space="preserve">visitas realziadas </t>
  </si>
  <si>
    <t xml:space="preserve">Participación en ferias institucionales y eventos académicos
</t>
  </si>
  <si>
    <t>Certificados de participación</t>
  </si>
  <si>
    <t>ME-51.- Gestionar la oferta de asignaturas para procesos de cualificación como herramienta al mundo laboral y/o homologación e inserción en la educación Superior</t>
  </si>
  <si>
    <t xml:space="preserve">Aumentar las ofertasde asignaturas a los estudiantes PES.
</t>
  </si>
  <si>
    <t>Número asignaturas ofertadas para procesos de cualificación</t>
  </si>
  <si>
    <t>Asignaturas diseñadas y ofertadas</t>
  </si>
  <si>
    <t>Desarrollar la asignatura de comunicación oral y escrita (54 horas) en el curso pre ingeniero durante el primer semestre de 2022.</t>
  </si>
  <si>
    <t>Ejecucción Contractual</t>
  </si>
  <si>
    <t>Desarrllar la asignatura de dibujo técnico (54 horas) en el curso pre ingeniero durante el primer semestre de 2022</t>
  </si>
  <si>
    <t>Desarrollar la asignatura de matemáticas básicas (108 horas) en el curso pre ingeniero durante el primer semestre de 2022</t>
  </si>
  <si>
    <t>Desarrollar la asignatura de principios de física (108 horas) en el curso pre ingeniero durante el primer semestre de 2022</t>
  </si>
  <si>
    <t>Desarrollando la asignatura de dibujo técnico (54 horas) en el curso pre ingeniero durante el segundo semestre de 2022.</t>
  </si>
  <si>
    <t>Desarrollar la asignatura de comunicación oral y escrita (54 horas) en el curso pre ingeniero durante el segundo semestre de 2022.</t>
  </si>
  <si>
    <t>Desarrollar la asignatura de matemáticas básicas (108 horas) en el curso pre ingeniero durante el segundo semestre de 2022</t>
  </si>
  <si>
    <t>Desarrollar la asignatura de principios de física (108 horas) en el curso pre ingeniero durante el segundo semestre de 2022</t>
  </si>
  <si>
    <t xml:space="preserve">Desarrollar la certificación automatización industrial 120 horas primer semestre
</t>
  </si>
  <si>
    <t>Desarrollar la certificación automatización industrial intersementral</t>
  </si>
  <si>
    <t xml:space="preserve">Desarrollar la certificación automatización industrial 120 horas segundo semestre
</t>
  </si>
  <si>
    <t>Desarrollar la certificación manufactura esbelta industria 4.0 primer semestre</t>
  </si>
  <si>
    <t>Desarrollar la certificación manufactura esbelta industria 4.0 segundo semestre</t>
  </si>
  <si>
    <t xml:space="preserve">
Desarrollar la certificación F.A.C.T.
</t>
  </si>
  <si>
    <t>Desarrollar la certificación CIROS</t>
  </si>
  <si>
    <t>Desarrollar la certificación en instalaciones eléctricas primer semestre</t>
  </si>
  <si>
    <t>Desarrollar la certificación en instalaciones eléctricas segundo semestre</t>
  </si>
  <si>
    <t>Desarrollar la certificación en lean management primer semestre</t>
  </si>
  <si>
    <t>Desarrollar la certificación en lean management segundo semestre</t>
  </si>
  <si>
    <t>Desarrollando el diplomado de 120 horas</t>
  </si>
  <si>
    <t>Desarrollando el diplomado de 100 horas</t>
  </si>
  <si>
    <t xml:space="preserve">Desarrollar curso libre de 20 horas
</t>
  </si>
  <si>
    <t xml:space="preserve">Desarrollar curso libre de 30 horas
</t>
  </si>
  <si>
    <t xml:space="preserve">Desarrollar curso libre de 40 horas
</t>
  </si>
  <si>
    <t xml:space="preserve">Desarrollar curso libre de 50 horas
</t>
  </si>
  <si>
    <t xml:space="preserve">Desarrollar curso libre de 60 horas
</t>
  </si>
  <si>
    <t>Desarrollar curso a la medida de 20 horas</t>
  </si>
  <si>
    <t>Desarrollar curso a la medida de 30 horas</t>
  </si>
  <si>
    <t>Desarrollar curso a la medida de 40 horas</t>
  </si>
  <si>
    <t>Desarrollar curso a la medida de 50 horas</t>
  </si>
  <si>
    <t>Desarrollar curso a la medida de 60 horas</t>
  </si>
  <si>
    <t xml:space="preserve">Adquisición de elementos:
Libretas, cuadernos, memorias, esferos, pendones, exhibidores, puntos de atencion, bolsas, resmas. 
</t>
  </si>
  <si>
    <t>Adquisición de equipos: Impresora computadores de mesa,  portatiles y pantallas inteligentes hibridos</t>
  </si>
  <si>
    <t>ME-52- Diseñar y estructurar oferta de articulación</t>
  </si>
  <si>
    <t>Realizar acciones estrategicas para suscribir acuerdos con colegios</t>
  </si>
  <si>
    <t>Acuerdos suscritos</t>
  </si>
  <si>
    <t>ME-53- Identificar capacidades institucionales</t>
  </si>
  <si>
    <t>Llevar a cabo las actividades para la prestación del servicio educativos desde GITEPS</t>
  </si>
  <si>
    <t>Porcentaje de cumplimiento del plan anual de promoción de servicios</t>
  </si>
  <si>
    <t>Realizar actividades de Gestión de visibilidad institucional y oferta de servicios a nivel oficial, privado en el programa servimos de la función publica y en la liquidación del programa “reto a la u".</t>
  </si>
  <si>
    <t xml:space="preserve">Estratefias de visibilidad institucional realizadas </t>
  </si>
  <si>
    <t>Desarrollar actividades de marketing del grupo interno de trabajo extensión y proyección social.</t>
  </si>
  <si>
    <t xml:space="preserve">Actividades de marketing realziadas </t>
  </si>
  <si>
    <t>PE-3 Lenguas Extranjeras como oportunidad para la movilidad internacional</t>
  </si>
  <si>
    <t>ME-3 Desarrollar una política institucional de apropiación de una segunda lengua como parte activa de la gestión curricular y condición para la titulación en el nivel de ingeniería a partir del 2023.</t>
  </si>
  <si>
    <t>Prestación de servicios profesionales para el apoyo de los cursos de idiomas como técnico de apoyo a la gestión del área del centro de lenguas DEL GITEPS</t>
  </si>
  <si>
    <t>Prestación de servicios profesionalescomo instructor curso de inglés nivel A1 de 100 horas para primer semestre.</t>
  </si>
  <si>
    <t>Prestación de servicios profesionalescomo instructor para curso de inglés nivel A2 de 120 horas para primer semestre.</t>
  </si>
  <si>
    <t>Prestación de servicios profesionalescomo instructor para curso de inglés nivel A2 de 120 horas para primer semestre nocturno.</t>
  </si>
  <si>
    <t>Prestación de servicios profesionalescomo instructor curso de inglés nivel B1a de 100 horas para primer semestre.</t>
  </si>
  <si>
    <t>Prestación de servicios profesionalescomo instructor curso de inglés nivel B1a de 100 horas para primer semestre noctuno</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</si>
  <si>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</si>
  <si>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</si>
  <si>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</si>
  <si>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A1 de 100 horas para segundo semestre.</t>
  </si>
  <si>
    <t>Prestación de servicios profesionalescomo instructor para curso de inglés nivel A2 de 120 horas para segundo semestre.</t>
  </si>
  <si>
    <t>Prestación de servicios profesionalescomo instructor curso de inglés nivel B1a de 100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</si>
  <si>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</si>
  <si>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</si>
  <si>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</si>
  <si>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francés nivel A1 de 100 horas para primer semestre.</t>
  </si>
  <si>
    <t>Prestación de servicios profesionalescomo instructor curso de francés nivel A2 de 120 horas para primer semestre.</t>
  </si>
  <si>
    <t>Prestación de servicios profesionalescomo instructor curso de francés nivel A1 de 100 horas para segundo semestre.</t>
  </si>
  <si>
    <t>Prestación de servicios profesionalescomo instructor curso de francés nivel A2 de 120 horas para segundo semestre.</t>
  </si>
  <si>
    <t>Prestación de servicios profesionalescomo instructor curso libre de alemán básico de 50 horas.</t>
  </si>
  <si>
    <t>Prestación de servicios profesionalescomo instructor curso libre de portugués básico de 50 horas.</t>
  </si>
  <si>
    <t>Prestación de servicios profesionalescomo instructor curso libre de portugués básico 1 de 50 horas.</t>
  </si>
  <si>
    <t>Adquisición  NTC 5550</t>
  </si>
  <si>
    <t>Elemento adquirido</t>
  </si>
  <si>
    <t>ME-54- Estructurar programa de oferta de servicios proyección social</t>
  </si>
  <si>
    <t xml:space="preserve"> Estructurar programa de oferta de servicios proyección social</t>
  </si>
  <si>
    <t>Proyecto estructurado</t>
  </si>
  <si>
    <t>Desarrollar las actividades propias para la inclusión de egresados (seguimiento, acompañamiento, eventos etc.)</t>
  </si>
  <si>
    <t>Prestación de servicios profesionales de apoyo a la gestión ejecutado actividades de apoyo al área de egresados del GITEPS</t>
  </si>
  <si>
    <t>Adquisición de elementos y equipos:
Computador- Celular institucional</t>
  </si>
  <si>
    <t>Elementos adquiridos</t>
  </si>
  <si>
    <t>Prestación de servicios docente curso actualización retie capacitación egresados 50 horas</t>
  </si>
  <si>
    <t>Mantenimiento bolsa de empleo</t>
  </si>
  <si>
    <t>Contratación de una persona con conocimiento en sistemas, e informes estadísticos, como apoyo para el desarrollo de estadísticas del observatorio laboral y encuestas realizadas a los egresados</t>
  </si>
  <si>
    <t>Estímulos y/o reconocimientos para egresados (souvenires, cursos por extensión, idiomas, descuentos, etc.)</t>
  </si>
  <si>
    <t>Estimulos entregados</t>
  </si>
  <si>
    <t>VICERRECTORÍA DE INVESTIGACIÓN, EXTENSIÓN Y TRANSFERENCIA</t>
  </si>
  <si>
    <t xml:space="preserve">TOTAL </t>
  </si>
  <si>
    <t>CLASIF. DE CONFIDENCIALIDAD</t>
  </si>
  <si>
    <t>CLASIF. DE INTEGRIDAD</t>
  </si>
  <si>
    <t>A</t>
  </si>
  <si>
    <t>CLASIF. DE DISPONIBILIDAD</t>
  </si>
  <si>
    <t>Nuevo Acuerdo Institucional, Social y Ambiental para la Consolidación de la Escuela</t>
  </si>
  <si>
    <t>E1-  LO INSTITUCIONAL: TRANSFORMACIÓN CULTURA DE LA ETITC</t>
  </si>
  <si>
    <t>SEGUIMIENTO PDI 2021 - 2024, 
VIGENCIA 2021</t>
  </si>
  <si>
    <t>1° TRIMESTRE ENERO - MARZO</t>
  </si>
  <si>
    <t>2° TRIMESTRE ABRIL - JUNIO</t>
  </si>
  <si>
    <t>3° TRIMESTRE JULIO - SEPTIEMBRE</t>
  </si>
  <si>
    <t>4° TRIMESTRE OCTUBRE- DICIEMBRE</t>
  </si>
  <si>
    <t>Item</t>
  </si>
  <si>
    <t>Sin Avance &gt;40%</t>
  </si>
  <si>
    <t>Con Avance =&lt;40%</t>
  </si>
  <si>
    <t>DEPENDENCIA</t>
  </si>
  <si>
    <t>ÁREA RESPONSABLE</t>
  </si>
  <si>
    <t>PROYECTOS</t>
  </si>
  <si>
    <t>METAS</t>
  </si>
  <si>
    <t>INDICADORES</t>
  </si>
  <si>
    <t>LINEA BASE</t>
  </si>
  <si>
    <t>META  2021</t>
  </si>
  <si>
    <t>AVANCE 2021</t>
  </si>
  <si>
    <t>META 2022</t>
  </si>
  <si>
    <t>CUATRIENIO</t>
  </si>
  <si>
    <t>AVANCE</t>
  </si>
  <si>
    <t>AVANCES VS META</t>
  </si>
  <si>
    <t>SEGUIMIENTO (DESCRIPCIÓN)</t>
  </si>
  <si>
    <t>Rectoría</t>
  </si>
  <si>
    <t>Aseguramiento de la calidad</t>
  </si>
  <si>
    <t>Vicerrectoría Administrativa y Financiera</t>
  </si>
  <si>
    <t>Vicerrectoría Académica</t>
  </si>
  <si>
    <t>Oficina Asesora de Planeación</t>
  </si>
  <si>
    <r>
      <rPr>
        <sz val="12"/>
        <color theme="1"/>
        <rFont val="Calibri Light"/>
        <family val="2"/>
      </rPr>
      <t>ME-6- Diseñar e implementar el Sistema Unificado de Información y Estadística (SUIE).</t>
    </r>
  </si>
  <si>
    <t>Oficina de Comunicaciones</t>
  </si>
  <si>
    <t xml:space="preserve">Talento Humano </t>
  </si>
  <si>
    <t xml:space="preserve">ME-8- Revisión de la  Estructura Organizacional que soporte las nuevas apuestas institucionales  
</t>
  </si>
  <si>
    <t>Propuesta de nueva estructura organizacional presentadas ante las entidades competentes.</t>
  </si>
  <si>
    <t>Índice de clima laboral</t>
  </si>
  <si>
    <t>Vicerrectoría de Investigación Extensión y Transferencia</t>
  </si>
  <si>
    <t>Egresados</t>
  </si>
  <si>
    <t xml:space="preserve">PE-7- Consolidación y aseguramiento del Talento Humano para el mejoramiento de las capacidades en las plantas administrativas y  docentes </t>
  </si>
  <si>
    <t xml:space="preserve">Vicerrectoría Administrativa y Financiera </t>
  </si>
  <si>
    <t>ME-13- Presentar ante la instancia competente la solicitud y cumplimiento de requisitos para el desarrollo de los procesos meritocráticos de la planta administrativa.</t>
  </si>
  <si>
    <t>ME-14- Adelantar los procesos meritocráticos de la planta docente.</t>
  </si>
  <si>
    <t>PE-8- Estructuración de la Carrera Docente</t>
  </si>
  <si>
    <t>ME-15- Organizar e implementar el sistema de plan de carrera de los profesores.</t>
  </si>
  <si>
    <t>Porcentaje de sistema de carrera docente implementado</t>
  </si>
  <si>
    <t xml:space="preserve"> IBTI</t>
  </si>
  <si>
    <t xml:space="preserve">Informática y comunicaciones </t>
  </si>
  <si>
    <t>Vicerrectoría Administrativa</t>
  </si>
  <si>
    <t>PE-11- Internacionalización para ampliar fronteras de conocimiento</t>
  </si>
  <si>
    <t>Gestión Documental</t>
  </si>
  <si>
    <t xml:space="preserve">ORII </t>
  </si>
  <si>
    <t xml:space="preserve">PE-12- Dar continuidad al Talento Humano integral en las plantas de personal </t>
  </si>
  <si>
    <t xml:space="preserve">PE-13- Gestión integral de inmuebles
</t>
  </si>
  <si>
    <t>ME-24- Englobar todos predios que integran la sede central.</t>
  </si>
  <si>
    <t>Porcentaje de englobe de los predios que integran la sede central.</t>
  </si>
  <si>
    <t>ME-25- Determinar el aprovechamiento del inmueble calle 18 a partir del POT aprobado.</t>
  </si>
  <si>
    <t>Porcentaje de ejecución de las intervenciones físicas.</t>
  </si>
  <si>
    <t>ME-26- Formular el Plan de administración e intervención de las instalaciones en comodato (localidad Kennedy).</t>
  </si>
  <si>
    <t>ME-27- Formular e implementar el modelo operativo de administración de inmuebles.</t>
  </si>
  <si>
    <t>ME-28 - Gestionar la consecución de un nuevo Campus para la Escuela.</t>
  </si>
  <si>
    <t>E2- LO SOCIAL : EDUCACIÓN SOCIALMENTE RESPONSABLE Y PERTINENTE</t>
  </si>
  <si>
    <t>SEGUIMIENTO PD1 2021 - 2024, 
VIGENCIA 2021</t>
  </si>
  <si>
    <t>Dependencia</t>
  </si>
  <si>
    <t>META 2021</t>
  </si>
  <si>
    <t xml:space="preserve">Vicerrectoría Académica </t>
  </si>
  <si>
    <r>
      <rPr>
        <b/>
        <sz val="12"/>
        <color theme="1"/>
        <rFont val="Calibri Light"/>
        <family val="2"/>
        <scheme val="major"/>
      </rPr>
      <t xml:space="preserve">PE-14- </t>
    </r>
    <r>
      <rPr>
        <sz val="12"/>
        <color theme="1"/>
        <rFont val="Calibri Light"/>
        <family val="2"/>
        <scheme val="major"/>
      </rPr>
      <t>Nuevos programas de pregrado y posgrado</t>
    </r>
  </si>
  <si>
    <t xml:space="preserve">ME-29-  Lograr  al 2023 el Registro Calificado de 1 Especialización Profesional, 1 Especialización Tecnológica, al 2024, 1 carrera profesional por ciclos y 1 Maestría.
</t>
  </si>
  <si>
    <t xml:space="preserve">ME-30-  Lograr al 2024, que el 50% de los programas con registro calificado en la modalidad presencial  esten convertidos a modalidad semipresencial (blended).
</t>
  </si>
  <si>
    <t>IBTI</t>
  </si>
  <si>
    <r>
      <t>PE-15-</t>
    </r>
    <r>
      <rPr>
        <sz val="12"/>
        <rFont val="Calibri Light"/>
        <family val="2"/>
        <scheme val="major"/>
      </rPr>
      <t xml:space="preserve">El IBTI y su papel significativo en la consolidación de la Escuela </t>
    </r>
  </si>
  <si>
    <t xml:space="preserve">ME-32 - Fortalecer el modelo educativo del bachillerato que permita aumentar cobertura, favorecer la permanencia y continuidad en la institución </t>
  </si>
  <si>
    <t>ME-33- Promover la estrategia de articulación  "de tu escuela a mi escuela y a mi universidad".</t>
  </si>
  <si>
    <t>1088</t>
  </si>
  <si>
    <t>Bienestar Universitario</t>
  </si>
  <si>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</si>
  <si>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t>ME-35-Formular e implementar el Sistema de Registro Único de Seguimiento de Información y Acompañamiento (RUSIA) de la comunidad educativa de la Institución.</t>
  </si>
  <si>
    <t xml:space="preserve">33%
</t>
  </si>
  <si>
    <t>Vicerrectoría de Investigación, Extensión y Transferencia</t>
  </si>
  <si>
    <t>Innovación</t>
  </si>
  <si>
    <r>
      <rPr>
        <b/>
        <sz val="12"/>
        <color theme="1"/>
        <rFont val="Calibri Light"/>
        <family val="2"/>
        <scheme val="major"/>
      </rPr>
      <t xml:space="preserve">PE-17- </t>
    </r>
    <r>
      <rPr>
        <sz val="12"/>
        <color theme="1"/>
        <rFont val="Calibri Light"/>
        <family val="2"/>
        <scheme val="major"/>
      </rPr>
      <t xml:space="preserve"> Centro de Pensamiento y Desarrollo Tecnológico</t>
    </r>
  </si>
  <si>
    <t xml:space="preserve">ME-38- Elaborar los estudios de prefactibilidad, justificación técnica, el diagnóstico de Recursos Humanos, Financieros y Disponibilidad de Infraestructura y Tecnologías de la Información, vinculadas a las actividades de investigación, desarrollo e Innovación del Centro de Pensamiento y Desarrollo Tecnológico. </t>
  </si>
  <si>
    <t xml:space="preserve">Estudio de prefactibilidad </t>
  </si>
  <si>
    <t xml:space="preserve">ME-39- Definir  las líneas de investigación y focos estratégicos y de acción del Centro. </t>
  </si>
  <si>
    <t>Líneas de investigación y focos estratégicos definidos</t>
  </si>
  <si>
    <t>ME-40- Establecer la red institucional y de alianzas estrategicas del centro con los respectivos soportes que la respalden</t>
  </si>
  <si>
    <t>Red institucional definida</t>
  </si>
  <si>
    <t xml:space="preserve">ME-41- Formular el plan de mejoramiento de acuerdo a los crirterios de MinCiencias con sus respectivos informes y análisis. </t>
  </si>
  <si>
    <t>Plan de mejoramiento formulado</t>
  </si>
  <si>
    <r>
      <t>ME-42- Radicar la solicitud para el reconocimiento del Centro de Pensamiento y Desarrollo Tecnológico por parte de Minciencias.</t>
    </r>
    <r>
      <rPr>
        <i/>
        <sz val="12"/>
        <color rgb="FFFF0000"/>
        <rFont val="Calibri Light"/>
        <family val="2"/>
        <scheme val="major"/>
      </rPr>
      <t xml:space="preserve">  </t>
    </r>
  </si>
  <si>
    <t>Solicitud del reconocimiento</t>
  </si>
  <si>
    <t xml:space="preserve">Investigación </t>
  </si>
  <si>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</si>
  <si>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</si>
  <si>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t>ME-45 -  Implementar programa de transferencia de conocimiento (Fortalecer la visibilidad e impacto del conocimiento según los resultados de investigación generado por la actividad científica, tecnológica, académica, social e industrial de la ETITC).</t>
  </si>
  <si>
    <t xml:space="preserve">ME-46- Implementar el programa Incubadora tecnológica: Identificación y proyección de productos de investigación con potencial tecnológico y empresarial (spin-off, star-up, patentes...).  </t>
  </si>
  <si>
    <t>Programa Incubadora tecnológica</t>
  </si>
  <si>
    <t xml:space="preserve">ME-48- Diseñar y estructurar el Observatorio Tecnológico y de Innovación de la ETITC. </t>
  </si>
  <si>
    <t xml:space="preserve">Observatorio Tecnológico y de Innovación de la ETITC. </t>
  </si>
  <si>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</si>
  <si>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t>Proyecto editorial creado</t>
  </si>
  <si>
    <t>Centro de Extensión</t>
  </si>
  <si>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</si>
  <si>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t>20 empresas</t>
  </si>
  <si>
    <t>Número de acuerdos suscritos con colegios</t>
  </si>
  <si>
    <r>
      <rPr>
        <b/>
        <sz val="12"/>
        <rFont val="Calibri Light"/>
        <family val="2"/>
        <scheme val="major"/>
      </rPr>
      <t xml:space="preserve">PE-21- </t>
    </r>
    <r>
      <rPr>
        <sz val="12"/>
        <rFont val="Calibri Light"/>
        <family val="2"/>
        <scheme val="major"/>
      </rPr>
      <t>Proyección Social más allá de las fronteras</t>
    </r>
  </si>
  <si>
    <t xml:space="preserve">25%
</t>
  </si>
  <si>
    <t>Convenios realizados con comunidades vulnerables</t>
  </si>
  <si>
    <t>AVANCE 1° TRIMESTRE</t>
  </si>
  <si>
    <t>AVANCE 2° TRIMESTRE</t>
  </si>
  <si>
    <t>AVANCE 3° TRIMESTRE</t>
  </si>
  <si>
    <t>AVANCE 4° TRIMESTRE</t>
  </si>
  <si>
    <t>Vicerrectoría de Investigación Extemsión y Transferencia</t>
  </si>
  <si>
    <t>E3-  LO AMBIENTAL: UN ACUERDO POR LA VIDA Y PARA LA VIDA EN CONTEXTO AMBIENTAL</t>
  </si>
  <si>
    <t>Avance &gt;40%</t>
  </si>
  <si>
    <t>Avance =&lt;40%</t>
  </si>
  <si>
    <t>Gestión ambiental</t>
  </si>
  <si>
    <t xml:space="preserve">PE-22 Política institucional ambiental en la ETITC alineada al Sistema de Gestión Ambiental </t>
  </si>
  <si>
    <t>ME-56- Implementar una  política ambiental bajo consideraciones de sostenibilidad.</t>
  </si>
  <si>
    <t>Bienestar universitario</t>
  </si>
  <si>
    <t>Porcentaje de diseño e implementación de la catedra ETITC alcanzado</t>
  </si>
  <si>
    <t xml:space="preserve">Gestión ambiental </t>
  </si>
  <si>
    <t xml:space="preserve">PE-24- Optimización en el consumo de energía eléctrica y uso de energías alternativas. 
</t>
  </si>
  <si>
    <t xml:space="preserve">ME-58- Lograr el Diez por ciento (10%) de ahorro energético.
</t>
  </si>
  <si>
    <t xml:space="preserve">Rectoría </t>
  </si>
  <si>
    <t xml:space="preserve">Gestión Documental / Gestión ambiental </t>
  </si>
  <si>
    <t xml:space="preserve">ME-59 Implementar el programa de racionalización de consumo de papel
</t>
  </si>
  <si>
    <t>ME-60- Realizar la adecuada disposición de todos los residuos producidos en el área de infraestructura, talleres y laboratorios.</t>
  </si>
  <si>
    <t xml:space="preserve">PE-25- Diseño e Implementación de espacios de “Concepto verde” que mejoren la vida académica en las sedes de la ETITC.
</t>
  </si>
  <si>
    <t>ME-61- Adecuar espaciós verdes verticales y horizontales.</t>
  </si>
  <si>
    <t>Porcentaje de elaboración del programa de mantenimiento e intervención de los espacios verdes verticales y horizontales</t>
  </si>
  <si>
    <t>Vicerrectoría administrativa y Financiera</t>
  </si>
  <si>
    <t>Porcentaje de ejecución del programa de mantenimiento e intervención de los espacios verdes verticales y horizontales</t>
  </si>
  <si>
    <t xml:space="preserve">PE-26- Actualización de la infraestructura física, cumpliendo normativas aplicables y generando espacios adecuados para el desarrollo de actividades académicas y de bienestar en un el marco  de la sostenibilidad
</t>
  </si>
  <si>
    <t>ME-62- Adelantar el 50% del reforzamiento estructural de la sede principal.</t>
  </si>
  <si>
    <t>ME-63- Construir espacios adecuados para la ubicación del gimnasio y áreas para desarrollo de actividades de bienestar estudiantil. (Administrativos y docentes)</t>
  </si>
  <si>
    <t>Contratación</t>
  </si>
  <si>
    <t>ME-64- Contar con un sistema control de acceso para la sede principal.</t>
  </si>
  <si>
    <t>ME-65- Adecuación completa de la sede de la calle 18.</t>
  </si>
  <si>
    <t>Porcentaje de adecuación alcanzado</t>
  </si>
  <si>
    <t>ME-66- Adaptación progresiva de la planta física para implementar la normativa de movilidad reducida.</t>
  </si>
  <si>
    <t xml:space="preserve">Porcentaje de gestión para la implementación de la normatividad de movilidad reducida  </t>
  </si>
  <si>
    <t>Porcentaje de ejecución de la intervenciones necesarias para la implementación de la normatividad de movilidad reducida.</t>
  </si>
  <si>
    <t>ME-67- Optimización de la oferta de parqueaderos en la sede central.</t>
  </si>
  <si>
    <t>ME -68 - Gestionar las Dotaciones de las instalaciones y sede principal para  la permanencia y aumento de la oferta.</t>
  </si>
  <si>
    <t>ME-69- Estructurar y gestionar el registro de Pregrado en Ingeniería Agrícola por ciclos.</t>
  </si>
  <si>
    <t>ME-71-  Estructurar  y gestionar el registro de   Pregrado en Ingeniería de energías por ciclos</t>
  </si>
  <si>
    <t xml:space="preserve">AVANCE GENERAL VIGENCIA 2021 - ETITC 
</t>
  </si>
  <si>
    <t xml:space="preserve">AVANCE TOTAL </t>
  </si>
  <si>
    <t xml:space="preserve">N° DE METAS A CARGO </t>
  </si>
  <si>
    <t xml:space="preserve">AVANCE GENERAL </t>
  </si>
  <si>
    <t xml:space="preserve">PROYECTOS ESTRATÉGICOS </t>
  </si>
  <si>
    <t>EJE ESTRATÉGICO</t>
  </si>
  <si>
    <t xml:space="preserve">METAS ESTRATÉGICAS </t>
  </si>
  <si>
    <t xml:space="preserve">Lo Intitucional </t>
  </si>
  <si>
    <t xml:space="preserve">Lo Social </t>
  </si>
  <si>
    <t xml:space="preserve">Lo ambiental </t>
  </si>
  <si>
    <t>Metas sin obligatorio avance para la vigencia 2021</t>
  </si>
  <si>
    <t>Sin obligatorio avance 2022</t>
  </si>
  <si>
    <t>TOTAL</t>
  </si>
  <si>
    <t>Porcentajes</t>
  </si>
  <si>
    <t>escalsa</t>
  </si>
  <si>
    <t>grados</t>
  </si>
  <si>
    <t>y</t>
  </si>
  <si>
    <t>pi</t>
  </si>
  <si>
    <t>pf</t>
  </si>
  <si>
    <t xml:space="preserve">Implementar el programa Incubadora tecnológica: Identificación y proyección de productos de investigación con potencial tecnológico y empresarial (spin-off, star-up, patentes...).  </t>
  </si>
  <si>
    <t>E1- LO INSTITUCIONAL: LA TRANSFORMACIÓN CULTURAL DE LA ETITC</t>
  </si>
  <si>
    <t>Informe de avance</t>
  </si>
  <si>
    <r>
      <rPr>
        <b/>
        <sz val="14"/>
        <color theme="1"/>
        <rFont val="Calibri"/>
        <family val="2"/>
        <scheme val="minor"/>
      </rPr>
      <t>ME-17- Adecuar las capacidades tecnológicas para atender las necesidades de los procesos misionales.</t>
    </r>
  </si>
  <si>
    <r>
      <rPr>
        <b/>
        <sz val="14"/>
        <color theme="1"/>
        <rFont val="Calibri"/>
        <family val="2"/>
        <scheme val="minor"/>
      </rPr>
      <t>ME-11-Implementar el Sistema de Acompañamiento al desarrollo del Egresado - SADE., con responsabilidad social y académica.</t>
    </r>
  </si>
  <si>
    <r>
      <rPr>
        <b/>
        <sz val="14"/>
        <color theme="1"/>
        <rFont val="Calibri"/>
        <family val="2"/>
        <scheme val="minor"/>
      </rPr>
      <t>ME-54- Estructurar programa de oferta de servicios</t>
    </r>
    <r>
      <rPr>
        <b/>
        <sz val="14"/>
        <color rgb="FFFF0000"/>
        <rFont val="Calibri"/>
        <family val="2"/>
        <scheme val="minor"/>
      </rPr>
      <t xml:space="preserve"> </t>
    </r>
    <r>
      <rPr>
        <b/>
        <sz val="14"/>
        <color theme="1"/>
        <rFont val="Calibri"/>
        <family val="2"/>
        <scheme val="minor"/>
      </rPr>
      <t>proyección social</t>
    </r>
  </si>
  <si>
    <t>OE-3 Fortalecer el ecosistema de funcionalidades digitales para la gestión y el desarrollo de la actividad misional mediante el uso de las TIC</t>
  </si>
  <si>
    <t>OBJETIVO ESTRATÉGICO
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t>
  </si>
  <si>
    <t xml:space="preserve">PRODUCTO </t>
  </si>
  <si>
    <t>PE- 11- Implementación de estrategias de comunicación externas e internas y fortalecimiento de la gestión documental: LA ETITC COMUNICA</t>
  </si>
  <si>
    <t>PE-12- Internacionalización para ampliar fronteras de conocimiento</t>
  </si>
  <si>
    <t xml:space="preserve">PE-15-El IBTI y su papel significativo en la consolidación de la Escuela </t>
  </si>
  <si>
    <t>PE-16-  Desarrollo integral y transformación social de la comunidad: bienestar comprometido con la permanencia</t>
  </si>
  <si>
    <t>PE-17-  Centro de Pensamiento y Desarrollo Tecnológico</t>
  </si>
  <si>
    <t>PE-27-   Diseñar y ofertar nuevos programas de pregrado con alta pertinencia regional rural</t>
  </si>
  <si>
    <t xml:space="preserve">% de programas radicados para renovación de acreditación/ programas acreditados </t>
  </si>
  <si>
    <t>Número de docentes del BTI  que se benefician del centro de atención / Total de docentes del IBTI *100</t>
  </si>
  <si>
    <t>INDICADORES INSTITUCIONAL</t>
  </si>
  <si>
    <t xml:space="preserve">Programas con registro calificado en la modalidad semipresencial/ programas con registro calificado en la modalidad presencial*100.
</t>
  </si>
  <si>
    <t>Porcentaje de diseño e implementación de de la catedra ETITC alcanzado</t>
  </si>
  <si>
    <t xml:space="preserve">Porcentaje de ejecución de la intervenciones necesarias </t>
  </si>
  <si>
    <t xml:space="preserve">Porcentaje intervenidos del área destinada a parqueaderos  </t>
  </si>
  <si>
    <t>Lo Institucional</t>
  </si>
  <si>
    <t>Lo social</t>
  </si>
  <si>
    <t>Lo ambienta</t>
  </si>
  <si>
    <t>Institucional</t>
  </si>
  <si>
    <t>Social</t>
  </si>
  <si>
    <t>Ambiental</t>
  </si>
  <si>
    <r>
      <rPr>
        <b/>
        <sz val="12"/>
        <color theme="1"/>
        <rFont val="Arial Narrow"/>
        <family val="2"/>
      </rPr>
      <t xml:space="preserve">ME-1- </t>
    </r>
    <r>
      <rPr>
        <sz val="12"/>
        <color theme="1"/>
        <rFont val="Arial Narrow"/>
        <family val="2"/>
      </rPr>
      <t>Obtener la Acreditación Institucional de Alta Calidad en el 2024</t>
    </r>
  </si>
  <si>
    <r>
      <rPr>
        <b/>
        <sz val="12"/>
        <rFont val="Arial Narrow"/>
        <family val="2"/>
      </rPr>
      <t>ME-2-</t>
    </r>
    <r>
      <rPr>
        <sz val="12"/>
        <rFont val="Arial Narrow"/>
        <family val="2"/>
      </rPr>
      <t xml:space="preserve"> Estructurar e implementar el modelo integral de gestión academico-administrativa por Sistema de Créditos Académicos al 2024.</t>
    </r>
  </si>
  <si>
    <r>
      <rPr>
        <b/>
        <sz val="12"/>
        <rFont val="Arial Narrow"/>
        <family val="2"/>
      </rPr>
      <t>ME-3-</t>
    </r>
    <r>
      <rPr>
        <sz val="12"/>
        <rFont val="Arial Narrow"/>
        <family val="2"/>
      </rPr>
      <t xml:space="preserve"> Desarrollar una política institucional de apropiación de una segunda lengua como parte activa de la gestión curricular, y condición para la titulación en el nivel de ingeniería, a partir del 2023.</t>
    </r>
  </si>
  <si>
    <r>
      <rPr>
        <b/>
        <sz val="12"/>
        <rFont val="Arial Narrow"/>
        <family val="2"/>
      </rPr>
      <t xml:space="preserve">ME-4- </t>
    </r>
    <r>
      <rPr>
        <sz val="12"/>
        <rFont val="Arial Narrow"/>
        <family val="2"/>
      </rPr>
      <t>Implementar el modelo de evaluación por resultados de aprendizaje y competencias, soportado en los lineamientos del MEN y el  sistema interno de aseguramiento de la calidad académica.</t>
    </r>
  </si>
  <si>
    <r>
      <rPr>
        <b/>
        <sz val="12"/>
        <color theme="1"/>
        <rFont val="Arial Narrow"/>
        <family val="2"/>
      </rPr>
      <t xml:space="preserve">ME-5- </t>
    </r>
    <r>
      <rPr>
        <sz val="12"/>
        <color theme="1"/>
        <rFont val="Arial Narrow"/>
        <family val="2"/>
      </rPr>
      <t>Alinear el modelo MIPG con el Sistema Integrado de Gestión (SIG) para la acreditación</t>
    </r>
  </si>
  <si>
    <r>
      <rPr>
        <b/>
        <sz val="12"/>
        <color theme="1"/>
        <rFont val="Arial Narrow"/>
        <family val="2"/>
      </rPr>
      <t xml:space="preserve">ME-6- </t>
    </r>
    <r>
      <rPr>
        <sz val="12"/>
        <color theme="1"/>
        <rFont val="Arial Narrow"/>
        <family val="2"/>
      </rPr>
      <t>Diseñar e implementar el Sistema Unificado de Información y Estadística (SUIE).</t>
    </r>
  </si>
  <si>
    <r>
      <rPr>
        <b/>
        <sz val="12"/>
        <color theme="1"/>
        <rFont val="Arial Narrow"/>
        <family val="2"/>
      </rPr>
      <t xml:space="preserve">ME-7- </t>
    </r>
    <r>
      <rPr>
        <sz val="12"/>
        <color theme="1"/>
        <rFont val="Arial Narrow"/>
        <family val="2"/>
      </rPr>
      <t>Aumentar la visibilidad institucional de la Escuela mediante estrategias de marketing digital.</t>
    </r>
  </si>
  <si>
    <r>
      <rPr>
        <b/>
        <sz val="12"/>
        <color theme="1"/>
        <rFont val="Arial Narrow"/>
        <family val="2"/>
      </rPr>
      <t xml:space="preserve">ME-8- </t>
    </r>
    <r>
      <rPr>
        <sz val="12"/>
        <color theme="1"/>
        <rFont val="Arial Narrow"/>
        <family val="2"/>
      </rPr>
      <t>Revisión de la</t>
    </r>
    <r>
      <rPr>
        <b/>
        <sz val="12"/>
        <color theme="1"/>
        <rFont val="Arial Narrow"/>
        <family val="2"/>
      </rPr>
      <t xml:space="preserve"> </t>
    </r>
    <r>
      <rPr>
        <sz val="12"/>
        <color theme="1"/>
        <rFont val="Arial Narrow"/>
        <family val="2"/>
      </rPr>
      <t xml:space="preserve"> Estructura Organizacional que soporte las nuevas apuestas institucionales  
</t>
    </r>
    <r>
      <rPr>
        <b/>
        <sz val="12"/>
        <color theme="1"/>
        <rFont val="Arial Narrow"/>
        <family val="2"/>
      </rPr>
      <t/>
    </r>
  </si>
  <si>
    <r>
      <rPr>
        <b/>
        <sz val="12"/>
        <rFont val="Arial Narrow"/>
        <family val="2"/>
      </rPr>
      <t>ME-9-</t>
    </r>
    <r>
      <rPr>
        <sz val="12"/>
        <rFont val="Arial Narrow"/>
        <family val="2"/>
      </rPr>
      <t xml:space="preserve"> Implementar modelo de Gestión por Proyectos con metodologías aplicables según fuente de recursos.</t>
    </r>
  </si>
  <si>
    <r>
      <rPr>
        <b/>
        <sz val="12"/>
        <rFont val="Arial Narrow"/>
        <family val="2"/>
      </rPr>
      <t xml:space="preserve">ME-10- </t>
    </r>
    <r>
      <rPr>
        <sz val="12"/>
        <rFont val="Arial Narrow"/>
        <family val="2"/>
      </rPr>
      <t>Fortalecer la cultura organizacional como soporte del Desarrollo y mejoramiento del clima organizacional.</t>
    </r>
  </si>
  <si>
    <r>
      <rPr>
        <b/>
        <sz val="12"/>
        <color theme="1"/>
        <rFont val="Arial Narrow"/>
        <family val="2"/>
      </rPr>
      <t>ME-11</t>
    </r>
    <r>
      <rPr>
        <sz val="12"/>
        <color theme="1"/>
        <rFont val="Arial Narrow"/>
        <family val="2"/>
      </rPr>
      <t>-Implementar</t>
    </r>
    <r>
      <rPr>
        <b/>
        <sz val="12"/>
        <color theme="1"/>
        <rFont val="Arial Narrow"/>
        <family val="2"/>
      </rPr>
      <t xml:space="preserve"> </t>
    </r>
    <r>
      <rPr>
        <sz val="12"/>
        <color theme="1"/>
        <rFont val="Arial Narrow"/>
        <family val="2"/>
      </rPr>
      <t>el</t>
    </r>
    <r>
      <rPr>
        <b/>
        <sz val="12"/>
        <color theme="1"/>
        <rFont val="Arial Narrow"/>
        <family val="2"/>
      </rPr>
      <t xml:space="preserve"> </t>
    </r>
    <r>
      <rPr>
        <sz val="12"/>
        <color theme="1"/>
        <rFont val="Arial Narrow"/>
        <family val="2"/>
      </rPr>
      <t>Sistema de Acompañamiento al desarrollo del Egresado - SADE., con responsabilidad social y académica.</t>
    </r>
  </si>
  <si>
    <r>
      <rPr>
        <b/>
        <sz val="12"/>
        <color theme="1"/>
        <rFont val="Arial Narrow"/>
        <family val="2"/>
      </rPr>
      <t>ME-12</t>
    </r>
    <r>
      <rPr>
        <sz val="12"/>
        <color theme="1"/>
        <rFont val="Arial Narrow"/>
        <family val="2"/>
      </rPr>
      <t>- Dar continuidad al talento humano integral en las plantas de personal.</t>
    </r>
  </si>
  <si>
    <r>
      <rPr>
        <b/>
        <sz val="12"/>
        <color theme="1"/>
        <rFont val="Arial Narrow"/>
        <family val="2"/>
      </rPr>
      <t xml:space="preserve">ME-13- </t>
    </r>
    <r>
      <rPr>
        <sz val="12"/>
        <color theme="1"/>
        <rFont val="Arial Narrow"/>
        <family val="2"/>
      </rPr>
      <t>Presentar ante la instancia competente la solicitud y cumplimiento de requisitos para el desarrollo de los procesos meritocráticos de la planta administrativa.</t>
    </r>
  </si>
  <si>
    <r>
      <rPr>
        <b/>
        <sz val="12"/>
        <rFont val="Arial Narrow"/>
        <family val="2"/>
      </rPr>
      <t xml:space="preserve">ME-14- </t>
    </r>
    <r>
      <rPr>
        <sz val="12"/>
        <rFont val="Arial Narrow"/>
        <family val="2"/>
      </rPr>
      <t>Adelantar los procesos meritocráticos de la planta docente.</t>
    </r>
  </si>
  <si>
    <r>
      <rPr>
        <b/>
        <sz val="12"/>
        <rFont val="Arial Narrow"/>
        <family val="2"/>
      </rPr>
      <t xml:space="preserve">ME-15- </t>
    </r>
    <r>
      <rPr>
        <sz val="12"/>
        <rFont val="Arial Narrow"/>
        <family val="2"/>
      </rPr>
      <t>Organizar e implementar el sistema de plan de carrera de los profesores.</t>
    </r>
  </si>
  <si>
    <r>
      <rPr>
        <b/>
        <sz val="12"/>
        <rFont val="Arial Narrow"/>
        <family val="2"/>
      </rPr>
      <t>ME-16-</t>
    </r>
    <r>
      <rPr>
        <sz val="12"/>
        <rFont val="Arial Narrow"/>
        <family val="2"/>
      </rPr>
      <t xml:space="preserve"> Centro de Atención al Docente del IBTI "La ETITC un lugar para todos."</t>
    </r>
  </si>
  <si>
    <r>
      <rPr>
        <b/>
        <sz val="12"/>
        <color theme="1"/>
        <rFont val="Arial Narrow"/>
        <family val="2"/>
      </rPr>
      <t xml:space="preserve">ME-17- </t>
    </r>
    <r>
      <rPr>
        <sz val="12"/>
        <color theme="1"/>
        <rFont val="Arial Narrow"/>
        <family val="2"/>
      </rPr>
      <t>Adecuar las capacidades tecnológicas para atender las necesidades de los procesos misionales.</t>
    </r>
  </si>
  <si>
    <r>
      <rPr>
        <b/>
        <sz val="12"/>
        <rFont val="Arial Narrow"/>
        <family val="2"/>
      </rPr>
      <t xml:space="preserve">ME-18- </t>
    </r>
    <r>
      <rPr>
        <sz val="12"/>
        <rFont val="Arial Narrow"/>
        <family val="2"/>
      </rPr>
      <t>Incorporar elementos de tecnología a los talleres, laboratorios y aulas para enseñanza remota sincrónica en modalidad de alternancia</t>
    </r>
  </si>
  <si>
    <r>
      <rPr>
        <b/>
        <sz val="12"/>
        <color theme="1"/>
        <rFont val="Arial Narrow"/>
        <family val="2"/>
      </rPr>
      <t xml:space="preserve">ME-19- </t>
    </r>
    <r>
      <rPr>
        <sz val="12"/>
        <color theme="1"/>
        <rFont val="Arial Narrow"/>
        <family val="2"/>
      </rPr>
      <t>Implementar un modelo estratégico para impulsar la evolución digital de la ETITC, plasmado en el PETI.</t>
    </r>
  </si>
  <si>
    <r>
      <rPr>
        <b/>
        <sz val="12"/>
        <color theme="1"/>
        <rFont val="Arial Narrow"/>
        <family val="2"/>
      </rPr>
      <t>ME-20</t>
    </r>
    <r>
      <rPr>
        <sz val="12"/>
        <color theme="1"/>
        <rFont val="Arial Narrow"/>
        <family val="2"/>
      </rPr>
      <t>- Cumplimiento del 100% la Política de Gobierno Digital para 2021.</t>
    </r>
  </si>
  <si>
    <r>
      <t xml:space="preserve">ME-21- </t>
    </r>
    <r>
      <rPr>
        <sz val="12"/>
        <color theme="1"/>
        <rFont val="Arial Narrow"/>
        <family val="2"/>
      </rPr>
      <t>Fortalecer los canales existentes para la comunicación interna - externa.</t>
    </r>
  </si>
  <si>
    <r>
      <rPr>
        <b/>
        <sz val="12"/>
        <color theme="1"/>
        <rFont val="Arial Narrow"/>
        <family val="2"/>
      </rPr>
      <t xml:space="preserve">ME-22- </t>
    </r>
    <r>
      <rPr>
        <sz val="12"/>
        <rFont val="Arial Narrow"/>
        <family val="2"/>
      </rPr>
      <t>Implementación</t>
    </r>
    <r>
      <rPr>
        <sz val="12"/>
        <color rgb="FFFF0000"/>
        <rFont val="Arial Narrow"/>
        <family val="2"/>
      </rPr>
      <t xml:space="preserve"> </t>
    </r>
    <r>
      <rPr>
        <sz val="12"/>
        <color theme="1"/>
        <rFont val="Arial Narrow"/>
        <family val="2"/>
      </rPr>
      <t>del PINAR en cumplimiento a los parámetros establecidos por el Archivo General de la Nación.</t>
    </r>
  </si>
  <si>
    <r>
      <t xml:space="preserve">ME-23- </t>
    </r>
    <r>
      <rPr>
        <sz val="12"/>
        <rFont val="Arial Narrow"/>
        <family val="2"/>
      </rPr>
      <t>Consolidar la política de internacionalización y cooperación Nacional e Internacional de la ETITC.</t>
    </r>
  </si>
  <si>
    <r>
      <rPr>
        <b/>
        <sz val="12"/>
        <color theme="1"/>
        <rFont val="Arial Narrow"/>
        <family val="2"/>
      </rPr>
      <t xml:space="preserve">ME-24- </t>
    </r>
    <r>
      <rPr>
        <sz val="12"/>
        <color theme="1"/>
        <rFont val="Arial Narrow"/>
        <family val="2"/>
      </rPr>
      <t>Englobar todos predios que integran la sede central.</t>
    </r>
  </si>
  <si>
    <r>
      <rPr>
        <b/>
        <sz val="12"/>
        <rFont val="Arial Narrow"/>
        <family val="2"/>
      </rPr>
      <t xml:space="preserve">ME-25- </t>
    </r>
    <r>
      <rPr>
        <sz val="12"/>
        <rFont val="Arial Narrow"/>
        <family val="2"/>
      </rPr>
      <t>Determinar el aprovechamiento del inmueble calle 18 a partir del POT aprobado.</t>
    </r>
  </si>
  <si>
    <r>
      <rPr>
        <b/>
        <sz val="12"/>
        <color theme="1"/>
        <rFont val="Arial Narrow"/>
        <family val="2"/>
      </rPr>
      <t xml:space="preserve">ME-26- </t>
    </r>
    <r>
      <rPr>
        <sz val="12"/>
        <color theme="1"/>
        <rFont val="Arial Narrow"/>
        <family val="2"/>
      </rPr>
      <t>Formular el</t>
    </r>
    <r>
      <rPr>
        <b/>
        <sz val="12"/>
        <color theme="1"/>
        <rFont val="Arial Narrow"/>
        <family val="2"/>
      </rPr>
      <t xml:space="preserve"> </t>
    </r>
    <r>
      <rPr>
        <sz val="12"/>
        <color theme="1"/>
        <rFont val="Arial Narrow"/>
        <family val="2"/>
      </rPr>
      <t>Plan de administración e intervención de las instalaciones en comodato (localidad Kennedy).</t>
    </r>
  </si>
  <si>
    <r>
      <rPr>
        <b/>
        <sz val="12"/>
        <color theme="1"/>
        <rFont val="Arial Narrow"/>
        <family val="2"/>
      </rPr>
      <t>ME-27-</t>
    </r>
    <r>
      <rPr>
        <sz val="12"/>
        <color theme="1"/>
        <rFont val="Arial Narrow"/>
        <family val="2"/>
      </rPr>
      <t xml:space="preserve"> Formular e implementar el modelo operativo de administración de inmuebles.</t>
    </r>
  </si>
  <si>
    <r>
      <rPr>
        <b/>
        <sz val="12"/>
        <rFont val="Arial Narrow"/>
        <family val="2"/>
      </rPr>
      <t xml:space="preserve">ME-28 - </t>
    </r>
    <r>
      <rPr>
        <sz val="12"/>
        <rFont val="Arial Narrow"/>
        <family val="2"/>
      </rPr>
      <t>Gestionar la consecución de un nuevo Campus para la Escuela.</t>
    </r>
  </si>
  <si>
    <r>
      <rPr>
        <b/>
        <sz val="12"/>
        <rFont val="Arial Narrow"/>
        <family val="2"/>
      </rPr>
      <t>ME-29-</t>
    </r>
    <r>
      <rPr>
        <sz val="12"/>
        <rFont val="Arial Narrow"/>
        <family val="2"/>
      </rPr>
      <t xml:space="preserve">  Lograr  al 2023 el Registro Calificado de 1 Especialización Profesional, 1 Especialización Tecnológica, al 2024, 1 carrera profesional por ciclos y 1 Maestría.
</t>
    </r>
  </si>
  <si>
    <r>
      <rPr>
        <b/>
        <sz val="12"/>
        <rFont val="Arial Narrow"/>
        <family val="2"/>
      </rPr>
      <t xml:space="preserve">ME-30- </t>
    </r>
    <r>
      <rPr>
        <sz val="12"/>
        <rFont val="Arial Narrow"/>
        <family val="2"/>
      </rPr>
      <t xml:space="preserve"> Lograr al 2024, que el 50% de los programas con registro calificado en la modalidad presencial  esten convertidos a modalidad semipresencial (blended).
</t>
    </r>
  </si>
  <si>
    <r>
      <t xml:space="preserve"> </t>
    </r>
    <r>
      <rPr>
        <b/>
        <sz val="12"/>
        <color theme="1"/>
        <rFont val="Arial Narrow"/>
        <family val="2"/>
      </rPr>
      <t xml:space="preserve">ME-31- </t>
    </r>
    <r>
      <rPr>
        <sz val="12"/>
        <color theme="1"/>
        <rFont val="Arial Narrow"/>
        <family val="2"/>
      </rPr>
      <t>Fortalecer el proceso de articulación y/o integración entre las IEM (Instituciones de Educación Media) y la ETITC.</t>
    </r>
  </si>
  <si>
    <r>
      <rPr>
        <b/>
        <sz val="12"/>
        <color theme="1"/>
        <rFont val="Arial Narrow"/>
        <family val="2"/>
      </rPr>
      <t xml:space="preserve">ME-32 - </t>
    </r>
    <r>
      <rPr>
        <sz val="12"/>
        <color theme="1"/>
        <rFont val="Arial Narrow"/>
        <family val="2"/>
      </rPr>
      <t xml:space="preserve">Fortalecer el modelo educativo del bachillerato que permita aumentar cobertura, favorecer la permanencia y continuidad en la institución </t>
    </r>
  </si>
  <si>
    <r>
      <rPr>
        <b/>
        <sz val="12"/>
        <rFont val="Arial Narrow"/>
        <family val="2"/>
      </rPr>
      <t xml:space="preserve">ME-33- </t>
    </r>
    <r>
      <rPr>
        <sz val="12"/>
        <rFont val="Arial Narrow"/>
        <family val="2"/>
      </rPr>
      <t xml:space="preserve">Promover la estrategia de articulación </t>
    </r>
    <r>
      <rPr>
        <b/>
        <sz val="12"/>
        <rFont val="Arial Narrow"/>
        <family val="2"/>
      </rPr>
      <t xml:space="preserve"> </t>
    </r>
    <r>
      <rPr>
        <sz val="12"/>
        <color rgb="FFFF0000"/>
        <rFont val="Arial Narrow"/>
        <family val="2"/>
      </rPr>
      <t>"</t>
    </r>
    <r>
      <rPr>
        <sz val="12"/>
        <rFont val="Arial Narrow"/>
        <family val="2"/>
      </rPr>
      <t>de tu escuela a mi escuela y a mi universidad</t>
    </r>
    <r>
      <rPr>
        <sz val="12"/>
        <color rgb="FFFF0000"/>
        <rFont val="Arial Narrow"/>
        <family val="2"/>
      </rPr>
      <t>"</t>
    </r>
    <r>
      <rPr>
        <sz val="12"/>
        <rFont val="Arial Narrow"/>
        <family val="2"/>
      </rPr>
      <t>.</t>
    </r>
  </si>
  <si>
    <r>
      <rPr>
        <b/>
        <sz val="12"/>
        <rFont val="Arial Narrow"/>
        <family val="2"/>
      </rPr>
      <t>ME-34-</t>
    </r>
    <r>
      <rPr>
        <sz val="12"/>
        <rFont val="Arial Narrow"/>
        <family val="2"/>
      </rPr>
      <t xml:space="preserve"> Fortalecer el Programa de Atencion Básica Ampliada.</t>
    </r>
  </si>
  <si>
    <r>
      <rPr>
        <b/>
        <sz val="12"/>
        <color theme="1"/>
        <rFont val="Arial Narrow"/>
        <family val="2"/>
      </rPr>
      <t>ME-35-</t>
    </r>
    <r>
      <rPr>
        <sz val="12"/>
        <color theme="1"/>
        <rFont val="Arial Narrow"/>
        <family val="2"/>
      </rPr>
      <t>Formular e implementar el</t>
    </r>
    <r>
      <rPr>
        <b/>
        <sz val="12"/>
        <color theme="1"/>
        <rFont val="Arial Narrow"/>
        <family val="2"/>
      </rPr>
      <t xml:space="preserve"> </t>
    </r>
    <r>
      <rPr>
        <sz val="12"/>
        <color theme="1"/>
        <rFont val="Arial Narrow"/>
        <family val="2"/>
      </rPr>
      <t>Sistema de Registro Único de Seguimiento de Información y Acompañamiento (RUSIA) de la comunidad educativa de la Institución.</t>
    </r>
  </si>
  <si>
    <r>
      <rPr>
        <b/>
        <sz val="12"/>
        <color theme="1"/>
        <rFont val="Arial Narrow"/>
        <family val="2"/>
      </rPr>
      <t xml:space="preserve">ME-36- </t>
    </r>
    <r>
      <rPr>
        <sz val="12"/>
        <color theme="1"/>
        <rFont val="Arial Narrow"/>
        <family val="2"/>
      </rPr>
      <t xml:space="preserve">Implementar el </t>
    </r>
    <r>
      <rPr>
        <b/>
        <sz val="12"/>
        <color theme="1"/>
        <rFont val="Arial Narrow"/>
        <family val="2"/>
      </rPr>
      <t xml:space="preserve"> </t>
    </r>
    <r>
      <rPr>
        <sz val="12"/>
        <color theme="1"/>
        <rFont val="Arial Narrow"/>
        <family val="2"/>
      </rPr>
      <t>Banco de electivas de Bienestar Universitario y la Cátedra ETITC</t>
    </r>
  </si>
  <si>
    <r>
      <rPr>
        <b/>
        <sz val="12"/>
        <color theme="1"/>
        <rFont val="Arial Narrow"/>
        <family val="2"/>
      </rPr>
      <t>ME-37-</t>
    </r>
    <r>
      <rPr>
        <sz val="12"/>
        <color theme="1"/>
        <rFont val="Arial Narrow"/>
        <family val="2"/>
      </rPr>
      <t xml:space="preserve"> Implementar el Centro de Refuerzo Especializado Académico (CREA).</t>
    </r>
  </si>
  <si>
    <r>
      <rPr>
        <b/>
        <sz val="12"/>
        <color theme="1"/>
        <rFont val="Arial Narrow"/>
        <family val="2"/>
      </rPr>
      <t xml:space="preserve">ME-38- </t>
    </r>
    <r>
      <rPr>
        <sz val="12"/>
        <color theme="1"/>
        <rFont val="Arial Narrow"/>
        <family val="2"/>
      </rPr>
      <t>Elaborar los estudios de prefactibilidad, justificación técnica, el diagnóstico de Recursos Humanos, Financieros y Disponibilidad de Infraestructura y Tecnologías de la Información, vinculadas a las actividades de</t>
    </r>
    <r>
      <rPr>
        <sz val="12"/>
        <color rgb="FFFF0000"/>
        <rFont val="Arial Narrow"/>
        <family val="2"/>
      </rPr>
      <t xml:space="preserve"> </t>
    </r>
    <r>
      <rPr>
        <sz val="12"/>
        <rFont val="Arial Narrow"/>
        <family val="2"/>
      </rPr>
      <t>investigación, desarrollo e Innovación</t>
    </r>
    <r>
      <rPr>
        <sz val="12"/>
        <color theme="1"/>
        <rFont val="Arial Narrow"/>
        <family val="2"/>
      </rPr>
      <t xml:space="preserve"> del Centro de Pensamiento y Desarrollo Tecnológico. </t>
    </r>
  </si>
  <si>
    <r>
      <t xml:space="preserve">ME-39- </t>
    </r>
    <r>
      <rPr>
        <sz val="12"/>
        <color theme="1"/>
        <rFont val="Arial Narrow"/>
        <family val="2"/>
      </rPr>
      <t xml:space="preserve">Definir  las líneas de investigación y focos estratégicos y de acción del Centro. </t>
    </r>
  </si>
  <si>
    <r>
      <rPr>
        <b/>
        <sz val="12"/>
        <color theme="1"/>
        <rFont val="Arial Narrow"/>
        <family val="2"/>
      </rPr>
      <t xml:space="preserve">ME-40- </t>
    </r>
    <r>
      <rPr>
        <sz val="12"/>
        <color theme="1"/>
        <rFont val="Arial Narrow"/>
        <family val="2"/>
      </rPr>
      <t>Establecer la red institucional y de alianzas estrategicas del centro con los respectivos soportes que la respalden</t>
    </r>
  </si>
  <si>
    <r>
      <t>ME-41- F</t>
    </r>
    <r>
      <rPr>
        <sz val="12"/>
        <color theme="1"/>
        <rFont val="Arial Narrow"/>
        <family val="2"/>
      </rPr>
      <t xml:space="preserve">ormular el plan de mejoramiento de acuerdo a los crirterios de MinCiencias con sus respectivos informes y análisis. </t>
    </r>
  </si>
  <si>
    <r>
      <rPr>
        <b/>
        <sz val="12"/>
        <color theme="1"/>
        <rFont val="Arial Narrow"/>
        <family val="2"/>
      </rPr>
      <t>ME-42-</t>
    </r>
    <r>
      <rPr>
        <sz val="12"/>
        <color theme="1"/>
        <rFont val="Arial Narrow"/>
        <family val="2"/>
      </rPr>
      <t xml:space="preserve"> Radicar la solicitud para el reconocimiento del Centro de Pensamiento y Desarrollo Tecnológico por parte de Minciencias.</t>
    </r>
    <r>
      <rPr>
        <i/>
        <sz val="12"/>
        <color rgb="FFFF0000"/>
        <rFont val="Arial Narrow"/>
        <family val="2"/>
      </rPr>
      <t xml:space="preserve">  </t>
    </r>
  </si>
  <si>
    <r>
      <rPr>
        <b/>
        <sz val="12"/>
        <rFont val="Arial Narrow"/>
        <family val="2"/>
      </rPr>
      <t xml:space="preserve">ME-43- </t>
    </r>
    <r>
      <rPr>
        <sz val="12"/>
        <rFont val="Arial Narrow"/>
        <family val="2"/>
      </rPr>
      <t xml:space="preserve">Diseñar  e implementar  un Programa de capacitación permanente para la Investigación, Ciencia, Tecnología e Innovación y de fortalecimiento de la investigación en la ETITC. </t>
    </r>
  </si>
  <si>
    <r>
      <rPr>
        <b/>
        <sz val="12"/>
        <rFont val="Arial Narrow"/>
        <family val="2"/>
      </rPr>
      <t>ME-44-</t>
    </r>
    <r>
      <rPr>
        <sz val="12"/>
        <rFont val="Arial Narrow"/>
        <family val="2"/>
      </rPr>
      <t xml:space="preserve"> Diseñar  e implementar  un Programa de fortalecimiento de grupos de investigación y ampliación de las modalidades de investigación.</t>
    </r>
  </si>
  <si>
    <r>
      <rPr>
        <b/>
        <sz val="12"/>
        <color theme="1"/>
        <rFont val="Arial Narrow"/>
        <family val="2"/>
      </rPr>
      <t xml:space="preserve">ME-45 -  </t>
    </r>
    <r>
      <rPr>
        <sz val="12"/>
        <color theme="1"/>
        <rFont val="Arial Narrow"/>
        <family val="2"/>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</si>
  <si>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Arial Narrow"/>
        <family val="2"/>
      </rPr>
      <t>ME-46</t>
    </r>
    <r>
      <rPr>
        <sz val="12"/>
        <color theme="1"/>
        <rFont val="Arial Narrow"/>
        <family val="2"/>
      </rPr>
      <t xml:space="preserve">- Implementar el programa Incubadora tecnológica: Identificación y proyección de productos de investigación con potencial tecnológico y empresarial (spin-off, star-up, patentes...).  </t>
    </r>
  </si>
  <si>
    <r>
      <rPr>
        <b/>
        <sz val="12"/>
        <rFont val="Arial Narrow"/>
        <family val="2"/>
      </rPr>
      <t>ME-47-</t>
    </r>
    <r>
      <rPr>
        <sz val="12"/>
        <rFont val="Arial Narrow"/>
        <family val="2"/>
      </rPr>
      <t xml:space="preserve"> Fortalecer las redes de innovación y alianzas estratégicas de cooperación con otros actores del Sistema Nacional de Ciencia Tecnología e Innovación</t>
    </r>
    <r>
      <rPr>
        <sz val="12"/>
        <color theme="1"/>
        <rFont val="Arial Narrow"/>
        <family val="2"/>
      </rPr>
      <t xml:space="preserve"> – SNCTI, sector público, privado</t>
    </r>
    <r>
      <rPr>
        <sz val="12"/>
        <rFont val="Arial Narrow"/>
        <family val="2"/>
      </rPr>
      <t xml:space="preserve"> y academia para actividades de Investigación, Desarrollo e Innovación - I+D+i.</t>
    </r>
  </si>
  <si>
    <r>
      <rPr>
        <b/>
        <sz val="12"/>
        <color theme="1"/>
        <rFont val="Arial Narrow"/>
        <family val="2"/>
      </rPr>
      <t xml:space="preserve">ME-48- </t>
    </r>
    <r>
      <rPr>
        <sz val="12"/>
        <color theme="1"/>
        <rFont val="Arial Narrow"/>
        <family val="2"/>
      </rPr>
      <t xml:space="preserve">Diseñar y estructurar el Observatorio Tecnológico y de Innovación de la ETITC. </t>
    </r>
  </si>
  <si>
    <r>
      <rPr>
        <b/>
        <sz val="12"/>
        <rFont val="Arial Narrow"/>
        <family val="2"/>
      </rPr>
      <t>ME-49-</t>
    </r>
    <r>
      <rPr>
        <sz val="12"/>
        <rFont val="Arial Narrow"/>
        <family val="2"/>
      </rPr>
      <t xml:space="preserve"> Gestionar  y crear el Proyecto Editorial de la Escuela Tecnológica Instituto Técnico Central</t>
    </r>
  </si>
  <si>
    <r>
      <rPr>
        <b/>
        <sz val="12"/>
        <color theme="1"/>
        <rFont val="Arial Narrow"/>
        <family val="2"/>
      </rPr>
      <t xml:space="preserve">ME-50- </t>
    </r>
    <r>
      <rPr>
        <sz val="12"/>
        <color theme="1"/>
        <rFont val="Arial Narrow"/>
        <family val="2"/>
      </rPr>
      <t xml:space="preserve">Consolidar y fortalecer el vínculo entre empresa, estado - academia ETITC
</t>
    </r>
  </si>
  <si>
    <r>
      <rPr>
        <b/>
        <sz val="12"/>
        <color theme="1"/>
        <rFont val="Arial Narrow"/>
        <family val="2"/>
      </rPr>
      <t xml:space="preserve">ME-51.- </t>
    </r>
    <r>
      <rPr>
        <sz val="12"/>
        <color theme="1"/>
        <rFont val="Arial Narrow"/>
        <family val="2"/>
      </rPr>
      <t>Gestionar la oferta de asignaturas para procesos de cualificación como herrramienta al mundo laboral y/o homologación e inserción en la educación Superior</t>
    </r>
  </si>
  <si>
    <r>
      <rPr>
        <b/>
        <sz val="12"/>
        <color theme="1"/>
        <rFont val="Arial Narrow"/>
        <family val="2"/>
      </rPr>
      <t xml:space="preserve">ME-52- </t>
    </r>
    <r>
      <rPr>
        <sz val="12"/>
        <color theme="1"/>
        <rFont val="Arial Narrow"/>
        <family val="2"/>
      </rPr>
      <t>Diseñar y estructurar oferta de articulación</t>
    </r>
  </si>
  <si>
    <r>
      <rPr>
        <b/>
        <sz val="12"/>
        <color theme="1"/>
        <rFont val="Arial Narrow"/>
        <family val="2"/>
      </rPr>
      <t>ME-53-</t>
    </r>
    <r>
      <rPr>
        <sz val="12"/>
        <color theme="1"/>
        <rFont val="Arial Narrow"/>
        <family val="2"/>
      </rPr>
      <t xml:space="preserve"> Identificar capacidades institucionales</t>
    </r>
  </si>
  <si>
    <r>
      <rPr>
        <b/>
        <sz val="12"/>
        <color theme="1"/>
        <rFont val="Arial Narrow"/>
        <family val="2"/>
      </rPr>
      <t xml:space="preserve">ME-54- </t>
    </r>
    <r>
      <rPr>
        <sz val="12"/>
        <color theme="1"/>
        <rFont val="Arial Narrow"/>
        <family val="2"/>
      </rPr>
      <t>Estructurar programa de oferta de servicios</t>
    </r>
    <r>
      <rPr>
        <sz val="12"/>
        <color rgb="FFFF0000"/>
        <rFont val="Arial Narrow"/>
        <family val="2"/>
      </rPr>
      <t xml:space="preserve"> </t>
    </r>
    <r>
      <rPr>
        <sz val="12"/>
        <color theme="1"/>
        <rFont val="Arial Narrow"/>
        <family val="2"/>
      </rPr>
      <t>proyección social</t>
    </r>
  </si>
  <si>
    <r>
      <rPr>
        <b/>
        <sz val="12"/>
        <color theme="1"/>
        <rFont val="Arial Narrow"/>
        <family val="2"/>
      </rPr>
      <t xml:space="preserve">ME-55- </t>
    </r>
    <r>
      <rPr>
        <sz val="12"/>
        <color theme="1"/>
        <rFont val="Arial Narrow"/>
        <family val="2"/>
      </rPr>
      <t>Realizar convenios que permitan la participación en convocatorias que den respuesta a comunidades vulnerables.</t>
    </r>
  </si>
  <si>
    <r>
      <rPr>
        <b/>
        <sz val="12"/>
        <color theme="1"/>
        <rFont val="Arial Narrow"/>
        <family val="2"/>
      </rPr>
      <t xml:space="preserve">ME-56- </t>
    </r>
    <r>
      <rPr>
        <sz val="12"/>
        <color theme="1"/>
        <rFont val="Arial Narrow"/>
        <family val="2"/>
      </rPr>
      <t xml:space="preserve">Implementar una </t>
    </r>
    <r>
      <rPr>
        <sz val="12"/>
        <color rgb="FFFF0000"/>
        <rFont val="Arial Narrow"/>
        <family val="2"/>
      </rPr>
      <t xml:space="preserve"> </t>
    </r>
    <r>
      <rPr>
        <sz val="12"/>
        <color theme="1"/>
        <rFont val="Arial Narrow"/>
        <family val="2"/>
      </rPr>
      <t>política ambiental bajo consideraciones de sostenibilidad.</t>
    </r>
  </si>
  <si>
    <r>
      <rPr>
        <b/>
        <sz val="12"/>
        <color theme="1"/>
        <rFont val="Arial Narrow"/>
        <family val="2"/>
      </rPr>
      <t xml:space="preserve">ME-57- </t>
    </r>
    <r>
      <rPr>
        <sz val="12"/>
        <color theme="1"/>
        <rFont val="Arial Narrow"/>
        <family val="2"/>
      </rPr>
      <t>Diseñar e implementar  la catedra ETITC</t>
    </r>
  </si>
  <si>
    <r>
      <rPr>
        <b/>
        <sz val="12"/>
        <color theme="1"/>
        <rFont val="Arial Narrow"/>
        <family val="2"/>
      </rPr>
      <t>ME-58-</t>
    </r>
    <r>
      <rPr>
        <sz val="12"/>
        <color theme="1"/>
        <rFont val="Arial Narrow"/>
        <family val="2"/>
      </rPr>
      <t xml:space="preserve"> Lograr el</t>
    </r>
    <r>
      <rPr>
        <b/>
        <sz val="12"/>
        <color theme="1"/>
        <rFont val="Arial Narrow"/>
        <family val="2"/>
      </rPr>
      <t xml:space="preserve"> </t>
    </r>
    <r>
      <rPr>
        <sz val="12"/>
        <color theme="1"/>
        <rFont val="Arial Narrow"/>
        <family val="2"/>
      </rPr>
      <t xml:space="preserve">Diez por ciento (10%) de ahorro energético.
</t>
    </r>
  </si>
  <si>
    <r>
      <rPr>
        <b/>
        <sz val="12"/>
        <color theme="1"/>
        <rFont val="Arial Narrow"/>
        <family val="2"/>
      </rPr>
      <t xml:space="preserve">ME-59 </t>
    </r>
    <r>
      <rPr>
        <sz val="12"/>
        <color theme="1"/>
        <rFont val="Arial Narrow"/>
        <family val="2"/>
      </rPr>
      <t xml:space="preserve">Implementar el programa de racionalización de consumo de papel
</t>
    </r>
  </si>
  <si>
    <r>
      <rPr>
        <b/>
        <sz val="12"/>
        <color theme="1"/>
        <rFont val="Arial Narrow"/>
        <family val="2"/>
      </rPr>
      <t>ME-60</t>
    </r>
    <r>
      <rPr>
        <sz val="12"/>
        <color theme="1"/>
        <rFont val="Arial Narrow"/>
        <family val="2"/>
      </rPr>
      <t>- Realizar la adecuada disposición de todos los residuos producidos en el área de infraestructura, talleres y laboratorios.</t>
    </r>
  </si>
  <si>
    <r>
      <rPr>
        <b/>
        <sz val="12"/>
        <color theme="1"/>
        <rFont val="Arial Narrow"/>
        <family val="2"/>
      </rPr>
      <t>ME-61-</t>
    </r>
    <r>
      <rPr>
        <sz val="12"/>
        <color theme="1"/>
        <rFont val="Arial Narrow"/>
        <family val="2"/>
      </rPr>
      <t xml:space="preserve"> Adecuar espaciós verdes verticales y horizontales.</t>
    </r>
  </si>
  <si>
    <r>
      <rPr>
        <b/>
        <sz val="12"/>
        <color theme="1"/>
        <rFont val="Arial Narrow"/>
        <family val="2"/>
      </rPr>
      <t xml:space="preserve">ME-62- </t>
    </r>
    <r>
      <rPr>
        <sz val="12"/>
        <color theme="1"/>
        <rFont val="Arial Narrow"/>
        <family val="2"/>
      </rPr>
      <t>Adelantar el 50% del reforzamiento estructural de la sede principal.</t>
    </r>
  </si>
  <si>
    <r>
      <rPr>
        <b/>
        <sz val="12"/>
        <color theme="1"/>
        <rFont val="Arial Narrow"/>
        <family val="2"/>
      </rPr>
      <t>ME-63-</t>
    </r>
    <r>
      <rPr>
        <sz val="12"/>
        <color theme="1"/>
        <rFont val="Arial Narrow"/>
        <family val="2"/>
      </rPr>
      <t xml:space="preserve"> Construir espacios adecuados para la ubicación del gimnasio y áreas para desarrollo de actividades de bienestar estudiantil. (Administrativos y docentes)</t>
    </r>
  </si>
  <si>
    <r>
      <rPr>
        <b/>
        <sz val="12"/>
        <color theme="1"/>
        <rFont val="Arial Narrow"/>
        <family val="2"/>
      </rPr>
      <t xml:space="preserve">ME-65- </t>
    </r>
    <r>
      <rPr>
        <sz val="12"/>
        <color theme="1"/>
        <rFont val="Arial Narrow"/>
        <family val="2"/>
      </rPr>
      <t>Adecuación completa de la sede de la calle 18.</t>
    </r>
  </si>
  <si>
    <r>
      <rPr>
        <b/>
        <sz val="12"/>
        <color theme="1"/>
        <rFont val="Arial Narrow"/>
        <family val="2"/>
      </rPr>
      <t>ME-66-</t>
    </r>
    <r>
      <rPr>
        <sz val="12"/>
        <color theme="1"/>
        <rFont val="Arial Narrow"/>
        <family val="2"/>
      </rPr>
      <t xml:space="preserve"> Adaptación progresiva de la planta física para implementar la normativa de movilidad reducida.</t>
    </r>
  </si>
  <si>
    <r>
      <rPr>
        <b/>
        <sz val="12"/>
        <color theme="1"/>
        <rFont val="Arial Narrow"/>
        <family val="2"/>
      </rPr>
      <t xml:space="preserve">ME-67- </t>
    </r>
    <r>
      <rPr>
        <sz val="12"/>
        <color theme="1"/>
        <rFont val="Arial Narrow"/>
        <family val="2"/>
      </rPr>
      <t>Optimización de la oferta de parqueaderos en la sede central.</t>
    </r>
  </si>
  <si>
    <r>
      <t xml:space="preserve">ME -68 - </t>
    </r>
    <r>
      <rPr>
        <sz val="12"/>
        <color theme="1"/>
        <rFont val="Arial Narrow"/>
        <family val="2"/>
      </rPr>
      <t>Gestionar las Dotaciones de las instalaciones y sede principal para  la permanencia y aumento de la oferta.</t>
    </r>
  </si>
  <si>
    <r>
      <t>ME-69-</t>
    </r>
    <r>
      <rPr>
        <sz val="12"/>
        <rFont val="Arial Narrow"/>
        <family val="2"/>
      </rPr>
      <t xml:space="preserve"> Estructurar y gestionar el registro de Pregrado en Ingeniería Agrícola por ciclos.</t>
    </r>
  </si>
  <si>
    <r>
      <rPr>
        <b/>
        <sz val="12"/>
        <rFont val="Arial Narrow"/>
        <family val="2"/>
      </rPr>
      <t xml:space="preserve">ME-70-  </t>
    </r>
    <r>
      <rPr>
        <sz val="12"/>
        <rFont val="Arial Narrow"/>
        <family val="2"/>
      </rPr>
      <t xml:space="preserve">Estructurar  y gestionar el registro de  </t>
    </r>
    <r>
      <rPr>
        <b/>
        <sz val="12"/>
        <rFont val="Arial Narrow"/>
        <family val="2"/>
      </rPr>
      <t xml:space="preserve"> </t>
    </r>
    <r>
      <rPr>
        <sz val="12"/>
        <rFont val="Arial Narrow"/>
        <family val="2"/>
      </rPr>
      <t>Pregrado en Ingeniería Ambiental por ciclos.</t>
    </r>
  </si>
  <si>
    <r>
      <rPr>
        <b/>
        <sz val="12"/>
        <rFont val="Arial Narrow"/>
        <family val="2"/>
      </rPr>
      <t xml:space="preserve">ME-71-  </t>
    </r>
    <r>
      <rPr>
        <sz val="12"/>
        <rFont val="Arial Narrow"/>
        <family val="2"/>
      </rPr>
      <t xml:space="preserve">Estructurar  y gestionar el registro de  </t>
    </r>
    <r>
      <rPr>
        <b/>
        <sz val="12"/>
        <rFont val="Arial Narrow"/>
        <family val="2"/>
      </rPr>
      <t xml:space="preserve"> </t>
    </r>
    <r>
      <rPr>
        <sz val="12"/>
        <rFont val="Arial Narrow"/>
        <family val="2"/>
      </rPr>
      <t>Pregrado en Ingeniería de energías por ciclos.</t>
    </r>
  </si>
  <si>
    <t>OBJETIVO</t>
  </si>
  <si>
    <t>OE.1. Consolidar la calidad académica para la acreditación institucional de alta calidad respaldada fortalecimiento
de la gestión, la infraestructura tecnológica y física.</t>
  </si>
  <si>
    <t>OE.2. Fortalecer y potenciar el Talento Humano en las plantas de personal docente y administrativa</t>
  </si>
  <si>
    <t>OE-3. Fortalecer el ecosistema de funcionalidades digitales para la gestión y el desarrollo de la actividad
misional mediante el uso de las TIC.</t>
  </si>
  <si>
    <t>OE.4. Fortalecer la visibilidad de la escuela bajo en entorno de asertividad para el posicionamiento
nacional e internacional.</t>
  </si>
  <si>
    <t xml:space="preserve">OE.5. Consolidar la infraestructura física de la Escuela para el desarrollo de la academia y la consolidación
de las nuevas apuestas institucionales. </t>
  </si>
  <si>
    <t xml:space="preserve">OE.6. Aumentar la cobertura mediante programas de educación superior diferenciados, con alta
pertinencia regional de la institución.
</t>
  </si>
  <si>
    <t>OE.7. Implementar programas y acciones para asegurar la permanencia de los estudiantes.</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</si>
  <si>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</si>
  <si>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OE.9. La Extensión y la Proyección social como aporte al desarrollo de capacidades.</t>
  </si>
  <si>
    <t>OE.10. Establecer un nuevo acuerdo ambiental mediante una
política institucional ambiental y la catedra institucional
en la ETITC.</t>
  </si>
  <si>
    <t>OE.11. Aumentar la cobertura mediante programas de educación superior diferenciados, con alta pertinencia regional.</t>
  </si>
  <si>
    <t xml:space="preserve">SEGURIDAD DIGITAL </t>
  </si>
  <si>
    <t>SEGURIDAD Y SALUD EN EL TRABAJO</t>
  </si>
  <si>
    <t>DESPACHO DE LA VICERRECTORÍA ACADÉMICA</t>
  </si>
  <si>
    <t>VICERRECTORÍA DE INVESTIGACIÓN EXTENSIÓN Y TRANSFERENCIA</t>
  </si>
  <si>
    <t>INDICADORES: LO AMBIENTAL</t>
  </si>
  <si>
    <t>INDICADORES: LO INSTITUCIONAL</t>
  </si>
  <si>
    <t>INDICADORES: LO SOCIAL</t>
  </si>
  <si>
    <t>PLAN DE ACCIÓN 2023</t>
  </si>
  <si>
    <t>CANTIDADES</t>
  </si>
  <si>
    <t>TIPO</t>
  </si>
  <si>
    <t>VALOR UNITARIO</t>
  </si>
  <si>
    <t>VALOR TOTAL</t>
  </si>
  <si>
    <t>Adquisición</t>
  </si>
  <si>
    <t>Adecuación</t>
  </si>
  <si>
    <t>Apoyo</t>
  </si>
  <si>
    <t>Alquiler</t>
  </si>
  <si>
    <t>Asistencia</t>
  </si>
  <si>
    <t>Arrendamiento</t>
  </si>
  <si>
    <t>Capacitación</t>
  </si>
  <si>
    <t>Convenio</t>
  </si>
  <si>
    <t>Construcción</t>
  </si>
  <si>
    <t>Cursos</t>
  </si>
  <si>
    <t>Consultoría</t>
  </si>
  <si>
    <t>Compraventa</t>
  </si>
  <si>
    <t>Dotación</t>
  </si>
  <si>
    <t>Diseño</t>
  </si>
  <si>
    <t xml:space="preserve">Estudios </t>
  </si>
  <si>
    <t>Hora cátedra</t>
  </si>
  <si>
    <t>Honorarios</t>
  </si>
  <si>
    <t>Impresión</t>
  </si>
  <si>
    <t>Inscripción</t>
  </si>
  <si>
    <t>Mantenimiento</t>
  </si>
  <si>
    <t>Prestación de servicios</t>
  </si>
  <si>
    <t>Publicación</t>
  </si>
  <si>
    <t>Proyectos</t>
  </si>
  <si>
    <t>Restauración</t>
  </si>
  <si>
    <t xml:space="preserve">Servicio </t>
  </si>
  <si>
    <t>Suministro</t>
  </si>
  <si>
    <t>Renovación</t>
  </si>
  <si>
    <t>Taller</t>
  </si>
  <si>
    <t>Viáticos</t>
  </si>
  <si>
    <t>prOCESO</t>
  </si>
  <si>
    <t>Numero de profesionales</t>
  </si>
  <si>
    <t>Numero de asesor vinculado</t>
  </si>
  <si>
    <t>prestación de servicios</t>
  </si>
  <si>
    <t>ME-1- Obtener la Acreditación Institucional de Alta Calidad en el 2025</t>
  </si>
  <si>
    <t>Vincular el profesional de calidad</t>
  </si>
  <si>
    <t>Vincular el profesional de gestión ambiental</t>
  </si>
  <si>
    <t>Vincular el profesional de plan de acción</t>
  </si>
  <si>
    <t>Vincular el profesional de apoyo estratégico</t>
  </si>
  <si>
    <t>PLAN DE NECESIDADES 2023</t>
  </si>
  <si>
    <t>Vincular un asesor para el proceso de autoelación con fines de acreditación institucional</t>
  </si>
  <si>
    <t>Vincular el profesional de continuidad del servicio</t>
  </si>
  <si>
    <t>Total: Mantenimiento, Insumos, Adquisición, Capacitación, Viáticos, Proyectos, Otros</t>
  </si>
  <si>
    <t>Otros</t>
  </si>
  <si>
    <t>Insumos</t>
  </si>
  <si>
    <t>Prestación de Servicios</t>
  </si>
  <si>
    <t>TOTALES</t>
  </si>
  <si>
    <t>Facultades</t>
  </si>
  <si>
    <t>Adquisiciones</t>
  </si>
  <si>
    <t>Talleres y Laboratorios</t>
  </si>
  <si>
    <t>Biblioteca</t>
  </si>
  <si>
    <t>Registro y control</t>
  </si>
  <si>
    <t>RESUMEN POR ÁREAS Y TOTALES</t>
  </si>
  <si>
    <t>Diciembre 30</t>
  </si>
  <si>
    <t>Febrero 1</t>
  </si>
  <si>
    <t>Escáner multifuncional entregado</t>
  </si>
  <si>
    <t>Adquisición de escáner multifuncional</t>
  </si>
  <si>
    <t>REGISTRO Y CONTROL</t>
  </si>
  <si>
    <t>Impresora multifuncional láser entregada</t>
  </si>
  <si>
    <t>Adquisición de impresora láser multifuncional</t>
  </si>
  <si>
    <t>Plataforma tecnológica académica actualizada</t>
  </si>
  <si>
    <t>Actualizar la plataforma académica</t>
  </si>
  <si>
    <t>Acta de inicio</t>
  </si>
  <si>
    <t>Prestación de servicios como apoyo a la gestión  y manejo de los expedientes academicos de los estudiantes de bachillerato, programas de educación superior y posgrado en el área de registro y control de la escuela tecnológica instituto técnico central.</t>
  </si>
  <si>
    <t>Prestación de servicios como apoyo a la gestión del área de registro y control para el tramite de informacion de las decanaturas y estudiantes de la escuela tecnológica instituto técnico central.</t>
  </si>
  <si>
    <t>Agosto 31</t>
  </si>
  <si>
    <t xml:space="preserve">Suministro de insumos </t>
  </si>
  <si>
    <t>DIGITALIZACIÓN TESIS  AÑOS 1983-1999</t>
  </si>
  <si>
    <t xml:space="preserve">BIBLIOTECA </t>
  </si>
  <si>
    <t xml:space="preserve">Suscripcion </t>
  </si>
  <si>
    <t xml:space="preserve">ADQUISICIÓN NUEVO SISTEMA DE SEGURIDAD RFID </t>
  </si>
  <si>
    <t>noviembre 30</t>
  </si>
  <si>
    <t>noviembre 1</t>
  </si>
  <si>
    <t xml:space="preserve">RENOVACIÓN SUSCRIPCIÓN PLATAFORMA  E-Libro </t>
  </si>
  <si>
    <t xml:space="preserve">RENOVACIÓN SUSCRIPCIÓN PLATAFORMA ACM (Association of Computing Machinery) </t>
  </si>
  <si>
    <t xml:space="preserve">RENOVACIÓN SUSCRIPCIÓN PLATAFORMA VIRTUAL PRO </t>
  </si>
  <si>
    <t xml:space="preserve">RENOVACIÓN TEXTOS DIGITALES Y FISICOS PARA LA PLATAFORMA E-BOOK 7-24  - EDITORIALES  ASOCIADAS A  -DIGITAL CONTENT- </t>
  </si>
  <si>
    <t>RENOVACIÓN TEXTOS DIGITALES Y FISICOS PARA LA PLATAFORMA E-BOOK 7-24  -MC GRAW HILL-</t>
  </si>
  <si>
    <t>septiembre 30</t>
  </si>
  <si>
    <t>septiembre 1</t>
  </si>
  <si>
    <t xml:space="preserve">RENOVACIÓN SUSCRIPCION PLATAFORMA  METABIBLIOTECA </t>
  </si>
  <si>
    <t>PRESTACION DE SERVICIOS COMO APOYO A LA GESTION POR SUS PROPIOS MEDIOS Y CON PLENA AUTONOMIA PARA APOYAR Y CONTRIBUIR A LOS PROCESOS Y ACTIVIDADES PROPIAS DE LA GESTIÒN DEL CENTRO DE BIBLIOTECA Y RECURSOS EDUCATIVOS DE LA ETITC.</t>
  </si>
  <si>
    <t>PRESTACION DE SERVICIOS PROFESIONALES, PARA APOYAR POR SUS PROPIOS MEDIOS Y CON PLENA AUTONOMIA A CONTRIBUIR CON LOS PROCESOS Y ACTIVIDADES PROPIAS DE LA GESTIÒN DEL CENTRO DE BIBLIOTECA Y RECURSOS EDUCATIVOS DE LA ETITC.</t>
  </si>
  <si>
    <t>HONORARIOS</t>
  </si>
  <si>
    <t>CONTRATACIÒN PROFESIONAL EN  PSICOPEDAGOGIA</t>
  </si>
  <si>
    <t>CON TRATACIÒN PROFESIONAL APOYO Y SEGUIMIENTO ACADÈMICO ALERTAS TEMPRANAS (MATEMATICO)</t>
  </si>
  <si>
    <t>CONTRATACIÒN PROFESIONAL DESARROLLO DE LA EXPRESIÓN, COMPRENSIÒN LECTO-ESCRITA</t>
  </si>
  <si>
    <t>CONTRATACIÒN PROFESIONAL DESARROLLO DEL PENSAMIENTO LOGICO Y RAZONAMIENTO (MATEMATICO)</t>
  </si>
  <si>
    <t>CONTRATACIÒN PROFESIONAL DESARROLLO EN COMPETENCIAS Y RESULTADOS DE APRENDIZAJE ( PSICOLOGO CREA)</t>
  </si>
  <si>
    <t>16/01/2023</t>
  </si>
  <si>
    <t>CONTRATACÌON PROFESIONAL EN PSICOLOGIA TINTAL PM</t>
  </si>
  <si>
    <t>CONTRATACÌON PROFESIONAL EN PSICOLOGIA TINTAL AM</t>
  </si>
  <si>
    <t>conferencias</t>
  </si>
  <si>
    <t>Desarrollo de la catedra ETITC</t>
  </si>
  <si>
    <t>adquisición</t>
  </si>
  <si>
    <t>Material</t>
  </si>
  <si>
    <t xml:space="preserve">Material de apoyo para el fortalecimiento de las lógicas de pensamiento, razocinio, expresión, cpmprensión  y lenguaje </t>
  </si>
  <si>
    <t>Número de estudiantes de los ciclos propedéuticos atendidos en el CREA / Total de estudiantes matriculados en los ciclos propedéuticos * 109</t>
  </si>
  <si>
    <t>Talleres focalizados</t>
  </si>
  <si>
    <t>Número de estudiantes de los ciclos propedéuticos atendidos en el CREA / Total de estudiantes matriculados en los ciclos propedéuticos * 102</t>
  </si>
  <si>
    <t>DESARROLLO  DE HABILIDADES COGNITIVAS</t>
  </si>
  <si>
    <t>adquisiciòn</t>
  </si>
  <si>
    <t>Desarrrollo</t>
  </si>
  <si>
    <t>Desarrollo Fase 4 repositorio de informes de estrategias 
Formatos para cargue SNIES
Impacto del apoyo frente al riesgo
Metodologia de permanencia
modulo de aprendizaje del modelo de riesgos</t>
  </si>
  <si>
    <t>Estudiantes registrados en Rusia durante la vigencia / 3600 * 104</t>
  </si>
  <si>
    <t>16 diciembre 2023</t>
  </si>
  <si>
    <t>16 enero 2023</t>
  </si>
  <si>
    <t>Contrataciòn profesional apoyo jovenes a la U</t>
  </si>
  <si>
    <t>15/02/2024</t>
  </si>
  <si>
    <t>Herramientas de salud mental</t>
  </si>
  <si>
    <t>15/02/2023</t>
  </si>
  <si>
    <t>15/03/2023</t>
  </si>
  <si>
    <t>15/03/2024</t>
  </si>
  <si>
    <t>PROGRAMA DE SALUD MENTAL
(Línea Docentes)</t>
  </si>
  <si>
    <t>PROGRAMA DE SALUD MENTAL
(Línea de Estudiantes, )</t>
  </si>
  <si>
    <t>Según demanda</t>
  </si>
  <si>
    <t>ATENCIÓN POR PSICOPEDAGOGIA</t>
  </si>
  <si>
    <t>INSCRIPCION MONITORES</t>
  </si>
  <si>
    <t>Mantenimiento instrumentos musicales</t>
  </si>
  <si>
    <t>Actividad Sanarte</t>
  </si>
  <si>
    <t>Contración profesional integral artes</t>
  </si>
  <si>
    <t xml:space="preserve">Contratación profesional musica </t>
  </si>
  <si>
    <t>SEMANA ACTIVIDAD EMOCIONARTE ADMINISTRATIVOS</t>
  </si>
  <si>
    <t>necesidades</t>
  </si>
  <si>
    <t>EXPOSICIÓNES</t>
  </si>
  <si>
    <t xml:space="preserve"> FESTIVALES</t>
  </si>
  <si>
    <t xml:space="preserve"> ACTIVIDADES CULTURALES</t>
  </si>
  <si>
    <t>CONFERENCIA ARTE Y CULTURA</t>
  </si>
  <si>
    <t>TRABAJADOR SOCIAL(INCLUSIÒN GENERO)</t>
  </si>
  <si>
    <t>Profesional sisteman de permanencia</t>
  </si>
  <si>
    <t>SEMANA DE LA UDIVERSIDAD</t>
  </si>
  <si>
    <t>Tarjeta de transmilenio</t>
  </si>
  <si>
    <t>MUJER BIT y DIVERSIDAD DE GENERO</t>
  </si>
  <si>
    <t>auxiliar servicio de subsidio de alimentaciòn</t>
  </si>
  <si>
    <t>PROFESIONAL CULTURA INSTITUCIONAL Y CIUDADANA</t>
  </si>
  <si>
    <t>Celebración</t>
  </si>
  <si>
    <t>CELEBRACIONES EUCARISTICAS (Estipendio)</t>
  </si>
  <si>
    <t>ACOMPAÑAMIENTO ESPIRITUAL</t>
  </si>
  <si>
    <t>Subsidios entregados</t>
  </si>
  <si>
    <t>PROGRAMA SUBSIDIO DE ALIMENTACIÓN</t>
  </si>
  <si>
    <t>Videos</t>
  </si>
  <si>
    <t xml:space="preserve">REFLEXIONES Y VIDEOS </t>
  </si>
  <si>
    <t xml:space="preserve"> INSTRUCTORES DEPORTES</t>
  </si>
  <si>
    <t>INSTRUCTOR GIMNASIO</t>
  </si>
  <si>
    <t>Carrera</t>
  </si>
  <si>
    <t>CARRERA ATLETICAS</t>
  </si>
  <si>
    <t>Torneo</t>
  </si>
  <si>
    <t xml:space="preserve">TORNEOS  </t>
  </si>
  <si>
    <t>INSCRIPCION ES Y ENTRENAMIENTOS TENIS DE MESA</t>
  </si>
  <si>
    <t>INSCRIPCION Y ENTRENAMIENTOS  A FUTSAL</t>
  </si>
  <si>
    <t xml:space="preserve">INSCRIPCIONES Y ENTRENAMIENTOS BALONCESTO </t>
  </si>
  <si>
    <t xml:space="preserve">INSCRIPCIONES  ENTRENAMIENTOS VOLEIBOL  </t>
  </si>
  <si>
    <t>PRESTAMO DE MATERIAL DEPORTIVO</t>
  </si>
  <si>
    <t>PROFESIONAL SERVICIO ENFERMERIA TINTAL P.M.</t>
  </si>
  <si>
    <t>PROFESIONAL SERVICIO ENFERMERIA TINTAL A.M</t>
  </si>
  <si>
    <t>E.P</t>
  </si>
  <si>
    <t>INSUMOS ATENCIÓN PRIMARIA EN ENFERMERIA</t>
  </si>
  <si>
    <t xml:space="preserve">Elementos adquiridos  </t>
  </si>
  <si>
    <r>
      <rPr>
        <b/>
        <sz val="10"/>
        <rFont val="Calibri"/>
        <family val="2"/>
        <scheme val="minor"/>
      </rPr>
      <t>Eficiencia Energética</t>
    </r>
    <r>
      <rPr>
        <sz val="10"/>
        <rFont val="Calibri"/>
        <family val="2"/>
        <scheme val="minor"/>
      </rPr>
      <t xml:space="preserve">
Estudio Gases: Caracterización
Servicios de Asesoría</t>
    </r>
  </si>
  <si>
    <r>
      <rPr>
        <b/>
        <sz val="10"/>
        <rFont val="Calibri"/>
        <family val="2"/>
        <scheme val="minor"/>
      </rPr>
      <t>CDVE-Centro de Vehículos Eléctricos</t>
    </r>
    <r>
      <rPr>
        <sz val="10"/>
        <rFont val="Calibri"/>
        <family val="2"/>
        <scheme val="minor"/>
      </rPr>
      <t xml:space="preserve">
Laboratorio de Movilidad sostenible fase II</t>
    </r>
  </si>
  <si>
    <t>Marzo 31</t>
  </si>
  <si>
    <t>Enero 15</t>
  </si>
  <si>
    <r>
      <rPr>
        <b/>
        <sz val="10"/>
        <rFont val="Calibri"/>
        <family val="2"/>
        <scheme val="minor"/>
      </rPr>
      <t>Taller de Automatización industrial</t>
    </r>
    <r>
      <rPr>
        <sz val="10"/>
        <rFont val="Calibri"/>
        <family val="2"/>
        <scheme val="minor"/>
      </rPr>
      <t xml:space="preserve">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r>
  </si>
  <si>
    <r>
      <rPr>
        <b/>
        <sz val="10"/>
        <rFont val="Calibri"/>
        <family val="2"/>
        <scheme val="minor"/>
      </rPr>
      <t>Taller de Diseño</t>
    </r>
    <r>
      <rPr>
        <sz val="10"/>
        <rFont val="Calibri"/>
        <family val="2"/>
        <scheme val="minor"/>
      </rPr>
      <t xml:space="preserve">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r>
  </si>
  <si>
    <t>Suministro de Insumos</t>
  </si>
  <si>
    <r>
      <rPr>
        <b/>
        <sz val="10"/>
        <rFont val="Calibri"/>
        <family val="2"/>
        <scheme val="minor"/>
      </rPr>
      <t>Taller de modelería y Fab Lab</t>
    </r>
    <r>
      <rPr>
        <sz val="10"/>
        <rFont val="Calibri"/>
        <family val="2"/>
        <scheme val="minor"/>
      </rPr>
      <t xml:space="preserve">
-Maquinaria del area de modeleria y fablab (60)
-Adecuacion de salon para la puesta de puntos de red, puntos electricos, muebles, computadores para diseño. (1)
-Adecuacion de dos espacios para disponer como almacenes de insumos, dado que la parte de quimicos debe ir separada de los objetos inflamables. De tal manera que se pueda tener un registro mas riguroso del material a utilizar.(1)
-Impresoras 3D de plastico y metal, esferos de filamento, escaner 3D, cortadora laser de materiales blandos de gran formato, portatil de alto rendimiento para el escaner.(1)</t>
    </r>
  </si>
  <si>
    <t>-Calibración y trazabilidad certificada por ONAC de los equipos de medicion del taller de electricidad J301 (175)</t>
  </si>
  <si>
    <t>-Adquisición de EQUIPOS DIDACTICOS DE LORENZO (5)</t>
  </si>
  <si>
    <t>-Mantenimiento  preventivo y correctivo de los equipos del taller de
electricidad  J 301 (23)</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</si>
  <si>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</si>
  <si>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r>
      <rPr>
        <b/>
        <sz val="10"/>
        <rFont val="Calibri"/>
        <family val="2"/>
        <scheme val="minor"/>
      </rPr>
      <t>Laboratorio de Industria 4.</t>
    </r>
    <r>
      <rPr>
        <sz val="10"/>
        <rFont val="Calibri"/>
        <family val="2"/>
        <scheme val="minor"/>
      </rPr>
      <t xml:space="preserve">
</t>
    </r>
    <r>
      <rPr>
        <u/>
        <sz val="10"/>
        <rFont val="Calibri"/>
        <family val="2"/>
        <scheme val="minor"/>
      </rPr>
      <t>ASUS ROG Zephyrus M16 (2)</t>
    </r>
    <r>
      <rPr>
        <sz val="10"/>
        <rFont val="Calibri"/>
        <family val="2"/>
        <scheme val="minor"/>
      </rPr>
      <t xml:space="preserve">
- Sistema Operativo: Windows 11 Pro
- Memoria RAM: DDR5 32GB
- Alamcenamiento 1TB
- Tarjeta Grafica: NVIDIA GeForce RTX 3060
- Procesador: 12th Gen Intel® Core™ i7-12700H Processor 2.3 GHz
</t>
    </r>
    <r>
      <rPr>
        <u/>
        <sz val="10"/>
        <rFont val="Calibri"/>
        <family val="2"/>
        <scheme val="minor"/>
      </rPr>
      <t>Asus Rog Zephyrus Duo SE 15 (1)</t>
    </r>
    <r>
      <rPr>
        <sz val="10"/>
        <rFont val="Calibri"/>
        <family val="2"/>
        <scheme val="minor"/>
      </rPr>
      <t xml:space="preserve">
- Sistema Operativo: Windows 11 Pro
- Memoria RAM: DDR4 32GB
- Almacenamiento: 1TB
- Tarjeta Grafica: NVIDIA® GeForce RTX™ 3080 Laptop GPU
- Procesador: AMD Ryzen™ 9 5900HX Mobile 8-core/16-thread
</t>
    </r>
    <r>
      <rPr>
        <u/>
        <sz val="10"/>
        <rFont val="Calibri"/>
        <family val="2"/>
        <scheme val="minor"/>
      </rPr>
      <t>HTC VIVE Pro 2 Kit (2)</t>
    </r>
    <r>
      <rPr>
        <sz val="10"/>
        <rFont val="Calibri"/>
        <family val="2"/>
        <scheme val="minor"/>
      </rPr>
      <t xml:space="preserve">
- Sensores: SteamVR Tracking 2.0, sensor G, giroscopio, proximidad, sensor IPD
- Controlador: trackpad multifunción, botones de agarre, gatillo de dos etapas, botón de sistema, botón de menú
</t>
    </r>
    <r>
      <rPr>
        <u/>
        <sz val="10"/>
        <rFont val="Calibri"/>
        <family val="2"/>
        <scheme val="minor"/>
      </rPr>
      <t xml:space="preserve">Oculus Quest 2 256GB (1)
</t>
    </r>
    <r>
      <rPr>
        <sz val="10"/>
        <rFont val="Calibri"/>
        <family val="2"/>
        <scheme val="minor"/>
      </rPr>
      <t xml:space="preserve">- Resolución 1920 x 1832 por ojo
- Wi-Fi 6
- Bluetooth 5.1
- Almacenamiento 256GB
- Altavoces 3D Integrados
- Panel LCD
</t>
    </r>
    <r>
      <rPr>
        <u/>
        <sz val="10"/>
        <rFont val="Calibri"/>
        <family val="2"/>
        <scheme val="minor"/>
      </rPr>
      <t>Tracker Vive Htc (2)</t>
    </r>
    <r>
      <rPr>
        <sz val="10"/>
        <rFont val="Calibri"/>
        <family val="2"/>
        <scheme val="minor"/>
      </rPr>
      <t xml:space="preserve">
- Modelo: 99HANL002-00
- Contenido adicional: 1 Base y 1 Cable micro USB
</t>
    </r>
    <r>
      <rPr>
        <u/>
        <sz val="10"/>
        <rFont val="Calibri"/>
        <family val="2"/>
        <scheme val="minor"/>
      </rPr>
      <t>Cable Matters Adaptador Mini (3)</t>
    </r>
    <r>
      <rPr>
        <sz val="10"/>
        <rFont val="Calibri"/>
        <family val="2"/>
        <scheme val="minor"/>
      </rPr>
      <t xml:space="preserve">
- Adaptador de cable Mini DisplayPort 1.4 a DisplayPort 1.4
- Tipo: Hembra a macho
- Resolucion: 4K a 120 Hz
- Compatible con Thunderbolt y Thunderbolt 2
</t>
    </r>
    <r>
      <rPr>
        <u/>
        <sz val="10"/>
        <rFont val="Calibri"/>
        <family val="2"/>
        <scheme val="minor"/>
      </rPr>
      <t>Adaptador USB C a DisplayPort (3)</t>
    </r>
    <r>
      <rPr>
        <sz val="10"/>
        <rFont val="Calibri"/>
        <family val="2"/>
        <scheme val="minor"/>
      </rPr>
      <t xml:space="preserve">
</t>
    </r>
    <r>
      <rPr>
        <u/>
        <sz val="10"/>
        <rFont val="Calibri"/>
        <family val="2"/>
        <scheme val="minor"/>
      </rPr>
      <t xml:space="preserve">Extension Skywin Para Htc Vive Pro (2)
</t>
    </r>
    <r>
      <rPr>
        <sz val="10"/>
        <rFont val="Calibri"/>
        <family val="2"/>
        <scheme val="minor"/>
      </rPr>
      <t xml:space="preserve">- Tamaño: 20 m
- Compatible con HTC Vive Pro
</t>
    </r>
  </si>
  <si>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</si>
  <si>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motores</t>
    </r>
    <r>
      <rPr>
        <sz val="10"/>
        <rFont val="Calibri"/>
        <family val="2"/>
        <scheme val="minor"/>
      </rPr>
      <t xml:space="preserve">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r>
  </si>
  <si>
    <r>
      <rPr>
        <b/>
        <sz val="10"/>
        <rFont val="Calibri"/>
        <family val="2"/>
        <scheme val="minor"/>
      </rPr>
      <t>Taller de fundición</t>
    </r>
    <r>
      <rPr>
        <sz val="10"/>
        <rFont val="Calibri"/>
        <family val="2"/>
        <scheme val="minor"/>
      </rPr>
      <t xml:space="preserve">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r>
  </si>
  <si>
    <r>
      <rPr>
        <b/>
        <sz val="10"/>
        <rFont val="Calibri"/>
        <family val="2"/>
        <scheme val="minor"/>
      </rPr>
      <t>Taller de mecánica industrial</t>
    </r>
    <r>
      <rPr>
        <sz val="10"/>
        <rFont val="Calibri"/>
        <family val="2"/>
        <scheme val="minor"/>
      </rPr>
      <t xml:space="preserve">
Mantenimiento a las maquinas en CNC
Nuevos computadores de alta capacidad para la sala de CNC
Tornos Pinacho MODELOS ML 325 https://www.pinachocnc.com/product/pinacho-ml-325x2000-3/</t>
    </r>
  </si>
  <si>
    <r>
      <rPr>
        <b/>
        <sz val="10"/>
        <rFont val="Calibri"/>
        <family val="2"/>
        <scheme val="minor"/>
      </rPr>
      <t>Laboratorio de Física y Química</t>
    </r>
    <r>
      <rPr>
        <sz val="10"/>
        <rFont val="Calibri"/>
        <family val="2"/>
        <scheme val="minor"/>
      </rPr>
      <t xml:space="preserve">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r>
  </si>
  <si>
    <r>
      <rPr>
        <b/>
        <sz val="10"/>
        <rFont val="Calibri"/>
        <family val="2"/>
        <scheme val="minor"/>
      </rPr>
      <t>Taller de electrónica</t>
    </r>
    <r>
      <rPr>
        <sz val="10"/>
        <rFont val="Calibri"/>
        <family val="2"/>
        <scheme val="minor"/>
      </rPr>
      <t xml:space="preserve">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r>
  </si>
  <si>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</si>
  <si>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-Equipo laser para proceso de soldadura y limpieza de materiales, para la innovacion en nuevas tecnologias en procesos de soldadura e impementacion de equipos de limpieza en materiales corrosivos.</t>
  </si>
  <si>
    <t>-Plegadora de tornillo de bola CNC, para modernizar el proceso de doblado y plegado a su vez que se deja de maquinaria obsoleta de mas de 60 años.</t>
  </si>
  <si>
    <t>-Cabinas de soldadura con iluminacion, soporte para equipos y mesa de soldadura, para  ubicar equipos que no se encuentra en uso.</t>
  </si>
  <si>
    <r>
      <rPr>
        <b/>
        <sz val="10"/>
        <rFont val="Calibri"/>
        <family val="2"/>
        <scheme val="minor"/>
      </rPr>
      <t>Taller Metalistería y soldadura</t>
    </r>
    <r>
      <rPr>
        <sz val="10"/>
        <rFont val="Calibri"/>
        <family val="2"/>
        <scheme val="minor"/>
      </rPr>
      <t xml:space="preserve">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r>
  </si>
  <si>
    <t>-Elementos Adquiridos</t>
  </si>
  <si>
    <t xml:space="preserve">-Mantenimiento realizado
</t>
  </si>
  <si>
    <r>
      <rPr>
        <b/>
        <sz val="10"/>
        <rFont val="Calibri"/>
        <family val="2"/>
        <scheme val="minor"/>
      </rPr>
      <t xml:space="preserve">Taller de Tratamientos térmicos. </t>
    </r>
    <r>
      <rPr>
        <sz val="10"/>
        <rFont val="Calibri"/>
        <family val="2"/>
        <scheme val="minor"/>
      </rPr>
      <t>DUROMETRO, ROCKELL, ULTRASONIDO, EQUIPO, EQUIPO DE SOLDADURA SMAW, TIG Y MIG, ESPECTOMETRO DE MASAS, LIJAS, BENTONITA, DISCO DE CORTE, HERRAMIENTA, MULTIMETROS,</t>
    </r>
  </si>
  <si>
    <t>-Elementos adquiridos  
-Acta de inicio de contrato Prestación de Servicios</t>
  </si>
  <si>
    <r>
      <rPr>
        <b/>
        <sz val="10"/>
        <rFont val="Calibri"/>
        <family val="2"/>
        <scheme val="minor"/>
      </rPr>
      <t>Laboratorio de Domótica e inmótica.</t>
    </r>
    <r>
      <rPr>
        <sz val="10"/>
        <rFont val="Calibri"/>
        <family val="2"/>
        <scheme val="minor"/>
      </rPr>
      <t xml:space="preserve">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r>
  </si>
  <si>
    <r>
      <rPr>
        <b/>
        <sz val="10"/>
        <rFont val="Calibri"/>
        <family val="2"/>
        <scheme val="minor"/>
      </rPr>
      <t xml:space="preserve">Taller de Calidad de Energía, Baja tensión: </t>
    </r>
    <r>
      <rPr>
        <sz val="10"/>
        <rFont val="Calibri"/>
        <family val="2"/>
        <scheme val="minor"/>
      </rPr>
      <t>Mantenimiento de equipos: calibracion equipos de medicion, Analizadores de red, Multimetros, Pinzas amperímetricas, Transductores de corriente,  Osciloscopios
-Adquisición de insumos</t>
    </r>
  </si>
  <si>
    <t>Act de inicio</t>
  </si>
  <si>
    <t>PRESTACIÓN DE SERVICIOS COMO APOYO A LA GESTIÓN PARA DESARROLLAR ACTIVIDADES COMO LABORATORISTAS-INSTRUCTOR EN EL LABORATORIO DE FÍSICA, QUÍMICA Y BIOLOGÍA EXTENSIÓN EL TINTAL DEL ÁREA DE TALLERES Y LABORATORIOS DE LA ESCUELA TECNOLÓGICA INSTITUTO TÉCNICO CENTRAL.</t>
  </si>
  <si>
    <t>PRESTACIÓN DE SERVICIOS COMO APOYO A LA GESTIÓN PARA DESARROLLAR ACTIVIDADES COMO LABORATORISTAS-INSTRUCTOR EN EL TALLER DE AUTOMATIZACIÓN Y CONTROL DE PROCESOS EXTENSIÓN EL TINTAL DEL ÁREA DE TALLERES Y LABORATORIOS DE LA ESCUELA TECNOLÓGICA INSTITUTO TÉCNICO CENTRAL.</t>
  </si>
  <si>
    <t>PRESTACIÓN DE SERVICIOS COMO APOYO A LA GESTIÓN PARA DESARROLLAR ACTIVIDADES COMO LABORATORISTAS-INSTRUCTOR EN EL LABORATORIO DE CIENCIA DE DATOS EN LA EXTENSIÓN DE EL TINTAL  DEL ÁREA DE TALLERES Y LABORATORIOS DE LA ESCUELA TECNOLÓGICA INSTITUTO TÉCNICO CENTRAL.</t>
  </si>
  <si>
    <t>PRESTACIÓN DE SERVICIOS PARA ELABORAR, PUBLICAR, CONSOLIDAR LOS FORMATO DES FO-04, GAD-FO-02, GAD-FO-09, GIFIN04 Y TODOS AQUELLOS QUE SE REQUIERAN EN LAS DIFERENTES ACTIVIDADES ADMINISTRATIVAS, ACADÉMICAS Y OPERATIVAS QUE CONTRIBUYAN AL FUNCIONAMIENTO DE LA COORDINACIÓN DE TALLERES Y LABORATORIOS DE LA ESCUELA TECNOLÓGICA INSTITUTO TÉCNICO CENTRAL.</t>
  </si>
  <si>
    <t>PRESTACIÓN DE SERVICIOS COMO APOYO A LA GESTIÓN PARA DESARROLLAR ACTIVIDADES COMO LABORATORISTAS-INSTRUCTOR EN EL LABORATORIO DE METROLOGIA DEL ÁREA DE TALLERES Y LABORATORIOS DE LA ESCUELA TECNOLÓGICA INSTITUTO TÉCNICO CENTRAL</t>
  </si>
  <si>
    <t xml:space="preserve">PRESTACIÓN DE SERVICIOS COMO APOYO A LA GESTIÓN PARA DESARROLLAR ACTIVIDADES COMO LABORATORISTA-INSTRUCTOR PARA EL TALLER DE MOTORES PARA EL IBTI  DEL ÁREA DE TALLERES Y LABORATORIOS DE LA ESCUELA TECNOLÓGICA INSTITUTO TÉCNICO CENTRAL. </t>
  </si>
  <si>
    <t xml:space="preserve">PRESTACIÓN DE SERVICIOS COMO APOYO A LA GESTIÓN PARA DESARROLLAR ACTIVIDADES COMO LABORATORISTA-INSTRUCTOR EN EL TALLER DE AUTOMATIZACION, ELECTRONEUMATICA, NATIONAL INSTRUMENTS Y LEGO DEL ÁREA DE TALLERES Y LABORATORIOS IBTI, DE LA ESCUELA TECNOLÓGICA INSTITUTO TÉCNICO CENTRAL. </t>
  </si>
  <si>
    <t>PRESTACIÓN DE SERVICIOS COMO APOYO A LA GESTIÓN PARA DESARROLLAR ACTIVIDADES COMO LABORATORISTA-INSTRUCTOR PARA LAS SALAS DE SISTEMAS DEL ÁREA DE TALLERES Y LABORATORIOS DE LA ESCUELA TECNOLÓGICA INSTITUTO TÉCNICO CENTRAL.</t>
  </si>
  <si>
    <t>PRESTACIÓN DE SERVICIOS COMO APOYO A LA GESTIÓN PARA DESARROLLAR ACTIVIDADES COMO LABORATORISTA-INSTRUCTOR PARA LAS SALAS DE SISTEMAS EXTENSIÓN CARVAJAL DEL ÁREA DE TALLERES Y LABORATORIOS DE LA ESCUELA TECNOLÓGICA INSTITUTO TÉCNICO CENTRAL.</t>
  </si>
  <si>
    <t>PRESTACIÓN DE SERVICIOS COMO APOYO A LA GESTIÓN PARA DESARROLLAR ACTIVIDADES COMO LABORATORISTA-INSTRUCTOR PARA EL LABORATORIO DE ELÉCTRIDAD DEL ÁREA DE TALLERES Y LABORATORIOS DE LA ESCUELA TECNOLÓGICA INSTITUTO TÉCNICO CENTRAL</t>
  </si>
  <si>
    <t>PRESTACIÓN DE SERVICIOS COMO APOYO A LA GESTIÓN PARA DESARROLLAR ACTIVIDADES COMO LABORATORISTA-INSTRUCTOR EN EL LABORATORIO DE INSTALACIONES ELÉCTRICAS EN BAJA TENSIÓN Y CALIDAD DE ENERGÍA DEL ÁREA DE TALLERES Y LABORATORIOS DE LA ESCUELA TECNOLÓGICA INSTITUTO TÉCNICO CENTRAL.</t>
  </si>
  <si>
    <t xml:space="preserve">PRESTACIÓN DE SERVICIOS COMO APOYO A LA GESTIÓN PARA DESARROLLAR ACTIVIDADES COMO LABORATORISTA-INSTRUCTOR EN EL TALLER DE FABRICACIÓN DIGITAL MODELERIA - LABORATORIO FABLAB DEL ÁREA DE TALLERES Y LABORATORIOS DE LA ESCUELA TECNOLÓGICA INSTITUTO TÉCNICO CENTRAL. </t>
  </si>
  <si>
    <t>PRESTACIÓN DE SERVICIOS COMO APOYO A LA GESTIÓN PARA DESARROLLAR ACTIVIDADES COMO LABORATORISTA-INSTRUCTOR EN EL TALLER DE AUTOMATIZACION, ELECTRONEUMATICA, NATIONAL INSTRUMENTS Y LEGO DEL ÁREA DE TALLERES Y LABORATORIOS DE LA ESCUELA TECNOLÓGICA INSTITUTO TÉCNICO CENTRAL</t>
  </si>
  <si>
    <t>PRESTACIÓN DE SERVICIOS COMO APOYO A LA GESTIÓN PARA DESARROLLAR ACTIVIDADES COMO LABORATORISTA-INSTRUCTOR EN EL LABORATORIO DE MOTORES DEL ÁREA DE TALLERES Y LABORATORIOS DE LA ESCUELA TECNOLÓGICA INSTITUTO TÉCNICO CENTRAL</t>
  </si>
  <si>
    <t>PRESTACIÓN DE SERVICIOS COMO APOYO A LA GESTIÓN PARA DESARROLLAR ACTIVIDADES COMO LABORATORISTA-INSTRUCTOR EN EL LABORATORIO DE DISEÑO DEL ÁREA DE TALLERES Y LABORATORIOS DE LA ESCUELA TECNOLÓGICA INSTITUTO TÉCNICO CENTRAL.</t>
  </si>
  <si>
    <t>PRESTACIÓN DE SERVICIOS COMO APOYO A LA GESTIÓN PARA DESARROLLAR ACTIVIDADES COMO LABORATORISTA-INSTRUCTOR EN EL TALLER DE ELECTRONICA Y ELECTRICIDAD EN LA UP KENNEDY EN EL TINTAL DEL ÁREA DE TALLERES Y LABORATORIOS DE LA ESCUELA TECNOLÓGICA INSTITUTO TÉCNICO CENTRAL</t>
  </si>
  <si>
    <t>PRESTACIÓN DE SERVICIOS COMO APOYO A LA GESTIÓN PARA DESARROLLAR ACTIVIDADES COMO LABORATORISTA-INSTRUCTOR EN EL LABORATORIO DE QUÍMICA DEL ÁREA DE TALLERES Y LABORATORIOS DE LA ESCUELA TECNOLÓGICA INSTITUTO TÉCNICO CENTRAL.</t>
  </si>
  <si>
    <t>PRESTACIÓN DE SERVICIOS COMO APOYO A LA GESTIÓN PARA DESARROLLAR ACTIVIDADES COMO LABORATORISTA-INSTRUCTOR EN EL LABORATORIO DE INDUSTRIAS 4.0. DEL ÁREA DE TALLERES Y LABORATORIOS DE LA ESCUELA TECNOLÓGICA INSTITUTO TÉCNICO CENTRAL.</t>
  </si>
  <si>
    <t>PRESTACIÓN DE SERVICIOS COMO APOYO A LA GESTIÓN PARA DESARROLLAR ACTIVIDADES COMO LABORATORISTA-INSTRUCTOR EN EL TALLER DE TRÁTAMIENTOS TÉRMICOS DEL ÁREA DE TALLERES Y LABORATORIOS DE LA ESCUELA TECNOLÓGICA INSTITUTO TÉCNICO CENTRAL.</t>
  </si>
  <si>
    <t>PRESTACIÓN DE SERVICIOS COMO APOYO A LA GESTIÓN PARA DESARROLLAR ACTIVIDADES COMO LABORATORISTA-INSTRUCTOR EN EL LABORATORIO DE DOMÓTICA, INMÓTICA Y CONTROL INDUSTRIAL DEL ÁREA DE TALLERES Y LABORATORIOS DE LA ESCUELA TECNOLÓGICA INSTITUTO TÉCNICO CENTRAL</t>
  </si>
  <si>
    <t>PRESTACIÓN DE SERVICIOS COMO APOYO A LA GESTIÓN PARA DESARROLLAR ACTIVIDADES COMO LABORATORISTA-INSTRUCTOR EN EL TALLER DE METALISTERIA Y SOLDADURA DEL ÁREA DE TALLERES Y LABORATORIOS DE LA ESCUELA TECNOLÓGICA INSTITUTO TÉCNICO CENTRAL</t>
  </si>
  <si>
    <t>PRESTACIÓN DE SERVICIOS COMO APOYO A LA GESTIÓN PARA DESARROLLAR ACTIVIDADES COMO LABORATORISTA-INSTRUCTOR EN EL LABORATORIO DE MECÁNICA INDUSTRIAL DEL ÁREA DE TALLERES Y LABORATORIOS DE LA ESCUELA TECNOLÓGICA INSTITUTO TÉCNICO CENTRAL</t>
  </si>
  <si>
    <t>Actividades de relacionamiento ejecutadas</t>
  </si>
  <si>
    <t>Fortalecimiento del relacionamiento con la comunidad de egresados por facultad</t>
  </si>
  <si>
    <t>Elementos entregados</t>
  </si>
  <si>
    <t>Servicio de elaboracion de folletos, pendones, souvenir y demás materiales fisicos y digitales publicitario del programa.</t>
  </si>
  <si>
    <t xml:space="preserve">Membresías </t>
  </si>
  <si>
    <t>Movilidad ejecutada</t>
  </si>
  <si>
    <t>Movilidades (Asistencia Encuentro con redes Acofi, Congreso Acofi, asistencia a eventos nacionales e internacionales en representación de la ETITC) Decanos y Vicerrector Académico</t>
  </si>
  <si>
    <r>
      <rPr>
        <b/>
        <sz val="10"/>
        <rFont val="Calibri"/>
        <family val="2"/>
        <scheme val="minor"/>
      </rPr>
      <t>FACULTADES:</t>
    </r>
    <r>
      <rPr>
        <sz val="10"/>
        <rFont val="Calibri"/>
        <family val="2"/>
        <scheme val="minor"/>
      </rPr>
      <t xml:space="preserve">
MECÁNICA
ELECTROMECÁNICA
MECATRÓNICA
SISTEMAS
PROCESOS INDUSTRIALES
ESPECIALIZACIONES</t>
    </r>
  </si>
  <si>
    <t>Certificado de participación</t>
  </si>
  <si>
    <t>1er.CONGRESO FACULTAD DE INGENIERÍA MECÁNICA 
EMPRENDIMIENTO Y APLICACIÓN DE LAS TECNOLOGÍAS EN LA INDUSTRIA 2023</t>
  </si>
  <si>
    <t>Participación  en el concurso</t>
  </si>
  <si>
    <t>Para participar en el concurso de  vehiculo tracción eléctica VTH.</t>
  </si>
  <si>
    <t>Para participar en el concurso de  vehiculo tracción eléctica VTE.</t>
  </si>
  <si>
    <t xml:space="preserve">Prestación de servicios para apoyar las actividades de asistencia administrativa de la decanatura de mecánica de la escuela tecnológica instituto técnico central. </t>
  </si>
  <si>
    <t>Prestación de servicios profesionales para apoyar las actividades académicas, operativas y administrativas de la decanatura de mecánica de la Escuela Tecnológica Instituto Técnico Central</t>
  </si>
  <si>
    <t>Certificación de los participantes</t>
  </si>
  <si>
    <t>Formación avanzada en el aplicativo de superficies y simulación de fluídos de SOLIDWORKS, para docentes y estudiantes (10 participantes)</t>
  </si>
  <si>
    <t>Número de personas capacitadas/Número de personas inscritas</t>
  </si>
  <si>
    <t>Bancos de motores funcionando</t>
  </si>
  <si>
    <t>Adquisición de bancos de motores de combustión interna (Diesel y Gasolina). Incluir sistema de extracción de gases</t>
  </si>
  <si>
    <t>Número de bancos instalados/ Número de bancos propuestos</t>
  </si>
  <si>
    <t>Prestación de servicios profesionales para apoyar las actividades académicas, operativas y administrativas de la decanatura de electromecánica de la Escuela Tecnológica Instituto Técnico Central</t>
  </si>
  <si>
    <t>Laboratorio funcionando</t>
  </si>
  <si>
    <r>
      <rPr>
        <b/>
        <sz val="10"/>
        <rFont val="Calibri"/>
        <family val="2"/>
        <scheme val="minor"/>
      </rPr>
      <t xml:space="preserve">Fase II. </t>
    </r>
    <r>
      <rPr>
        <sz val="10"/>
        <rFont val="Calibri"/>
        <family val="2"/>
        <scheme val="minor"/>
      </rPr>
      <t xml:space="preserve">Laboratorio de Metrología: Adecuación locativa y mobiliario </t>
    </r>
  </si>
  <si>
    <t>Aula móvil entregada</t>
  </si>
  <si>
    <r>
      <t>Aula móvil de informática (</t>
    </r>
    <r>
      <rPr>
        <b/>
        <sz val="10"/>
        <rFont val="Calibri"/>
        <family val="2"/>
        <scheme val="minor"/>
      </rPr>
      <t>23</t>
    </r>
    <r>
      <rPr>
        <sz val="10"/>
        <rFont val="Calibri"/>
        <family val="2"/>
        <scheme val="minor"/>
      </rPr>
      <t xml:space="preserve"> equipos por aula. Incluir mueble tipo carro) para el Tintal</t>
    </r>
  </si>
  <si>
    <t>Kit entregado</t>
  </si>
  <si>
    <t>Kit de entrenamiento PLC para el Tintal</t>
  </si>
  <si>
    <t>Prestación de servicios profesionales para apoyar las actividades académicas, operativas y administrativas de la decanatura de mecatrónica de la Escuela Tecnológica Instituto Técnico Central</t>
  </si>
  <si>
    <t xml:space="preserve">Prestación de servicios para apoyar las actividades de asistencia administrativa de la decanatura de mecatrónica de la escuela tecnológica instituto técnico central. </t>
  </si>
  <si>
    <t>Certificación de Lean Managment</t>
  </si>
  <si>
    <t>Reunión de docentes realizada</t>
  </si>
  <si>
    <t>$ 4.000.000,00</t>
  </si>
  <si>
    <t>Alojamiento de experto</t>
  </si>
  <si>
    <t xml:space="preserve">Alojamiento experto internacional en XI Congreso Internacional en gestión del conocimiento en Ing. </t>
  </si>
  <si>
    <t>Participación de experto en el congreso</t>
  </si>
  <si>
    <t>Tiquetes Participación experto internacional en XI Congreso de gestión del Conocimiento en Ingeniería</t>
  </si>
  <si>
    <t>Cursos realizados</t>
  </si>
  <si>
    <t>Número de profesores capacitados/Número de profesores convocados</t>
  </si>
  <si>
    <t>Capacitación realizada</t>
  </si>
  <si>
    <t>Capacitación en manejo de software especializado Flexsim (por 5 asistentes)</t>
  </si>
  <si>
    <t>Licencia renovada</t>
  </si>
  <si>
    <t>Número de asignaturas que usan el SW/asignaturas que lo requieren</t>
  </si>
  <si>
    <t>Certificación</t>
  </si>
  <si>
    <t>Número de estudiantes que obtienen la certificación/Cantidade estudiantes de ùltimo semestre que escogieron esta modalidad</t>
  </si>
  <si>
    <t>Prestación de servicios profesionales para apoyar las actividades académicas, operativas y administrativas de la decanatura de procesos industriales de la Escuela Tecnológica Instituto Técnico Central</t>
  </si>
  <si>
    <t>Socialziaciones realizadas/Sociaizaciones planeadas</t>
  </si>
  <si>
    <t>ME-1- Obtener la Acreditación Institucional de Alta Calidad en el 2027</t>
  </si>
  <si>
    <t>Relacionamiento con empresarios</t>
  </si>
  <si>
    <t>ME-1- Obtener la Acreditación Institucional de Alta Calidad en el 2026</t>
  </si>
  <si>
    <t>capacitaciones realizadas/capacitaciones planeadas</t>
  </si>
  <si>
    <t>Formación latex - profesores de la facultad.</t>
  </si>
  <si>
    <t>Runiones realizadas/Reuniones planeadas</t>
  </si>
  <si>
    <t>Reunión docente - Curricular</t>
  </si>
  <si>
    <r>
      <t>PE-4-</t>
    </r>
    <r>
      <rPr>
        <sz val="10"/>
        <rFont val="Arial Narrow"/>
        <family val="2"/>
      </rPr>
      <t xml:space="preserve"> Modelo de gestión académica curricular soportada en resultados de aprendizaje y competencias</t>
    </r>
  </si>
  <si>
    <t>Realización del evento/ Eventos planeados</t>
  </si>
  <si>
    <t>30/16/2023</t>
  </si>
  <si>
    <t>Realización del evento</t>
  </si>
  <si>
    <t>EHSP 2023 Internacional</t>
  </si>
  <si>
    <t>OE.4. Fortalecer la visibilidad de la escuela bajo en entorno de asertividad para el posicionamiento</t>
  </si>
  <si>
    <t>Infomatrix 2023</t>
  </si>
  <si>
    <t>Pendiente</t>
  </si>
  <si>
    <t>Laboratorio dotado</t>
  </si>
  <si>
    <t>Laboratorio de mantenimiento de computadores Tintal</t>
  </si>
  <si>
    <t>Laboratorio de Telemática - Tintal</t>
  </si>
  <si>
    <t>Licencia entregada</t>
  </si>
  <si>
    <t>Licenciamiento de Visual Studio y SQL Server</t>
  </si>
  <si>
    <t>Kit de informática forense para discos de estado sólido</t>
  </si>
  <si>
    <t>Cantidad de elementos adquiridos/Total requerido</t>
  </si>
  <si>
    <t>Kit de informática forense para dispositivos móviles</t>
  </si>
  <si>
    <t>Prestación de servicios profesionales para apoyar las actividades académicas, operativas y administrativas de la decanatura de sistemas de la Escuela Tecnológica Instituto Técnico Central</t>
  </si>
  <si>
    <t>Adqusición de andamio certificado y kits: Arnés de seguridad, cascos, cuerdas, mosquetón</t>
  </si>
  <si>
    <t>Cantidad de elementos adquiridos</t>
  </si>
  <si>
    <t>Módulo entregado y funcionando</t>
  </si>
  <si>
    <t>Módulo para enseñanza de IoT sistema de entrenamiento en enseñanza IoT</t>
  </si>
  <si>
    <t>NA</t>
  </si>
  <si>
    <t>Acuerdos de homologación</t>
  </si>
  <si>
    <t>-Revisar los acuerdos vigentes
-Expedir los acuerdos faltantes
-Acercamiento a otros institutos técnicos y de educación media diversificada
-Participar en ferias educativas de EM</t>
  </si>
  <si>
    <t>Número de Institutos técnicos y de educación media diversificada  con acuerdos de homologación</t>
  </si>
  <si>
    <r>
      <rPr>
        <b/>
        <sz val="10"/>
        <rFont val="Calibri"/>
        <family val="2"/>
        <scheme val="minor"/>
      </rPr>
      <t xml:space="preserve"> ME-31</t>
    </r>
    <r>
      <rPr>
        <sz val="10"/>
        <rFont val="Calibri"/>
        <family val="2"/>
        <scheme val="minor"/>
      </rPr>
      <t>- Fortalecer el proceso de articulación y/o integración entre las IEM (Instituciones de Educación Media) y la ETITC.</t>
    </r>
  </si>
  <si>
    <r>
      <rPr>
        <b/>
        <sz val="10"/>
        <rFont val="Calibri"/>
        <family val="2"/>
        <scheme val="minor"/>
      </rPr>
      <t>PE-15</t>
    </r>
    <r>
      <rPr>
        <sz val="10"/>
        <rFont val="Calibri"/>
        <family val="2"/>
        <scheme val="minor"/>
      </rPr>
      <t xml:space="preserve">-El IBTI y su papel significativo en la consolidación de la Escuela </t>
    </r>
  </si>
  <si>
    <t xml:space="preserve">Diseñar e implementar un Sistema Institucional de Evaluación del Aprendizaje SIEA, como componente del modelo de gestión académica curricular soportada en resultados de aprendizaje y competencias. </t>
  </si>
  <si>
    <t>Estímulo por bonificación para profesores que  part¡cipen en proyectos institucionales de ¡nvestigación, ¡nnovac¡ón, de asesoria o de consultoría</t>
  </si>
  <si>
    <t>Proyectos institucionales ejecutados/Proyectos institucionales programados</t>
  </si>
  <si>
    <r>
      <rPr>
        <b/>
        <sz val="10"/>
        <rFont val="Calibri"/>
        <family val="2"/>
        <scheme val="minor"/>
      </rPr>
      <t>ME-17</t>
    </r>
    <r>
      <rPr>
        <sz val="10"/>
        <rFont val="Calibri"/>
        <family val="2"/>
        <scheme val="minor"/>
      </rPr>
      <t>- Adecuar las capacidades tecnológicas para atender las necesidades de los procesos misionales.</t>
    </r>
  </si>
  <si>
    <r>
      <rPr>
        <b/>
        <sz val="10"/>
        <rFont val="Calibri"/>
        <family val="2"/>
        <scheme val="minor"/>
      </rPr>
      <t>PE-9</t>
    </r>
    <r>
      <rPr>
        <sz val="10"/>
        <rFont val="Calibri"/>
        <family val="2"/>
        <scheme val="minor"/>
      </rPr>
      <t>- Tecnologías de información y comunicaciones al servicio de la academia y la ciencia</t>
    </r>
  </si>
  <si>
    <t xml:space="preserve">Contratación expertos para la unidad de apoyo de B-learning para la implementación y operación de la Unidad de b-Learning: diseño técnico pedagógico; diseño gráfico; producción de multimedia </t>
  </si>
  <si>
    <t>Porcentaje de asignaturas con componente de apoyo de b-Learning</t>
  </si>
  <si>
    <r>
      <rPr>
        <b/>
        <sz val="10"/>
        <rFont val="Calibri"/>
        <family val="2"/>
        <scheme val="minor"/>
      </rPr>
      <t>ME-30</t>
    </r>
    <r>
      <rPr>
        <sz val="10"/>
        <rFont val="Calibri"/>
        <family val="2"/>
        <scheme val="minor"/>
      </rPr>
      <t>- Lograr al 2024 que el 50% de las asignaturas tengan componente de apoyo b-Learning</t>
    </r>
  </si>
  <si>
    <r>
      <rPr>
        <b/>
        <sz val="10"/>
        <rFont val="Calibri"/>
        <family val="2"/>
        <scheme val="minor"/>
      </rPr>
      <t>PE-14</t>
    </r>
    <r>
      <rPr>
        <sz val="10"/>
        <rFont val="Calibri"/>
        <family val="2"/>
        <scheme val="minor"/>
      </rPr>
      <t>- Nuevos programas de pregrado y posgrado</t>
    </r>
  </si>
  <si>
    <t>Syllabus actualizados</t>
  </si>
  <si>
    <t>Número de Syllabus actualizados/Total de Syllabus</t>
  </si>
  <si>
    <t>Profesores capacitados</t>
  </si>
  <si>
    <r>
      <rPr>
        <b/>
        <sz val="10"/>
        <rFont val="Calibri"/>
        <family val="2"/>
        <scheme val="minor"/>
      </rPr>
      <t>ME-4</t>
    </r>
    <r>
      <rPr>
        <sz val="10"/>
        <rFont val="Calibri"/>
        <family val="2"/>
        <scheme val="minor"/>
      </rPr>
      <t>- Implementar el modelo de evaluación por resultados de aprendizaje y competencias, soportado en los lineamientos del MEN y el  sistema interno de aseguramiento de la calidad académica.</t>
    </r>
  </si>
  <si>
    <r>
      <rPr>
        <b/>
        <sz val="10"/>
        <rFont val="Calibri"/>
        <family val="2"/>
        <scheme val="minor"/>
      </rPr>
      <t>PE-4</t>
    </r>
    <r>
      <rPr>
        <sz val="10"/>
        <rFont val="Calibri"/>
        <family val="2"/>
        <scheme val="minor"/>
      </rPr>
      <t>- Modelo de gestión académica curricular soportada en resultados de aprendizaje y competencias</t>
    </r>
  </si>
  <si>
    <t xml:space="preserve">Simulacro de pruebas TyT y SaberPro </t>
  </si>
  <si>
    <t xml:space="preserve">Desplegar una estrategia para fortalecer el desempeño de los estudiantes en las pruebas de Estado. </t>
  </si>
  <si>
    <t>Número de estudiantes participantes en simulacro/Número de estudiantes programados</t>
  </si>
  <si>
    <t>Formación de Doctores y Magisters Disciplinares por áreas académicas</t>
  </si>
  <si>
    <t>Programa de Desarrollo Profesoral 2023-2026</t>
  </si>
  <si>
    <t>Estructurar e implementar el nuevo “Plan de Desarrollo Profesoral 2023-2026”</t>
  </si>
  <si>
    <t>Número de docentes en formación disciplinar/Número de áreas académicas</t>
  </si>
  <si>
    <t xml:space="preserve">Plan Maestro de Talleres y Laboratorios </t>
  </si>
  <si>
    <t xml:space="preserve">Revisar y optimizar los espacios físicos, especialmente de talleres y laboratorios de la ETITC, generando un “Plan Maestro de Talleres y Laboratorios”. </t>
  </si>
  <si>
    <t>Número de Talleres y Laboratorios a intervenir/Número total de Talleres y Laboratorios</t>
  </si>
  <si>
    <t>Período sabático otorgado</t>
  </si>
  <si>
    <t>Otorgamiento de período sabático a profesores</t>
  </si>
  <si>
    <t>Número de profesores en sabático/Número de solicitudes de sabático</t>
  </si>
  <si>
    <t>Vacantes cubiertas</t>
  </si>
  <si>
    <t>Realizar el concurso para profesores para cubrir las 29 vacantes actuales (21 de Medio Tiempo y 8 de Tiempo Completo).</t>
  </si>
  <si>
    <t>Número de vacantes cubiertas/Número de perfiles convocados</t>
  </si>
  <si>
    <t>Factor 5 consolidado</t>
  </si>
  <si>
    <t xml:space="preserve">Consolidar lo correspondiente desde la función sustantiva de docencia y el Factor 5 para sustentar la solicitud de Acreditación Institucional de Alta Calidad. </t>
  </si>
  <si>
    <r>
      <rPr>
        <b/>
        <sz val="10"/>
        <rFont val="Calibri"/>
        <family val="2"/>
        <scheme val="minor"/>
      </rPr>
      <t>ME-1</t>
    </r>
    <r>
      <rPr>
        <sz val="10"/>
        <rFont val="Calibri"/>
        <family val="2"/>
        <scheme val="minor"/>
      </rPr>
      <t>- Obtener la Acreditación Institucional de Alta Calidad en el 2024</t>
    </r>
  </si>
  <si>
    <r>
      <rPr>
        <b/>
        <sz val="10"/>
        <rFont val="Calibri"/>
        <family val="2"/>
        <scheme val="minor"/>
      </rPr>
      <t>PE-1</t>
    </r>
    <r>
      <rPr>
        <sz val="10"/>
        <rFont val="Calibri"/>
        <family val="2"/>
        <scheme val="minor"/>
      </rPr>
      <t>- Acreditación Institucional de Alta Calidad</t>
    </r>
  </si>
  <si>
    <t>Licencias adquiridas</t>
  </si>
  <si>
    <t>Adquisición de licencias de plataforma de inglés</t>
  </si>
  <si>
    <t xml:space="preserve">Porcentaje de pines (licencias) usados </t>
  </si>
  <si>
    <r>
      <t xml:space="preserve">ME-3 </t>
    </r>
    <r>
      <rPr>
        <sz val="10"/>
        <rFont val="Calibri"/>
        <family val="2"/>
        <scheme val="minor"/>
      </rPr>
      <t xml:space="preserve">Implementar una plataforma tecnológica como apoyo a la enseñanza y aprendizaje del idioma inglés </t>
    </r>
  </si>
  <si>
    <r>
      <rPr>
        <b/>
        <sz val="10"/>
        <rFont val="Calibri"/>
        <family val="2"/>
        <scheme val="minor"/>
      </rPr>
      <t>PE-3</t>
    </r>
    <r>
      <rPr>
        <sz val="10"/>
        <rFont val="Calibri"/>
        <family val="2"/>
        <scheme val="minor"/>
      </rPr>
      <t>- Lenguas Extranjeras como oportunidad para la movilidad internacional</t>
    </r>
  </si>
  <si>
    <r>
      <t>Prestación de servicios profesionales especializados para apoyar la gestión de la vicerrectoría académica para desarrollar las actividades de apoyo a la gestión de los</t>
    </r>
    <r>
      <rPr>
        <b/>
        <sz val="10"/>
        <color theme="1"/>
        <rFont val="Calibri"/>
        <family val="2"/>
        <scheme val="minor"/>
      </rPr>
      <t xml:space="preserve"> componentes mesocurricular y microcurricular</t>
    </r>
    <r>
      <rPr>
        <sz val="10"/>
        <color theme="1"/>
        <rFont val="Calibri"/>
        <family val="2"/>
        <scheme val="minor"/>
      </rPr>
      <t xml:space="preserve"> de los programas académicos de la Escuela Tecnológica Instituto Técnico Central.</t>
    </r>
  </si>
  <si>
    <r>
      <rPr>
        <b/>
        <sz val="10"/>
        <rFont val="Calibri"/>
        <family val="2"/>
        <scheme val="minor"/>
      </rPr>
      <t>ME-4-</t>
    </r>
    <r>
      <rPr>
        <sz val="10"/>
        <rFont val="Calibri"/>
        <family val="2"/>
        <scheme val="minor"/>
      </rPr>
      <t xml:space="preserve"> Implementar el modelo de evaluación por resultados de aprendizaje y competencias, soportado en los lineamientos del MEN y el  sistema interno de aseguramiento de la calidad académica.</t>
    </r>
  </si>
  <si>
    <r>
      <t xml:space="preserve">Prestación de servicios profesionales especializados de </t>
    </r>
    <r>
      <rPr>
        <b/>
        <sz val="10"/>
        <color theme="1"/>
        <rFont val="Calibri"/>
        <family val="2"/>
        <scheme val="minor"/>
      </rPr>
      <t>producción de multimedia</t>
    </r>
    <r>
      <rPr>
        <sz val="10"/>
        <color theme="1"/>
        <rFont val="Calibri"/>
        <family val="2"/>
        <scheme val="minor"/>
      </rPr>
      <t xml:space="preserve"> para apoyar las actividades de implementación de la unidad b-learning como apoyo a la modalidad presencial actual y a la modalidad a distancia de los futuros nuevos programas de la etitc, bajo metodología práctica apoyada en lineamientos PMI, </t>
    </r>
  </si>
  <si>
    <r>
      <t xml:space="preserve">Prestación de servicios profesionales especializados de </t>
    </r>
    <r>
      <rPr>
        <b/>
        <sz val="10"/>
        <color theme="1"/>
        <rFont val="Calibri"/>
        <family val="2"/>
        <scheme val="minor"/>
      </rPr>
      <t>diseño gráfico</t>
    </r>
    <r>
      <rPr>
        <sz val="10"/>
        <color theme="1"/>
        <rFont val="Calibri"/>
        <family val="2"/>
        <scheme val="minor"/>
      </rPr>
      <t xml:space="preserve"> para apoyar las actividades de implementación de la unidad b-learning como apoyo a la modalidad presencial actual y a la modalidad a distancia de los futuros nuevos programas de la etitc, bajo metodología práctica apoyada en lineamientos PMI, </t>
    </r>
  </si>
  <si>
    <r>
      <t>Prestación de servicios profesionales especializados de</t>
    </r>
    <r>
      <rPr>
        <b/>
        <sz val="10"/>
        <color theme="1"/>
        <rFont val="Calibri"/>
        <family val="2"/>
        <scheme val="minor"/>
      </rPr>
      <t xml:space="preserve"> diseño técnico pedagógico</t>
    </r>
    <r>
      <rPr>
        <sz val="10"/>
        <color theme="1"/>
        <rFont val="Calibri"/>
        <family val="2"/>
        <scheme val="minor"/>
      </rPr>
      <t xml:space="preserve"> para apoyar las actividades de implementación de la unidad b-learning como apoyo a la modalidad presencial actual y a la modalidad a distancia de los futuros nuevos programas de la etitc, bajo metodología práctica apoyada en lineamientos PMI, </t>
    </r>
  </si>
  <si>
    <r>
      <rPr>
        <b/>
        <sz val="10"/>
        <rFont val="Calibri"/>
        <family val="2"/>
        <scheme val="minor"/>
      </rPr>
      <t>PE-14-</t>
    </r>
    <r>
      <rPr>
        <sz val="10"/>
        <rFont val="Calibri"/>
        <family val="2"/>
        <scheme val="minor"/>
      </rPr>
      <t xml:space="preserve"> Nuevos programas de pregrado y posgrado</t>
    </r>
  </si>
  <si>
    <r>
      <t xml:space="preserve">Prestación de servicios profesionales especializados para apoyar la gestión de la vicerrectoría académica para desarrollar las actividades de </t>
    </r>
    <r>
      <rPr>
        <b/>
        <sz val="10"/>
        <color theme="1"/>
        <rFont val="Calibri"/>
        <family val="2"/>
        <scheme val="minor"/>
      </rPr>
      <t>proyectos, planeación estratégica, seguimiento de planes e indicadores de gestión</t>
    </r>
    <r>
      <rPr>
        <sz val="10"/>
        <color theme="1"/>
        <rFont val="Calibri"/>
        <family val="2"/>
        <scheme val="minor"/>
      </rPr>
      <t xml:space="preserve"> en la Escuela Tecnológica Instituto Técnico Central.</t>
    </r>
  </si>
  <si>
    <r>
      <t xml:space="preserve">Prestación de servicios profesionales especializados para apoyar la gestión de la vicerrectoría académica para desarrollar las actividades de la </t>
    </r>
    <r>
      <rPr>
        <b/>
        <sz val="10"/>
        <color theme="1"/>
        <rFont val="Calibri"/>
        <family val="2"/>
        <scheme val="minor"/>
      </rPr>
      <t>coordinación de especializaciones</t>
    </r>
    <r>
      <rPr>
        <sz val="10"/>
        <color theme="1"/>
        <rFont val="Calibri"/>
        <family val="2"/>
        <scheme val="minor"/>
      </rPr>
      <t xml:space="preserve"> de la Escuela Tecnológica Instituto Técnico Central</t>
    </r>
  </si>
  <si>
    <r>
      <t xml:space="preserve">Prestación de servicios profesionales para apoyar las </t>
    </r>
    <r>
      <rPr>
        <b/>
        <sz val="10"/>
        <color theme="1"/>
        <rFont val="Calibri"/>
        <family val="2"/>
        <scheme val="minor"/>
      </rPr>
      <t>actividades operativas y administrativas del despacho</t>
    </r>
    <r>
      <rPr>
        <sz val="10"/>
        <color theme="1"/>
        <rFont val="Calibri"/>
        <family val="2"/>
        <scheme val="minor"/>
      </rPr>
      <t xml:space="preserve"> de la vicerrectoría académica de la Escuela Tecnológica Instituto Técnico Central</t>
    </r>
  </si>
  <si>
    <t>PRESUPUESTO
ASIGNADO</t>
  </si>
  <si>
    <t>Eventos Académicos</t>
  </si>
  <si>
    <t>Informes</t>
  </si>
  <si>
    <t xml:space="preserve">Convocatoria proyectos de desarrollo tecnológico  e innovación </t>
  </si>
  <si>
    <t>Creación Laboratorio Inteligente  I Fase</t>
  </si>
  <si>
    <t>Formación de recurso humano</t>
  </si>
  <si>
    <t>Formación en Actividades Ciencia, Tecnología e Innovación  
a) Proyectos y regalías
b) Redacción científica
c) Emprendimiento
d) Propiedad industrial 
e) Cvlac, GrupLac, Modelo Medición</t>
  </si>
  <si>
    <t>Resolución renovación
Informe</t>
  </si>
  <si>
    <t>Convocatorias  Financiación  proyectos de investigación N°10-2022 y 12-2023</t>
  </si>
  <si>
    <t xml:space="preserve">Convocatoria 03   Proyectos Disciplinares </t>
  </si>
  <si>
    <t>II Coloquio de Investigación</t>
  </si>
  <si>
    <t xml:space="preserve">Convocatorias externas de proyectos de investigación  ( Convenio SUE-) </t>
  </si>
  <si>
    <t>III Encuentro Institucional Docentes investigadores</t>
  </si>
  <si>
    <t>III Jornada actualización y fomento acreditación (equipo VIET)</t>
  </si>
  <si>
    <t>$1.000.000</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</si>
  <si>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</si>
  <si>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</si>
  <si>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II Encuentro Red de Investigación
Estudiantil de la ETITC</t>
  </si>
  <si>
    <t>ME-45 Implementar programa de transferencia de conocimiento ( fortalecer la visibilidad e impacto del conocimiento según los resultados de investigación generado por la activida científica, tecnológica, académica, social e industrial de la ETITC</t>
  </si>
  <si>
    <t>Implementación de procedimientos y actualización de  reglamentación para transferencia de conocimiento</t>
  </si>
  <si>
    <t xml:space="preserve">Comercialización y mantenimiento de la patente Prensa de Alacrán con Tensor de Trinquete </t>
  </si>
  <si>
    <t>ME-46 Implementar programa de Incubadora Tecnológica (Identificación y proyección de productos de investigación  con potencial tecnológico y empresarial</t>
  </si>
  <si>
    <t>Convocatoria acompañamiento para la identificación de creaciones y obras susceptibles de protección por mecanismos de propiedad intelectual (Convocatoria 02-2022  y 03-2023)</t>
  </si>
  <si>
    <t xml:space="preserve">Encuentro Red de Investigación e Innovación de la ETITC </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</si>
  <si>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</si>
  <si>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</si>
  <si>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</si>
  <si>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t>Adquisión ISBN</t>
  </si>
  <si>
    <t>Contratos de prestación de servicios VIET</t>
  </si>
  <si>
    <t>OE-8-Fortalecer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t>
  </si>
  <si>
    <t>LO SOCIAL: UN ACUERDO PARA LO FUNDAMENTAL</t>
  </si>
  <si>
    <t>A demanda</t>
  </si>
  <si>
    <t>Contratos</t>
  </si>
  <si>
    <t>Contratación de bienes y servicios</t>
  </si>
  <si>
    <t xml:space="preserve">	PRESTACIÓN DE SERVICIOS PROFESIONALES ESPECIALIZADOS PARA EL ACOMPAÑAMIENTO DE LAS ETAPAS PRECONTRACTUAL, CONTRACTUAL Y POSCONTRACTUAL DE LOS PROCESOS DE CONTRATACIÓN QUE ADELANTA LA ESCUELA TECNOLOGICA INSTITUTO TÉCNICO CENTRAL</t>
  </si>
  <si>
    <t>PRESTACIÓN DE SERVICIOS PROFESIONALES PARA EL ACOMPAÑAMIENTO EN LAS ACTIVIDADES RELACIONADAS CON LA ADQUISICIÓN DE BIENES Y SERVICIOS Y ESTRUCTURACIÓN DE LOS PROCESOS DE CONTRATACIÓN QUE ADELANTA LA ESCUELA TECNOLOGICA INSTITUTO TECNICO CENTRAL</t>
  </si>
  <si>
    <t>PRESTACIÓN DE SERVICIOS PROFESIONALES PARA EJECUTAR ACTIVIDADES  EN LAS ETAPAS PRECONTRACTUAL, CONTRACTUAL Y POSCONTRACTUAL DE LOS PROCESOS DE CONTRATACIÓN QUE ADELANTA LA ESCUELA TECNOLOGICA INSTITUTO TECNICO CENTRAL</t>
  </si>
  <si>
    <t>contrato en ejecución</t>
  </si>
  <si>
    <t xml:space="preserve">Contratación de mantenimiento especializado para pantallas interacticas Onescreen </t>
  </si>
  <si>
    <t>Mantenimiento preventivo y correctivo de impresoras y scanners, incluye insumos de impresión</t>
  </si>
  <si>
    <t>mantenimiento preventivo y correctivo a todo costo de los equipos ade audio, video y proyección del teatro,capilla y auditorio de la ETITC</t>
  </si>
  <si>
    <t>Mantenimiento y actualización del portal web, wordpress de emisora, portal niños e INTRANET.</t>
  </si>
  <si>
    <t>Adquisición de insumos y repuestos para el mantenimiento de equipos de cómputo de la ETITC</t>
  </si>
  <si>
    <t>Mantenimiento especializado a todo costo de la infraestructura asociada al DATACENTER</t>
  </si>
  <si>
    <t>CONTRATO DE PRESTACIÓN DE SERVICIOS DE APOYO A LA GESTIÓN PARA BRINDAR EL SOPORTE COMO TECNOLOGO DE PRIMER NIVEL EN LAS INSTALACIONES DEL TINTAL PARA REALIZAR ATENCIÓN DE SALAS DE SISTEMAS Y AUDITORIO.</t>
  </si>
  <si>
    <t>PRESTACIÓN DE SERVICIOS COMO TÉCNICO DE APOYO A LA GESTIÓN DEL ÁREA DE INFORMÁTICA Y COMUNICACIONES DE LA ESCUELA TECNOLÓGICA INSTITUTO TÉCNICO CENTRAL PARA REALIZAR APOYO EN LA ATENCIÓN, FUNCIONAMIENTO, CONFIGURACIÓN, SOPORTE Y EJECUCIÓN DE PLANES MANTENIMIENTO DE LOS ESPACIOS A CARGO DE AUDIOVISUALES DE LA SEDE CENTRO DE LA ETITC</t>
  </si>
  <si>
    <t>PRESTACIÓN DE SERVICIOS COMO TÉCNICO DE APOYO A LA GESTIÓN DEL ÁREA DE INFRAESTRUCTURA TECNOLÓGICA DE LA ESCUELA TECNOLÓGICA INSTITUTO TÉCNICO CENTRAL PARA REALIZAR LA PUESTA EN FUNCIONAMIENTO, CONFIGURACIÓN, SOPORTE Y EJECUCIÓN DE PLANES MANTENIMIENTO DE LOS EQUIPOS RELACIONADOS AL SISTEMA DE LAS AULAS PARA LA ALTERNANCIA DEL BACHILLERATO DE LA ETITC</t>
  </si>
  <si>
    <t>PRESTACIÓN DE SERVICIOS COMO TÉCNICO DE APOYO A LA GESTIÓN DEL ÁREA DE INFRAESTRUCTURA TECNOLÓGICA DE LA ESCUELA TECNOLÓGICA INSTITUTO TÉCNICO CENTRAL PARA REALIZAR LA PUESTA EN FUNCIONAMIENTO, CONFIGURACIÓN, SOPORTE Y EJECUCIÓN DE PLANES MANTENIMIENTO DE LOS EQUIPOS RELACIONADOS AL SISTEMA DE LAS AULAS PARA LA ALTERNANCIA DE LOS PROGRAMAS DE EDWUCACIÓN SUPERIOR DE LA ETITC</t>
  </si>
  <si>
    <t>CONTRATO DE PRESTACIÓN DE SERVICIOS DE APOYO A LA GESTIÓN PARA BRINDAR EL SOPORTE TÉCNICO DE PRIMER NIVEL EN EL ÁREA DE INFORMÁTICA Y COMUNICACIONES CON EL PROPÓSITO DE BRINDAR RESPUESTA Y SOLUCIÓN A LOS INCIDENTES, REQUERIMIENTOS Y SOLICITUDES REGISTRADAS EN LA MESA DE SERVICIOS DE TI</t>
  </si>
  <si>
    <t>CONTRATO DE PRESTACIÓN DE SERVICIOS DE APOYO A LA GESTIÓN PARA BRINDAR EL SOPORTE COMO TECNOLOGO DE PRIMER NIVEL EN EL ÁREA DE INFORMÁTICA Y COMUNICACIONES CON EL PROPÓSITO DE BRINDAR RESPUESTA Y SOLUCIÓN A LOS INCIDENTES, REQUERIMIENTOS Y SOLICITUDES REGISTRADAS EN LA MESA DE SERVICIOS DE TI</t>
  </si>
  <si>
    <t>PRESTACIÓN DE SERVICIOS COMO TECNOLOGO COMO APOYO A LA GESTIÓN DEL ÁREA DE INFORMÁTICA Y COMUNICACIONES DE LA ESCUELA TECNOLÓGICA INSTITUTO TÉCNICO CENTRAL PARA REALIZAR ADECUACIÓN Y SOPORTE DE SISTEMAS DE REDES DE DATOS NORMALIZADOS Y SOPORTE EN LA PREPARACIÓN DE DOCUMENTOS DE REDES DE DATOS Y COMUNICACIONES. SEGÚN NORMATIVIDAD VIGENTE.</t>
  </si>
  <si>
    <t>PRESTACIÓN DE SERVICIOS PROFESIONALES ESPECIALIZADO PARA APOYAR LA ADMINISTRACIÓN DE LA INFRAESTRUCTURA TECNOLÓGICA DE LA ESCUELA TECNOLÓGICA INSTITUTO TÉCNICO CENTRAL BASADOS EN LA ISO 27001.</t>
  </si>
  <si>
    <t>CONTRATACIÓN DE UN PROFESIONAL EN SISTEMAS CERTIFICADO EN ITIL 4 Y COMO MICROSOFT SPECIALIST: DEVELOPING MICROSOFT AZURE SOLUTIONS PARA ADMINISTRAR LA MESA DE AYUDA Y LAS PLATAFORMAS MICROSOFT 365, AZURE AD, AZURE MICROSOFT CLOUD SERVICES Y LA INTEGRACIÓN CON OTRAS PLATAFORMAS DE LA ESCUELA TECNOLÓGICA INSTITUTO TÉCNICO CENTRAL.</t>
  </si>
  <si>
    <t>CONTRATACIÓN DE UN PROFESIONAL PARA LA ADMINISTRACIÓN DE LOS SISTEMAS DE INFORMACIÓN, APOYO A LO MISIONAL Y LA ADMINISTRACIÓN DE BASES DE DATOS DE LA ETITC</t>
  </si>
  <si>
    <t>PRESTACIÓN DE SERVICIOS PROFESIONALES ESPECIALIZADOS PARA ADMINISTRAR Y GESTIONAR LA PLATAFORMA MOODLE LMS (CAMPUS VIRTUAL) Y TODOS SUS COMPONENTES COMO APOYO A LAS ACTIVIDADES ACADÉMICAS DE LA ESCUELA TECNOLÓGICA INSTITUTO TÉCNICO CENTRAL.</t>
  </si>
  <si>
    <t>PRESTACIÓN DE SERVICIOS PROFESIONALES CON DISPONIBILIDAD 7 X 24 PARA ATENDER Y RESOLVER LAS FALLAS QUE SE PRESENTEN EN LA INFRAESTRUCTURA TECNOLÓGICA PARA MINIMIZAR EL RIESGO DE INDISPONIBILIDAD EN LA PRESTACIÓN DE LOS SERVICIOS ACADÉMICOS Y ADMINISTRATIVOS DE LA ESCUELA TECNOLÓGICA INSTITUTO TÉCNICO CENTRAL</t>
  </si>
  <si>
    <t>Almacenamiento Cloud implementado</t>
  </si>
  <si>
    <t>Implementación de Almacenamiento Cloud, retorno de desastres</t>
  </si>
  <si>
    <t>sistema de información académico actualizado</t>
  </si>
  <si>
    <t>Actualización Sistema de información académico</t>
  </si>
  <si>
    <t>SUSCRIPCIÓN RENOVADA</t>
  </si>
  <si>
    <t>Renovación de suscripción de direccionamiento IPV6</t>
  </si>
  <si>
    <t>Servicio contratado</t>
  </si>
  <si>
    <t>Renovación canal de conectividad dedicado de 5GB sede Centro, 2 Gb tintal y 10Mb calle 18</t>
  </si>
  <si>
    <t>Licenciamiento renovado</t>
  </si>
  <si>
    <t>Renovación Licenciamiento  Open Value Subscription for Education Solutions Campus Agreement)</t>
  </si>
  <si>
    <t>Software renovado</t>
  </si>
  <si>
    <r>
      <t xml:space="preserve">Renovacion de software </t>
    </r>
    <r>
      <rPr>
        <b/>
        <sz val="9"/>
        <rFont val="Calibri"/>
        <family val="2"/>
        <scheme val="minor"/>
      </rPr>
      <t>PTC Creo</t>
    </r>
  </si>
  <si>
    <r>
      <t xml:space="preserve">Renovación software </t>
    </r>
    <r>
      <rPr>
        <b/>
        <sz val="9"/>
        <rFont val="Calibri"/>
        <family val="2"/>
        <scheme val="minor"/>
      </rPr>
      <t>Flexsim</t>
    </r>
  </si>
  <si>
    <r>
      <t xml:space="preserve">SOFTWARE DE SEGURIDAD </t>
    </r>
    <r>
      <rPr>
        <b/>
        <sz val="9"/>
        <rFont val="Calibri"/>
        <family val="2"/>
        <scheme val="minor"/>
      </rPr>
      <t>HSEQ</t>
    </r>
  </si>
  <si>
    <t>Soporte renovado</t>
  </si>
  <si>
    <r>
      <t xml:space="preserve">Renovación soporte plataforma </t>
    </r>
    <r>
      <rPr>
        <b/>
        <sz val="9"/>
        <rFont val="Calibri"/>
        <family val="2"/>
        <scheme val="minor"/>
      </rPr>
      <t>Gnosoft</t>
    </r>
  </si>
  <si>
    <r>
      <t xml:space="preserve">Renovación software </t>
    </r>
    <r>
      <rPr>
        <b/>
        <sz val="9"/>
        <rFont val="Calibri"/>
        <family val="2"/>
        <scheme val="minor"/>
      </rPr>
      <t>Simapro</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</si>
  <si>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</si>
  <si>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</si>
  <si>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</si>
  <si>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 xml:space="preserve">Rextore </t>
    </r>
  </si>
  <si>
    <r>
      <t xml:space="preserve">Renovación software </t>
    </r>
    <r>
      <rPr>
        <b/>
        <sz val="9"/>
        <rFont val="Calibri"/>
        <family val="2"/>
        <scheme val="minor"/>
      </rPr>
      <t>Solidworks</t>
    </r>
  </si>
  <si>
    <t>Soporte y actualizaciones renovadas</t>
  </si>
  <si>
    <r>
      <t xml:space="preserve">Renovación soporte y actualizacion </t>
    </r>
    <r>
      <rPr>
        <b/>
        <sz val="9"/>
        <rFont val="Calibri"/>
        <family val="2"/>
        <scheme val="minor"/>
      </rPr>
      <t>SIAC</t>
    </r>
  </si>
  <si>
    <r>
      <t>Renovación del soporte de la herramienta para biblioteca</t>
    </r>
    <r>
      <rPr>
        <b/>
        <sz val="9"/>
        <rFont val="Calibri"/>
        <family val="2"/>
        <scheme val="minor"/>
      </rPr>
      <t xml:space="preserve"> KOHA</t>
    </r>
  </si>
  <si>
    <r>
      <t xml:space="preserve">Renovacion software </t>
    </r>
    <r>
      <rPr>
        <b/>
        <sz val="9"/>
        <rFont val="Calibri"/>
        <family val="2"/>
        <scheme val="minor"/>
      </rPr>
      <t>SOLARWINDS SECURITY EVENT MANAGER</t>
    </r>
  </si>
  <si>
    <r>
      <t xml:space="preserve">Renovacion software  </t>
    </r>
    <r>
      <rPr>
        <b/>
        <sz val="9"/>
        <rFont val="Calibri"/>
        <family val="2"/>
        <scheme val="minor"/>
      </rPr>
      <t>Enterprise Architect</t>
    </r>
  </si>
  <si>
    <r>
      <t xml:space="preserve">Renovación software </t>
    </r>
    <r>
      <rPr>
        <b/>
        <sz val="9"/>
        <rFont val="Calibri"/>
        <family val="2"/>
        <scheme val="minor"/>
      </rPr>
      <t>Automation Studio</t>
    </r>
    <r>
      <rPr>
        <sz val="9"/>
        <rFont val="Calibri"/>
        <family val="2"/>
        <scheme val="minor"/>
      </rPr>
      <t xml:space="preserve"> </t>
    </r>
  </si>
  <si>
    <r>
      <t xml:space="preserve">Renovación software </t>
    </r>
    <r>
      <rPr>
        <b/>
        <sz val="9"/>
        <rFont val="Calibri"/>
        <family val="2"/>
        <scheme val="minor"/>
      </rPr>
      <t xml:space="preserve">Proteus </t>
    </r>
  </si>
  <si>
    <r>
      <t xml:space="preserve">Renovación software </t>
    </r>
    <r>
      <rPr>
        <b/>
        <sz val="9"/>
        <rFont val="Calibri"/>
        <family val="2"/>
        <scheme val="minor"/>
      </rPr>
      <t xml:space="preserve">MasterCam  </t>
    </r>
  </si>
  <si>
    <t>Implementación del protocolo IPV6</t>
  </si>
  <si>
    <t>Apoyo profesional en la Implementación del IPV6</t>
  </si>
  <si>
    <t>Equipos de computo renovados de las salas de sistemas básicas (salas 1 a 6)</t>
  </si>
  <si>
    <t>Dotación salas de sistemas básicas de la sede Centro (salas 1-6)</t>
  </si>
  <si>
    <t>Diciembre-2023</t>
  </si>
  <si>
    <t>Enero-2023</t>
  </si>
  <si>
    <t>Informe de ejecuciòn de actividades de mantenimiento</t>
  </si>
  <si>
    <t>Apoyo a la Gestión como prestación de servicios en el área de Planta Física como Auxiliar mantenimiento locativo de las instalaciones de Kennedy de la Escuela Tecnológica Instituto Técnico Central para la vigencia 2023.</t>
  </si>
  <si>
    <t>Porcentaje de ejecución del proceso de contratación de los estudios. Y porcentaje de ejecución del contrato.</t>
  </si>
  <si>
    <t>Apoyo a la Gestión como prestación de servicios en el área de Planta Física como todero de las instalaciones de Kennedy de la Escuela Tecnológica Instituto Técnico Central para la vigencia 2023.</t>
  </si>
  <si>
    <t>Apoyo a la Gestión como prestación de servicios en el área de Planta Física como jardinero de todas las instalaciones de la Escuela Tecnológica Instituto Técnico Central para la vigencia 2023.</t>
  </si>
  <si>
    <t>Apoyo a la Gestión como prestación de servicios en el área de Planta Física como carpintero de todas las instalaciones de la Escuela Tecnológica Instituto Técnico Central para la vigencia 2023.</t>
  </si>
  <si>
    <t>Apoyo a la Gestión como prestación de servicios en el área de Planta Física como maestro de obra de todas las instalaciones de la Escuela Tecnológica Instituto Técnico Central para la vigencia 2023.</t>
  </si>
  <si>
    <t>Apoyo a la Gestión como prestación de servicios en el área de Planta Física como pintor de todas las instalaciones de la Escuela Tecnológica Instituto Técnico Central para la vigencia 2023.</t>
  </si>
  <si>
    <t>Apoyo a la Gestión como prestación de servicios en el área de Planta Física como techador de todas las instalaciones de la Escuela Tecnológica Instituto Técnico Central para la vigencia 2023.</t>
  </si>
  <si>
    <t>Apoyo a la Gestión como prestación de servicios en el área de Planta Física como plomero de todas las instalaciones de la Escuela Tecnológica Instituto Técnico Central para la vigencia 2023.</t>
  </si>
  <si>
    <t>Apoyo a la Gestión como prestación de servicios en el área de Planta Física como Auxiliar mantenimiento locativo de todas las instalaciones de la Escuela Tecnológica Instituto Técnico Central para la vigencia 2023.</t>
  </si>
  <si>
    <t>Informe ejecuciòn de las actividades del contrato</t>
  </si>
  <si>
    <t xml:space="preserve">Prestación de servicios profesionales en arquitectura para la gestión de bienes muebles del área de Planta Física de las instalaciones de la Escuela Tecnológica Instituto Técnico Central.
</t>
  </si>
  <si>
    <t xml:space="preserve">Prestación de servicios profesionales en conservación del patrimonio para la gestión del área de Planta Física de las instalaciones de la Escuela Tecnológica Instituto Técnico Central.
</t>
  </si>
  <si>
    <t xml:space="preserve">Prestación de servicios profesionales en arquitectura para la gestión del área de Planta Física de las instalaciones de la Escuela Tecnológica Instituto Técnico Central.
</t>
  </si>
  <si>
    <t>Estudios técnicos</t>
  </si>
  <si>
    <t xml:space="preserve">Diseño Segunda fase sistema de abastecimiento energético fotovoltaico </t>
  </si>
  <si>
    <t>Abril-2023</t>
  </si>
  <si>
    <t>Informe final interventorìa</t>
  </si>
  <si>
    <t>INTERVENTORÍA TÉCNICA, ADMINISTRATIVA, FINANCIERA Y JURÍDICA AL CONTRATO DE OBRA CUYO OBJETO ES REALIZAR LA FASE III DEL MANTENIMIENTO ESPECIALIZADO DE CUBIERTA Y FACHADA PRINCIPAL DE LA SEDE CENTRAL DE LA ESCUELA TECNOLÓGICA INSTITUTO TÉCNICO CENTRAL</t>
  </si>
  <si>
    <t>Obra ejecutada</t>
  </si>
  <si>
    <t>REALIZAR LA FASE III DEL MANTENIMIENTO ESPECIALIZADO DE CUBIERTAS Y FACHADA PRINCIPAL DE LA SEDE PRINCIPAL DE LA ESCUELA TECNOLÓGICA INSTITUTO TÉCNICO CENTRAL</t>
  </si>
  <si>
    <t>Agosto-2023</t>
  </si>
  <si>
    <t>Marzo-2023</t>
  </si>
  <si>
    <t>Ejecución y construcción de las soluciones de baja complejidad establecidas en el Plan de Movilidad Inclusida de la sede Central de la ETITC.</t>
  </si>
  <si>
    <t>Mantenimiento ejecutado</t>
  </si>
  <si>
    <t>Ejecuciòn de la Fase 2 del mantenimiento de las baterías de baños para la sede Central de la Escuela Tecnológica Instituto Técnico Central.RAL</t>
  </si>
  <si>
    <t>Reforzamiento Estructural Bloque 3</t>
  </si>
  <si>
    <t>Julio-2023</t>
  </si>
  <si>
    <t>Construcción del Sistema de modulares en la sede Central.</t>
  </si>
  <si>
    <t>Junio-2023</t>
  </si>
  <si>
    <t>Elaboración de los diseños arquitectónicos, estructurales, hidràulicos, elèctricos y demás necesarios para el sistema de modulares en la Sede Central de la ETITC. Incluye los trámites necesarios de aprobación.</t>
  </si>
  <si>
    <t>150.000.000 aproximados</t>
  </si>
  <si>
    <t>Nomina de Bachillerato</t>
  </si>
  <si>
    <t xml:space="preserve">Sistema Humano </t>
  </si>
  <si>
    <t xml:space="preserve">Hojas de vida digitalizadas </t>
  </si>
  <si>
    <t xml:space="preserve">DIGITALIZACION </t>
  </si>
  <si>
    <t>INSTITUCIONAL, Transformacion  Cultural de la ETITC</t>
  </si>
  <si>
    <t>1,250,000</t>
  </si>
  <si>
    <t xml:space="preserve">Entrega de Dotacion según la Norma </t>
  </si>
  <si>
    <t xml:space="preserve">DOTACION </t>
  </si>
  <si>
    <t xml:space="preserve">Nomina liquidadada en un Software </t>
  </si>
  <si>
    <t>ERP- NOMINA</t>
  </si>
  <si>
    <t>APOYO A LA GESTIÓN</t>
  </si>
  <si>
    <t>SCANNER</t>
  </si>
  <si>
    <t>´1</t>
  </si>
  <si>
    <t xml:space="preserve">Servidores públicos  con formacion posgradual </t>
  </si>
  <si>
    <t>FORMACION</t>
  </si>
  <si>
    <t>Plan de Capacitacíón ejecutado</t>
  </si>
  <si>
    <t xml:space="preserve"> Plan de Capacitación</t>
  </si>
  <si>
    <t>200,000,000</t>
  </si>
  <si>
    <t xml:space="preserve">Programa de Bienestar Ejecutado </t>
  </si>
  <si>
    <t xml:space="preserve"> Programa de Bienestar Laboral</t>
  </si>
  <si>
    <t>Adquisición e instalacion de escaner para atención al ciudadano</t>
  </si>
  <si>
    <t>Escaner kodak alaris</t>
  </si>
  <si>
    <t xml:space="preserve">Adquisición e instalacion de escaner para archivo central </t>
  </si>
  <si>
    <t>Escaner kodak  alaris</t>
  </si>
  <si>
    <t>Deshumidificadores instalados</t>
  </si>
  <si>
    <t>Adquisición e instalación de deshumidificadores</t>
  </si>
  <si>
    <t xml:space="preserve">629 cajas </t>
  </si>
  <si>
    <t xml:space="preserve">Documentos de archivo central digitalizados </t>
  </si>
  <si>
    <t>Digitalización de archivos</t>
  </si>
  <si>
    <t>Archivo rodante funcionando correctamente</t>
  </si>
  <si>
    <t>Mantenimiento archivo rodante existente en archivo central</t>
  </si>
  <si>
    <t>Fabricación e instalación del sistema rodante de archivo con accionamiento mecánico compuesto por 6 carros mecánicos y 2 carros fijos.</t>
  </si>
  <si>
    <t>Prestación de servicios en las actividades de gestión documental y atención al ciudadano de la Escuela Tecnológica Instituto Técnico Central</t>
  </si>
  <si>
    <t>Compra-venta</t>
  </si>
  <si>
    <t>Implementacion</t>
  </si>
  <si>
    <t>Ampliación del sistema de CCTV en todas las sedes - (Prioridad Tintal).</t>
  </si>
  <si>
    <t>Contratacion para la implementacion y adecuacion del sistema de iluminacion de emergencia en zonas comunes de la ETITC.</t>
  </si>
  <si>
    <t>Contratacion para la implemntacion y adecuacion del sistema de control de iluminacion del bloque C de la ETITC (Biblioteca, Artes, aulas virtuales y salas de profesores).</t>
  </si>
  <si>
    <t>Compra de materiales, herramientas y equipos electricos para mantenimiento preventivo y correctivo general de la ETITC y sus Extenciones.</t>
  </si>
  <si>
    <t>Contratación del diseño y cambio de tablero de distribución eléctrica principal con las respectivas protecciones de la ETITC, sede Centro.</t>
  </si>
  <si>
    <t>Diseño e Implementacion</t>
  </si>
  <si>
    <t>Contratación del Diseño e implementación de malla de tierras electricas de la sede Centro. Bajo norma RETIE. AE280</t>
  </si>
  <si>
    <t>Contratación de mantenimiento preventivo, correctivo y certificación de los Sistema Mecanico e Hidraulico de apertura/cierre puertas calle 15, carrera 17 y patio central</t>
  </si>
  <si>
    <t>Contratación de un técnico electricista o afines. (11 MESES). 
Para el apoyo al mantenimiento preventicvo y correctivo de las instalaciones electricas de la ETITC y sus extenciones.</t>
  </si>
  <si>
    <t>Contratación de un tecnologo electricista o afines. (11 MESES).
Para instalaciones eletricas a nivel de redes de BT, cableado estructurado, mantenimiento peventivo y correctivo de los mismos de la ETITC y sus Extenciones.</t>
  </si>
  <si>
    <t>Contratación de un tecnólogo electrónico (11 MESES). 
Para mantenimiento preventivo en equipos especializados de alta criticidad (UPS, REGULADORES, AIRES ACONDICIONADOS y PLANTAS ELECTRICAS). Manejo de software en gestion de mantenimiento CMMS.</t>
  </si>
  <si>
    <t>Contratación de un Ingeniero Electromecánico o afines (11 MESES). Para coordinación de adecuaciones, Instalaciones elctricas a nivel de redes BT y cableado estructurado, bajo normas RETIE - NTC 2050 y ANSI/TIA, de la ETITC y sus Extenciones.</t>
  </si>
  <si>
    <t xml:space="preserve">DISEÑO DE ESTRATEGIAS - Elaboración y selección de estrategias según la política de comunicaciones </t>
  </si>
  <si>
    <t>Informes semestral con la relación de las estrategias seleccionadas</t>
  </si>
  <si>
    <t>IMPLEMENTACIÓN DE LAS ESTRATEGIAS: Desarrollo de las estrategias (seguimiento y evaluación)</t>
  </si>
  <si>
    <t>Informes semestral con la relación de las estrategias implementadas y evaluadas</t>
  </si>
  <si>
    <t>PRESTACIÓN DE SERVICIOS PROFESIONALES CON AUTONOMIA TÉCNICA Y ADMINISTRATIVA PARA ADMINISTRAR LOS MEDIOS DIGITALES -PORTAL WEB, EMISORA WEB, REDES SOCIALES, CARTELERAS DIGITALES, CARNETIZACIÓN DIGITAL- DE LA ESCUELA TECNOLÓGICA INSTITUTO TÉCNICO CENTRAL</t>
  </si>
  <si>
    <t>PRESTACIÓN DE SERVICIOS PROFESIONALES CON AUTONOMÍA TÉCNICA Y ADMINISTRATIVA PARA LA RECTORÍA Y EL ÁREA DE COMUNICACIONES EN LOS PROCESOS DE COMUNICACIÓN INSTITUCIONAL Y PRODUCCIÓN DE CONTENIDO MULTIMEDIAL DE LA ESCUELA TECNOLÓGICA INSTITUTO TÉCNICO CENTRAL</t>
  </si>
  <si>
    <t>PRESTACIÓN DE SERVICIOS DE APOYO A LA GESTIÓN CON AUTONOMÍA TÉCNICA Y ADMINISTRATIVA EN EL ÁREA DE COMUNICACIONES PARA LA REALIZACIÓN Y PRODUCCIÓN DE CONTENIDO AUDIOVISUAL DE LA ESCUELA TECNOLÓGICA INSTITUTO TÉCNICO CENTRAL</t>
  </si>
  <si>
    <t>PRESTACIÓN DE SERVICIOS DE APOYO A LA GESTIÓN PARA DESARROLLAR LAS ACTIVIDADES EN EL MARCO DE LA IMPLEMENTACIÓN DE LA ESTRATEGIA Y DE LOS PROCESOS DE COMUNICACIONES INSTITUCIONALES COMO DISEÑADOR GRÁFICO DE LA ESCUELA TECNOLOGICA INSTITUTO TÉCNICO CENTRAL</t>
  </si>
  <si>
    <t>PRESTACIÓN DE SERVICIOS COMO APOYO A LA GESTIÓN PARA LA OPERACIÓN DE LA EMISORA WEB, LA RECTORÍA Y EL ÁREA DE COMUNICACIONES DE LA ETITC</t>
  </si>
  <si>
    <t>Ampliación del sistema de audioevacuación y renovación del sistema de sonido general que cubra la mayoría de espacios de las instalaciones de la sede central de la ETITC</t>
  </si>
  <si>
    <t>Compra de paquete para el envío de 120000 SMS a la comunidad estudiantil de los PES con información de la ETITC</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</si>
  <si>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</si>
  <si>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</si>
  <si>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</si>
  <si>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</si>
  <si>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</si>
  <si>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Porcentaje de implementación de la Política institucional de comunicaciones</t>
  </si>
  <si>
    <t>ME - 21 Fortalecer los canales existente para la comunicación interna - externa</t>
  </si>
  <si>
    <t>PE-11- Implementación de estrategias de comunicación externas e internas y fortalecimiento de la gestión Documental: LA ETITC COMUNICA</t>
  </si>
  <si>
    <t>Actualización y reporte de las plataformas de control y seguimiento de actividades judiciales e institucionales.</t>
  </si>
  <si>
    <t>Acompañamiento ceremonias de grado</t>
  </si>
  <si>
    <t>OE.1. Consolidar la calidad académica para la acreditación institucional de alta calidad respaldada fortalecimiento de la gestión, la infraestructura tecnológica y física.</t>
  </si>
  <si>
    <t xml:space="preserve">Curso o Capacitación en formación basados en el marco de trabajo como el modelo C2M2 (Modelo de Madurez de Capacidad de Ciberseguridad), la serie de normas ISO 27000 y la ISO 31000:2009 de Gestión del Riesgo para fomentar cultura de Gobernanza Digital </t>
  </si>
  <si>
    <t>Fortalecer los conocimientos y competencias a nuestros líderes de procesos en la generación de nuevos riesgos al interior de cada  uno de los procesos.</t>
  </si>
  <si>
    <t xml:space="preserve">Certificado y sensibilización de los conocimientos impartidos y fortalecimiento de mapas de riesgos y efectividad de los controles para evitar la posibilidad de materialización </t>
  </si>
  <si>
    <t>23 de mayo de 2023</t>
  </si>
  <si>
    <t>31 de diciembre de 2023</t>
  </si>
  <si>
    <t>Prestación de servicios para el Análisis de Vulnerabilidades y Ethical Hacking a nuestros sistemas de información con persona natural</t>
  </si>
  <si>
    <r>
      <rPr>
        <b/>
        <sz val="10"/>
        <rFont val="Arial"/>
        <family val="2"/>
      </rPr>
      <t xml:space="preserve">Actividad obligatoria </t>
    </r>
    <r>
      <rPr>
        <sz val="10"/>
        <rFont val="Arial"/>
        <family val="2"/>
      </rPr>
      <t xml:space="preserve">de la ISO/IEC 27001:2013 del Sistema de Gestión de Seguridad de la Información. </t>
    </r>
  </si>
  <si>
    <t>Documento con los hallazgos de vulnerabilidades y Plan de Remediación</t>
  </si>
  <si>
    <t>31 de marzo de 2023</t>
  </si>
  <si>
    <t>Consultoría para evaluar el estado de madures del Sistema de Gestión de Seguridad de la Información</t>
  </si>
  <si>
    <r>
      <rPr>
        <b/>
        <sz val="10"/>
        <rFont val="Arial"/>
        <family val="2"/>
      </rPr>
      <t>Actividad obligatoria</t>
    </r>
    <r>
      <rPr>
        <sz val="10"/>
        <rFont val="Arial"/>
        <family val="2"/>
      </rPr>
      <t xml:space="preserve"> para el Plan de Mejoramiento de la Auditoría Externa para ICONTEC 2022 de la norma ISO/IEC 27001:2013</t>
    </r>
  </si>
  <si>
    <t>Cierre de hallazgo ante ICONTEC y Mejoramiento del SGSI</t>
  </si>
  <si>
    <t>28 de febrero de 2023</t>
  </si>
  <si>
    <t>Adquisición de plataforma</t>
  </si>
  <si>
    <r>
      <rPr>
        <b/>
        <sz val="10"/>
        <rFont val="Arial"/>
        <family val="2"/>
      </rPr>
      <t>Actividad para el fortalecimiento de la infraestructura crítica y dar cumplimento a la normativa de PRESIDENCIA Y GOBIERNO DIGITAL para la mejora continúa del SGSI.</t>
    </r>
    <r>
      <rPr>
        <sz val="10"/>
        <rFont val="Arial"/>
        <family val="2"/>
      </rPr>
      <t xml:space="preserve"> Con está implementación la ETITC va a evolucionar cada día, trayendo riesgos nuevos y cubiemiento de infraestructura tecnológica. </t>
    </r>
  </si>
  <si>
    <t>Plataforma Lumu insights implementa un sistema de notificaciones avanzadas que permite consolidar el nivel de alerta para maximizar la eficiencia del equipo de respuesta a incidentes de la ETITC y que permita una respuesta inmediata de los ataques cibernéticos que se presentan continuamente en nuestro país.</t>
  </si>
  <si>
    <t>31 de Agosto de 2023</t>
  </si>
  <si>
    <t>Renovación de licenciamiento</t>
  </si>
  <si>
    <t>“RENOVACION DE 50 LICENCIAS DE LA HERRAMIENTA SOLARWINDS SECURITY EVENT MANAGER PARA EL CORRELACIONAMIENTO DE EVENTOS DURANTE UN AÑO.”</t>
  </si>
  <si>
    <t>Curso o Capacitación de Certified Ethical Hacker V11
Certificado por Ec-Council para cumplir con los lineamientos de Gobierno Digital bajo el decreto 02 de presidencia de la república</t>
  </si>
  <si>
    <t>Fortalecer los conocimientos y competencias a nuestros líderes de procesos en la generación de nuevos riesgos zero</t>
  </si>
  <si>
    <t>Certificado y sensibilización de los conocimientos impartidos para el semillero de investigación SAPIENTIAM de la Vicerrectoría de Investigación y Transferencia y de la Decanatura de Sistemas para que los estudiantes obtengan conocimientos en como defender una infraestructura tecnología de forma manual.</t>
  </si>
  <si>
    <t xml:space="preserve">Simulacros de Continuidad para validar la efectividad del Plan de Continuidad del SGSI y Plan de Contingencia, Recuperación y Retorno a la Normalidad </t>
  </si>
  <si>
    <r>
      <rPr>
        <b/>
        <sz val="10"/>
        <rFont val="Arial"/>
        <family val="2"/>
      </rPr>
      <t xml:space="preserve">Actividad obligatoria para ICONTEC y cubrimiento </t>
    </r>
    <r>
      <rPr>
        <sz val="10"/>
        <rFont val="Arial"/>
        <family val="2"/>
      </rPr>
      <t xml:space="preserve">de la ISO/IEC 27001:2013 del Sistema de Gestión de Seguridad de la Información. </t>
    </r>
  </si>
  <si>
    <t>Documento con las pruebas del simulacro, tiempo de respuesta y efectividad de los planes y restablecimiento de servicios a la normalidad, así como evidencias para la actualización de estos dos planes.</t>
  </si>
  <si>
    <t>Prestación de servicios para atender los incidentes de seguridad de forma manual, atender las solicitudes allegadas y documentar en los incidentes en los formatos autorizados</t>
  </si>
  <si>
    <t>Debido al incremento de incidentes, alertas allegadas al correo institucional y a la infraestructura tecnológica se requiere contar con un practicante y/o estudiante de ingeniera de sistemas, telemática o de ciberseguridad para atender de forma inmediata los incidentes de seguridad que se presentan cada vez más</t>
  </si>
  <si>
    <t>Informe de gestión de atención a incidentes diarios, semanales y mensuales con su investigación y recomendaciones y de buenas prácticas para el área de Informática y Comunicaciones</t>
  </si>
  <si>
    <t xml:space="preserve">Instalación  y mantenimiento de jardines verticales según la viabilidad previa de Planta Física </t>
  </si>
  <si>
    <t>metros cuadrados de Jardines verticales instalados según lo autorizado por Planta Física</t>
  </si>
  <si>
    <t>4 metros cuadrados</t>
  </si>
  <si>
    <t>Disponer correctamente los residuos generados en la ETITC en todas sus sedes</t>
  </si>
  <si>
    <t>Contrato para la Gestión de Residuos Peligrosos</t>
  </si>
  <si>
    <t>Contrato para la gestión de Residuos de Construtcción y Demolición</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</si>
  <si>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</si>
  <si>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</si>
  <si>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Contratación de laboratorio acreditado por el IDEAM para la caracterización de aguas residuales no domesticas</t>
  </si>
  <si>
    <t>Informe de caracterización y su respectivo reporte en la Plataforma de la EAAB</t>
  </si>
  <si>
    <t>Informes de gestión de contratista</t>
  </si>
  <si>
    <t>Contratación de un tecnologo para Implementar el Sistema de Gestión Ambiental bajo estandares de la NTC ISO 14001:2016</t>
  </si>
  <si>
    <t>Adquisición de un computador como herramienta de trabajo para el desarrollo de las actividades documentales del Sistema de Gestión Ambiental</t>
  </si>
  <si>
    <t>Computador asignado</t>
  </si>
  <si>
    <t xml:space="preserve">recomendaciones de la asesoria para manejo de emisiones de fuentes fijas </t>
  </si>
  <si>
    <t>Contrtación de servicios de asesoria para la implementación de buenas practicas para el manejo de Emisione Atmosféricas de fuentes fijas</t>
  </si>
  <si>
    <t>Informe de caracterización de fuentes fijas y recomendaciones de manejo de emisiones atmosfericas</t>
  </si>
  <si>
    <t># de tanques de agua potable lavados y desinfecatdos
# de fumigaciones y desratización ejecutadas</t>
  </si>
  <si>
    <t>Contratación de servicios especializados de saneamiento ambiental</t>
  </si>
  <si>
    <t>-Certificado de lavado de tanques
- Certificado de fumicaión
- Resultados de caracterización de agua potable</t>
  </si>
  <si>
    <t>3 de tramites ambientales adelantads ante la SDA</t>
  </si>
  <si>
    <t>Adelantar tramites ambientales que se idnetifiquen sean necesarios según lo establecido en la normatividad vigente</t>
  </si>
  <si>
    <t>radicados ante autoridad ambiental</t>
  </si>
  <si>
    <t>Plan de Contingencias para almacenamiento de hidrocarburos y sustancias peligrosas radicado ante la SDA</t>
  </si>
  <si>
    <t>Contratar servicios para la formulación del Plan de Contingencias para lamacenamiento de hidrocarburos y sustancias peligrosas radicado ante la SDA</t>
  </si>
  <si>
    <t>Consolidar el equpo de apoyo a los proceso de autoevaluación y autoregulación del ETITC</t>
  </si>
  <si>
    <t>Auditorìa complementaria 27001:2013</t>
  </si>
  <si>
    <t>Certificación 27001</t>
  </si>
  <si>
    <t>15/01/2023</t>
  </si>
  <si>
    <t>15/12/2023</t>
  </si>
  <si>
    <t xml:space="preserve">Auditorìa de otorgamiento y renovación </t>
  </si>
  <si>
    <t>Certificación 9001/27001/14001
Informes de auditoría</t>
  </si>
  <si>
    <t>Formación en la NTC- 37001</t>
  </si>
  <si>
    <t>Personal formado</t>
  </si>
  <si>
    <t>Capacitación para fortalecer competencias en auditores en redacción de hallazgos y en verificación de controles en 27001</t>
  </si>
  <si>
    <t>Capacitaciones adelantadas</t>
  </si>
  <si>
    <t>Contratación expertos como apoyo para control interno en auditorías a Gestión de Informática y Comunicaciones y Seguridad de la Información verificando requisitos asociados a la NTC ISO 27001</t>
  </si>
  <si>
    <t>Informes de auditorías</t>
  </si>
  <si>
    <t>Vicerrectoría de Investigación</t>
  </si>
  <si>
    <t>SUBTOTAL</t>
  </si>
  <si>
    <t>servicio</t>
  </si>
  <si>
    <t>Plan de Celular para uso institucional-llamadas y whatsapp</t>
  </si>
  <si>
    <t>suministro</t>
  </si>
  <si>
    <t>equipos tecnologicos</t>
  </si>
  <si>
    <t xml:space="preserve">Computadores para examenes de validación </t>
  </si>
  <si>
    <t xml:space="preserve">Compra de Textos para los diferentes Idiomas </t>
  </si>
  <si>
    <t>software</t>
  </si>
  <si>
    <t>Examen de Validación Internacional</t>
  </si>
  <si>
    <t>Plataforma virtual bilingüe</t>
  </si>
  <si>
    <t>prestacion de servicios</t>
  </si>
  <si>
    <t>Prestación de servicios profesionalescomo instructor curso libre de portugués básico 1 de 80 horas.</t>
  </si>
  <si>
    <t>Prestación de servicios profesionalescomo instructor curso libre de portugués básico de 80 horas.</t>
  </si>
  <si>
    <t>Prestación de servicios profesionalescomo instructor curso libre de alemán básico de 80 horas.</t>
  </si>
  <si>
    <t>Prestación de servicios profesionalescomo instructor curso de francés nivel A2 de 80 horas para segundo semestre.</t>
  </si>
  <si>
    <t>Prestación de servicios profesionalescomo instructor curso de francés nivel A1 de 80 horas para segundo semestre.</t>
  </si>
  <si>
    <t>Prestación de servicios profesionalescomo instructor curso de francés nivel A2 de 80 horas para primer semestre.</t>
  </si>
  <si>
    <t>Prestación de servicios profesionalescomo instructor curso de francés nivel A1 de 80 horas para primer semestre.</t>
  </si>
  <si>
    <t>Prestación de servicios profesionalescomo instructor curso de inglés nivel C1 de 100 horas para segundo semestre.</t>
  </si>
  <si>
    <t>Prestación de servicios profesionalescomo instructor curso de inglés nivel C1 de 100 horas para primer semestre.</t>
  </si>
  <si>
    <t>logistica</t>
  </si>
  <si>
    <t xml:space="preserve">PRESTACIÓN DE SERVICIOS PERSONALES  PARA EL APOYO DE LOS CURSOS DE IDIOMAS COMO TECNICO DE APOYO A LA GESTIÓN DEL AREA DEL CENTRO DE LENGUAS DEL GITEPS </t>
  </si>
  <si>
    <t>Centro de Lenguas</t>
  </si>
  <si>
    <t xml:space="preserve">ESTIMULOS Y/O RECONOCIMIENTOS PARA DESARROLLAR EL ENCUENTRO DE EGRESADOS (SOUVENIRES, CURSOS POR EXTENSION, IDIOMAS, DESCUENTOS, ETC) </t>
  </si>
  <si>
    <t xml:space="preserve">CONTRATACIÓN DE SERVICIOS PROFESIONALES  COMO APOYO EN LA IMPLEMENTACIÓN DEL SADE PARA EL DESARROLLO DE ESTADISTICAS DEL OBSERVATORIO LABORAL Y ENCUESTAS REALIZADAS A LOS EGRESADOS </t>
  </si>
  <si>
    <t>mantemiento</t>
  </si>
  <si>
    <t xml:space="preserve">MANTENIMIENTO BOLSA DE EMPLEO </t>
  </si>
  <si>
    <t>PRESTACION DE SERVICIOS INSTRUCTORES PARA  ACTUALIZACION DE EGRESADOS 50 HORAS</t>
  </si>
  <si>
    <t>PLAN DE CELULAR INSTITUCIONAL-LLAMADAS Y WHATSAPP</t>
  </si>
  <si>
    <t xml:space="preserve">EQUIPO DE COMPUTO PORTATIL </t>
  </si>
  <si>
    <t>PRESTACIÓN DE SERVICIOS PROFESIONALES DE APOYO A LA GESTIÓN EJECUTADO ACTIVIDADES DE APOYO AL AREA DE EGRESADOS DEL GITEPS.</t>
  </si>
  <si>
    <t xml:space="preserve">ME -11, Implementar el sistema de acompañamiento de desarrollo del egresado - SADE,con responsabilidad social y academica. </t>
  </si>
  <si>
    <t>PE-6 Egresados como embajadores institucionales</t>
  </si>
  <si>
    <t>movillidad</t>
  </si>
  <si>
    <t>INSCRIPCIONES A CAPACITACION Y EVENTOS NACIONALES E INTERNACIONALES</t>
  </si>
  <si>
    <t>VISITAS EMPRESARIALES E INSTITUCIONALES</t>
  </si>
  <si>
    <t>PARTICIPACION EN FERIAS INSTITUCIONALES Y EVENTOS ACADEMICOS</t>
  </si>
  <si>
    <t>ME - 50 Consolidar y fortalecer el vínculo entre empresa, estado - academia ETITC.
ME - 51 Gestionar la oferta de asignaturas para procesos de cualificacion como herramienta al mundo laboral y/o homologacion e insercion en la educacion profesional.</t>
  </si>
  <si>
    <t>Prestacion servicios</t>
  </si>
  <si>
    <t xml:space="preserve">SUMINISTRO DE PLAN INSTITUCIONAL DE CELULAR </t>
  </si>
  <si>
    <t>MONITORES INTELIGENTES Y/O HIBRIDOS</t>
  </si>
  <si>
    <t>COMPUTADORES  DE MESA QUE CONTENGAN CAMARA Y AUDIO PARA SALAS DE CLASE</t>
  </si>
  <si>
    <t xml:space="preserve">COMPUTADORES PORTATILES CON CAMARA Y AUDIO PARA SALAS DE ESTUDIO </t>
  </si>
  <si>
    <t>IMPRESORA MULTIFUNCIONAL, LASER A COLOR</t>
  </si>
  <si>
    <t>papeleria</t>
  </si>
  <si>
    <t>PAPEL OPALINA 180GR, BLANCO</t>
  </si>
  <si>
    <t>TONER REF HP87X PARA IMPRESORA HP LASER JET MFP M527</t>
  </si>
  <si>
    <t>TINTA ECOTANK EPSON DE COLORES ROJO, AMARILLO, AZUL Y NEGRA</t>
  </si>
  <si>
    <t>RESMAS DE PAPEL ECOLOGICO TAMAÑO OFICIO</t>
  </si>
  <si>
    <t>RESMAS DE PAPEL ECOLOGICO TAMAÑO CARTA</t>
  </si>
  <si>
    <t>promocion</t>
  </si>
  <si>
    <t xml:space="preserve">MATERIAL POP  DEL  GRUPO INTERNO DE TRABAJO EXTENSION Y PROYECCION SOCIAL, (LIBRETAS, CUADERNOS, MEMORIAS, ESFEROS, PENDONES, EXHIBIDORES, PUNTOS DE ATENCION, BOLSAS, ETC.) </t>
  </si>
  <si>
    <t>DISEÑO E IMPRESIÓN DE TODOS LOS PROSPECTOS DE LOS PROGRAMAS DE EDUCACIÓN SUPERIOR Y CERTIFICACIONES, CURSOS Y DIPLOMADOS  QUE OFRECE EL GRUPO INTERNO DE TRABAJO EXTENSION Y PROYECCIÓN SOCIAL</t>
  </si>
  <si>
    <t>ME - 50 Consolidar y fortalecer el vínculo entre empresa, estado - academia ETITC
ME - 51 Gestionar la oferta de asignaturas para procesos de cualificacion como herramienta al mundo laboral y/o homologacion e insercion en la educacion profesional.</t>
  </si>
  <si>
    <t>PRESTACION DE SERVICIOS PROFESIONALES PARA APOYAR LAS ACTIVIDADES DEL GITEPS COMO INSTRUCTOR DESARROLLANDO CURSO A LA MEDIDA DE 60 HORAS</t>
  </si>
  <si>
    <t>ME - 51 Gestionar la oferta de asignaturas para procesos de cualificacion como herramienta al mundo laboral y/o homologacion e insercion en la educacion profesional.</t>
  </si>
  <si>
    <t>PRESTACION DE SERVICIOS PROFESIONALES PARA APOYAR LAS ACTIVIDADES DEL GITEPS COMO INSTRUCTOR DESARROLLANDO CURSO LIBRE DE 50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</si>
  <si>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</si>
  <si>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</si>
  <si>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20 HORAS</t>
  </si>
  <si>
    <t>PRESTACION DE SERVICIOS PROFESIONALES PARA APOYAR LAS ACTIVIDADES DEL GITEPS COMO INSTRUCTOR DESARROLLANDO CURSO LIBRE DE 60 HORAS</t>
  </si>
  <si>
    <t>PRESTACION DE SERVICIOS PROFESIONALES PARA APOYAR LAS ACTIVIDADES DEL GITEPS COMO INSTRUCTOR DESARROLLANDO CURSO LIBRE DE 40 HORAS</t>
  </si>
  <si>
    <t>PRESTACION DE SERVICIOS PROFESIONALES PARA APOYAR LAS ACTIVIDADES DEL GITEPS COMO INSTRUCTOR DESARROLLANDO CURSO LIBRE DE 30 HORAS</t>
  </si>
  <si>
    <t>PRESTACION DE SERVICIOS PROFESIONALES PARA APOYAR LAS ACTIVIDADES DEL GITEPS COMO INSTRUCTOR DESARROLLANDO CURSO LIBRE DE 20 HORAS</t>
  </si>
  <si>
    <t>PRESTACION DE SERVICIOS PROFESIONALES PARA APOYAR LAS ACTIVIDADES DEL GITEPS COMO INSTRUCTOR DESARROLLANDO EL DIPLOMADO DE 100 HORAS</t>
  </si>
  <si>
    <t>PRESTACION DE SERVICIOS PROFESIONALES PARA APOYAR LAS ACTIVIDADES DEL GITEPS COMO INSTRUCTOR DESARROLLANDO EL DIPLOMADO DE 120 HORAS</t>
  </si>
  <si>
    <t xml:space="preserve">PRESTACION DE SERVICIOS PROFESIONALES PARA APOYAR LAS ACTIVIDADES DEL GITEPS COMO INSTRUCTOR DESARROLLANDO LA CERTIFICACIÓN EN LEAN MANAGEMENT SEGUNDO SEMESTRE </t>
  </si>
  <si>
    <t xml:space="preserve">PRESTACION DE SERVICIOS PROFESIONALES PARA APOYAR LAS ACTIVIDADES DEL GITEPS COMO INSTRUCTOR DESARROLLANDO LA CERTIFICACIÓN EN LEAN MANAGEMENT PRIMER SEMESTRE </t>
  </si>
  <si>
    <t>PRESTACION DE SERVICIOS PROFESIONALES PARA APOYAR LAS ACTIVIDADES DEL GITEPS COMO INSTRUCTOR DESARROLLANDO LA CERTIFICACIÓN EN INSTALACIONES ELÉCTRICAS SEGUNDO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</si>
  <si>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</si>
  <si>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PRIMER SEMESTRE</t>
  </si>
  <si>
    <t>PRESTACION DE SERVICIOS PROFESIONALES PARA APOYAR LAS ACTIVIDADES DEL CENTRO DE EXTENSIÓN Y PROYECCIÓN SOCIAL COMO INSTRUCTOR DESARROLLANDO LA CERTIFICACIÓN CIROS</t>
  </si>
  <si>
    <t>PRESTACION DE SERVICIOS PROFESIONALES PARA APOYAR LAS ACTIVIDADES DEL CENTRO DE EXTENSIÓN Y PROYECCIÓN SOCIAL COMO INSTRUCTOR DESARROLLANDO LA CERTIFICACIÓN F.A.C.T.</t>
  </si>
  <si>
    <t>PRESTACION DE SERVICIOS PROFESIONALES PARA APOYAR LAS ACTIVIDADES DEL CENTRO DE EXTENSIÓN Y PROYECCIÓN SOCIAL COMO INSTRUCTOR DESARROLLANDO LA CERTIFICACIÓN  MANUFACTURA ESBELTA INDUSTRIA 4.0 SEGUNDO SEMESTRE</t>
  </si>
  <si>
    <t>PRESTACION DE SERVICIOS PROFESIONALES PARA APOYAR LAS ACTIVIDADES DEL CENTRO DE EXTENSIÓN Y PROYECCIÓN SOCIAL COMO INSTRUCTOR DESARROLLANDO LA CERTIFICACIÓN  MANUFACTURA ESBELTA INDUSTRIA 4.0 PRIMER SEMESTRE</t>
  </si>
  <si>
    <t>pe 15 papel signifi</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</si>
  <si>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</si>
  <si>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CENTRO DE EXTENSIÓN Y PROYECCIÓN SOCIAL COMO INSTRUCTOR DESARROLLANDO LA CERTIFICACIÓN AUTOMATIZACION INDUSTRIAL INTERSEMESTRAL</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</si>
  <si>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</si>
  <si>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ASIGNATURA DE PRINCIPIOS DE FISICA (108 HORAS) EN EL CURSO PRE INGENIERO DURANTE EL SEGUNDO SEMESTRE DE 2023</t>
  </si>
  <si>
    <t>PRESTACION DE SERVICIOS PROFESIONALES PARA APOYAR LAS ACTIVIDADES DEL CENTRO DE EXTENSIÓN Y PROYECCIÓN SOCIAL COMO INSTRUCTOR DESARROLLANDO LA ASIGNATURA DE MATEMATICAS BASICAS (108 HORAS) EN EL CURSO PRE INGENIERO DURANTE EL SEGUNDO SEMESTRE DE 2023</t>
  </si>
  <si>
    <t>PRESTACION DE SERVICIOS PROFESIONALES PARA APOYAR LAS ACTIVIDADES DEL CENTRO DE EXTENSIÓN Y PROYECCIÓN SOCIAL COMO INSTRUCTOR DESARROLLANDO LA ASIGNATURA DE COMUNICACIÓN ORAL Y ESCRITA (54 HORAS) EN EL CURSO PRE INGENIERO DURANTE EL SEGUNDO SEMESTRE DE 2023</t>
  </si>
  <si>
    <t>PRESTACION DE SERVICIOS PROFESIONALES PARA APOYAR LAS ACTIVIDADES DEL CENTRO DE EXTENSIÓN Y PROYECCIÓN SOCIAL COMO INSTRUCTOR DESARROLLANDO LA ASIGNATURA DE DIBUJO TECNICO (54 HORAS) EN EL CURSO PRE INGENIERO DURANTE EL SEGUNDO SEMESTRE DE 2023</t>
  </si>
  <si>
    <t>PRESTACION DE SERVICIOS PROFESIONALES PARA APOYAR LAS ACTIVIDADES DEL CENTRO DE EXTENSIÓN Y PROYECCIÓN SOCIAL COMO INSTRUCTOR DESARROLLANDO LA ASIGNATURA DE ORIENTACIÓN PROFESIONAL (36 HORAS) EN EL CURSO PRE INGENIERO DURANTE EL SEGUNDO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</si>
  <si>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</si>
  <si>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</si>
  <si>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</si>
  <si>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</si>
  <si>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ORIENTACIÓN PROFESIONAL (36 HORAS) EN EL CURSO PRE INGENIERO DURANTE EL PRIMER SEMESTRE DE 2023</t>
  </si>
  <si>
    <t>PRESTACIÓN DE SERVICIOS DE APOYO A LA GESTIÓN EJECUTADO ACTIVIDADES DE MERCADEO Y DE SEGUIMIENTO A LOS PROCESOS ACADEMICOS DEL GITEPS.</t>
  </si>
  <si>
    <r>
      <rPr>
        <b/>
        <sz val="10"/>
        <color theme="1"/>
        <rFont val="Arial"/>
        <family val="2"/>
      </rPr>
      <t xml:space="preserve">ME - 50 </t>
    </r>
    <r>
      <rPr>
        <sz val="10"/>
        <color theme="1"/>
        <rFont val="Arial"/>
        <family val="2"/>
      </rPr>
      <t xml:space="preserve">Consolidar y fortalecer el vínculo entre empresa, estado - academia ETITC
</t>
    </r>
    <r>
      <rPr>
        <b/>
        <sz val="10"/>
        <color theme="1"/>
        <rFont val="Arial"/>
        <family val="2"/>
      </rPr>
      <t>ME - 51</t>
    </r>
    <r>
      <rPr>
        <sz val="10"/>
        <color theme="1"/>
        <rFont val="Arial"/>
        <family val="2"/>
      </rPr>
      <t xml:space="preserve"> Gestionar la oferta de asignaturas para procesos de cualificacion como herramienta al mundo laboral y/o homologacion e insercion en la educacion profesional.
</t>
    </r>
    <r>
      <rPr>
        <b/>
        <sz val="10"/>
        <color theme="1"/>
        <rFont val="Arial"/>
        <family val="2"/>
      </rPr>
      <t>ME - 52</t>
    </r>
    <r>
      <rPr>
        <sz val="10"/>
        <color theme="1"/>
        <rFont val="Arial"/>
        <family val="2"/>
      </rPr>
      <t xml:space="preserve"> Diseñar y estructurar oferta de articulacion</t>
    </r>
    <r>
      <rPr>
        <b/>
        <sz val="10"/>
        <color theme="1"/>
        <rFont val="Arial"/>
        <family val="2"/>
      </rPr>
      <t/>
    </r>
  </si>
  <si>
    <t>PRESTACION DE SERVICIOS PROFESIONALES PARA APOYAR LAS ACTIVIDADES DE VISIBILIDAD, ESTRATEGIAS DE MERCADEO, ORGANIZACIÓN DE EVENTOS, COMUNICACIONES ESCRITAS Y EN REDES SOCIALES  DEL GITEPS - ETITC CON TODA LA OFERTA DE SERVICIOS.</t>
  </si>
  <si>
    <r>
      <rPr>
        <b/>
        <sz val="10"/>
        <color theme="1"/>
        <rFont val="Arial"/>
        <family val="2"/>
      </rPr>
      <t xml:space="preserve">ME -54 </t>
    </r>
    <r>
      <rPr>
        <sz val="10"/>
        <color theme="1"/>
        <rFont val="Arial"/>
        <family val="2"/>
      </rPr>
      <t>Estructurar programa de oferta y servicios de proyeccion social.</t>
    </r>
    <r>
      <rPr>
        <b/>
        <sz val="10"/>
        <color theme="1"/>
        <rFont val="Arial"/>
        <family val="2"/>
      </rPr>
      <t xml:space="preserve">
ME - 55</t>
    </r>
    <r>
      <rPr>
        <sz val="10"/>
        <color theme="1"/>
        <rFont val="Arial"/>
        <family val="2"/>
      </rPr>
      <t xml:space="preserve"> Realizar convenios que permitan la participacion en convocatorias que den respuesta a Comunidades Vulnerables.</t>
    </r>
  </si>
  <si>
    <t>"PRESTACION DE SERVICIOS PROFESIONALES DE APOYO A LA GESTION DEL GITEPS - AREA DE PROYECCIÓN SOCIAL Y CARACTERIZACION DEL ENTORNO DE LA ESCUELA TECNOLOGICA INSTITUTO TECNICO CENTRAL."</t>
  </si>
  <si>
    <r>
      <rPr>
        <b/>
        <sz val="10"/>
        <color theme="1"/>
        <rFont val="Arial"/>
        <family val="2"/>
      </rPr>
      <t xml:space="preserve">ME - 50 </t>
    </r>
    <r>
      <rPr>
        <sz val="10"/>
        <color theme="1"/>
        <rFont val="Arial"/>
        <family val="2"/>
      </rPr>
      <t xml:space="preserve">Consolidar y fortalecer el vínculo entre empresa, estado - academia ETITC
</t>
    </r>
    <r>
      <rPr>
        <b/>
        <sz val="10"/>
        <color theme="1"/>
        <rFont val="Arial"/>
        <family val="2"/>
      </rPr>
      <t>ME - 51</t>
    </r>
    <r>
      <rPr>
        <sz val="10"/>
        <color theme="1"/>
        <rFont val="Arial"/>
        <family val="2"/>
      </rPr>
      <t xml:space="preserve"> Gestionar la oferta de asignaturas para procesos de cualificacion como herramienta al mundo laboral y/o homologacion e insercion en la educacion profesional.
</t>
    </r>
    <r>
      <rPr>
        <b/>
        <sz val="10"/>
        <color theme="1"/>
        <rFont val="Arial"/>
        <family val="2"/>
      </rPr>
      <t>ME - 52</t>
    </r>
    <r>
      <rPr>
        <sz val="10"/>
        <color theme="1"/>
        <rFont val="Arial"/>
        <family val="2"/>
      </rPr>
      <t xml:space="preserve"> Diseñar y estructurar oferta de articulacion
</t>
    </r>
    <r>
      <rPr>
        <b/>
        <sz val="10"/>
        <color theme="1"/>
        <rFont val="Arial"/>
        <family val="2"/>
      </rPr>
      <t xml:space="preserve">ME - 53 </t>
    </r>
    <r>
      <rPr>
        <sz val="10"/>
        <color theme="1"/>
        <rFont val="Arial"/>
        <family val="2"/>
      </rPr>
      <t>Identificar capacidades Institucionales</t>
    </r>
  </si>
  <si>
    <t xml:space="preserve">"PRESTACIÓN DE SERVICIOS PROFESIONALES ESPECIALIZADO PARA APOYAR LAS ACTIVIDADES DEL CENTRO DE EXTENSIÓN Y PROYECCIÓN SOCIAL EN EL MARCO DE LA GESTION DE VISIBILIDAD INSTITUCIONAL Y OFERTA DE SERVICIOS A NIVEL OFICIAL, PRIVADO DEL CENTRO DE EXTENSION. </t>
  </si>
  <si>
    <t xml:space="preserve">
PE- 20 Centro de Capacitacion Industrial como espacio de cualificacion para la empleabilidad a inmediato plazo 
PE-21- Proyección Social más allá de las fronteras</t>
  </si>
  <si>
    <t>Los social: Un acuerdo para lo fundamental</t>
  </si>
  <si>
    <t>Grupo Interno de Trabajo Extensión y Proyección Social</t>
  </si>
  <si>
    <t>modalidad</t>
  </si>
  <si>
    <t>contartacion</t>
  </si>
  <si>
    <t>Valor total</t>
  </si>
  <si>
    <t>Valor unitario</t>
  </si>
  <si>
    <t>Cantidad</t>
  </si>
  <si>
    <t xml:space="preserve">¿Qué se necesita comprar o contratar para ejecutar el proyecto? </t>
  </si>
  <si>
    <t>Tipo</t>
  </si>
  <si>
    <t>Meta Estratégica</t>
  </si>
  <si>
    <t xml:space="preserve"> Proyecto Estratégico</t>
  </si>
  <si>
    <t>Estrategia</t>
  </si>
  <si>
    <t>ADQUISICIONES BIENES Y SERVICIOS</t>
  </si>
  <si>
    <t>GITEPS</t>
  </si>
  <si>
    <t>56.751.100</t>
  </si>
  <si>
    <t>Resumen Necesidades 2023</t>
  </si>
  <si>
    <t>IPB</t>
  </si>
  <si>
    <t>M</t>
  </si>
  <si>
    <t>Prestación de servicios profesionales como apoyo a la gestión de Control Interno de la Escuela Tecnologica Instituto Tecnico Central.</t>
  </si>
  <si>
    <t>Apoyo profesional a las actividades del proceso de Control Interno relacionadas con la gestión financiera de la Escuela Tecnologica Instituto Tecnico Central.</t>
  </si>
  <si>
    <t>LDP - TINTAL</t>
  </si>
  <si>
    <t>PE-9- Tecnologías de la información y comunicaciones al servicio de la academia y la ciencia</t>
  </si>
  <si>
    <t>ME-18- Incorporar elementos de tecnología a los talleres, laboratorios y aulas para enseñanza remota soncrónica en modalidad de alternancia.</t>
  </si>
  <si>
    <t>Porcentaje de talleres y aulas habilitadas con conexión remota</t>
  </si>
  <si>
    <t>Adquisicion de 6 bases para TV para instalacion monitores y Tv en LDP Tintal.</t>
  </si>
  <si>
    <t>Número de bases adquiridas</t>
  </si>
  <si>
    <t>ME-26- Formular el Plan de administración e intervención de las instalaciones en comodato (localidad Kennedy)</t>
  </si>
  <si>
    <t>Prestar los servicios con autonomía técnica y administrativa como apoyo a la gestión en el área administrativa en LDP Tintal de la de la Escuela Tecnológica Instituto Técnico Central.</t>
  </si>
  <si>
    <t>Número de contratistas de apoyo a la gestión</t>
  </si>
  <si>
    <t>Apoyo a la gestión como prestación de servicios en el área de planta física como ayudante de mantenimiento en LDP Tintal de la ETITC.</t>
  </si>
  <si>
    <t>Porcentaje de implementación de la Política Institucional de internacionalización y Coopreación Nacional e Internacional.</t>
  </si>
  <si>
    <t>Prestar los servicios profesionales con autonomía técnica y administrativa para apoyar administrativamente las actividades de la oficina de relaciones institucionales e internacionales de la escuela tecnológica instituto técnico central.</t>
  </si>
  <si>
    <t>Número de contratistas profesionales</t>
  </si>
  <si>
    <t>DESPACHO DE RECTORÍA</t>
  </si>
  <si>
    <t>Prestacion de servicios de mantenimiento vehiculo eléctrico - Rectoria.</t>
  </si>
  <si>
    <t>Reposocion de vehiculo camioneta 4X2 eléctrico Autonomia aprox de 400 KM</t>
  </si>
  <si>
    <t>Reposocion de vehiculo buseta con capacidad de 30 personas modalidad  hibrida</t>
  </si>
  <si>
    <t>Compra combustible para vehiculos, plantas de emergencia y guadañadoras.</t>
  </si>
  <si>
    <t>Estructura Modular para puesta en marcha de laboratorios (area de parqueaderos)</t>
  </si>
  <si>
    <t>Control y monitorización industrial de un invernadero invertor I07</t>
  </si>
  <si>
    <t>Sistema de automatización en acuaponía para el monitoreo constante de los parámetros ambientales y de calidad de agua; con el fin de mantener un balance entre peces, bacterias y plantas.</t>
  </si>
  <si>
    <t xml:space="preserve">ENCERRAMIENTO PERIMETRAL CON CONCERTINA Y CERCA ELÉCTRICA : Sistema de cerca eléctrica de cuatro hilos con postes eléctricos y sus respectivos soportes para 230 metros. 
Concertina alta seguridad, 45 cm diámetro fabricada en lámina de acero con acabado galvanizado resistente a la corrosión Navaja larga de 4 puntas incisivas (230 metros). instalados.
</t>
  </si>
  <si>
    <t>ENCERRAMIENTO CON PUERTA CORREDIZA ÁREA INGRESO PRINCIPAL TALANQUERAS: Suministro e instalación de cerramiento y puerta corrediza en lamina cold roller, estructura en tubería de aluminio tipo peinazo,  incluye chapas de seguridad, accesorios, pintura en anticorrosivo, soporte móvil, (puerta tipo manual 100% por módulos), e instalación.</t>
  </si>
  <si>
    <t xml:space="preserve">INTERCONEXIÓN Y PUESTA EN MARCHA DE CONECTIVIDAD ÁREAS EDIFICIO AULAS Y LABORATORIOS:  Cableado del área de modulares al rack edificio de aulas y laboratorios. switch 24 puertos administrable 
Organizador de cable utp Pach panel Pach cord de 1 metro
</t>
  </si>
  <si>
    <t>CONSTRUCCIÓN DE UNA CANCHA MULTIUSO. (MICRO – VOLEIBOL): Construcción de Cancha multipropósito de 40X25  m</t>
  </si>
  <si>
    <t>DIVISIONES PARA ADECUAR AULAS Y LABORATORIOS EN ÁREA DE MODULARES (AULA MÚLTIPLE) Y NUEVO EDIFICIO: Adecuar dos aulas  en área de modulares con puerta y dos aulas para laboratorios de redes  en nuevo edificio.</t>
  </si>
  <si>
    <t xml:space="preserve">SISTEMA DE CÁMARAS CON CENTRO DE MONITOREO DE SEGURIDAD PERIMETRAL Y INTERNAS: Instalación y puesta en marcha de 67 cámara de vigilancia perimetrales e internas y centro de monitoreo con instalación incluida.  Nota: Los precios de equipos se calcularon con una tasa de cambio de $4.450 por dólar.
</t>
  </si>
  <si>
    <t>INSTALACIÓN DE UN BICICLETEROS CON CAPACIDAD PARA 100 BICICLETAS : Parqueadero abierto para Bicicletas con techo en policarbonato</t>
  </si>
  <si>
    <t>Instalacion de 4 domos en policarbonato para ala oriental del nuevo edificio.</t>
  </si>
  <si>
    <t>Contratacion mantenimiento ascensores nuevo edificio y modulares y certificacion .</t>
  </si>
  <si>
    <t>Contratación del comisionamiento del sistema de detección y extinción de incendio para LDP Tintal</t>
  </si>
  <si>
    <t>Servicio de mantenimiento preventivo a planta eléctrica nuevo edificio</t>
  </si>
  <si>
    <t>Mantenimiento preventivo a equipos de bombeo nuevo edificio</t>
  </si>
  <si>
    <t>Mantenimiento equipos de sonido, audio y monitor del Auditorio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</si>
</sst>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XDR&quot;* #,##0_-;\-&quot;XDR&quot;* #,##0_-;_-&quot;XDR&quot;* &quot;-&quot;_-;_-@_-"/>
    <numFmt numFmtId="41" formatCode="_-* #,##0_-;\-* #,##0_-;_-*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yyyy\-mm\-dd;@"/>
    <numFmt numFmtId="168" formatCode="_-* #,##0_-;\-* #,##0_-;_-* &quot;-&quot;??_-;_-@_-"/>
    <numFmt numFmtId="169" formatCode="_-&quot;$&quot;\ * #,##0_-;\-&quot;$&quot;\ * #,##0_-;_-&quot;$&quot;\ * &quot;-&quot;??_-;_-@_-"/>
    <numFmt numFmtId="170" formatCode="[$$-240A]\ #,##0"/>
    <numFmt numFmtId="171" formatCode="0.0%"/>
    <numFmt numFmtId="172" formatCode="_-[$$-2C0A]\ * #,##0_-;\-[$$-2C0A]\ * #,##0_-;_-[$$-2C0A]\ * &quot;-&quot;??_-;_-@_-"/>
    <numFmt numFmtId="173" formatCode="_-&quot;$&quot;* #,##0_-;\-&quot;$&quot;* #,##0_-;_-&quot;$&quot;* &quot;-&quot;_-;_-@_-"/>
    <numFmt numFmtId="174" formatCode="dd/mm/yyyy;@"/>
    <numFmt numFmtId="175" formatCode="&quot;$&quot;#,##0_);[Red]\(&quot;$&quot;#,##0\)"/>
    <numFmt numFmtId="176" formatCode="&quot;$&quot;#,##0.00_);[Red]\(&quot;$&quot;#,##0.00\)"/>
    <numFmt numFmtId="177" formatCode="&quot;$&quot;\ #,##0.00;[Red]\-&quot;$&quot;\ #,##0.00"/>
    <numFmt numFmtId="178" formatCode="&quot;$&quot;#,##0;[Red]\-&quot;$&quot;#,##0"/>
    <numFmt numFmtId="179" formatCode="&quot;$&quot;#,##0.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Calibri"/>
      <family val="2"/>
      <scheme val="minor"/>
    </font>
    <font>
      <b/>
      <sz val="14"/>
      <name val="Arial"/>
      <family val="2"/>
    </font>
    <font>
      <u/>
      <sz val="11"/>
      <color theme="10"/>
      <name val="Calibri"/>
      <family val="2"/>
    </font>
    <font>
      <b/>
      <sz val="16"/>
      <color theme="1"/>
      <name val="Arial"/>
      <family val="2"/>
    </font>
    <font>
      <sz val="10"/>
      <name val="Arial"/>
      <family val="2"/>
    </font>
    <font>
      <b/>
      <sz val="14"/>
      <color theme="1"/>
      <name val="Calibri"/>
      <family val="2"/>
      <scheme val="minor"/>
    </font>
    <font>
      <b/>
      <sz val="14"/>
      <color rgb="FF000000"/>
      <name val="Calibri"/>
      <family val="2"/>
      <scheme val="minor"/>
    </font>
    <font>
      <sz val="14"/>
      <name val="Arial"/>
      <family val="2"/>
    </font>
    <font>
      <sz val="12"/>
      <name val="Arial"/>
      <family val="2"/>
    </font>
    <font>
      <sz val="14"/>
      <name val="Calibri"/>
      <family val="2"/>
      <scheme val="minor"/>
    </font>
    <font>
      <sz val="14"/>
      <color theme="1"/>
      <name val="Calibri"/>
      <family val="2"/>
      <scheme val="minor"/>
    </font>
    <font>
      <sz val="12"/>
      <color theme="1"/>
      <name val="Arial Narrow"/>
      <family val="2"/>
    </font>
    <font>
      <sz val="10"/>
      <name val="Arial"/>
      <family val="2"/>
    </font>
    <font>
      <sz val="14"/>
      <color rgb="FF000000"/>
      <name val="Calibri"/>
      <family val="2"/>
      <scheme val="minor"/>
    </font>
    <font>
      <sz val="14"/>
      <color theme="1"/>
      <name val="Arial Narrow"/>
      <family val="2"/>
    </font>
    <font>
      <sz val="1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sz val="16"/>
      <color theme="1"/>
      <name val="Arial Narrow"/>
      <family val="2"/>
    </font>
    <font>
      <sz val="11"/>
      <color rgb="FFFF0000"/>
      <name val="Arial Narrow"/>
      <family val="2"/>
    </font>
    <font>
      <sz val="11"/>
      <color theme="1"/>
      <name val="Arial Narrow"/>
      <family val="2"/>
    </font>
    <font>
      <b/>
      <sz val="12"/>
      <color rgb="FF00B050"/>
      <name val="Calibri Light"/>
      <family val="2"/>
    </font>
    <font>
      <b/>
      <sz val="14"/>
      <color rgb="FF00B050"/>
      <name val="Arial Black"/>
      <family val="2"/>
    </font>
    <font>
      <sz val="14"/>
      <color rgb="FF00B050"/>
      <name val="Calibri Light"/>
      <family val="2"/>
    </font>
    <font>
      <sz val="12"/>
      <color theme="0"/>
      <name val="Calibri Light"/>
      <family val="2"/>
    </font>
    <font>
      <b/>
      <sz val="11"/>
      <color theme="0"/>
      <name val="Arial Narrow"/>
      <family val="2"/>
    </font>
    <font>
      <sz val="12"/>
      <color theme="1"/>
      <name val="Calibri Light"/>
      <family val="2"/>
    </font>
    <font>
      <b/>
      <sz val="10"/>
      <color theme="0"/>
      <name val="Calibri Light"/>
      <family val="2"/>
    </font>
    <font>
      <b/>
      <sz val="10"/>
      <color theme="1"/>
      <name val="Calibri Light"/>
      <family val="2"/>
    </font>
    <font>
      <b/>
      <sz val="10"/>
      <color theme="1"/>
      <name val="Calibri"/>
      <family val="2"/>
      <scheme val="minor"/>
    </font>
    <font>
      <sz val="12"/>
      <name val="Calibri Light"/>
      <family val="2"/>
    </font>
    <font>
      <sz val="12"/>
      <color theme="1"/>
      <name val="Calibri Light"/>
      <family val="2"/>
      <scheme val="major"/>
    </font>
    <font>
      <b/>
      <sz val="12"/>
      <color theme="1"/>
      <name val="Calibri Light"/>
      <family val="2"/>
    </font>
    <font>
      <b/>
      <sz val="12"/>
      <color rgb="FFFF0000"/>
      <name val="Calibri Light"/>
      <family val="2"/>
      <scheme val="major"/>
    </font>
    <font>
      <b/>
      <sz val="12"/>
      <color rgb="FF00B050"/>
      <name val="Calibri Light"/>
      <family val="2"/>
      <scheme val="major"/>
    </font>
    <font>
      <b/>
      <sz val="11"/>
      <color theme="1"/>
      <name val="Calibri Light"/>
      <family val="2"/>
      <scheme val="major"/>
    </font>
    <font>
      <b/>
      <sz val="12"/>
      <color theme="1"/>
      <name val="Calibri Light"/>
      <family val="2"/>
      <scheme val="major"/>
    </font>
    <font>
      <b/>
      <sz val="12"/>
      <color theme="0"/>
      <name val="Calibri Light"/>
      <family val="2"/>
    </font>
    <font>
      <b/>
      <sz val="12"/>
      <color theme="0"/>
      <name val="Calibri Light"/>
      <family val="2"/>
      <scheme val="major"/>
    </font>
    <font>
      <b/>
      <sz val="10"/>
      <color theme="0"/>
      <name val="Calibri Light"/>
      <family val="2"/>
      <scheme val="major"/>
    </font>
    <font>
      <sz val="10"/>
      <color theme="1"/>
      <name val="Calibri Light"/>
      <family val="2"/>
      <scheme val="major"/>
    </font>
    <font>
      <sz val="12"/>
      <name val="Calibri Light"/>
      <family val="2"/>
      <scheme val="major"/>
    </font>
    <font>
      <b/>
      <sz val="12"/>
      <name val="Calibri Light"/>
      <family val="2"/>
      <scheme val="major"/>
    </font>
    <font>
      <i/>
      <sz val="12"/>
      <color rgb="FFFF0000"/>
      <name val="Calibri Light"/>
      <family val="2"/>
      <scheme val="major"/>
    </font>
    <font>
      <sz val="12"/>
      <color rgb="FFFF0000"/>
      <name val="Calibri Light"/>
      <family val="2"/>
      <scheme val="major"/>
    </font>
    <font>
      <strike/>
      <sz val="12"/>
      <name val="Calibri Light"/>
      <family val="2"/>
      <scheme val="major"/>
    </font>
    <font>
      <sz val="12"/>
      <color rgb="FF000000"/>
      <name val="Calibri Light"/>
      <family val="2"/>
      <scheme val="major"/>
    </font>
    <font>
      <b/>
      <sz val="11"/>
      <color rgb="FFFF0000"/>
      <name val="Arial Narrow"/>
      <family val="2"/>
    </font>
    <font>
      <b/>
      <sz val="12"/>
      <color rgb="FF00B050"/>
      <name val="Arial Narrow"/>
      <family val="2"/>
    </font>
    <font>
      <b/>
      <sz val="14"/>
      <color theme="1"/>
      <name val="Arial Narrow"/>
      <family val="2"/>
    </font>
    <font>
      <b/>
      <sz val="16"/>
      <color theme="0"/>
      <name val="Arial Narrow"/>
      <family val="2"/>
    </font>
    <font>
      <b/>
      <sz val="9"/>
      <color theme="0"/>
      <name val="Arial Narrow"/>
      <family val="2"/>
    </font>
    <font>
      <b/>
      <sz val="9"/>
      <color theme="0"/>
      <name val="Calibri"/>
      <family val="2"/>
      <scheme val="minor"/>
    </font>
    <font>
      <b/>
      <sz val="9"/>
      <color theme="1"/>
      <name val="Calibri"/>
      <family val="2"/>
      <scheme val="minor"/>
    </font>
    <font>
      <sz val="14"/>
      <color rgb="FFFF0000"/>
      <name val="Calibri"/>
      <family val="2"/>
      <scheme val="minor"/>
    </font>
    <font>
      <b/>
      <sz val="14"/>
      <color theme="0"/>
      <name val="Calibri"/>
      <family val="2"/>
      <scheme val="minor"/>
    </font>
    <font>
      <b/>
      <sz val="14"/>
      <color indexed="9"/>
      <name val="Calibri"/>
      <family val="2"/>
      <scheme val="minor"/>
    </font>
    <font>
      <b/>
      <sz val="14"/>
      <color rgb="FF00B050"/>
      <name val="Calibri"/>
      <family val="2"/>
      <scheme val="minor"/>
    </font>
    <font>
      <b/>
      <sz val="14"/>
      <color theme="7"/>
      <name val="Calibri"/>
      <family val="2"/>
      <scheme val="minor"/>
    </font>
    <font>
      <b/>
      <sz val="14"/>
      <color theme="5"/>
      <name val="Calibri"/>
      <family val="2"/>
      <scheme val="minor"/>
    </font>
    <font>
      <b/>
      <sz val="14"/>
      <color theme="4"/>
      <name val="Calibri"/>
      <family val="2"/>
      <scheme val="minor"/>
    </font>
    <font>
      <b/>
      <sz val="16"/>
      <color indexed="9"/>
      <name val="Calibri"/>
      <family val="2"/>
      <scheme val="minor"/>
    </font>
    <font>
      <b/>
      <sz val="36"/>
      <color indexed="9"/>
      <name val="Calibri"/>
      <family val="2"/>
      <scheme val="minor"/>
    </font>
    <font>
      <sz val="36"/>
      <name val="Calibri"/>
      <family val="2"/>
      <scheme val="minor"/>
    </font>
    <font>
      <b/>
      <sz val="36"/>
      <color rgb="FF00B050"/>
      <name val="Calibri"/>
      <family val="2"/>
      <scheme val="minor"/>
    </font>
    <font>
      <sz val="36"/>
      <name val="Arial"/>
      <family val="2"/>
    </font>
    <font>
      <sz val="11"/>
      <color rgb="FF00B050"/>
      <name val="Arial Narrow"/>
      <family val="2"/>
    </font>
    <font>
      <b/>
      <sz val="11"/>
      <name val="Calibri Light"/>
      <family val="2"/>
      <scheme val="major"/>
    </font>
    <font>
      <b/>
      <sz val="11"/>
      <color rgb="FF00B050"/>
      <name val="Calibri Light"/>
      <family val="2"/>
      <scheme val="major"/>
    </font>
    <font>
      <sz val="14"/>
      <color indexed="9"/>
      <name val="Calibri"/>
      <family val="2"/>
      <scheme val="minor"/>
    </font>
    <font>
      <b/>
      <sz val="14"/>
      <color rgb="FFFF0000"/>
      <name val="Calibri"/>
      <family val="2"/>
      <scheme val="minor"/>
    </font>
    <font>
      <b/>
      <sz val="11"/>
      <color theme="1"/>
      <name val="Arial"/>
      <family val="2"/>
    </font>
    <font>
      <sz val="11"/>
      <name val="Arial"/>
      <family val="2"/>
    </font>
    <font>
      <b/>
      <sz val="10"/>
      <color theme="1"/>
      <name val="Arial"/>
      <family val="2"/>
    </font>
    <font>
      <sz val="12"/>
      <name val="Arial Narrow"/>
      <family val="2"/>
    </font>
    <font>
      <sz val="12"/>
      <color rgb="FFFF0000"/>
      <name val="Arial Narrow"/>
      <family val="2"/>
    </font>
    <font>
      <b/>
      <sz val="12"/>
      <color theme="1"/>
      <name val="Arial Narrow"/>
      <family val="2"/>
    </font>
    <font>
      <b/>
      <sz val="12"/>
      <name val="Arial Narrow"/>
      <family val="2"/>
    </font>
    <font>
      <i/>
      <sz val="12"/>
      <color rgb="FFFF0000"/>
      <name val="Arial Narrow"/>
      <family val="2"/>
    </font>
    <font>
      <b/>
      <sz val="10"/>
      <name val="Arial"/>
      <family val="2"/>
    </font>
    <font>
      <sz val="10"/>
      <color theme="1"/>
      <name val="Arial"/>
      <family val="2"/>
    </font>
    <font>
      <b/>
      <sz val="10"/>
      <name val="Calibri"/>
      <family val="2"/>
      <scheme val="minor"/>
    </font>
    <font>
      <sz val="10"/>
      <name val="Calibri"/>
      <family val="2"/>
      <scheme val="minor"/>
    </font>
    <font>
      <sz val="10"/>
      <color theme="1"/>
      <name val="Calibri"/>
      <family val="2"/>
      <scheme val="minor"/>
    </font>
    <font>
      <sz val="10"/>
      <name val="Calibri"/>
      <family val="2"/>
    </font>
    <font>
      <sz val="10"/>
      <color rgb="FF000000"/>
      <name val="Calibri"/>
      <family val="2"/>
      <scheme val="minor"/>
    </font>
    <font>
      <u/>
      <sz val="10"/>
      <name val="Calibri"/>
      <family val="2"/>
      <scheme val="minor"/>
    </font>
    <font>
      <sz val="10"/>
      <color rgb="FF000000"/>
      <name val="Calibri"/>
      <family val="2"/>
    </font>
    <font>
      <sz val="10"/>
      <name val="Arial Narrow"/>
      <family val="2"/>
    </font>
    <font>
      <sz val="10"/>
      <color rgb="FFFF0000"/>
      <name val="Calibri"/>
      <family val="2"/>
      <scheme val="minor"/>
    </font>
    <font>
      <b/>
      <sz val="10"/>
      <color indexed="9"/>
      <name val="Calibri"/>
      <family val="2"/>
      <scheme val="minor"/>
    </font>
    <font>
      <b/>
      <sz val="12"/>
      <color indexed="9"/>
      <name val="Calibri"/>
      <family val="2"/>
      <scheme val="minor"/>
    </font>
    <font>
      <b/>
      <sz val="12"/>
      <color indexed="9"/>
      <name val="Arial"/>
      <family val="2"/>
    </font>
    <font>
      <sz val="11"/>
      <color theme="1"/>
      <name val="Arial"/>
      <family val="2"/>
    </font>
    <font>
      <sz val="11"/>
      <color rgb="FF000000"/>
      <name val="Arial"/>
      <family val="2"/>
    </font>
    <font>
      <b/>
      <sz val="11"/>
      <name val="Arial"/>
      <family val="2"/>
    </font>
    <font>
      <b/>
      <sz val="14"/>
      <color theme="0"/>
      <name val="Arial"/>
      <family val="2"/>
    </font>
    <font>
      <sz val="9"/>
      <color rgb="FF000000"/>
      <name val="Arial"/>
      <family val="2"/>
    </font>
    <font>
      <sz val="9"/>
      <name val="Calibri"/>
      <family val="2"/>
      <scheme val="minor"/>
    </font>
    <font>
      <b/>
      <sz val="9"/>
      <name val="Calibri"/>
      <family val="2"/>
      <scheme val="minor"/>
    </font>
    <font>
      <b/>
      <sz val="10"/>
      <color theme="0"/>
      <name val="Arial"/>
      <family val="2"/>
    </font>
    <font>
      <sz val="10"/>
      <color rgb="FF000000"/>
      <name val="Arial"/>
      <family val="2"/>
    </font>
    <font>
      <sz val="10"/>
      <color theme="1"/>
      <name val="Verdana"/>
      <family val="2"/>
    </font>
  </fonts>
  <fills count="46">
    <fill>
      <patternFill patternType="none"/>
    </fill>
    <fill>
      <patternFill patternType="gray125"/>
    </fill>
    <fill>
      <patternFill patternType="solid">
        <fgColor indexed="1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rgb="FF07731C"/>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rgb="FF000000"/>
      </patternFill>
    </fill>
    <fill>
      <patternFill patternType="solid">
        <fgColor rgb="FFFF0000"/>
        <bgColor indexed="64"/>
      </patternFill>
    </fill>
    <fill>
      <patternFill patternType="solid">
        <fgColor rgb="FF99FF99"/>
        <bgColor indexed="64"/>
      </patternFill>
    </fill>
    <fill>
      <patternFill patternType="solid">
        <fgColor rgb="FF00B0F0"/>
        <bgColor indexed="64"/>
      </patternFill>
    </fill>
    <fill>
      <patternFill patternType="solid">
        <fgColor theme="9"/>
        <bgColor indexed="64"/>
      </patternFill>
    </fill>
    <fill>
      <patternFill patternType="solid">
        <fgColor rgb="FFFFFF00"/>
        <bgColor indexed="64"/>
      </patternFill>
    </fill>
    <fill>
      <patternFill patternType="solid">
        <fgColor rgb="FF00FF00"/>
        <bgColor indexed="64"/>
      </patternFill>
    </fill>
    <fill>
      <patternFill patternType="solid">
        <fgColor rgb="FF00CC99"/>
        <bgColor indexed="64"/>
      </patternFill>
    </fill>
    <fill>
      <patternFill patternType="solid">
        <fgColor theme="7"/>
        <bgColor indexed="64"/>
      </patternFill>
    </fill>
    <fill>
      <patternFill patternType="solid">
        <fgColor theme="9" tint="0.79998168889431442"/>
        <bgColor indexed="64"/>
      </patternFill>
    </fill>
    <fill>
      <patternFill patternType="solid">
        <fgColor theme="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medium">
        <color rgb="FF92D050"/>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theme="9"/>
      </left>
      <right/>
      <top/>
      <bottom style="medium">
        <color theme="9"/>
      </bottom>
      <diagonal/>
    </border>
    <border>
      <left/>
      <right/>
      <top/>
      <bottom style="medium">
        <color theme="9"/>
      </bottom>
      <diagonal/>
    </border>
    <border>
      <left style="thin">
        <color indexed="64"/>
      </left>
      <right/>
      <top style="medium">
        <color theme="9"/>
      </top>
      <bottom style="thin">
        <color indexed="64"/>
      </bottom>
      <diagonal/>
    </border>
    <border>
      <left/>
      <right/>
      <top style="medium">
        <color theme="9"/>
      </top>
      <bottom style="thin">
        <color indexed="64"/>
      </bottom>
      <diagonal/>
    </border>
    <border>
      <left/>
      <right style="thin">
        <color indexed="64"/>
      </right>
      <top style="medium">
        <color theme="9"/>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theme="9" tint="0.39997558519241921"/>
      </top>
      <bottom style="medium">
        <color theme="9" tint="0.39997558519241921"/>
      </bottom>
      <diagonal/>
    </border>
    <border>
      <left/>
      <right style="medium">
        <color theme="9" tint="0.39997558519241921"/>
      </right>
      <top style="medium">
        <color theme="9" tint="0.39997558519241921"/>
      </top>
      <bottom style="medium">
        <color theme="9" tint="0.39997558519241921"/>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theme="1"/>
      </bottom>
      <diagonal/>
    </border>
    <border>
      <left style="medium">
        <color theme="9"/>
      </left>
      <right/>
      <top/>
      <bottom style="medium">
        <color rgb="FF92D050"/>
      </bottom>
      <diagonal/>
    </border>
    <border>
      <left/>
      <right/>
      <top/>
      <bottom style="medium">
        <color rgb="FF92D050"/>
      </bottom>
      <diagonal/>
    </border>
    <border>
      <left style="medium">
        <color theme="9"/>
      </left>
      <right/>
      <top style="medium">
        <color rgb="FF92D050"/>
      </top>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thin">
        <color theme="1"/>
      </bottom>
      <diagonal/>
    </border>
    <border>
      <left style="medium">
        <color indexed="64"/>
      </left>
      <right/>
      <top style="medium">
        <color theme="9"/>
      </top>
      <bottom style="thin">
        <color indexed="64"/>
      </bottom>
      <diagonal/>
    </border>
    <border>
      <left style="medium">
        <color theme="9"/>
      </left>
      <right/>
      <top/>
      <bottom/>
      <diagonal/>
    </border>
    <border>
      <left/>
      <right style="medium">
        <color theme="9"/>
      </right>
      <top/>
      <bottom/>
      <diagonal/>
    </border>
    <border>
      <left style="thin">
        <color theme="9"/>
      </left>
      <right style="medium">
        <color theme="9"/>
      </right>
      <top/>
      <bottom/>
      <diagonal/>
    </border>
    <border>
      <left style="thin">
        <color rgb="FF92D050"/>
      </left>
      <right style="thin">
        <color rgb="FF92D050"/>
      </right>
      <top style="thin">
        <color rgb="FF92D050"/>
      </top>
      <bottom style="thin">
        <color rgb="FF92D050"/>
      </bottom>
      <diagonal/>
    </border>
    <border>
      <left style="thin">
        <color theme="1"/>
      </left>
      <right style="thin">
        <color theme="1"/>
      </right>
      <top style="thin">
        <color theme="1"/>
      </top>
      <bottom/>
      <diagonal/>
    </border>
    <border>
      <left style="thin">
        <color rgb="FF92D050"/>
      </left>
      <right style="thin">
        <color rgb="FF92D05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style="thick">
        <color auto="1"/>
      </top>
      <bottom/>
      <diagonal/>
    </border>
    <border>
      <left/>
      <right style="medium">
        <color indexed="64"/>
      </right>
      <top/>
      <bottom style="thick">
        <color auto="1"/>
      </bottom>
      <diagonal/>
    </border>
    <border>
      <left/>
      <right style="thick">
        <color auto="1"/>
      </right>
      <top style="medium">
        <color indexed="64"/>
      </top>
      <bottom/>
      <diagonal/>
    </border>
    <border>
      <left/>
      <right style="thick">
        <color auto="1"/>
      </right>
      <top/>
      <bottom style="medium">
        <color indexed="64"/>
      </bottom>
      <diagonal/>
    </border>
    <border>
      <left style="medium">
        <color indexed="64"/>
      </left>
      <right style="thick">
        <color auto="1"/>
      </right>
      <top style="thick">
        <color auto="1"/>
      </top>
      <bottom/>
      <diagonal/>
    </border>
    <border>
      <left style="medium">
        <color indexed="64"/>
      </left>
      <right style="thick">
        <color auto="1"/>
      </right>
      <top/>
      <bottom style="thick">
        <color auto="1"/>
      </bottom>
      <diagonal/>
    </border>
    <border>
      <left style="thin">
        <color indexed="64"/>
      </left>
      <right/>
      <top style="medium">
        <color theme="9"/>
      </top>
      <bottom style="medium">
        <color theme="9"/>
      </bottom>
      <diagonal/>
    </border>
    <border>
      <left/>
      <right style="thin">
        <color indexed="64"/>
      </right>
      <top style="medium">
        <color theme="9"/>
      </top>
      <bottom style="medium">
        <color theme="9"/>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ck">
        <color auto="1"/>
      </left>
      <right style="thick">
        <color auto="1"/>
      </right>
      <top style="thick">
        <color auto="1"/>
      </top>
      <bottom style="thick">
        <color auto="1"/>
      </bottom>
      <diagonal/>
    </border>
  </borders>
  <cellStyleXfs count="23">
    <xf numFmtId="0" fontId="0" fillId="0" borderId="0" applyFill="0"/>
    <xf numFmtId="9" fontId="5" fillId="0" borderId="0" applyFont="0" applyFill="0" applyBorder="0" applyAlignment="0" applyProtection="0"/>
    <xf numFmtId="165"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4"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43" fontId="2" fillId="0" borderId="0" applyFont="0" applyFill="0" applyBorder="0" applyAlignment="0" applyProtection="0"/>
    <xf numFmtId="43" fontId="4" fillId="0" borderId="0" applyFont="0" applyFill="0" applyBorder="0" applyAlignment="0" applyProtection="0"/>
    <xf numFmtId="166" fontId="10" fillId="0" borderId="0" applyFont="0" applyFill="0" applyBorder="0" applyAlignment="0" applyProtection="0"/>
    <xf numFmtId="42" fontId="18" fillId="0" borderId="0" applyFont="0" applyFill="0" applyBorder="0" applyAlignment="0" applyProtection="0"/>
    <xf numFmtId="0" fontId="4" fillId="0" borderId="0"/>
    <xf numFmtId="43" fontId="22" fillId="0" borderId="0" applyFont="0" applyFill="0" applyBorder="0" applyAlignment="0" applyProtection="0"/>
    <xf numFmtId="41" fontId="22" fillId="0" borderId="0" applyFont="0" applyFill="0" applyBorder="0" applyAlignment="0" applyProtection="0"/>
    <xf numFmtId="0" fontId="4" fillId="0" borderId="0" applyFill="0"/>
    <xf numFmtId="166" fontId="4" fillId="0" borderId="0" applyFont="0" applyFill="0" applyBorder="0" applyAlignment="0" applyProtection="0"/>
    <xf numFmtId="41" fontId="4"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49" fontId="110" fillId="0" borderId="0" applyFill="0" applyBorder="0" applyProtection="0">
      <alignment horizontal="left" vertical="center"/>
    </xf>
  </cellStyleXfs>
  <cellXfs count="1170">
    <xf numFmtId="0" fontId="0" fillId="0" borderId="0" xfId="0" applyFill="1"/>
    <xf numFmtId="0" fontId="6" fillId="7" borderId="1" xfId="0" applyFont="1" applyFill="1" applyBorder="1" applyAlignment="1">
      <alignment horizontal="left" vertical="top" wrapText="1"/>
    </xf>
    <xf numFmtId="0" fontId="15" fillId="7" borderId="1" xfId="0" applyFont="1" applyFill="1" applyBorder="1" applyAlignment="1">
      <alignment horizontal="left" vertical="top" wrapText="1"/>
    </xf>
    <xf numFmtId="0" fontId="16" fillId="16"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5" fillId="10" borderId="1" xfId="0" applyFont="1" applyFill="1" applyBorder="1" applyAlignment="1">
      <alignment horizontal="left" vertical="top" wrapText="1"/>
    </xf>
    <xf numFmtId="0" fontId="15" fillId="10" borderId="1" xfId="0" quotePrefix="1" applyFont="1" applyFill="1" applyBorder="1" applyAlignment="1">
      <alignment horizontal="left" vertical="top" wrapText="1"/>
    </xf>
    <xf numFmtId="0" fontId="4" fillId="0" borderId="0" xfId="0" applyFont="1" applyFill="1" applyAlignment="1">
      <alignment horizontal="left" vertical="top" wrapText="1"/>
    </xf>
    <xf numFmtId="0" fontId="13" fillId="0" borderId="0" xfId="0" applyFont="1" applyFill="1" applyAlignment="1">
      <alignment horizontal="left" vertical="top" wrapText="1"/>
    </xf>
    <xf numFmtId="0" fontId="15" fillId="14" borderId="1" xfId="0" applyFont="1" applyFill="1" applyBorder="1" applyAlignment="1">
      <alignment horizontal="left" vertical="top" wrapText="1"/>
    </xf>
    <xf numFmtId="0" fontId="15" fillId="26" borderId="1" xfId="0" applyFont="1" applyFill="1" applyBorder="1" applyAlignment="1">
      <alignment horizontal="left" vertical="top" wrapText="1"/>
    </xf>
    <xf numFmtId="0" fontId="15" fillId="24"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15" fillId="28" borderId="1" xfId="0" applyFont="1" applyFill="1" applyBorder="1" applyAlignment="1">
      <alignment horizontal="left" vertical="top" wrapText="1"/>
    </xf>
    <xf numFmtId="0" fontId="26" fillId="0" borderId="0" xfId="0" applyFont="1" applyAlignment="1">
      <alignment horizontal="center" vertical="center" wrapText="1"/>
    </xf>
    <xf numFmtId="0" fontId="0" fillId="0" borderId="0" xfId="0" applyAlignment="1">
      <alignment vertical="top"/>
    </xf>
    <xf numFmtId="0" fontId="0" fillId="0" borderId="0" xfId="0"/>
    <xf numFmtId="0" fontId="0" fillId="0" borderId="0" xfId="0" applyAlignment="1">
      <alignment horizontal="center" vertical="center"/>
    </xf>
    <xf numFmtId="0" fontId="28" fillId="0" borderId="0" xfId="0" applyFont="1"/>
    <xf numFmtId="0" fontId="0" fillId="0" borderId="0" xfId="0" applyAlignment="1">
      <alignment vertical="center"/>
    </xf>
    <xf numFmtId="0" fontId="27" fillId="0" borderId="0" xfId="0" applyFont="1"/>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16" fillId="0" borderId="29" xfId="0" applyFont="1" applyBorder="1" applyAlignment="1">
      <alignment vertical="center"/>
    </xf>
    <xf numFmtId="0" fontId="16" fillId="0" borderId="30" xfId="0" applyFont="1" applyBorder="1" applyAlignment="1">
      <alignment vertical="center"/>
    </xf>
    <xf numFmtId="0" fontId="31" fillId="0" borderId="0" xfId="0" applyFont="1" applyAlignment="1">
      <alignment vertical="center" wrapText="1"/>
    </xf>
    <xf numFmtId="0" fontId="20" fillId="0" borderId="0" xfId="0" applyFont="1"/>
    <xf numFmtId="0" fontId="16" fillId="0" borderId="0" xfId="0" applyFont="1" applyAlignment="1">
      <alignment vertical="center"/>
    </xf>
    <xf numFmtId="0" fontId="32" fillId="31" borderId="0" xfId="0" applyFont="1" applyFill="1" applyAlignment="1">
      <alignment horizontal="center" vertical="center" wrapText="1"/>
    </xf>
    <xf numFmtId="0" fontId="34" fillId="0" borderId="0" xfId="0" applyFont="1"/>
    <xf numFmtId="0" fontId="35" fillId="31" borderId="1" xfId="0" applyFont="1" applyFill="1" applyBorder="1" applyAlignment="1">
      <alignment horizontal="center" vertical="center" wrapText="1"/>
    </xf>
    <xf numFmtId="0" fontId="35" fillId="31" borderId="2" xfId="0" applyFont="1" applyFill="1" applyBorder="1" applyAlignment="1">
      <alignment horizontal="center" vertical="center" wrapText="1"/>
    </xf>
    <xf numFmtId="0" fontId="35" fillId="31" borderId="21" xfId="0" applyFont="1" applyFill="1" applyBorder="1" applyAlignment="1">
      <alignment horizontal="center" vertical="center" wrapText="1"/>
    </xf>
    <xf numFmtId="0" fontId="35" fillId="31" borderId="34" xfId="0" applyFont="1" applyFill="1" applyBorder="1" applyAlignment="1">
      <alignment horizontal="center" vertical="center" wrapText="1"/>
    </xf>
    <xf numFmtId="0" fontId="36" fillId="0" borderId="0" xfId="0" applyFont="1" applyAlignment="1">
      <alignment vertical="center" wrapText="1"/>
    </xf>
    <xf numFmtId="0" fontId="37" fillId="0" borderId="0" xfId="0" applyFont="1" applyAlignment="1">
      <alignment horizontal="center" vertical="center" wrapText="1"/>
    </xf>
    <xf numFmtId="0" fontId="34" fillId="24" borderId="3" xfId="0" applyFont="1" applyFill="1" applyBorder="1" applyAlignment="1">
      <alignment horizontal="center" vertical="center" wrapText="1"/>
    </xf>
    <xf numFmtId="0" fontId="34" fillId="24" borderId="1" xfId="0" applyFont="1" applyFill="1" applyBorder="1" applyAlignment="1">
      <alignment horizontal="center" vertical="center" wrapText="1"/>
    </xf>
    <xf numFmtId="0" fontId="34" fillId="24" borderId="16" xfId="0" applyFont="1" applyFill="1" applyBorder="1" applyAlignment="1">
      <alignment horizontal="center" vertical="center" wrapText="1"/>
    </xf>
    <xf numFmtId="0" fontId="34" fillId="24" borderId="34" xfId="0" applyFont="1" applyFill="1" applyBorder="1" applyAlignment="1">
      <alignment horizontal="left" vertical="top" wrapText="1"/>
    </xf>
    <xf numFmtId="0" fontId="34" fillId="32" borderId="1" xfId="0" applyFont="1" applyFill="1" applyBorder="1" applyAlignment="1">
      <alignment horizontal="left" vertical="top" wrapText="1"/>
    </xf>
    <xf numFmtId="0" fontId="34" fillId="24" borderId="1" xfId="0" applyFont="1" applyFill="1" applyBorder="1" applyAlignment="1">
      <alignment horizontal="left" vertical="top" wrapText="1"/>
    </xf>
    <xf numFmtId="9" fontId="34" fillId="24" borderId="1" xfId="0" applyNumberFormat="1" applyFont="1" applyFill="1" applyBorder="1" applyAlignment="1">
      <alignment horizontal="left" vertical="top" wrapText="1"/>
    </xf>
    <xf numFmtId="0" fontId="34" fillId="24" borderId="16" xfId="0" applyFont="1" applyFill="1" applyBorder="1" applyAlignment="1">
      <alignment horizontal="left" vertical="top" wrapText="1"/>
    </xf>
    <xf numFmtId="0" fontId="34" fillId="24" borderId="15" xfId="0" applyFont="1" applyFill="1" applyBorder="1" applyAlignment="1">
      <alignment horizontal="left" vertical="top" wrapText="1"/>
    </xf>
    <xf numFmtId="0" fontId="34" fillId="24" borderId="0" xfId="0" applyFont="1" applyFill="1" applyAlignment="1">
      <alignment horizontal="left" vertical="center" wrapText="1"/>
    </xf>
    <xf numFmtId="0" fontId="0" fillId="24" borderId="0" xfId="0" applyFill="1" applyAlignment="1">
      <alignment vertical="center"/>
    </xf>
    <xf numFmtId="0" fontId="34" fillId="0" borderId="1"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34" xfId="0" applyFont="1" applyBorder="1" applyAlignment="1">
      <alignment horizontal="left" vertical="top" wrapText="1"/>
    </xf>
    <xf numFmtId="0" fontId="38" fillId="0" borderId="1" xfId="0" applyFont="1" applyBorder="1" applyAlignment="1">
      <alignment horizontal="left" vertical="top" wrapText="1"/>
    </xf>
    <xf numFmtId="9" fontId="38" fillId="0" borderId="1" xfId="0" applyNumberFormat="1" applyFont="1" applyBorder="1" applyAlignment="1">
      <alignment horizontal="left" vertical="top" wrapText="1"/>
    </xf>
    <xf numFmtId="0" fontId="34" fillId="0" borderId="1" xfId="0" applyFont="1" applyBorder="1" applyAlignment="1">
      <alignment horizontal="left" vertical="top" wrapText="1"/>
    </xf>
    <xf numFmtId="0" fontId="34" fillId="32" borderId="16" xfId="0" applyFont="1" applyFill="1" applyBorder="1" applyAlignment="1">
      <alignment horizontal="left" vertical="top" wrapText="1"/>
    </xf>
    <xf numFmtId="0" fontId="34" fillId="32" borderId="15" xfId="0" applyFont="1" applyFill="1" applyBorder="1" applyAlignment="1">
      <alignment horizontal="left" vertical="top" wrapText="1"/>
    </xf>
    <xf numFmtId="0" fontId="34" fillId="32" borderId="0" xfId="0" applyFont="1" applyFill="1" applyAlignment="1">
      <alignment horizontal="left" vertical="center" wrapText="1"/>
    </xf>
    <xf numFmtId="9" fontId="34" fillId="0" borderId="1" xfId="0" applyNumberFormat="1" applyFont="1" applyBorder="1" applyAlignment="1">
      <alignment horizontal="left" vertical="top" wrapText="1"/>
    </xf>
    <xf numFmtId="0" fontId="34" fillId="0" borderId="16" xfId="0" applyFont="1" applyBorder="1" applyAlignment="1">
      <alignment horizontal="left" vertical="top" wrapText="1"/>
    </xf>
    <xf numFmtId="0" fontId="34" fillId="0" borderId="15" xfId="0" applyFont="1" applyBorder="1" applyAlignment="1">
      <alignment horizontal="left" vertical="top" wrapText="1"/>
    </xf>
    <xf numFmtId="0" fontId="34" fillId="0" borderId="0" xfId="0" applyFont="1" applyAlignment="1">
      <alignment horizontal="left" vertical="center" wrapText="1"/>
    </xf>
    <xf numFmtId="0" fontId="34" fillId="0" borderId="2" xfId="0" applyFont="1" applyBorder="1" applyAlignment="1">
      <alignment horizontal="center" vertical="center" wrapText="1"/>
    </xf>
    <xf numFmtId="0" fontId="34" fillId="0" borderId="0" xfId="0" applyFont="1" applyAlignment="1">
      <alignment vertical="center" wrapText="1"/>
    </xf>
    <xf numFmtId="0" fontId="38" fillId="24" borderId="1" xfId="0" applyFont="1" applyFill="1" applyBorder="1" applyAlignment="1">
      <alignment horizontal="left" vertical="top" wrapText="1"/>
    </xf>
    <xf numFmtId="10" fontId="34" fillId="24" borderId="1" xfId="0" applyNumberFormat="1" applyFont="1" applyFill="1" applyBorder="1" applyAlignment="1">
      <alignment horizontal="left" vertical="top" wrapText="1"/>
    </xf>
    <xf numFmtId="10" fontId="34" fillId="32" borderId="1" xfId="0" applyNumberFormat="1" applyFont="1" applyFill="1" applyBorder="1" applyAlignment="1">
      <alignment horizontal="left" vertical="top" wrapText="1"/>
    </xf>
    <xf numFmtId="0" fontId="34" fillId="32" borderId="0" xfId="0" applyFont="1" applyFill="1" applyAlignment="1">
      <alignment vertical="center" wrapText="1"/>
    </xf>
    <xf numFmtId="0" fontId="0" fillId="25" borderId="0" xfId="0" applyFill="1" applyAlignment="1">
      <alignment vertical="center"/>
    </xf>
    <xf numFmtId="0" fontId="34" fillId="24" borderId="0" xfId="0" applyFont="1" applyFill="1" applyAlignment="1">
      <alignment vertical="center" wrapText="1"/>
    </xf>
    <xf numFmtId="9" fontId="38" fillId="24" borderId="1" xfId="0" applyNumberFormat="1" applyFont="1" applyFill="1" applyBorder="1" applyAlignment="1">
      <alignment horizontal="left" vertical="top" wrapText="1"/>
    </xf>
    <xf numFmtId="0" fontId="38" fillId="32" borderId="16" xfId="0" applyFont="1" applyFill="1" applyBorder="1" applyAlignment="1">
      <alignment horizontal="left" vertical="top" wrapText="1"/>
    </xf>
    <xf numFmtId="9" fontId="38" fillId="32" borderId="1" xfId="0" applyNumberFormat="1" applyFont="1" applyFill="1" applyBorder="1" applyAlignment="1">
      <alignment horizontal="left" vertical="top" wrapText="1"/>
    </xf>
    <xf numFmtId="0" fontId="38" fillId="32" borderId="15" xfId="0" applyFont="1" applyFill="1" applyBorder="1" applyAlignment="1">
      <alignment horizontal="left" vertical="top" wrapText="1"/>
    </xf>
    <xf numFmtId="0" fontId="38" fillId="32" borderId="0" xfId="0" applyFont="1" applyFill="1" applyAlignment="1">
      <alignment vertical="center" wrapText="1"/>
    </xf>
    <xf numFmtId="0" fontId="38" fillId="24" borderId="16" xfId="0" applyFont="1" applyFill="1" applyBorder="1" applyAlignment="1">
      <alignment horizontal="left" vertical="top" wrapText="1"/>
    </xf>
    <xf numFmtId="0" fontId="38" fillId="24" borderId="15" xfId="0" applyFont="1" applyFill="1" applyBorder="1" applyAlignment="1">
      <alignment horizontal="left" vertical="top" wrapText="1"/>
    </xf>
    <xf numFmtId="0" fontId="38" fillId="24" borderId="0" xfId="0" applyFont="1" applyFill="1" applyAlignment="1">
      <alignment vertical="center" wrapText="1"/>
    </xf>
    <xf numFmtId="0" fontId="17" fillId="24" borderId="0" xfId="0" applyFont="1" applyFill="1" applyAlignment="1">
      <alignment vertical="center" wrapText="1"/>
    </xf>
    <xf numFmtId="0" fontId="34" fillId="25" borderId="1" xfId="0" applyFont="1" applyFill="1" applyBorder="1" applyAlignment="1">
      <alignment horizontal="center" vertical="center" wrapText="1"/>
    </xf>
    <xf numFmtId="9" fontId="34" fillId="32" borderId="1" xfId="0" applyNumberFormat="1" applyFont="1" applyFill="1" applyBorder="1" applyAlignment="1">
      <alignment horizontal="left" vertical="top" wrapText="1"/>
    </xf>
    <xf numFmtId="0" fontId="34" fillId="24" borderId="36" xfId="0" applyFont="1" applyFill="1" applyBorder="1" applyAlignment="1">
      <alignment horizontal="left" vertical="top" wrapText="1"/>
    </xf>
    <xf numFmtId="0" fontId="38" fillId="0" borderId="15" xfId="0" applyFont="1" applyBorder="1" applyAlignment="1">
      <alignment horizontal="left" vertical="top" wrapText="1"/>
    </xf>
    <xf numFmtId="0" fontId="0" fillId="24" borderId="0" xfId="0" applyFill="1"/>
    <xf numFmtId="171" fontId="34" fillId="24" borderId="1" xfId="0" applyNumberFormat="1" applyFont="1" applyFill="1" applyBorder="1" applyAlignment="1">
      <alignment horizontal="left" vertical="top" wrapText="1"/>
    </xf>
    <xf numFmtId="0" fontId="39" fillId="24" borderId="37" xfId="0" applyFont="1" applyFill="1" applyBorder="1" applyAlignment="1">
      <alignment horizontal="left" vertical="top" wrapText="1"/>
    </xf>
    <xf numFmtId="0" fontId="34" fillId="25" borderId="35" xfId="0" applyFont="1" applyFill="1" applyBorder="1" applyAlignment="1">
      <alignment horizontal="center" vertical="center" wrapText="1"/>
    </xf>
    <xf numFmtId="0" fontId="38" fillId="0" borderId="16" xfId="0" applyFont="1" applyBorder="1" applyAlignment="1">
      <alignment horizontal="left" vertical="top" wrapText="1"/>
    </xf>
    <xf numFmtId="0" fontId="34" fillId="24" borderId="0" xfId="0" applyFont="1" applyFill="1" applyAlignment="1">
      <alignment horizontal="left" vertical="top" wrapText="1"/>
    </xf>
    <xf numFmtId="0" fontId="34" fillId="24" borderId="38" xfId="0" applyFont="1" applyFill="1" applyBorder="1" applyAlignment="1">
      <alignment horizontal="left" vertical="top" wrapText="1"/>
    </xf>
    <xf numFmtId="0" fontId="34" fillId="32" borderId="2" xfId="0" applyFont="1" applyFill="1" applyBorder="1" applyAlignment="1">
      <alignment horizontal="left" vertical="top" wrapText="1"/>
    </xf>
    <xf numFmtId="0" fontId="38" fillId="24" borderId="2" xfId="0" applyFont="1" applyFill="1" applyBorder="1" applyAlignment="1">
      <alignment horizontal="left" vertical="top" wrapText="1"/>
    </xf>
    <xf numFmtId="9" fontId="34" fillId="24" borderId="2" xfId="0" applyNumberFormat="1" applyFont="1" applyFill="1" applyBorder="1" applyAlignment="1">
      <alignment horizontal="left" vertical="top" wrapText="1"/>
    </xf>
    <xf numFmtId="0" fontId="34" fillId="24" borderId="2" xfId="0" applyFont="1" applyFill="1" applyBorder="1" applyAlignment="1">
      <alignment horizontal="left" vertical="top" wrapText="1"/>
    </xf>
    <xf numFmtId="0" fontId="34" fillId="24" borderId="21" xfId="0" applyFont="1" applyFill="1" applyBorder="1" applyAlignment="1">
      <alignment horizontal="left" vertical="top" wrapText="1"/>
    </xf>
    <xf numFmtId="0" fontId="34" fillId="24" borderId="39" xfId="0" applyFont="1" applyFill="1" applyBorder="1" applyAlignment="1">
      <alignment horizontal="left" vertical="top" wrapText="1"/>
    </xf>
    <xf numFmtId="0" fontId="34" fillId="0" borderId="0" xfId="0" applyFont="1" applyAlignment="1">
      <alignment horizontal="center" vertical="center" wrapText="1"/>
    </xf>
    <xf numFmtId="2" fontId="0" fillId="0" borderId="0" xfId="0" applyNumberForma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xf numFmtId="0" fontId="41" fillId="0" borderId="0" xfId="0" applyFont="1" applyAlignment="1">
      <alignment vertical="top"/>
    </xf>
    <xf numFmtId="0" fontId="39" fillId="0" borderId="0" xfId="0" applyFont="1" applyAlignment="1">
      <alignment horizontal="left" vertical="top"/>
    </xf>
    <xf numFmtId="0" fontId="42" fillId="0" borderId="0" xfId="0" applyFont="1" applyAlignment="1">
      <alignment vertical="top"/>
    </xf>
    <xf numFmtId="0" fontId="44" fillId="0" borderId="0" xfId="0" applyFont="1" applyAlignment="1">
      <alignment vertical="top" wrapText="1"/>
    </xf>
    <xf numFmtId="0" fontId="46" fillId="24" borderId="0" xfId="0" applyFont="1" applyFill="1" applyAlignment="1">
      <alignment vertical="top" wrapText="1"/>
    </xf>
    <xf numFmtId="0" fontId="46" fillId="24" borderId="0" xfId="0" applyFont="1" applyFill="1" applyAlignment="1">
      <alignment horizontal="left" vertical="top"/>
    </xf>
    <xf numFmtId="0" fontId="39" fillId="24" borderId="0" xfId="0" applyFont="1" applyFill="1" applyAlignment="1">
      <alignment horizontal="left" vertical="top"/>
    </xf>
    <xf numFmtId="0" fontId="47" fillId="31" borderId="44" xfId="0" applyFont="1" applyFill="1" applyBorder="1" applyAlignment="1">
      <alignment horizontal="center" vertical="center" wrapText="1"/>
    </xf>
    <xf numFmtId="0" fontId="48" fillId="24" borderId="0" xfId="0" applyFont="1" applyFill="1" applyAlignment="1">
      <alignment horizontal="center" vertical="center" wrapText="1"/>
    </xf>
    <xf numFmtId="0" fontId="48" fillId="0" borderId="0" xfId="0" applyFont="1" applyAlignment="1">
      <alignment horizontal="center" vertical="center" wrapText="1"/>
    </xf>
    <xf numFmtId="0" fontId="49" fillId="0" borderId="44" xfId="0" applyFont="1" applyBorder="1" applyAlignment="1">
      <alignment horizontal="left" vertical="top" wrapText="1"/>
    </xf>
    <xf numFmtId="0" fontId="49" fillId="24" borderId="44" xfId="0" applyFont="1" applyFill="1" applyBorder="1" applyAlignment="1">
      <alignment horizontal="left" vertical="top" wrapText="1"/>
    </xf>
    <xf numFmtId="0" fontId="39" fillId="0" borderId="44" xfId="0" applyFont="1" applyBorder="1" applyAlignment="1">
      <alignment horizontal="left" vertical="top" wrapText="1"/>
    </xf>
    <xf numFmtId="0" fontId="39" fillId="32" borderId="44" xfId="0" applyFont="1" applyFill="1" applyBorder="1" applyAlignment="1">
      <alignment horizontal="left" vertical="top" wrapText="1"/>
    </xf>
    <xf numFmtId="9" fontId="49" fillId="0" borderId="44" xfId="0" applyNumberFormat="1" applyFont="1" applyBorder="1" applyAlignment="1">
      <alignment horizontal="left" vertical="top" wrapText="1"/>
    </xf>
    <xf numFmtId="9" fontId="39" fillId="32" borderId="44" xfId="0" applyNumberFormat="1" applyFont="1" applyFill="1" applyBorder="1" applyAlignment="1">
      <alignment horizontal="left" vertical="top" wrapText="1"/>
    </xf>
    <xf numFmtId="0" fontId="39" fillId="0" borderId="3" xfId="0" applyFont="1" applyBorder="1" applyAlignment="1">
      <alignment horizontal="left" vertical="top" wrapText="1"/>
    </xf>
    <xf numFmtId="171" fontId="39" fillId="0" borderId="3" xfId="1" applyNumberFormat="1" applyFont="1" applyBorder="1" applyAlignment="1">
      <alignment horizontal="left" vertical="top" wrapText="1"/>
    </xf>
    <xf numFmtId="9" fontId="39" fillId="0" borderId="3" xfId="0" applyNumberFormat="1" applyFont="1" applyBorder="1" applyAlignment="1">
      <alignment horizontal="left" vertical="top" wrapText="1"/>
    </xf>
    <xf numFmtId="9" fontId="39" fillId="32" borderId="3" xfId="0" applyNumberFormat="1" applyFont="1" applyFill="1" applyBorder="1" applyAlignment="1">
      <alignment horizontal="left" vertical="top" wrapText="1"/>
    </xf>
    <xf numFmtId="9" fontId="39" fillId="32" borderId="45" xfId="0" applyNumberFormat="1" applyFont="1" applyFill="1" applyBorder="1" applyAlignment="1">
      <alignment horizontal="left" vertical="top" wrapText="1"/>
    </xf>
    <xf numFmtId="0" fontId="39" fillId="24" borderId="1" xfId="0" applyFont="1" applyFill="1" applyBorder="1" applyAlignment="1">
      <alignment horizontal="left" vertical="top" wrapText="1"/>
    </xf>
    <xf numFmtId="9" fontId="39" fillId="24" borderId="1" xfId="0" applyNumberFormat="1" applyFont="1" applyFill="1" applyBorder="1" applyAlignment="1">
      <alignment horizontal="left" vertical="top" wrapText="1"/>
    </xf>
    <xf numFmtId="9" fontId="39" fillId="32" borderId="1" xfId="0" applyNumberFormat="1" applyFont="1" applyFill="1" applyBorder="1" applyAlignment="1">
      <alignment horizontal="left" vertical="top" wrapText="1"/>
    </xf>
    <xf numFmtId="9" fontId="39" fillId="32" borderId="46" xfId="0" applyNumberFormat="1" applyFont="1" applyFill="1" applyBorder="1" applyAlignment="1">
      <alignment horizontal="left" vertical="top" wrapText="1"/>
    </xf>
    <xf numFmtId="0" fontId="49" fillId="24" borderId="1" xfId="0" applyFont="1" applyFill="1" applyBorder="1" applyAlignment="1">
      <alignment horizontal="left" vertical="top" wrapText="1"/>
    </xf>
    <xf numFmtId="0" fontId="39" fillId="0" borderId="1" xfId="0" applyFont="1" applyBorder="1" applyAlignment="1">
      <alignment horizontal="left" vertical="top" wrapText="1"/>
    </xf>
    <xf numFmtId="0" fontId="39" fillId="32" borderId="1" xfId="0" applyFont="1" applyFill="1" applyBorder="1" applyAlignment="1">
      <alignment horizontal="left" vertical="top" wrapText="1"/>
    </xf>
    <xf numFmtId="9" fontId="39" fillId="0" borderId="1" xfId="0" applyNumberFormat="1" applyFont="1" applyBorder="1" applyAlignment="1">
      <alignment horizontal="left" vertical="top" wrapText="1"/>
    </xf>
    <xf numFmtId="0" fontId="49" fillId="0" borderId="1" xfId="0" applyFont="1" applyBorder="1" applyAlignment="1">
      <alignment horizontal="left" vertical="top" wrapText="1"/>
    </xf>
    <xf numFmtId="9" fontId="49" fillId="0" borderId="1" xfId="0" applyNumberFormat="1" applyFont="1" applyBorder="1" applyAlignment="1">
      <alignment horizontal="left" vertical="top" wrapText="1"/>
    </xf>
    <xf numFmtId="0" fontId="49" fillId="0" borderId="46" xfId="0" applyFont="1" applyBorder="1" applyAlignment="1">
      <alignment horizontal="left" vertical="top" wrapText="1"/>
    </xf>
    <xf numFmtId="9" fontId="39" fillId="24" borderId="46" xfId="0" applyNumberFormat="1" applyFont="1" applyFill="1" applyBorder="1" applyAlignment="1">
      <alignment horizontal="left" vertical="top" wrapText="1"/>
    </xf>
    <xf numFmtId="9" fontId="49" fillId="0" borderId="1" xfId="1" applyFont="1" applyFill="1" applyBorder="1" applyAlignment="1">
      <alignment horizontal="left" vertical="top" wrapText="1"/>
    </xf>
    <xf numFmtId="9" fontId="49" fillId="0" borderId="46" xfId="1" applyFont="1" applyFill="1" applyBorder="1" applyAlignment="1">
      <alignment horizontal="left" vertical="top" wrapText="1"/>
    </xf>
    <xf numFmtId="9" fontId="49" fillId="24" borderId="1" xfId="0" applyNumberFormat="1" applyFont="1" applyFill="1" applyBorder="1" applyAlignment="1">
      <alignment horizontal="left" vertical="top" wrapText="1"/>
    </xf>
    <xf numFmtId="9" fontId="54" fillId="24" borderId="1" xfId="0" applyNumberFormat="1" applyFont="1" applyFill="1" applyBorder="1" applyAlignment="1">
      <alignment horizontal="left" vertical="top" wrapText="1"/>
    </xf>
    <xf numFmtId="0" fontId="39" fillId="24" borderId="46" xfId="0" applyFont="1" applyFill="1" applyBorder="1" applyAlignment="1">
      <alignment horizontal="left" vertical="top" wrapText="1"/>
    </xf>
    <xf numFmtId="0" fontId="39" fillId="24" borderId="2" xfId="0" applyFont="1" applyFill="1" applyBorder="1" applyAlignment="1">
      <alignment horizontal="left" vertical="top" wrapText="1"/>
    </xf>
    <xf numFmtId="0" fontId="39" fillId="32" borderId="2" xfId="0" applyFont="1" applyFill="1" applyBorder="1" applyAlignment="1">
      <alignment horizontal="left" vertical="top" wrapText="1"/>
    </xf>
    <xf numFmtId="10" fontId="39" fillId="24" borderId="2" xfId="0" applyNumberFormat="1" applyFont="1" applyFill="1" applyBorder="1" applyAlignment="1">
      <alignment horizontal="left" vertical="top" wrapText="1"/>
    </xf>
    <xf numFmtId="0" fontId="39" fillId="24" borderId="47" xfId="0" applyFont="1" applyFill="1" applyBorder="1" applyAlignment="1">
      <alignment horizontal="left" vertical="top" wrapText="1"/>
    </xf>
    <xf numFmtId="0" fontId="39" fillId="0" borderId="0" xfId="0" applyFont="1" applyAlignment="1">
      <alignment horizontal="left" vertical="top" wrapText="1"/>
    </xf>
    <xf numFmtId="2" fontId="39" fillId="0" borderId="0" xfId="0" applyNumberFormat="1" applyFont="1" applyAlignment="1">
      <alignment horizontal="left" vertical="top"/>
    </xf>
    <xf numFmtId="0" fontId="55" fillId="0" borderId="23" xfId="0" applyFont="1" applyBorder="1" applyAlignment="1">
      <alignment vertical="top"/>
    </xf>
    <xf numFmtId="0" fontId="55" fillId="0" borderId="0" xfId="0" applyFont="1" applyAlignment="1">
      <alignment vertical="top"/>
    </xf>
    <xf numFmtId="0" fontId="55" fillId="0" borderId="0" xfId="0" applyFont="1" applyAlignment="1">
      <alignment horizontal="left" vertical="top"/>
    </xf>
    <xf numFmtId="0" fontId="0" fillId="0" borderId="0" xfId="0" applyAlignment="1">
      <alignment horizontal="left" vertical="top"/>
    </xf>
    <xf numFmtId="0" fontId="55" fillId="0" borderId="48" xfId="0" applyFont="1" applyBorder="1" applyAlignment="1">
      <alignment vertical="top"/>
    </xf>
    <xf numFmtId="0" fontId="56" fillId="0" borderId="0" xfId="0" applyFont="1" applyAlignment="1">
      <alignment vertical="top" wrapText="1"/>
    </xf>
    <xf numFmtId="0" fontId="56" fillId="0" borderId="0" xfId="0" applyFont="1" applyAlignment="1">
      <alignment horizontal="left" vertical="top" wrapText="1"/>
    </xf>
    <xf numFmtId="0" fontId="57" fillId="0" borderId="0" xfId="0" applyFont="1" applyAlignment="1">
      <alignment vertical="top" wrapText="1"/>
    </xf>
    <xf numFmtId="0" fontId="57" fillId="0" borderId="0" xfId="0" applyFont="1" applyAlignment="1">
      <alignment horizontal="left" vertical="top" wrapText="1"/>
    </xf>
    <xf numFmtId="0" fontId="58" fillId="31" borderId="0" xfId="0" applyFont="1" applyFill="1" applyAlignment="1">
      <alignment horizontal="left" vertical="top"/>
    </xf>
    <xf numFmtId="0" fontId="33" fillId="24" borderId="0" xfId="0" applyFont="1" applyFill="1" applyAlignment="1">
      <alignment vertical="top" wrapText="1"/>
    </xf>
    <xf numFmtId="0" fontId="58" fillId="24" borderId="0" xfId="0" applyFont="1" applyFill="1" applyAlignment="1">
      <alignment horizontal="left" vertical="top"/>
    </xf>
    <xf numFmtId="0" fontId="0" fillId="24" borderId="0" xfId="0" applyFill="1" applyAlignment="1">
      <alignment horizontal="left" vertical="top"/>
    </xf>
    <xf numFmtId="0" fontId="59" fillId="31" borderId="0" xfId="0" applyFont="1" applyFill="1" applyAlignment="1">
      <alignment horizontal="center" vertical="center"/>
    </xf>
    <xf numFmtId="0" fontId="59" fillId="31" borderId="1" xfId="0" applyFont="1" applyFill="1" applyBorder="1" applyAlignment="1">
      <alignment horizontal="center" vertical="center" wrapText="1"/>
    </xf>
    <xf numFmtId="0" fontId="59" fillId="31" borderId="16" xfId="0" applyFont="1" applyFill="1" applyBorder="1" applyAlignment="1">
      <alignment horizontal="center" vertical="center" wrapText="1"/>
    </xf>
    <xf numFmtId="0" fontId="59" fillId="31" borderId="34" xfId="0" applyFont="1" applyFill="1" applyBorder="1" applyAlignment="1">
      <alignment horizontal="center" vertical="center" wrapText="1"/>
    </xf>
    <xf numFmtId="0" fontId="60" fillId="31" borderId="1" xfId="0" applyFont="1" applyFill="1" applyBorder="1" applyAlignment="1">
      <alignment horizontal="center" vertical="center" wrapText="1"/>
    </xf>
    <xf numFmtId="0" fontId="59" fillId="31" borderId="1" xfId="0" applyFont="1" applyFill="1" applyBorder="1" applyAlignment="1">
      <alignment horizontal="center" vertical="center"/>
    </xf>
    <xf numFmtId="0" fontId="59" fillId="24" borderId="0" xfId="0" applyFont="1" applyFill="1" applyAlignment="1">
      <alignment horizontal="center" vertical="center"/>
    </xf>
    <xf numFmtId="0" fontId="59" fillId="24" borderId="0" xfId="0" applyFont="1" applyFill="1" applyAlignment="1">
      <alignment horizontal="center" vertical="center" wrapText="1"/>
    </xf>
    <xf numFmtId="0" fontId="60" fillId="24" borderId="0" xfId="0" applyFont="1" applyFill="1" applyAlignment="1">
      <alignment horizontal="center" vertical="center" wrapText="1"/>
    </xf>
    <xf numFmtId="0" fontId="61" fillId="24" borderId="0" xfId="0" applyFont="1" applyFill="1" applyAlignment="1">
      <alignment horizontal="center" vertical="center"/>
    </xf>
    <xf numFmtId="0" fontId="61" fillId="0" borderId="0" xfId="0" applyFont="1" applyAlignment="1">
      <alignment horizontal="center" vertical="center"/>
    </xf>
    <xf numFmtId="0" fontId="39" fillId="24" borderId="16" xfId="0" applyFont="1" applyFill="1" applyBorder="1" applyAlignment="1">
      <alignment horizontal="left" vertical="top" wrapText="1"/>
    </xf>
    <xf numFmtId="0" fontId="39" fillId="24" borderId="34" xfId="0" applyFont="1" applyFill="1" applyBorder="1" applyAlignment="1">
      <alignment horizontal="left" vertical="top" wrapText="1"/>
    </xf>
    <xf numFmtId="0" fontId="39" fillId="24" borderId="15" xfId="0" applyFont="1" applyFill="1" applyBorder="1" applyAlignment="1">
      <alignment horizontal="left" vertical="top" wrapText="1"/>
    </xf>
    <xf numFmtId="0" fontId="39" fillId="0" borderId="16" xfId="0" applyFont="1" applyBorder="1" applyAlignment="1">
      <alignment horizontal="left" vertical="top" wrapText="1"/>
    </xf>
    <xf numFmtId="0" fontId="39" fillId="0" borderId="34" xfId="0" applyFont="1" applyBorder="1" applyAlignment="1">
      <alignment horizontal="left" vertical="top" wrapText="1"/>
    </xf>
    <xf numFmtId="9" fontId="39" fillId="24" borderId="18" xfId="0" applyNumberFormat="1" applyFont="1" applyFill="1" applyBorder="1" applyAlignment="1">
      <alignment horizontal="left" vertical="top" wrapText="1"/>
    </xf>
    <xf numFmtId="0" fontId="39" fillId="24" borderId="51" xfId="0" applyFont="1" applyFill="1" applyBorder="1" applyAlignment="1">
      <alignment horizontal="left" vertical="top" wrapText="1"/>
    </xf>
    <xf numFmtId="9" fontId="49" fillId="0" borderId="18" xfId="0" applyNumberFormat="1" applyFont="1" applyBorder="1" applyAlignment="1">
      <alignment horizontal="left" vertical="top" wrapText="1"/>
    </xf>
    <xf numFmtId="0" fontId="49" fillId="0" borderId="51" xfId="0" applyFont="1" applyBorder="1" applyAlignment="1">
      <alignment horizontal="left" vertical="top" wrapText="1"/>
    </xf>
    <xf numFmtId="0" fontId="49" fillId="32" borderId="1" xfId="0" applyFont="1" applyFill="1" applyBorder="1" applyAlignment="1">
      <alignment horizontal="left" vertical="top" wrapText="1"/>
    </xf>
    <xf numFmtId="9" fontId="49" fillId="32" borderId="18" xfId="0" applyNumberFormat="1" applyFont="1" applyFill="1" applyBorder="1" applyAlignment="1">
      <alignment horizontal="left" vertical="top" wrapText="1"/>
    </xf>
    <xf numFmtId="0" fontId="49" fillId="32" borderId="51" xfId="0" applyFont="1" applyFill="1" applyBorder="1" applyAlignment="1">
      <alignment horizontal="left" vertical="top" wrapText="1"/>
    </xf>
    <xf numFmtId="9" fontId="49" fillId="24" borderId="18" xfId="0" applyNumberFormat="1" applyFont="1" applyFill="1" applyBorder="1" applyAlignment="1">
      <alignment horizontal="left" vertical="top" wrapText="1"/>
    </xf>
    <xf numFmtId="0" fontId="49" fillId="24" borderId="51" xfId="0" applyFont="1" applyFill="1" applyBorder="1" applyAlignment="1">
      <alignment horizontal="left" vertical="top" wrapText="1"/>
    </xf>
    <xf numFmtId="9" fontId="49" fillId="0" borderId="15" xfId="1" applyFont="1" applyFill="1" applyBorder="1" applyAlignment="1">
      <alignment horizontal="left" vertical="top" wrapText="1"/>
    </xf>
    <xf numFmtId="0" fontId="49" fillId="32" borderId="15" xfId="0" applyFont="1" applyFill="1" applyBorder="1" applyAlignment="1">
      <alignment horizontal="left" vertical="top" wrapText="1"/>
    </xf>
    <xf numFmtId="0" fontId="39" fillId="24" borderId="1" xfId="0" applyFont="1" applyFill="1" applyBorder="1" applyAlignment="1">
      <alignment horizontal="left" vertical="top"/>
    </xf>
    <xf numFmtId="0" fontId="39" fillId="24" borderId="16" xfId="0" applyFont="1" applyFill="1" applyBorder="1" applyAlignment="1">
      <alignment horizontal="left" vertical="top"/>
    </xf>
    <xf numFmtId="9" fontId="39" fillId="24" borderId="15" xfId="0" applyNumberFormat="1" applyFont="1" applyFill="1" applyBorder="1" applyAlignment="1">
      <alignment horizontal="left" vertical="top" wrapText="1"/>
    </xf>
    <xf numFmtId="0" fontId="49" fillId="24" borderId="2" xfId="0" applyFont="1" applyFill="1" applyBorder="1" applyAlignment="1">
      <alignment horizontal="left" vertical="top" wrapText="1"/>
    </xf>
    <xf numFmtId="9" fontId="49" fillId="24" borderId="2" xfId="0" applyNumberFormat="1" applyFont="1" applyFill="1" applyBorder="1" applyAlignment="1">
      <alignment horizontal="left" vertical="top" wrapText="1"/>
    </xf>
    <xf numFmtId="9" fontId="39" fillId="24" borderId="2" xfId="0" applyNumberFormat="1" applyFont="1" applyFill="1" applyBorder="1" applyAlignment="1">
      <alignment horizontal="left" vertical="top" wrapText="1"/>
    </xf>
    <xf numFmtId="9" fontId="39" fillId="24" borderId="13" xfId="0" applyNumberFormat="1" applyFont="1" applyFill="1" applyBorder="1" applyAlignment="1">
      <alignment horizontal="left" vertical="top" wrapText="1"/>
    </xf>
    <xf numFmtId="0" fontId="28" fillId="0" borderId="0" xfId="0" applyFont="1" applyAlignment="1">
      <alignment horizontal="left" vertical="top"/>
    </xf>
    <xf numFmtId="0" fontId="0" fillId="0" borderId="0" xfId="0" applyAlignment="1">
      <alignment horizontal="left" vertical="top" wrapText="1"/>
    </xf>
    <xf numFmtId="2" fontId="0" fillId="0" borderId="0" xfId="0" applyNumberFormat="1" applyAlignment="1">
      <alignment horizontal="left" vertical="top"/>
    </xf>
    <xf numFmtId="0" fontId="23" fillId="25" borderId="1" xfId="0" applyFont="1" applyFill="1" applyBorder="1" applyAlignment="1">
      <alignment horizontal="center" vertical="top" wrapText="1"/>
    </xf>
    <xf numFmtId="0" fontId="23" fillId="25" borderId="11" xfId="0" applyFont="1" applyFill="1" applyBorder="1" applyAlignment="1">
      <alignment horizontal="center" vertical="top" wrapText="1"/>
    </xf>
    <xf numFmtId="0" fontId="0" fillId="0" borderId="1" xfId="0" applyBorder="1" applyAlignment="1">
      <alignment horizontal="left" vertical="top"/>
    </xf>
    <xf numFmtId="9" fontId="0" fillId="0" borderId="1" xfId="1" applyFont="1" applyBorder="1" applyAlignment="1">
      <alignment horizontal="left" vertical="top"/>
    </xf>
    <xf numFmtId="0" fontId="0" fillId="0" borderId="1" xfId="0" applyBorder="1" applyAlignment="1">
      <alignment horizontal="left"/>
    </xf>
    <xf numFmtId="0" fontId="37" fillId="0" borderId="34" xfId="0" applyFont="1" applyBorder="1" applyAlignment="1">
      <alignment horizontal="center" vertical="center" wrapText="1"/>
    </xf>
    <xf numFmtId="0" fontId="37" fillId="0" borderId="1" xfId="0" applyFont="1" applyBorder="1" applyAlignment="1">
      <alignment horizontal="center" vertical="center" wrapText="1"/>
    </xf>
    <xf numFmtId="9" fontId="0" fillId="0" borderId="0" xfId="0" applyNumberFormat="1"/>
    <xf numFmtId="0" fontId="23" fillId="0" borderId="0" xfId="0" applyFont="1" applyFill="1" applyAlignment="1">
      <alignment horizontal="center" vertical="center" wrapText="1"/>
    </xf>
    <xf numFmtId="0" fontId="0" fillId="0" borderId="34" xfId="0" applyBorder="1" applyAlignment="1">
      <alignment vertical="top"/>
    </xf>
    <xf numFmtId="9" fontId="0" fillId="0" borderId="15" xfId="1" applyFont="1" applyBorder="1" applyAlignment="1">
      <alignment horizontal="left" vertical="top"/>
    </xf>
    <xf numFmtId="0" fontId="0" fillId="0" borderId="12" xfId="0" applyBorder="1" applyAlignment="1">
      <alignment vertical="top"/>
    </xf>
    <xf numFmtId="0" fontId="0" fillId="0" borderId="13" xfId="0" applyBorder="1" applyAlignment="1">
      <alignment horizontal="left" vertical="top"/>
    </xf>
    <xf numFmtId="9" fontId="0" fillId="0" borderId="14" xfId="1" applyFont="1" applyBorder="1" applyAlignment="1">
      <alignment horizontal="left" vertical="top"/>
    </xf>
    <xf numFmtId="0" fontId="44" fillId="25" borderId="1" xfId="0" applyFont="1" applyFill="1" applyBorder="1" applyAlignment="1">
      <alignment horizontal="left" vertical="top" wrapText="1"/>
    </xf>
    <xf numFmtId="0" fontId="23" fillId="25" borderId="1" xfId="0" applyFont="1" applyFill="1" applyBorder="1" applyAlignment="1">
      <alignment horizontal="left"/>
    </xf>
    <xf numFmtId="9" fontId="23" fillId="25" borderId="1" xfId="1" applyFont="1" applyFill="1" applyBorder="1" applyAlignment="1">
      <alignment horizontal="left"/>
    </xf>
    <xf numFmtId="0" fontId="0" fillId="0" borderId="0" xfId="0" applyAlignment="1">
      <alignment wrapText="1"/>
    </xf>
    <xf numFmtId="0" fontId="21" fillId="0" borderId="0" xfId="0" applyFont="1"/>
    <xf numFmtId="0" fontId="39" fillId="24" borderId="38" xfId="0" applyFont="1" applyFill="1" applyBorder="1" applyAlignment="1">
      <alignment horizontal="left" vertical="top" wrapText="1"/>
    </xf>
    <xf numFmtId="9" fontId="39" fillId="24" borderId="39" xfId="0" applyNumberFormat="1" applyFont="1" applyFill="1" applyBorder="1" applyAlignment="1">
      <alignment horizontal="left" vertical="top" wrapText="1"/>
    </xf>
    <xf numFmtId="0" fontId="49" fillId="24" borderId="13" xfId="0" applyFont="1" applyFill="1" applyBorder="1" applyAlignment="1">
      <alignment horizontal="left" vertical="top" wrapText="1"/>
    </xf>
    <xf numFmtId="9" fontId="49" fillId="24" borderId="13" xfId="0" applyNumberFormat="1" applyFont="1" applyFill="1" applyBorder="1" applyAlignment="1">
      <alignment horizontal="left" vertical="top" wrapText="1"/>
    </xf>
    <xf numFmtId="0" fontId="40" fillId="9" borderId="27" xfId="0" applyFont="1" applyFill="1" applyBorder="1" applyAlignment="1">
      <alignment horizontal="left" vertical="top" wrapText="1"/>
    </xf>
    <xf numFmtId="0" fontId="39" fillId="9" borderId="27" xfId="0" applyFont="1" applyFill="1" applyBorder="1" applyAlignment="1">
      <alignment horizontal="center" vertical="top" wrapText="1"/>
    </xf>
    <xf numFmtId="9" fontId="39" fillId="24" borderId="1" xfId="0" applyNumberFormat="1" applyFont="1" applyFill="1" applyBorder="1" applyAlignment="1">
      <alignment horizontal="left" vertical="top"/>
    </xf>
    <xf numFmtId="0" fontId="49" fillId="24" borderId="46" xfId="0" applyFont="1" applyFill="1" applyBorder="1" applyAlignment="1">
      <alignment horizontal="left" vertical="top" wrapText="1"/>
    </xf>
    <xf numFmtId="0" fontId="39" fillId="14" borderId="1" xfId="0" applyFont="1" applyFill="1" applyBorder="1" applyAlignment="1">
      <alignment horizontal="left" vertical="top" wrapText="1"/>
    </xf>
    <xf numFmtId="9" fontId="39" fillId="14" borderId="1" xfId="0" applyNumberFormat="1" applyFont="1" applyFill="1" applyBorder="1" applyAlignment="1">
      <alignment horizontal="left" vertical="top" wrapText="1"/>
    </xf>
    <xf numFmtId="49" fontId="39" fillId="24" borderId="1" xfId="15" applyNumberFormat="1" applyFont="1" applyFill="1" applyBorder="1" applyAlignment="1">
      <alignment horizontal="left" vertical="top" wrapText="1"/>
    </xf>
    <xf numFmtId="0" fontId="39" fillId="24" borderId="46" xfId="0" applyFont="1" applyFill="1" applyBorder="1" applyAlignment="1">
      <alignment horizontal="left" vertical="top"/>
    </xf>
    <xf numFmtId="0" fontId="38" fillId="0" borderId="36" xfId="0" applyFont="1" applyBorder="1" applyAlignment="1">
      <alignment horizontal="left" vertical="top" wrapText="1"/>
    </xf>
    <xf numFmtId="9" fontId="49" fillId="24" borderId="44" xfId="0" applyNumberFormat="1" applyFont="1" applyFill="1" applyBorder="1" applyAlignment="1">
      <alignment horizontal="left" vertical="top" wrapText="1"/>
    </xf>
    <xf numFmtId="9" fontId="39" fillId="24" borderId="1" xfId="0" applyNumberFormat="1" applyFont="1" applyFill="1" applyBorder="1" applyAlignment="1">
      <alignment vertical="top" wrapText="1"/>
    </xf>
    <xf numFmtId="0" fontId="49" fillId="14" borderId="44" xfId="0" applyFont="1" applyFill="1" applyBorder="1" applyAlignment="1">
      <alignment horizontal="left" vertical="top" wrapText="1"/>
    </xf>
    <xf numFmtId="0" fontId="39" fillId="24" borderId="44" xfId="0" applyFont="1" applyFill="1" applyBorder="1" applyAlignment="1">
      <alignment horizontal="left" vertical="top" wrapText="1"/>
    </xf>
    <xf numFmtId="9" fontId="39" fillId="24" borderId="1" xfId="1" applyFont="1" applyFill="1" applyBorder="1" applyAlignment="1">
      <alignment horizontal="left" vertical="top" wrapText="1"/>
    </xf>
    <xf numFmtId="0" fontId="38" fillId="14" borderId="1" xfId="0" applyFont="1" applyFill="1" applyBorder="1" applyAlignment="1">
      <alignment horizontal="left" vertical="top" wrapText="1"/>
    </xf>
    <xf numFmtId="0" fontId="34" fillId="14" borderId="1" xfId="0" applyFont="1" applyFill="1" applyBorder="1" applyAlignment="1">
      <alignment horizontal="left" vertical="top" wrapText="1"/>
    </xf>
    <xf numFmtId="0" fontId="49" fillId="18" borderId="44" xfId="0" applyFont="1" applyFill="1" applyBorder="1" applyAlignment="1">
      <alignment horizontal="left" vertical="top" wrapText="1"/>
    </xf>
    <xf numFmtId="9" fontId="39" fillId="0" borderId="1" xfId="1" applyFont="1" applyBorder="1" applyAlignment="1">
      <alignment horizontal="left" vertical="top" wrapText="1"/>
    </xf>
    <xf numFmtId="0" fontId="39" fillId="9" borderId="0" xfId="0" applyFont="1" applyFill="1" applyAlignment="1">
      <alignment horizontal="center" vertical="top"/>
    </xf>
    <xf numFmtId="0" fontId="4" fillId="0" borderId="1" xfId="0" applyFont="1" applyBorder="1" applyAlignment="1">
      <alignment horizontal="left" vertical="top" wrapText="1"/>
    </xf>
    <xf numFmtId="9" fontId="0" fillId="0" borderId="1" xfId="0" applyNumberFormat="1" applyBorder="1" applyAlignment="1">
      <alignment horizontal="left" vertical="top"/>
    </xf>
    <xf numFmtId="9" fontId="39" fillId="0" borderId="1" xfId="0" applyNumberFormat="1" applyFont="1" applyBorder="1" applyAlignment="1">
      <alignment horizontal="left" vertical="top"/>
    </xf>
    <xf numFmtId="9" fontId="4" fillId="0" borderId="1" xfId="1" applyFont="1" applyBorder="1" applyAlignment="1">
      <alignment horizontal="left" vertical="top"/>
    </xf>
    <xf numFmtId="9" fontId="49" fillId="24" borderId="59" xfId="0" applyNumberFormat="1" applyFont="1" applyFill="1" applyBorder="1" applyAlignment="1">
      <alignment horizontal="left" vertical="top" wrapText="1"/>
    </xf>
    <xf numFmtId="0" fontId="4" fillId="0" borderId="3" xfId="0" applyFont="1" applyBorder="1" applyAlignment="1">
      <alignment horizontal="left" vertical="top" wrapText="1"/>
    </xf>
    <xf numFmtId="0" fontId="39" fillId="9" borderId="58" xfId="0" applyFont="1" applyFill="1" applyBorder="1" applyAlignment="1">
      <alignment horizontal="center" vertical="top" wrapText="1"/>
    </xf>
    <xf numFmtId="0" fontId="40" fillId="9" borderId="58" xfId="0" applyFont="1" applyFill="1" applyBorder="1" applyAlignment="1">
      <alignment horizontal="left" vertical="top" wrapText="1"/>
    </xf>
    <xf numFmtId="9" fontId="40" fillId="9" borderId="58" xfId="0" applyNumberFormat="1" applyFont="1" applyFill="1" applyBorder="1" applyAlignment="1">
      <alignment horizontal="left" vertical="top" wrapText="1"/>
    </xf>
    <xf numFmtId="0" fontId="40" fillId="9" borderId="58" xfId="0" applyFont="1" applyFill="1" applyBorder="1" applyAlignment="1">
      <alignment horizontal="left" vertical="top"/>
    </xf>
    <xf numFmtId="9" fontId="40" fillId="9" borderId="57" xfId="1" applyFont="1" applyFill="1" applyBorder="1" applyAlignment="1">
      <alignment horizontal="left" vertical="top"/>
    </xf>
    <xf numFmtId="9" fontId="40" fillId="9" borderId="25" xfId="1" applyFont="1" applyFill="1" applyBorder="1" applyAlignment="1">
      <alignment horizontal="left" vertical="top"/>
    </xf>
    <xf numFmtId="9" fontId="0" fillId="0" borderId="3" xfId="0" applyNumberFormat="1" applyBorder="1" applyAlignment="1">
      <alignment horizontal="left" vertical="top"/>
    </xf>
    <xf numFmtId="0" fontId="4" fillId="0" borderId="0" xfId="0" applyFont="1"/>
    <xf numFmtId="0" fontId="4" fillId="25" borderId="1" xfId="0" applyFont="1" applyFill="1" applyBorder="1"/>
    <xf numFmtId="0" fontId="0" fillId="0" borderId="60" xfId="0" applyBorder="1"/>
    <xf numFmtId="0" fontId="4" fillId="0" borderId="1" xfId="0" applyFont="1" applyBorder="1"/>
    <xf numFmtId="0" fontId="4" fillId="0" borderId="1" xfId="0" applyFont="1" applyBorder="1" applyAlignment="1">
      <alignment horizontal="left"/>
    </xf>
    <xf numFmtId="0" fontId="21" fillId="0" borderId="1" xfId="0" applyFont="1" applyBorder="1" applyAlignment="1">
      <alignment horizontal="left"/>
    </xf>
    <xf numFmtId="0" fontId="37" fillId="0" borderId="15" xfId="0" applyFont="1" applyBorder="1" applyAlignment="1">
      <alignment horizontal="center" vertical="center" wrapText="1"/>
    </xf>
    <xf numFmtId="0" fontId="0" fillId="0" borderId="15" xfId="0" applyBorder="1" applyAlignment="1">
      <alignment horizontal="left" vertical="top"/>
    </xf>
    <xf numFmtId="0" fontId="0" fillId="0" borderId="14" xfId="0" applyBorder="1" applyAlignment="1">
      <alignment horizontal="left" vertical="top"/>
    </xf>
    <xf numFmtId="0" fontId="4" fillId="25" borderId="0" xfId="0" applyFont="1" applyFill="1"/>
    <xf numFmtId="0" fontId="6" fillId="17" borderId="1" xfId="0" applyFont="1" applyFill="1" applyBorder="1" applyAlignment="1">
      <alignment horizontal="left" vertical="top" wrapText="1"/>
    </xf>
    <xf numFmtId="0" fontId="16" fillId="26"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5" fillId="4" borderId="1" xfId="3" applyFont="1" applyFill="1" applyBorder="1" applyAlignment="1">
      <alignment horizontal="left" vertical="top" wrapText="1"/>
    </xf>
    <xf numFmtId="0" fontId="15" fillId="27" borderId="1" xfId="0" applyFont="1" applyFill="1" applyBorder="1" applyAlignment="1">
      <alignment horizontal="left" vertical="top" wrapText="1"/>
    </xf>
    <xf numFmtId="0" fontId="15" fillId="34" borderId="1" xfId="0" applyFont="1" applyFill="1" applyBorder="1" applyAlignment="1">
      <alignment horizontal="left" vertical="top" wrapText="1"/>
    </xf>
    <xf numFmtId="0" fontId="14" fillId="24" borderId="0" xfId="0" applyFont="1" applyFill="1" applyAlignment="1">
      <alignment horizontal="left" vertical="top" wrapText="1"/>
    </xf>
    <xf numFmtId="0" fontId="6" fillId="27" borderId="1" xfId="0" applyFont="1" applyFill="1" applyBorder="1" applyAlignment="1">
      <alignment horizontal="left" vertical="top" wrapText="1"/>
    </xf>
    <xf numFmtId="0" fontId="6" fillId="14"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20" borderId="1" xfId="0" applyFont="1" applyFill="1" applyBorder="1" applyAlignment="1">
      <alignment horizontal="left" vertical="top" wrapText="1"/>
    </xf>
    <xf numFmtId="0" fontId="16" fillId="26" borderId="4" xfId="0" applyFont="1" applyFill="1" applyBorder="1" applyAlignment="1">
      <alignment horizontal="left" vertical="top" wrapText="1"/>
    </xf>
    <xf numFmtId="0" fontId="19" fillId="14" borderId="1" xfId="0" applyFont="1" applyFill="1" applyBorder="1" applyAlignment="1" applyProtection="1">
      <alignment horizontal="left" vertical="top" wrapText="1"/>
      <protection locked="0"/>
    </xf>
    <xf numFmtId="0" fontId="19" fillId="22" borderId="1" xfId="0" applyFont="1" applyFill="1" applyBorder="1" applyAlignment="1" applyProtection="1">
      <alignment horizontal="left" vertical="top" wrapText="1"/>
      <protection locked="0"/>
    </xf>
    <xf numFmtId="167" fontId="15" fillId="24" borderId="1" xfId="0" applyNumberFormat="1" applyFont="1" applyFill="1" applyBorder="1" applyAlignment="1">
      <alignment horizontal="left" vertical="top" wrapText="1"/>
    </xf>
    <xf numFmtId="0" fontId="6" fillId="22" borderId="1" xfId="0" applyFont="1" applyFill="1" applyBorder="1" applyAlignment="1">
      <alignment horizontal="left" vertical="top" wrapText="1"/>
    </xf>
    <xf numFmtId="0" fontId="6" fillId="20" borderId="1" xfId="0" applyFont="1" applyFill="1" applyBorder="1" applyAlignment="1">
      <alignment horizontal="left" vertical="top" wrapText="1"/>
    </xf>
    <xf numFmtId="0" fontId="15" fillId="13" borderId="1" xfId="0" applyFont="1" applyFill="1" applyBorder="1" applyAlignment="1">
      <alignment horizontal="left" vertical="top" wrapText="1"/>
    </xf>
    <xf numFmtId="0" fontId="15" fillId="13" borderId="2" xfId="0" applyFont="1" applyFill="1" applyBorder="1" applyAlignment="1">
      <alignment horizontal="left" vertical="top" wrapText="1"/>
    </xf>
    <xf numFmtId="0" fontId="0" fillId="0" borderId="0" xfId="0" applyFill="1" applyAlignment="1">
      <alignment horizontal="left" vertical="top" wrapText="1"/>
    </xf>
    <xf numFmtId="9" fontId="0" fillId="0" borderId="0" xfId="1" applyFont="1" applyFill="1" applyAlignment="1">
      <alignment horizontal="left" vertical="top" wrapText="1"/>
    </xf>
    <xf numFmtId="0" fontId="7" fillId="0" borderId="0" xfId="0" applyFont="1" applyFill="1" applyAlignment="1">
      <alignment horizontal="left" vertical="top" wrapText="1"/>
    </xf>
    <xf numFmtId="2" fontId="0" fillId="0" borderId="0" xfId="0" applyNumberFormat="1" applyFill="1" applyAlignment="1">
      <alignment horizontal="left" vertical="top" wrapText="1"/>
    </xf>
    <xf numFmtId="0" fontId="0" fillId="0" borderId="0" xfId="0" applyAlignment="1">
      <alignment vertical="top" wrapText="1"/>
    </xf>
    <xf numFmtId="9" fontId="0" fillId="0" borderId="0" xfId="0" applyNumberFormat="1" applyFill="1" applyAlignment="1">
      <alignment horizontal="left" vertical="top" wrapText="1"/>
    </xf>
    <xf numFmtId="0" fontId="16" fillId="6" borderId="1" xfId="0" applyFont="1" applyFill="1" applyBorder="1" applyAlignment="1">
      <alignment horizontal="left" vertical="top" wrapText="1"/>
    </xf>
    <xf numFmtId="0" fontId="19" fillId="24" borderId="1" xfId="0" applyFont="1" applyFill="1" applyBorder="1" applyAlignment="1">
      <alignment horizontal="left" vertical="top" wrapText="1"/>
    </xf>
    <xf numFmtId="0" fontId="62" fillId="14" borderId="1" xfId="0" applyFont="1" applyFill="1" applyBorder="1" applyAlignment="1">
      <alignment horizontal="left" vertical="top" wrapText="1"/>
    </xf>
    <xf numFmtId="0" fontId="62" fillId="14" borderId="13" xfId="0" applyFont="1" applyFill="1" applyBorder="1" applyAlignment="1">
      <alignment horizontal="left" vertical="top" wrapText="1"/>
    </xf>
    <xf numFmtId="0" fontId="62" fillId="4" borderId="1" xfId="0" applyFont="1" applyFill="1" applyBorder="1" applyAlignment="1">
      <alignment horizontal="left" vertical="top" wrapText="1"/>
    </xf>
    <xf numFmtId="0" fontId="19" fillId="11" borderId="1" xfId="0" applyFont="1" applyFill="1" applyBorder="1" applyAlignment="1">
      <alignment horizontal="left" vertical="top" wrapText="1"/>
    </xf>
    <xf numFmtId="0" fontId="16" fillId="11" borderId="1" xfId="0" applyFont="1" applyFill="1" applyBorder="1" applyAlignment="1">
      <alignment horizontal="left" vertical="top" wrapText="1"/>
    </xf>
    <xf numFmtId="169" fontId="19" fillId="24" borderId="1" xfId="0" applyNumberFormat="1" applyFont="1" applyFill="1" applyBorder="1" applyAlignment="1">
      <alignment horizontal="left" vertical="top" wrapText="1"/>
    </xf>
    <xf numFmtId="0" fontId="19" fillId="24" borderId="1" xfId="0" applyFont="1" applyFill="1" applyBorder="1" applyAlignment="1" applyProtection="1">
      <alignment horizontal="left" vertical="top" wrapText="1"/>
      <protection locked="0"/>
    </xf>
    <xf numFmtId="0" fontId="6" fillId="0" borderId="1" xfId="4" applyFont="1" applyBorder="1" applyAlignment="1">
      <alignment horizontal="left" vertical="top" wrapText="1"/>
    </xf>
    <xf numFmtId="0" fontId="6" fillId="0" borderId="2" xfId="4" applyFont="1" applyBorder="1" applyAlignment="1">
      <alignment horizontal="left" vertical="top" wrapText="1"/>
    </xf>
    <xf numFmtId="0" fontId="6" fillId="0" borderId="4" xfId="4" applyFont="1" applyBorder="1" applyAlignment="1">
      <alignment horizontal="left" vertical="top" wrapText="1"/>
    </xf>
    <xf numFmtId="0" fontId="6" fillId="0" borderId="3" xfId="4" applyFont="1" applyBorder="1" applyAlignment="1">
      <alignment horizontal="left" vertical="top" wrapText="1"/>
    </xf>
    <xf numFmtId="167" fontId="15" fillId="0" borderId="1" xfId="0" applyNumberFormat="1" applyFont="1" applyFill="1" applyBorder="1" applyAlignment="1">
      <alignment horizontal="left" vertical="top" wrapText="1"/>
    </xf>
    <xf numFmtId="10" fontId="15" fillId="0" borderId="1" xfId="1" applyNumberFormat="1" applyFont="1" applyFill="1" applyBorder="1" applyAlignment="1">
      <alignment horizontal="left" vertical="top" wrapText="1"/>
    </xf>
    <xf numFmtId="9" fontId="6" fillId="0" borderId="1" xfId="1" applyFont="1" applyFill="1" applyBorder="1" applyAlignment="1">
      <alignment horizontal="left" vertical="top" wrapText="1"/>
    </xf>
    <xf numFmtId="9" fontId="15" fillId="0" borderId="1" xfId="1" applyFont="1" applyFill="1" applyBorder="1" applyAlignment="1">
      <alignment horizontal="left" vertical="top" wrapText="1"/>
    </xf>
    <xf numFmtId="169" fontId="6"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xf>
    <xf numFmtId="2" fontId="15"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0" xfId="0" applyFont="1" applyFill="1" applyAlignment="1">
      <alignment horizontal="left" vertical="top" wrapText="1"/>
    </xf>
    <xf numFmtId="10" fontId="15" fillId="0" borderId="0" xfId="1" applyNumberFormat="1" applyFont="1" applyFill="1" applyAlignment="1">
      <alignment horizontal="left" vertical="top" wrapText="1"/>
    </xf>
    <xf numFmtId="0" fontId="15" fillId="24" borderId="0" xfId="0" applyFont="1" applyFill="1" applyAlignment="1">
      <alignment horizontal="left" vertical="top" wrapText="1"/>
    </xf>
    <xf numFmtId="9" fontId="16" fillId="0" borderId="1" xfId="1" applyFont="1" applyFill="1" applyBorder="1" applyAlignment="1">
      <alignment horizontal="left" vertical="top" wrapText="1"/>
    </xf>
    <xf numFmtId="171" fontId="6" fillId="0" borderId="1" xfId="1" applyNumberFormat="1" applyFont="1" applyFill="1" applyBorder="1" applyAlignment="1">
      <alignment horizontal="left" vertical="top" wrapText="1"/>
    </xf>
    <xf numFmtId="171" fontId="15" fillId="0" borderId="1" xfId="1" applyNumberFormat="1" applyFont="1" applyFill="1" applyBorder="1" applyAlignment="1">
      <alignment horizontal="left" vertical="top" wrapText="1"/>
    </xf>
    <xf numFmtId="10" fontId="15" fillId="10" borderId="1" xfId="1" applyNumberFormat="1" applyFont="1" applyFill="1" applyBorder="1" applyAlignment="1">
      <alignment horizontal="left" vertical="top" wrapText="1"/>
    </xf>
    <xf numFmtId="43" fontId="6" fillId="0" borderId="9" xfId="0" applyNumberFormat="1" applyFont="1" applyFill="1" applyBorder="1" applyAlignment="1">
      <alignment horizontal="left" vertical="top" wrapText="1"/>
    </xf>
    <xf numFmtId="168" fontId="6" fillId="0" borderId="10" xfId="0" applyNumberFormat="1" applyFont="1" applyFill="1" applyBorder="1" applyAlignment="1">
      <alignment horizontal="left" vertical="top" wrapText="1"/>
    </xf>
    <xf numFmtId="9" fontId="11" fillId="0" borderId="1" xfId="1" applyFont="1" applyFill="1" applyBorder="1" applyAlignment="1">
      <alignment horizontal="left" vertical="top" wrapText="1"/>
    </xf>
    <xf numFmtId="9" fontId="15" fillId="0" borderId="0" xfId="1" applyFont="1" applyFill="1" applyBorder="1" applyAlignment="1">
      <alignment horizontal="left" vertical="top" wrapText="1"/>
    </xf>
    <xf numFmtId="9" fontId="6" fillId="33" borderId="1" xfId="1" applyFont="1" applyFill="1" applyBorder="1" applyAlignment="1">
      <alignment horizontal="left" vertical="top" wrapText="1"/>
    </xf>
    <xf numFmtId="169" fontId="15" fillId="0" borderId="0" xfId="0" applyNumberFormat="1" applyFont="1" applyFill="1" applyAlignment="1">
      <alignment horizontal="left" vertical="top" wrapText="1"/>
    </xf>
    <xf numFmtId="14" fontId="19" fillId="0" borderId="1" xfId="6" applyNumberFormat="1" applyFont="1" applyBorder="1" applyAlignment="1" applyProtection="1">
      <alignment horizontal="left" vertical="top" wrapText="1"/>
      <protection locked="0"/>
    </xf>
    <xf numFmtId="0" fontId="15" fillId="0" borderId="3" xfId="0" applyFont="1" applyFill="1" applyBorder="1" applyAlignment="1">
      <alignment horizontal="left" vertical="top" wrapText="1"/>
    </xf>
    <xf numFmtId="9" fontId="15" fillId="0" borderId="5" xfId="1" applyFont="1" applyFill="1" applyBorder="1" applyAlignment="1">
      <alignment horizontal="left" vertical="top" wrapText="1"/>
    </xf>
    <xf numFmtId="9" fontId="6" fillId="0" borderId="3" xfId="1" applyFont="1" applyFill="1" applyBorder="1" applyAlignment="1">
      <alignment horizontal="left" vertical="top" wrapText="1"/>
    </xf>
    <xf numFmtId="0" fontId="6" fillId="0" borderId="3" xfId="1" applyNumberFormat="1" applyFont="1" applyFill="1" applyBorder="1" applyAlignment="1">
      <alignment horizontal="left" vertical="top" wrapText="1"/>
    </xf>
    <xf numFmtId="2" fontId="15" fillId="0" borderId="3" xfId="0" applyNumberFormat="1" applyFont="1" applyFill="1" applyBorder="1" applyAlignment="1">
      <alignment horizontal="left" vertical="top" wrapText="1"/>
    </xf>
    <xf numFmtId="0" fontId="6" fillId="0" borderId="0" xfId="0" applyFont="1" applyFill="1" applyAlignment="1">
      <alignment horizontal="left" vertical="top" wrapText="1"/>
    </xf>
    <xf numFmtId="0" fontId="6" fillId="24" borderId="0" xfId="0" applyFont="1" applyFill="1" applyAlignment="1">
      <alignment horizontal="left" vertical="top" wrapText="1"/>
    </xf>
    <xf numFmtId="9" fontId="15" fillId="0" borderId="0" xfId="0" applyNumberFormat="1" applyFont="1" applyFill="1" applyAlignment="1">
      <alignment horizontal="left" vertical="top" wrapText="1"/>
    </xf>
    <xf numFmtId="2" fontId="15" fillId="0" borderId="0" xfId="0" applyNumberFormat="1" applyFont="1" applyFill="1" applyAlignment="1">
      <alignment horizontal="left" vertical="top" wrapText="1"/>
    </xf>
    <xf numFmtId="0" fontId="16" fillId="17"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5" borderId="2" xfId="0" applyFont="1" applyFill="1" applyBorder="1" applyAlignment="1">
      <alignment horizontal="left" vertical="top" wrapText="1"/>
    </xf>
    <xf numFmtId="0" fontId="15" fillId="5"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15" fillId="4" borderId="2" xfId="0" applyFont="1" applyFill="1" applyBorder="1" applyAlignment="1">
      <alignment horizontal="left" vertical="top" wrapText="1"/>
    </xf>
    <xf numFmtId="0" fontId="6" fillId="4" borderId="2" xfId="0" applyFont="1" applyFill="1" applyBorder="1" applyAlignment="1">
      <alignment horizontal="left" vertical="top" wrapText="1"/>
    </xf>
    <xf numFmtId="0" fontId="15" fillId="17" borderId="3"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167" fontId="15" fillId="24" borderId="2" xfId="0" applyNumberFormat="1" applyFont="1" applyFill="1" applyBorder="1" applyAlignment="1">
      <alignment horizontal="left" vertical="top" wrapText="1"/>
    </xf>
    <xf numFmtId="167" fontId="15" fillId="24" borderId="3" xfId="0" applyNumberFormat="1"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14" borderId="4" xfId="0" applyFont="1" applyFill="1" applyBorder="1" applyAlignment="1">
      <alignment horizontal="left" vertical="top" wrapText="1"/>
    </xf>
    <xf numFmtId="0" fontId="15" fillId="34" borderId="2" xfId="0" applyFont="1" applyFill="1" applyBorder="1" applyAlignment="1">
      <alignment horizontal="left" vertical="top" wrapText="1"/>
    </xf>
    <xf numFmtId="0" fontId="15" fillId="34" borderId="3" xfId="0" applyFont="1" applyFill="1" applyBorder="1" applyAlignment="1">
      <alignment horizontal="left" vertical="top" wrapText="1"/>
    </xf>
    <xf numFmtId="0" fontId="15" fillId="22" borderId="1" xfId="0" applyFont="1" applyFill="1" applyBorder="1" applyAlignment="1">
      <alignment horizontal="left" vertical="top" wrapText="1"/>
    </xf>
    <xf numFmtId="0" fontId="6" fillId="20" borderId="2" xfId="0" applyFont="1" applyFill="1" applyBorder="1" applyAlignment="1">
      <alignment horizontal="left" vertical="top" wrapText="1"/>
    </xf>
    <xf numFmtId="0" fontId="6" fillId="14" borderId="2" xfId="0" applyFont="1" applyFill="1" applyBorder="1" applyAlignment="1">
      <alignment horizontal="left" vertical="top" wrapText="1"/>
    </xf>
    <xf numFmtId="0" fontId="6" fillId="14" borderId="4" xfId="0" applyFont="1" applyFill="1" applyBorder="1" applyAlignment="1">
      <alignment horizontal="left" vertical="top" wrapText="1"/>
    </xf>
    <xf numFmtId="9" fontId="15" fillId="0" borderId="18" xfId="1" applyFont="1" applyFill="1" applyBorder="1" applyAlignment="1">
      <alignment horizontal="left" vertical="top" wrapText="1"/>
    </xf>
    <xf numFmtId="0" fontId="15" fillId="11" borderId="1" xfId="0" applyFont="1" applyFill="1" applyBorder="1" applyAlignment="1">
      <alignment horizontal="left" vertical="top" wrapText="1"/>
    </xf>
    <xf numFmtId="0" fontId="15" fillId="12"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13" borderId="2" xfId="0" applyFont="1" applyFill="1" applyBorder="1" applyAlignment="1">
      <alignment horizontal="left" vertical="top" wrapText="1"/>
    </xf>
    <xf numFmtId="0" fontId="19" fillId="22" borderId="4" xfId="0" applyFont="1" applyFill="1" applyBorder="1" applyAlignment="1" applyProtection="1">
      <alignment horizontal="left" vertical="top" wrapText="1"/>
      <protection locked="0"/>
    </xf>
    <xf numFmtId="0" fontId="6" fillId="34" borderId="2" xfId="0" applyFont="1" applyFill="1" applyBorder="1" applyAlignment="1">
      <alignment horizontal="left" vertical="top" wrapText="1"/>
    </xf>
    <xf numFmtId="0" fontId="6" fillId="34" borderId="3" xfId="0" applyFont="1" applyFill="1" applyBorder="1" applyAlignment="1">
      <alignment horizontal="left" vertical="top" wrapText="1"/>
    </xf>
    <xf numFmtId="0" fontId="6" fillId="34" borderId="1" xfId="0" applyFont="1" applyFill="1" applyBorder="1" applyAlignment="1">
      <alignment horizontal="left" vertical="top" wrapText="1"/>
    </xf>
    <xf numFmtId="0" fontId="15" fillId="17" borderId="1" xfId="0" applyFont="1" applyFill="1" applyBorder="1" applyAlignment="1">
      <alignment horizontal="left" vertical="top" wrapText="1"/>
    </xf>
    <xf numFmtId="0" fontId="33" fillId="31" borderId="3" xfId="0" applyFont="1" applyFill="1" applyBorder="1" applyAlignment="1">
      <alignment horizontal="center" vertical="top" wrapText="1"/>
    </xf>
    <xf numFmtId="10" fontId="0" fillId="0" borderId="0" xfId="1" applyNumberFormat="1" applyFont="1" applyFill="1" applyAlignment="1">
      <alignment horizontal="left" vertical="top" wrapText="1"/>
    </xf>
    <xf numFmtId="0" fontId="34" fillId="24" borderId="7" xfId="0" applyFont="1" applyFill="1" applyBorder="1" applyAlignment="1">
      <alignment vertical="top" wrapText="1"/>
    </xf>
    <xf numFmtId="0" fontId="34" fillId="24" borderId="1" xfId="0" applyFont="1" applyFill="1" applyBorder="1" applyAlignment="1">
      <alignment vertical="top" wrapText="1"/>
    </xf>
    <xf numFmtId="9" fontId="49" fillId="24" borderId="1" xfId="1" applyFont="1" applyFill="1" applyBorder="1" applyAlignment="1">
      <alignment horizontal="left" vertical="top" wrapText="1"/>
    </xf>
    <xf numFmtId="9" fontId="39" fillId="24" borderId="1" xfId="14" applyNumberFormat="1" applyFont="1" applyFill="1" applyBorder="1" applyAlignment="1">
      <alignment horizontal="left" vertical="top" wrapText="1"/>
    </xf>
    <xf numFmtId="9" fontId="49" fillId="32" borderId="46" xfId="0" applyNumberFormat="1" applyFont="1" applyFill="1" applyBorder="1" applyAlignment="1">
      <alignment horizontal="left" vertical="top" wrapText="1"/>
    </xf>
    <xf numFmtId="0" fontId="35" fillId="31" borderId="16" xfId="0" applyFont="1" applyFill="1" applyBorder="1" applyAlignment="1">
      <alignment horizontal="center" vertical="center" wrapText="1"/>
    </xf>
    <xf numFmtId="0" fontId="49" fillId="0" borderId="1" xfId="0" applyFont="1" applyBorder="1" applyAlignment="1">
      <alignment vertical="top" wrapText="1"/>
    </xf>
    <xf numFmtId="167" fontId="72" fillId="0" borderId="1" xfId="0" applyNumberFormat="1" applyFont="1" applyFill="1" applyBorder="1" applyAlignment="1">
      <alignment horizontal="left" vertical="top" wrapText="1"/>
    </xf>
    <xf numFmtId="0" fontId="11" fillId="6" borderId="1"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3" borderId="1" xfId="0" applyFont="1" applyFill="1" applyBorder="1" applyAlignment="1">
      <alignment horizontal="left" vertical="top" wrapText="1"/>
    </xf>
    <xf numFmtId="0" fontId="12" fillId="14" borderId="1" xfId="0" applyFont="1" applyFill="1" applyBorder="1" applyAlignment="1" applyProtection="1">
      <alignment horizontal="left" vertical="top" wrapText="1"/>
      <protection locked="0"/>
    </xf>
    <xf numFmtId="0" fontId="12" fillId="22"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wrapText="1"/>
    </xf>
    <xf numFmtId="169" fontId="16" fillId="24" borderId="1" xfId="11" applyNumberFormat="1" applyFont="1" applyFill="1" applyBorder="1" applyAlignment="1">
      <alignment horizontal="left" vertical="top" wrapText="1"/>
    </xf>
    <xf numFmtId="170" fontId="16" fillId="24" borderId="1" xfId="11" applyNumberFormat="1" applyFont="1" applyFill="1" applyBorder="1" applyAlignment="1">
      <alignment horizontal="left" vertical="top" wrapText="1"/>
    </xf>
    <xf numFmtId="169" fontId="19" fillId="24" borderId="15" xfId="11" applyNumberFormat="1" applyFont="1" applyFill="1" applyBorder="1" applyAlignment="1">
      <alignment horizontal="left" vertical="top" wrapText="1"/>
    </xf>
    <xf numFmtId="169" fontId="19" fillId="24" borderId="16" xfId="11" applyNumberFormat="1" applyFont="1" applyFill="1" applyBorder="1" applyAlignment="1">
      <alignment horizontal="left" vertical="top" wrapText="1"/>
    </xf>
    <xf numFmtId="169" fontId="19" fillId="24" borderId="1" xfId="11" applyNumberFormat="1" applyFont="1" applyFill="1" applyBorder="1" applyAlignment="1">
      <alignment horizontal="left" vertical="top" wrapText="1"/>
    </xf>
    <xf numFmtId="166" fontId="19" fillId="24" borderId="1" xfId="11" applyFont="1" applyFill="1" applyBorder="1" applyAlignment="1">
      <alignment horizontal="left" vertical="top" wrapText="1"/>
    </xf>
    <xf numFmtId="169" fontId="16" fillId="24" borderId="1" xfId="12" applyNumberFormat="1" applyFont="1" applyFill="1" applyBorder="1" applyAlignment="1">
      <alignment horizontal="left" vertical="top" wrapText="1"/>
    </xf>
    <xf numFmtId="14" fontId="72" fillId="0" borderId="1" xfId="0" applyNumberFormat="1" applyFont="1" applyFill="1" applyBorder="1" applyAlignment="1">
      <alignment horizontal="left" vertical="top" wrapText="1"/>
    </xf>
    <xf numFmtId="164" fontId="15" fillId="35" borderId="1" xfId="0" applyNumberFormat="1" applyFont="1" applyFill="1" applyBorder="1" applyAlignment="1">
      <alignment horizontal="left" vertical="top" wrapText="1"/>
    </xf>
    <xf numFmtId="164" fontId="15" fillId="35" borderId="18" xfId="0" applyNumberFormat="1" applyFont="1" applyFill="1" applyBorder="1" applyAlignment="1">
      <alignment horizontal="left" vertical="top" wrapText="1"/>
    </xf>
    <xf numFmtId="164" fontId="15" fillId="24" borderId="1" xfId="0" applyNumberFormat="1" applyFont="1" applyFill="1" applyBorder="1" applyAlignment="1">
      <alignment horizontal="left" vertical="top" wrapText="1"/>
    </xf>
    <xf numFmtId="172" fontId="16" fillId="24" borderId="4" xfId="10" applyNumberFormat="1" applyFont="1" applyFill="1" applyBorder="1" applyAlignment="1">
      <alignment horizontal="left" vertical="top" wrapText="1"/>
    </xf>
    <xf numFmtId="172" fontId="15" fillId="24" borderId="1" xfId="0" applyNumberFormat="1" applyFont="1" applyFill="1" applyBorder="1" applyAlignment="1">
      <alignment horizontal="left" vertical="top" wrapText="1"/>
    </xf>
    <xf numFmtId="172" fontId="16" fillId="24" borderId="1" xfId="10" applyNumberFormat="1" applyFont="1" applyFill="1" applyBorder="1" applyAlignment="1">
      <alignment horizontal="left" vertical="top" wrapText="1"/>
    </xf>
    <xf numFmtId="172" fontId="15" fillId="24" borderId="1" xfId="11" applyNumberFormat="1" applyFont="1" applyFill="1" applyBorder="1" applyAlignment="1">
      <alignment horizontal="left" vertical="top" wrapText="1"/>
    </xf>
    <xf numFmtId="172" fontId="15" fillId="24" borderId="0" xfId="0" applyNumberFormat="1" applyFont="1" applyFill="1" applyAlignment="1">
      <alignment horizontal="left" vertical="top" wrapText="1"/>
    </xf>
    <xf numFmtId="169" fontId="15" fillId="24" borderId="1" xfId="11" applyNumberFormat="1" applyFont="1" applyFill="1" applyBorder="1" applyAlignment="1">
      <alignment horizontal="left" vertical="top" wrapText="1"/>
    </xf>
    <xf numFmtId="14" fontId="72" fillId="0" borderId="8" xfId="0" applyNumberFormat="1" applyFont="1" applyFill="1" applyBorder="1" applyAlignment="1">
      <alignment horizontal="left" vertical="top" wrapText="1"/>
    </xf>
    <xf numFmtId="0" fontId="71" fillId="0" borderId="0" xfId="0" applyFont="1" applyFill="1" applyAlignment="1">
      <alignment horizontal="left" vertical="top" wrapText="1"/>
    </xf>
    <xf numFmtId="0" fontId="73" fillId="0" borderId="0" xfId="0" applyFont="1" applyFill="1" applyAlignment="1">
      <alignment horizontal="left" vertical="top" wrapText="1"/>
    </xf>
    <xf numFmtId="9" fontId="64" fillId="2" borderId="1" xfId="0" applyNumberFormat="1" applyFont="1" applyFill="1" applyBorder="1" applyAlignment="1">
      <alignment horizontal="left" vertical="top" wrapText="1"/>
    </xf>
    <xf numFmtId="0" fontId="64" fillId="2" borderId="1" xfId="0" applyFont="1" applyFill="1" applyBorder="1" applyAlignment="1">
      <alignment horizontal="left" vertical="top" wrapText="1"/>
    </xf>
    <xf numFmtId="10" fontId="64" fillId="2" borderId="1" xfId="1" applyNumberFormat="1" applyFont="1" applyFill="1" applyBorder="1" applyAlignment="1">
      <alignment horizontal="left" vertical="top" wrapText="1"/>
    </xf>
    <xf numFmtId="2" fontId="64" fillId="2" borderId="1" xfId="0" applyNumberFormat="1" applyFont="1" applyFill="1" applyBorder="1" applyAlignment="1">
      <alignment horizontal="left" vertical="top" wrapText="1"/>
    </xf>
    <xf numFmtId="0" fontId="64" fillId="2" borderId="2" xfId="0" applyFont="1" applyFill="1" applyBorder="1" applyAlignment="1">
      <alignment horizontal="left" vertical="top" wrapText="1"/>
    </xf>
    <xf numFmtId="0" fontId="64" fillId="2" borderId="3" xfId="0" applyFont="1" applyFill="1" applyBorder="1" applyAlignment="1">
      <alignment horizontal="left" vertical="top" wrapText="1"/>
    </xf>
    <xf numFmtId="0" fontId="64" fillId="2" borderId="4" xfId="0" applyFont="1" applyFill="1" applyBorder="1" applyAlignment="1">
      <alignment horizontal="left" vertical="top"/>
    </xf>
    <xf numFmtId="0" fontId="70" fillId="2" borderId="1" xfId="0" applyFont="1" applyFill="1" applyBorder="1" applyAlignment="1">
      <alignment horizontal="left" vertical="top" wrapText="1"/>
    </xf>
    <xf numFmtId="0" fontId="77" fillId="2" borderId="2" xfId="0" applyFont="1" applyFill="1" applyBorder="1" applyAlignment="1">
      <alignment horizontal="left" vertical="top" wrapText="1"/>
    </xf>
    <xf numFmtId="2" fontId="80" fillId="0" borderId="0" xfId="0" applyNumberFormat="1" applyFont="1" applyFill="1" applyAlignment="1">
      <alignment horizontal="left" vertical="top" wrapText="1"/>
    </xf>
    <xf numFmtId="0" fontId="80" fillId="0" borderId="0" xfId="0" applyFont="1" applyFill="1" applyAlignment="1">
      <alignment horizontal="left" vertical="top" wrapText="1"/>
    </xf>
    <xf numFmtId="2" fontId="4" fillId="0" borderId="0" xfId="0" applyNumberFormat="1" applyFont="1" applyFill="1" applyAlignment="1">
      <alignment horizontal="left" vertical="top" wrapText="1"/>
    </xf>
    <xf numFmtId="0" fontId="0" fillId="0" borderId="0" xfId="0" applyFill="1" applyAlignment="1">
      <alignment vertical="top" wrapText="1"/>
    </xf>
    <xf numFmtId="0" fontId="82" fillId="25" borderId="1" xfId="0" applyFont="1" applyFill="1" applyBorder="1" applyAlignment="1">
      <alignment horizontal="left" vertical="center" wrapText="1"/>
    </xf>
    <xf numFmtId="0" fontId="17" fillId="25" borderId="1" xfId="0" applyFont="1" applyFill="1" applyBorder="1" applyAlignment="1">
      <alignment vertical="center" wrapText="1"/>
    </xf>
    <xf numFmtId="0" fontId="82" fillId="25" borderId="86" xfId="0" applyFont="1" applyFill="1" applyBorder="1" applyAlignment="1">
      <alignment horizontal="left" vertical="center" wrapText="1"/>
    </xf>
    <xf numFmtId="0" fontId="17" fillId="25" borderId="1" xfId="0" applyFont="1" applyFill="1" applyBorder="1" applyAlignment="1">
      <alignment horizontal="left" vertical="center" wrapText="1"/>
    </xf>
    <xf numFmtId="0" fontId="82" fillId="25" borderId="2" xfId="0" applyFont="1" applyFill="1" applyBorder="1" applyAlignment="1">
      <alignment horizontal="left" vertical="center" wrapText="1"/>
    </xf>
    <xf numFmtId="0" fontId="17" fillId="25" borderId="86" xfId="0" applyFont="1" applyFill="1" applyBorder="1" applyAlignment="1">
      <alignment horizontal="left" vertical="center" wrapText="1"/>
    </xf>
    <xf numFmtId="0" fontId="17" fillId="25" borderId="2" xfId="0" applyFont="1" applyFill="1" applyBorder="1" applyAlignment="1">
      <alignment horizontal="left" vertical="center" wrapText="1"/>
    </xf>
    <xf numFmtId="0" fontId="17" fillId="25" borderId="13" xfId="0" applyFont="1" applyFill="1" applyBorder="1" applyAlignment="1">
      <alignment vertical="center" wrapText="1"/>
    </xf>
    <xf numFmtId="0" fontId="82" fillId="25" borderId="87" xfId="0" applyFont="1" applyFill="1" applyBorder="1" applyAlignment="1">
      <alignment vertical="center" wrapText="1"/>
    </xf>
    <xf numFmtId="0" fontId="0" fillId="16" borderId="0" xfId="0" applyFill="1"/>
    <xf numFmtId="0" fontId="0" fillId="16" borderId="0" xfId="0" applyFill="1" applyAlignment="1">
      <alignment horizontal="left" vertical="top" wrapText="1"/>
    </xf>
    <xf numFmtId="0" fontId="82" fillId="36" borderId="1" xfId="0" applyFont="1" applyFill="1" applyBorder="1" applyAlignment="1">
      <alignment horizontal="left" vertical="center" wrapText="1"/>
    </xf>
    <xf numFmtId="0" fontId="17" fillId="36" borderId="1" xfId="0" applyFont="1" applyFill="1" applyBorder="1" applyAlignment="1">
      <alignment horizontal="left" vertical="center" wrapText="1"/>
    </xf>
    <xf numFmtId="0" fontId="82" fillId="25" borderId="13" xfId="0" applyFont="1" applyFill="1" applyBorder="1" applyAlignment="1">
      <alignment horizontal="left" vertical="center" wrapText="1"/>
    </xf>
    <xf numFmtId="0" fontId="84" fillId="25" borderId="20"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82" fillId="25" borderId="88" xfId="0" applyFont="1" applyFill="1" applyBorder="1" applyAlignment="1">
      <alignment horizontal="left" vertical="center" wrapText="1"/>
    </xf>
    <xf numFmtId="0" fontId="82" fillId="25" borderId="35" xfId="0" applyFont="1" applyFill="1" applyBorder="1" applyAlignment="1">
      <alignment horizontal="left" vertical="center" wrapText="1"/>
    </xf>
    <xf numFmtId="0" fontId="17" fillId="25" borderId="35" xfId="0" applyFont="1" applyFill="1" applyBorder="1" applyAlignment="1">
      <alignment horizontal="left" vertical="center" wrapText="1"/>
    </xf>
    <xf numFmtId="0" fontId="82" fillId="25" borderId="86" xfId="0" applyFont="1" applyFill="1" applyBorder="1" applyAlignment="1">
      <alignment vertical="center" wrapText="1"/>
    </xf>
    <xf numFmtId="0" fontId="82" fillId="36" borderId="20" xfId="0" applyFont="1" applyFill="1" applyBorder="1" applyAlignment="1">
      <alignment vertical="center" wrapText="1"/>
    </xf>
    <xf numFmtId="0" fontId="17" fillId="36" borderId="3" xfId="0" applyFont="1" applyFill="1" applyBorder="1" applyAlignment="1">
      <alignment vertical="center" wrapText="1"/>
    </xf>
    <xf numFmtId="0" fontId="84" fillId="25" borderId="1" xfId="0" applyFont="1" applyFill="1" applyBorder="1" applyAlignment="1">
      <alignment horizontal="left" vertical="center" wrapText="1"/>
    </xf>
    <xf numFmtId="0" fontId="17" fillId="36" borderId="13" xfId="0" applyFont="1" applyFill="1" applyBorder="1" applyAlignment="1">
      <alignment vertical="center" wrapText="1"/>
    </xf>
    <xf numFmtId="0" fontId="17" fillId="25" borderId="86" xfId="0" applyFont="1" applyFill="1" applyBorder="1" applyAlignment="1">
      <alignment vertical="center" wrapText="1"/>
    </xf>
    <xf numFmtId="0" fontId="17" fillId="25" borderId="2" xfId="0" applyFont="1" applyFill="1" applyBorder="1" applyAlignment="1">
      <alignment vertical="center" wrapText="1"/>
    </xf>
    <xf numFmtId="0" fontId="84" fillId="25" borderId="13" xfId="0" applyFont="1" applyFill="1" applyBorder="1" applyAlignment="1">
      <alignment vertical="center" wrapText="1"/>
    </xf>
    <xf numFmtId="0" fontId="17" fillId="36" borderId="1" xfId="0" applyFont="1" applyFill="1" applyBorder="1" applyAlignment="1">
      <alignment vertical="center" wrapText="1"/>
    </xf>
    <xf numFmtId="0" fontId="0" fillId="0" borderId="0" xfId="0" applyFill="1" applyAlignment="1">
      <alignment horizontal="left" vertical="top"/>
    </xf>
    <xf numFmtId="0" fontId="17" fillId="24" borderId="0" xfId="0" applyFont="1" applyFill="1" applyAlignment="1">
      <alignment horizontal="left" vertical="center" wrapText="1"/>
    </xf>
    <xf numFmtId="0" fontId="82" fillId="24" borderId="0" xfId="0" applyFont="1" applyFill="1" applyAlignment="1">
      <alignment horizontal="left" vertical="center" wrapText="1"/>
    </xf>
    <xf numFmtId="0" fontId="84" fillId="24" borderId="0" xfId="0" applyFont="1" applyFill="1" applyAlignment="1">
      <alignment horizontal="left" vertical="center" wrapText="1"/>
    </xf>
    <xf numFmtId="0" fontId="82" fillId="24" borderId="0" xfId="0" applyFont="1" applyFill="1" applyAlignment="1">
      <alignment vertical="center" wrapText="1"/>
    </xf>
    <xf numFmtId="0" fontId="84" fillId="24" borderId="0" xfId="0" applyFont="1" applyFill="1" applyAlignment="1">
      <alignment vertical="center" wrapText="1"/>
    </xf>
    <xf numFmtId="0" fontId="0" fillId="24" borderId="0" xfId="0" applyFill="1" applyAlignment="1">
      <alignment horizontal="left" vertical="top" wrapText="1"/>
    </xf>
    <xf numFmtId="0" fontId="0" fillId="0" borderId="0" xfId="0" applyFill="1" applyAlignment="1">
      <alignment vertical="top"/>
    </xf>
    <xf numFmtId="0" fontId="87" fillId="0" borderId="0" xfId="0" applyFont="1" applyFill="1" applyAlignment="1">
      <alignment vertical="top"/>
    </xf>
    <xf numFmtId="0" fontId="17" fillId="24" borderId="82" xfId="0" applyFont="1" applyFill="1" applyBorder="1" applyAlignment="1">
      <alignment horizontal="left" vertical="top" wrapText="1"/>
    </xf>
    <xf numFmtId="0" fontId="17" fillId="24" borderId="7" xfId="0" applyFont="1" applyFill="1" applyBorder="1" applyAlignment="1">
      <alignment horizontal="left" vertical="top" wrapText="1"/>
    </xf>
    <xf numFmtId="0" fontId="82" fillId="24" borderId="1" xfId="0" applyFont="1" applyFill="1" applyBorder="1" applyAlignment="1">
      <alignment horizontal="left" vertical="top" wrapText="1"/>
    </xf>
    <xf numFmtId="0" fontId="17" fillId="24" borderId="16" xfId="0" applyFont="1" applyFill="1" applyBorder="1" applyAlignment="1">
      <alignment horizontal="left" vertical="top" wrapText="1"/>
    </xf>
    <xf numFmtId="0" fontId="82" fillId="24" borderId="7" xfId="0" applyFont="1" applyFill="1" applyBorder="1" applyAlignment="1">
      <alignment horizontal="left" vertical="top" wrapText="1"/>
    </xf>
    <xf numFmtId="0" fontId="82" fillId="24" borderId="16" xfId="0" applyFont="1" applyFill="1" applyBorder="1" applyAlignment="1">
      <alignment horizontal="left" vertical="top" wrapText="1"/>
    </xf>
    <xf numFmtId="0" fontId="82" fillId="24" borderId="83" xfId="0" applyFont="1" applyFill="1" applyBorder="1" applyAlignment="1">
      <alignment vertical="top" wrapText="1"/>
    </xf>
    <xf numFmtId="0" fontId="17" fillId="24" borderId="83" xfId="0" applyFont="1" applyFill="1" applyBorder="1" applyAlignment="1">
      <alignment horizontal="left" vertical="top" wrapText="1"/>
    </xf>
    <xf numFmtId="0" fontId="17" fillId="24" borderId="84" xfId="0" applyFont="1" applyFill="1" applyBorder="1" applyAlignment="1">
      <alignment horizontal="left" vertical="top" wrapText="1"/>
    </xf>
    <xf numFmtId="0" fontId="82" fillId="24" borderId="85" xfId="0" applyFont="1" applyFill="1" applyBorder="1" applyAlignment="1">
      <alignment horizontal="left" vertical="top" wrapText="1"/>
    </xf>
    <xf numFmtId="0" fontId="82" fillId="24" borderId="82" xfId="0" applyFont="1" applyFill="1" applyBorder="1" applyAlignment="1">
      <alignment vertical="top" wrapText="1"/>
    </xf>
    <xf numFmtId="0" fontId="82" fillId="24" borderId="84" xfId="0" applyFont="1" applyFill="1" applyBorder="1" applyAlignment="1">
      <alignment vertical="top" wrapText="1"/>
    </xf>
    <xf numFmtId="0" fontId="17" fillId="24" borderId="16" xfId="0" applyFont="1" applyFill="1" applyBorder="1" applyAlignment="1">
      <alignment vertical="top" wrapText="1"/>
    </xf>
    <xf numFmtId="0" fontId="17" fillId="24" borderId="1" xfId="0" applyFont="1" applyFill="1" applyBorder="1" applyAlignment="1">
      <alignment vertical="top" wrapText="1"/>
    </xf>
    <xf numFmtId="0" fontId="82" fillId="24" borderId="86" xfId="0" applyFont="1" applyFill="1" applyBorder="1" applyAlignment="1">
      <alignment horizontal="left" vertical="top" wrapText="1"/>
    </xf>
    <xf numFmtId="0" fontId="17" fillId="24" borderId="1" xfId="0" applyFont="1" applyFill="1" applyBorder="1" applyAlignment="1">
      <alignment horizontal="left" vertical="top" wrapText="1"/>
    </xf>
    <xf numFmtId="0" fontId="82" fillId="24" borderId="2" xfId="0" applyFont="1" applyFill="1" applyBorder="1" applyAlignment="1">
      <alignment horizontal="left" vertical="top" wrapText="1"/>
    </xf>
    <xf numFmtId="0" fontId="17" fillId="24" borderId="86" xfId="0" applyFont="1" applyFill="1" applyBorder="1" applyAlignment="1">
      <alignment horizontal="left" vertical="top" wrapText="1"/>
    </xf>
    <xf numFmtId="0" fontId="17" fillId="24" borderId="2" xfId="0" applyFont="1" applyFill="1" applyBorder="1" applyAlignment="1">
      <alignment horizontal="left" vertical="top" wrapText="1"/>
    </xf>
    <xf numFmtId="0" fontId="17" fillId="24" borderId="13" xfId="0" applyFont="1" applyFill="1" applyBorder="1" applyAlignment="1">
      <alignment vertical="top" wrapText="1"/>
    </xf>
    <xf numFmtId="0" fontId="17" fillId="24" borderId="82" xfId="0" applyFont="1" applyFill="1" applyBorder="1" applyAlignment="1">
      <alignment vertical="top" wrapText="1"/>
    </xf>
    <xf numFmtId="0" fontId="17" fillId="24" borderId="83" xfId="0" applyFont="1" applyFill="1" applyBorder="1" applyAlignment="1">
      <alignment vertical="top" wrapText="1"/>
    </xf>
    <xf numFmtId="0" fontId="17" fillId="24" borderId="19" xfId="0" applyFont="1" applyFill="1" applyBorder="1" applyAlignment="1">
      <alignment vertical="top" wrapText="1"/>
    </xf>
    <xf numFmtId="0" fontId="17" fillId="24" borderId="21" xfId="0" applyFont="1" applyFill="1" applyBorder="1" applyAlignment="1">
      <alignment vertical="top" wrapText="1"/>
    </xf>
    <xf numFmtId="0" fontId="82" fillId="24" borderId="87" xfId="0" applyFont="1" applyFill="1" applyBorder="1" applyAlignment="1">
      <alignment vertical="top" wrapText="1"/>
    </xf>
    <xf numFmtId="0" fontId="64" fillId="2" borderId="1" xfId="0" applyFont="1" applyFill="1" applyBorder="1" applyAlignment="1">
      <alignment horizontal="center" vertical="center" wrapText="1"/>
    </xf>
    <xf numFmtId="0" fontId="0" fillId="0" borderId="1" xfId="0" applyFill="1" applyBorder="1" applyAlignment="1">
      <alignment vertical="top" wrapText="1"/>
    </xf>
    <xf numFmtId="0" fontId="4" fillId="0" borderId="0" xfId="16" applyFill="1"/>
    <xf numFmtId="0" fontId="4" fillId="0" borderId="0" xfId="16" applyFill="1" applyAlignment="1">
      <alignment horizontal="center"/>
    </xf>
    <xf numFmtId="0" fontId="4" fillId="37" borderId="89" xfId="16" applyFill="1" applyBorder="1"/>
    <xf numFmtId="0" fontId="4" fillId="37" borderId="90" xfId="16" applyFill="1" applyBorder="1"/>
    <xf numFmtId="173" fontId="87" fillId="37" borderId="90" xfId="16" applyNumberFormat="1" applyFont="1" applyFill="1" applyBorder="1" applyAlignment="1">
      <alignment vertical="center" wrapText="1"/>
    </xf>
    <xf numFmtId="0" fontId="4" fillId="37" borderId="90" xfId="16" applyFill="1" applyBorder="1" applyAlignment="1">
      <alignment horizontal="center"/>
    </xf>
    <xf numFmtId="0" fontId="4" fillId="37" borderId="91" xfId="16" applyFill="1" applyBorder="1" applyAlignment="1">
      <alignment horizontal="center"/>
    </xf>
    <xf numFmtId="173" fontId="87" fillId="37" borderId="92" xfId="16" applyNumberFormat="1" applyFont="1" applyFill="1" applyBorder="1"/>
    <xf numFmtId="0" fontId="87" fillId="37" borderId="1" xfId="16" applyFont="1" applyFill="1" applyBorder="1" applyAlignment="1">
      <alignment horizontal="center" vertical="top" wrapText="1"/>
    </xf>
    <xf numFmtId="173" fontId="87" fillId="37" borderId="1" xfId="16" applyNumberFormat="1" applyFont="1" applyFill="1" applyBorder="1" applyAlignment="1">
      <alignment vertical="center" wrapText="1"/>
    </xf>
    <xf numFmtId="0" fontId="87" fillId="37" borderId="1" xfId="16" applyFont="1" applyFill="1" applyBorder="1" applyAlignment="1">
      <alignment vertical="top" wrapText="1"/>
    </xf>
    <xf numFmtId="173" fontId="87" fillId="26" borderId="1" xfId="16" applyNumberFormat="1" applyFont="1" applyFill="1" applyBorder="1" applyAlignment="1">
      <alignment vertical="center" wrapText="1"/>
    </xf>
    <xf numFmtId="0" fontId="87" fillId="26" borderId="1" xfId="16" applyFont="1" applyFill="1" applyBorder="1" applyAlignment="1">
      <alignment vertical="top" wrapText="1"/>
    </xf>
    <xf numFmtId="0" fontId="4" fillId="0" borderId="0" xfId="16" applyFill="1" applyAlignment="1">
      <alignment vertical="top" wrapText="1"/>
    </xf>
    <xf numFmtId="173" fontId="89" fillId="26" borderId="1" xfId="16" applyNumberFormat="1" applyFont="1" applyFill="1" applyBorder="1" applyAlignment="1">
      <alignment horizontal="center" vertical="top" wrapText="1"/>
    </xf>
    <xf numFmtId="0" fontId="87" fillId="26" borderId="1" xfId="16" applyFont="1" applyFill="1" applyBorder="1" applyAlignment="1">
      <alignment horizontal="center" vertical="top" wrapText="1"/>
    </xf>
    <xf numFmtId="0" fontId="90" fillId="0" borderId="2" xfId="16" applyFont="1" applyFill="1" applyBorder="1" applyAlignment="1">
      <alignment horizontal="left" vertical="top" wrapText="1"/>
    </xf>
    <xf numFmtId="0" fontId="90" fillId="0" borderId="1" xfId="16" applyFont="1" applyFill="1" applyBorder="1" applyAlignment="1">
      <alignment horizontal="left" vertical="top" wrapText="1"/>
    </xf>
    <xf numFmtId="173" fontId="91" fillId="0" borderId="1" xfId="16" applyNumberFormat="1" applyFont="1" applyFill="1" applyBorder="1" applyAlignment="1">
      <alignment horizontal="center" vertical="top"/>
    </xf>
    <xf numFmtId="0" fontId="90" fillId="37" borderId="1" xfId="16" applyFont="1" applyFill="1" applyBorder="1" applyAlignment="1">
      <alignment horizontal="center" vertical="top" wrapText="1"/>
    </xf>
    <xf numFmtId="0" fontId="90" fillId="37" borderId="2" xfId="16" applyFont="1" applyFill="1" applyBorder="1" applyAlignment="1">
      <alignment horizontal="center" vertical="top" wrapText="1"/>
    </xf>
    <xf numFmtId="174" fontId="92" fillId="0" borderId="1" xfId="16" applyNumberFormat="1" applyFont="1" applyFill="1" applyBorder="1" applyAlignment="1">
      <alignment horizontal="left" vertical="top" wrapText="1"/>
    </xf>
    <xf numFmtId="0" fontId="90" fillId="0" borderId="1" xfId="16" applyFont="1" applyFill="1" applyBorder="1" applyAlignment="1">
      <alignment horizontal="center" vertical="top" wrapText="1"/>
    </xf>
    <xf numFmtId="0" fontId="90" fillId="0" borderId="1" xfId="16" applyFont="1" applyFill="1" applyBorder="1" applyAlignment="1">
      <alignment vertical="top" wrapText="1"/>
    </xf>
    <xf numFmtId="0" fontId="89" fillId="0" borderId="2" xfId="16" applyFont="1" applyFill="1" applyBorder="1" applyAlignment="1">
      <alignment horizontal="center" vertical="center" wrapText="1"/>
    </xf>
    <xf numFmtId="17" fontId="90" fillId="0" borderId="1" xfId="16" quotePrefix="1" applyNumberFormat="1" applyFont="1" applyFill="1" applyBorder="1" applyAlignment="1">
      <alignment vertical="top" wrapText="1"/>
    </xf>
    <xf numFmtId="0" fontId="90" fillId="0" borderId="1" xfId="16" quotePrefix="1" applyFont="1" applyFill="1" applyBorder="1" applyAlignment="1">
      <alignment vertical="top" wrapText="1"/>
    </xf>
    <xf numFmtId="0" fontId="89" fillId="0" borderId="1" xfId="16" applyFont="1" applyFill="1" applyBorder="1" applyAlignment="1">
      <alignment horizontal="center" vertical="center" wrapText="1"/>
    </xf>
    <xf numFmtId="0" fontId="90" fillId="38" borderId="1" xfId="16" applyFont="1" applyFill="1" applyBorder="1" applyAlignment="1">
      <alignment horizontal="center" vertical="top" wrapText="1"/>
    </xf>
    <xf numFmtId="0" fontId="90" fillId="38" borderId="2" xfId="16" applyFont="1" applyFill="1" applyBorder="1" applyAlignment="1">
      <alignment horizontal="center" vertical="top" wrapText="1"/>
    </xf>
    <xf numFmtId="0" fontId="90" fillId="0" borderId="0" xfId="16" applyFont="1" applyFill="1" applyAlignment="1">
      <alignment vertical="top" wrapText="1"/>
    </xf>
    <xf numFmtId="14" fontId="90" fillId="24" borderId="1" xfId="16" applyNumberFormat="1" applyFont="1" applyFill="1" applyBorder="1" applyAlignment="1">
      <alignment horizontal="center" vertical="center" wrapText="1"/>
    </xf>
    <xf numFmtId="166" fontId="90" fillId="24" borderId="1" xfId="17" applyFont="1" applyFill="1" applyBorder="1" applyAlignment="1">
      <alignment horizontal="center" vertical="center" wrapText="1"/>
    </xf>
    <xf numFmtId="175" fontId="90" fillId="24" borderId="93" xfId="16" applyNumberFormat="1" applyFont="1" applyFill="1" applyBorder="1" applyAlignment="1">
      <alignment horizontal="center" vertical="center" wrapText="1"/>
    </xf>
    <xf numFmtId="0" fontId="90" fillId="24" borderId="93" xfId="16" applyFont="1" applyFill="1" applyBorder="1" applyAlignment="1">
      <alignment horizontal="center" vertical="center" wrapText="1"/>
    </xf>
    <xf numFmtId="0" fontId="90" fillId="0" borderId="93" xfId="16" applyFont="1" applyFill="1" applyBorder="1" applyAlignment="1">
      <alignment vertical="top" wrapText="1"/>
    </xf>
    <xf numFmtId="0" fontId="90" fillId="0" borderId="93" xfId="16" applyFont="1" applyFill="1" applyBorder="1" applyAlignment="1">
      <alignment horizontal="center" vertical="top" wrapText="1"/>
    </xf>
    <xf numFmtId="0" fontId="93" fillId="24" borderId="93" xfId="16" applyFont="1" applyFill="1" applyBorder="1" applyAlignment="1">
      <alignment horizontal="center" vertical="center" wrapText="1"/>
    </xf>
    <xf numFmtId="0" fontId="90" fillId="18" borderId="1" xfId="16" applyFont="1" applyFill="1" applyBorder="1" applyAlignment="1">
      <alignment horizontal="center" vertical="top" wrapText="1"/>
    </xf>
    <xf numFmtId="175" fontId="90" fillId="24" borderId="1" xfId="16" applyNumberFormat="1" applyFont="1" applyFill="1" applyBorder="1" applyAlignment="1">
      <alignment horizontal="center" vertical="center" wrapText="1"/>
    </xf>
    <xf numFmtId="0" fontId="90" fillId="24" borderId="1" xfId="16" applyFont="1" applyFill="1" applyBorder="1" applyAlignment="1">
      <alignment horizontal="center" vertical="center" wrapText="1"/>
    </xf>
    <xf numFmtId="15" fontId="90" fillId="24" borderId="1" xfId="16" applyNumberFormat="1" applyFont="1" applyFill="1" applyBorder="1" applyAlignment="1">
      <alignment horizontal="center" vertical="center" wrapText="1"/>
    </xf>
    <xf numFmtId="0" fontId="90" fillId="0" borderId="2" xfId="16" applyFont="1" applyFill="1" applyBorder="1" applyAlignment="1">
      <alignment vertical="top" wrapText="1"/>
    </xf>
    <xf numFmtId="0" fontId="90" fillId="0" borderId="2" xfId="16" applyFont="1" applyFill="1" applyBorder="1" applyAlignment="1">
      <alignment vertical="center" wrapText="1"/>
    </xf>
    <xf numFmtId="0" fontId="90" fillId="18" borderId="2" xfId="16" applyFont="1" applyFill="1" applyBorder="1" applyAlignment="1">
      <alignment horizontal="center" vertical="center" wrapText="1"/>
    </xf>
    <xf numFmtId="0" fontId="90" fillId="0" borderId="2" xfId="16" applyFont="1" applyFill="1" applyBorder="1" applyAlignment="1">
      <alignment horizontal="center" vertical="center" wrapText="1"/>
    </xf>
    <xf numFmtId="0" fontId="90" fillId="0" borderId="0" xfId="16" applyFont="1" applyFill="1" applyAlignment="1">
      <alignment horizontal="left" vertical="top" wrapText="1"/>
    </xf>
    <xf numFmtId="0" fontId="90" fillId="0" borderId="1" xfId="16" applyFont="1" applyFill="1" applyBorder="1" applyAlignment="1">
      <alignment vertical="center" wrapText="1"/>
    </xf>
    <xf numFmtId="176" fontId="90" fillId="24" borderId="1" xfId="16" applyNumberFormat="1" applyFont="1" applyFill="1" applyBorder="1" applyAlignment="1">
      <alignment horizontal="center" vertical="center" wrapText="1"/>
    </xf>
    <xf numFmtId="175" fontId="93" fillId="24" borderId="1" xfId="16" applyNumberFormat="1" applyFont="1" applyFill="1" applyBorder="1" applyAlignment="1">
      <alignment horizontal="center" vertical="center" wrapText="1"/>
    </xf>
    <xf numFmtId="0" fontId="93" fillId="24" borderId="1" xfId="16" applyFont="1" applyFill="1" applyBorder="1" applyAlignment="1">
      <alignment horizontal="center" vertical="center" wrapText="1"/>
    </xf>
    <xf numFmtId="0" fontId="90" fillId="19" borderId="1" xfId="16" applyFont="1" applyFill="1" applyBorder="1" applyAlignment="1">
      <alignment horizontal="center" vertical="top" wrapText="1"/>
    </xf>
    <xf numFmtId="0" fontId="90" fillId="19" borderId="2" xfId="16" applyFont="1" applyFill="1" applyBorder="1" applyAlignment="1">
      <alignment horizontal="center" vertical="top" wrapText="1"/>
    </xf>
    <xf numFmtId="166" fontId="90" fillId="0" borderId="3" xfId="17" applyFont="1" applyFill="1" applyBorder="1" applyAlignment="1">
      <alignment vertical="top" wrapText="1"/>
    </xf>
    <xf numFmtId="173" fontId="91" fillId="0" borderId="1" xfId="16" applyNumberFormat="1" applyFont="1" applyBorder="1" applyAlignment="1">
      <alignment horizontal="center" vertical="top"/>
    </xf>
    <xf numFmtId="0" fontId="90" fillId="0" borderId="3" xfId="16" quotePrefix="1" applyFont="1" applyFill="1" applyBorder="1" applyAlignment="1">
      <alignment vertical="top" wrapText="1"/>
    </xf>
    <xf numFmtId="0" fontId="4" fillId="0" borderId="0" xfId="16" applyFill="1" applyAlignment="1">
      <alignment horizontal="left" vertical="top" wrapText="1"/>
    </xf>
    <xf numFmtId="164" fontId="91" fillId="0" borderId="1" xfId="16" applyNumberFormat="1" applyFont="1" applyFill="1" applyBorder="1" applyAlignment="1">
      <alignment horizontal="center" vertical="top" wrapText="1"/>
    </xf>
    <xf numFmtId="0" fontId="91" fillId="0" borderId="1" xfId="16" applyFont="1" applyFill="1" applyBorder="1" applyAlignment="1">
      <alignment horizontal="center" vertical="top" wrapText="1"/>
    </xf>
    <xf numFmtId="0" fontId="91" fillId="0" borderId="1" xfId="16" applyFont="1" applyFill="1" applyBorder="1" applyAlignment="1">
      <alignment horizontal="center" vertical="center" wrapText="1"/>
    </xf>
    <xf numFmtId="0" fontId="91" fillId="0" borderId="1" xfId="16" applyFont="1" applyFill="1" applyBorder="1" applyAlignment="1">
      <alignment horizontal="justify" vertical="center" wrapText="1"/>
    </xf>
    <xf numFmtId="0" fontId="91" fillId="19" borderId="1" xfId="16" applyFont="1" applyFill="1" applyBorder="1" applyAlignment="1">
      <alignment horizontal="center" vertical="center" wrapText="1"/>
    </xf>
    <xf numFmtId="177" fontId="90" fillId="0" borderId="18" xfId="16" applyNumberFormat="1" applyFont="1" applyFill="1" applyBorder="1" applyAlignment="1">
      <alignment horizontal="center" vertical="center" wrapText="1"/>
    </xf>
    <xf numFmtId="0" fontId="90" fillId="0" borderId="5" xfId="16" applyFont="1" applyFill="1" applyBorder="1" applyAlignment="1">
      <alignment horizontal="center" vertical="center" wrapText="1"/>
    </xf>
    <xf numFmtId="177" fontId="90" fillId="0" borderId="5" xfId="16" applyNumberFormat="1" applyFont="1" applyFill="1" applyBorder="1" applyAlignment="1">
      <alignment horizontal="center" vertical="center" wrapText="1"/>
    </xf>
    <xf numFmtId="0" fontId="90" fillId="0" borderId="18" xfId="16" applyFont="1" applyFill="1" applyBorder="1" applyAlignment="1">
      <alignment horizontal="center" vertical="center" wrapText="1"/>
    </xf>
    <xf numFmtId="178" fontId="90" fillId="0" borderId="1" xfId="16" applyNumberFormat="1" applyFont="1" applyFill="1" applyBorder="1" applyAlignment="1">
      <alignment vertical="top" wrapText="1"/>
    </xf>
    <xf numFmtId="0" fontId="90" fillId="0" borderId="1" xfId="16" applyFont="1" applyFill="1" applyBorder="1" applyAlignment="1">
      <alignment horizontal="center" vertical="center" wrapText="1"/>
    </xf>
    <xf numFmtId="0" fontId="90" fillId="39" borderId="1" xfId="16" applyFont="1" applyFill="1" applyBorder="1" applyAlignment="1">
      <alignment horizontal="center" vertical="top" wrapText="1"/>
    </xf>
    <xf numFmtId="0" fontId="91" fillId="0" borderId="1" xfId="16" applyFont="1" applyFill="1" applyBorder="1" applyAlignment="1">
      <alignment horizontal="left" vertical="center" wrapText="1"/>
    </xf>
    <xf numFmtId="0" fontId="91" fillId="0" borderId="1" xfId="16" applyFont="1" applyFill="1" applyBorder="1" applyAlignment="1">
      <alignment horizontal="left" vertical="top" wrapText="1"/>
    </xf>
    <xf numFmtId="14" fontId="92" fillId="0" borderId="1" xfId="16" applyNumberFormat="1" applyFont="1" applyFill="1" applyBorder="1" applyAlignment="1">
      <alignment horizontal="left" vertical="top" wrapText="1"/>
    </xf>
    <xf numFmtId="177" fontId="92" fillId="0" borderId="3" xfId="16" applyNumberFormat="1" applyFont="1" applyFill="1" applyBorder="1" applyAlignment="1">
      <alignment vertical="top" wrapText="1"/>
    </xf>
    <xf numFmtId="0" fontId="92" fillId="0" borderId="1" xfId="16" applyFont="1" applyFill="1" applyBorder="1" applyAlignment="1">
      <alignment horizontal="center" vertical="top" wrapText="1"/>
    </xf>
    <xf numFmtId="0" fontId="92" fillId="0" borderId="1" xfId="16" applyFont="1" applyFill="1" applyBorder="1" applyAlignment="1">
      <alignment vertical="top" wrapText="1"/>
    </xf>
    <xf numFmtId="0" fontId="92" fillId="0" borderId="1" xfId="16" applyFont="1" applyFill="1" applyBorder="1" applyAlignment="1">
      <alignment horizontal="left" vertical="top" wrapText="1"/>
    </xf>
    <xf numFmtId="0" fontId="90" fillId="40" borderId="1" xfId="16" applyFont="1" applyFill="1" applyBorder="1" applyAlignment="1">
      <alignment horizontal="center" vertical="top" wrapText="1"/>
    </xf>
    <xf numFmtId="166" fontId="90" fillId="0" borderId="3" xfId="17" applyFont="1" applyFill="1" applyBorder="1" applyAlignment="1">
      <alignment horizontal="center" vertical="top" wrapText="1"/>
    </xf>
    <xf numFmtId="0" fontId="95" fillId="0" borderId="6" xfId="16" applyFont="1" applyFill="1" applyBorder="1" applyAlignment="1">
      <alignment horizontal="left" vertical="top" wrapText="1"/>
    </xf>
    <xf numFmtId="0" fontId="90" fillId="41" borderId="1" xfId="16" applyFont="1" applyFill="1" applyBorder="1" applyAlignment="1">
      <alignment horizontal="center" vertical="top" wrapText="1"/>
    </xf>
    <xf numFmtId="0" fontId="95" fillId="0" borderId="6" xfId="16" applyFont="1" applyFill="1" applyBorder="1" applyAlignment="1">
      <alignment horizontal="left" vertical="center" wrapText="1"/>
    </xf>
    <xf numFmtId="166" fontId="90" fillId="0" borderId="1" xfId="17" applyFont="1" applyFill="1" applyBorder="1" applyAlignment="1">
      <alignment vertical="top" wrapText="1"/>
    </xf>
    <xf numFmtId="166" fontId="92" fillId="0" borderId="3" xfId="17" applyFont="1" applyFill="1" applyBorder="1" applyAlignment="1">
      <alignment vertical="top" wrapText="1"/>
    </xf>
    <xf numFmtId="0" fontId="95" fillId="0" borderId="1" xfId="16" applyFont="1" applyFill="1" applyBorder="1" applyAlignment="1">
      <alignment horizontal="left" vertical="top" wrapText="1"/>
    </xf>
    <xf numFmtId="0" fontId="90" fillId="42" borderId="1" xfId="16" applyFont="1" applyFill="1" applyBorder="1" applyAlignment="1">
      <alignment horizontal="center" vertical="top" wrapText="1"/>
    </xf>
    <xf numFmtId="166" fontId="97" fillId="0" borderId="1" xfId="17" applyFont="1" applyFill="1" applyBorder="1" applyAlignment="1">
      <alignment horizontal="center" vertical="top" wrapText="1"/>
    </xf>
    <xf numFmtId="166" fontId="97" fillId="0" borderId="2" xfId="17" applyFont="1" applyFill="1" applyBorder="1" applyAlignment="1">
      <alignment horizontal="center" vertical="top" wrapText="1"/>
    </xf>
    <xf numFmtId="166" fontId="90" fillId="0" borderId="1" xfId="17" applyFont="1" applyFill="1" applyBorder="1" applyAlignment="1">
      <alignment horizontal="left" vertical="top" wrapText="1"/>
    </xf>
    <xf numFmtId="0" fontId="90" fillId="43" borderId="1" xfId="16" applyFont="1" applyFill="1" applyBorder="1" applyAlignment="1">
      <alignment horizontal="center" vertical="top" wrapText="1"/>
    </xf>
    <xf numFmtId="0" fontId="90" fillId="10" borderId="1" xfId="16" applyFont="1" applyFill="1" applyBorder="1" applyAlignment="1">
      <alignment horizontal="center" vertical="top" wrapText="1"/>
    </xf>
    <xf numFmtId="0" fontId="91" fillId="0" borderId="0" xfId="16" applyFont="1" applyFill="1" applyAlignment="1">
      <alignment vertical="center" wrapText="1"/>
    </xf>
    <xf numFmtId="0" fontId="90" fillId="4" borderId="1" xfId="16" applyFont="1" applyFill="1" applyBorder="1" applyAlignment="1">
      <alignment horizontal="center" vertical="top" wrapText="1"/>
    </xf>
    <xf numFmtId="0" fontId="91" fillId="0" borderId="1" xfId="16" applyFont="1" applyFill="1" applyBorder="1" applyAlignment="1">
      <alignment vertical="top" wrapText="1"/>
    </xf>
    <xf numFmtId="0" fontId="90" fillId="0" borderId="1" xfId="16" applyFont="1" applyFill="1" applyBorder="1" applyAlignment="1">
      <alignment horizontal="left" vertical="center" wrapText="1"/>
    </xf>
    <xf numFmtId="41" fontId="90" fillId="0" borderId="1" xfId="18" applyFont="1" applyFill="1" applyBorder="1" applyAlignment="1">
      <alignment horizontal="center" vertical="top" wrapText="1"/>
    </xf>
    <xf numFmtId="0" fontId="89" fillId="0" borderId="1" xfId="16" applyFont="1" applyFill="1" applyBorder="1" applyAlignment="1">
      <alignment vertical="center" wrapText="1"/>
    </xf>
    <xf numFmtId="0" fontId="98" fillId="2" borderId="1" xfId="16" applyFont="1" applyFill="1" applyBorder="1" applyAlignment="1">
      <alignment horizontal="center" vertical="center" wrapText="1"/>
    </xf>
    <xf numFmtId="0" fontId="80" fillId="15" borderId="1" xfId="0" applyFont="1" applyFill="1" applyBorder="1" applyAlignment="1">
      <alignment vertical="center" wrapText="1"/>
    </xf>
    <xf numFmtId="0" fontId="80" fillId="15" borderId="1" xfId="0" applyFont="1" applyFill="1" applyBorder="1" applyAlignment="1">
      <alignment horizontal="left" vertical="center" wrapText="1"/>
    </xf>
    <xf numFmtId="14" fontId="102" fillId="15" borderId="1" xfId="6" applyNumberFormat="1" applyFont="1" applyFill="1" applyBorder="1" applyAlignment="1" applyProtection="1">
      <alignment horizontal="left" vertical="center" wrapText="1"/>
      <protection locked="0"/>
    </xf>
    <xf numFmtId="0" fontId="80" fillId="15" borderId="2" xfId="0" applyFont="1" applyFill="1" applyBorder="1" applyAlignment="1">
      <alignment vertical="center" wrapText="1"/>
    </xf>
    <xf numFmtId="14" fontId="102" fillId="15" borderId="2" xfId="6" applyNumberFormat="1" applyFont="1" applyFill="1" applyBorder="1" applyAlignment="1" applyProtection="1">
      <alignment vertical="center" wrapText="1"/>
      <protection locked="0"/>
    </xf>
    <xf numFmtId="14" fontId="102" fillId="15" borderId="2" xfId="6" applyNumberFormat="1" applyFont="1" applyFill="1" applyBorder="1" applyAlignment="1" applyProtection="1">
      <alignment vertical="top" wrapText="1"/>
      <protection locked="0"/>
    </xf>
    <xf numFmtId="0" fontId="102" fillId="4" borderId="1" xfId="6" applyFont="1" applyFill="1" applyBorder="1" applyAlignment="1" applyProtection="1">
      <alignment vertical="center" wrapText="1"/>
      <protection locked="0"/>
    </xf>
    <xf numFmtId="0" fontId="102" fillId="4" borderId="1" xfId="6" applyFont="1" applyFill="1" applyBorder="1" applyAlignment="1" applyProtection="1">
      <alignment horizontal="left" vertical="center" wrapText="1"/>
      <protection locked="0"/>
    </xf>
    <xf numFmtId="14" fontId="102" fillId="4" borderId="1" xfId="6" applyNumberFormat="1" applyFont="1" applyFill="1" applyBorder="1" applyAlignment="1" applyProtection="1">
      <alignment horizontal="left" vertical="center" wrapText="1"/>
      <protection locked="0"/>
    </xf>
    <xf numFmtId="0" fontId="80" fillId="4" borderId="1" xfId="0" applyFont="1" applyFill="1" applyBorder="1" applyAlignment="1">
      <alignment horizontal="left" wrapText="1"/>
    </xf>
    <xf numFmtId="172" fontId="101" fillId="4" borderId="1" xfId="10" applyNumberFormat="1" applyFont="1" applyFill="1" applyBorder="1" applyAlignment="1">
      <alignment horizontal="right" vertical="center" wrapText="1"/>
    </xf>
    <xf numFmtId="172" fontId="101" fillId="4" borderId="2" xfId="10" applyNumberFormat="1" applyFont="1" applyFill="1" applyBorder="1" applyAlignment="1">
      <alignment horizontal="right" vertical="center" wrapText="1"/>
    </xf>
    <xf numFmtId="0" fontId="102" fillId="16" borderId="1" xfId="6" applyFont="1" applyFill="1" applyBorder="1" applyAlignment="1" applyProtection="1">
      <alignment horizontal="left" vertical="center" wrapText="1"/>
      <protection locked="0"/>
    </xf>
    <xf numFmtId="172" fontId="101" fillId="4" borderId="93" xfId="10" applyNumberFormat="1" applyFont="1" applyFill="1" applyBorder="1" applyAlignment="1">
      <alignment horizontal="right" vertical="center" wrapText="1"/>
    </xf>
    <xf numFmtId="172" fontId="101" fillId="4" borderId="3" xfId="10" applyNumberFormat="1" applyFont="1" applyFill="1" applyBorder="1" applyAlignment="1">
      <alignment horizontal="right" vertical="center" wrapText="1"/>
    </xf>
    <xf numFmtId="0" fontId="101" fillId="4" borderId="1" xfId="6" applyFont="1" applyFill="1" applyBorder="1" applyAlignment="1" applyProtection="1">
      <alignment vertical="center" wrapText="1"/>
      <protection locked="0"/>
    </xf>
    <xf numFmtId="0" fontId="102" fillId="4" borderId="1" xfId="6" applyFont="1" applyFill="1" applyBorder="1" applyAlignment="1" applyProtection="1">
      <alignment horizontal="left" vertical="top" wrapText="1"/>
      <protection locked="0"/>
    </xf>
    <xf numFmtId="0" fontId="101" fillId="9" borderId="2" xfId="0" applyFont="1" applyFill="1" applyBorder="1" applyAlignment="1">
      <alignment horizontal="center" vertical="center" wrapText="1"/>
    </xf>
    <xf numFmtId="0" fontId="101" fillId="9" borderId="2" xfId="0" applyFont="1" applyFill="1" applyBorder="1" applyAlignment="1">
      <alignment vertical="center" wrapText="1"/>
    </xf>
    <xf numFmtId="0" fontId="102" fillId="9" borderId="1" xfId="6" applyFont="1" applyFill="1" applyBorder="1" applyAlignment="1" applyProtection="1">
      <alignment horizontal="left" vertical="center" wrapText="1"/>
      <protection locked="0"/>
    </xf>
    <xf numFmtId="14" fontId="102" fillId="9" borderId="1" xfId="6" applyNumberFormat="1" applyFont="1" applyFill="1" applyBorder="1" applyAlignment="1" applyProtection="1">
      <alignment horizontal="center" vertical="center" wrapText="1"/>
      <protection locked="0"/>
    </xf>
    <xf numFmtId="0" fontId="102" fillId="34" borderId="1" xfId="6" applyFont="1" applyFill="1" applyBorder="1" applyAlignment="1" applyProtection="1">
      <alignment horizontal="left" vertical="center" wrapText="1"/>
      <protection locked="0"/>
    </xf>
    <xf numFmtId="172" fontId="101" fillId="9" borderId="93" xfId="10" applyNumberFormat="1" applyFont="1" applyFill="1" applyBorder="1" applyAlignment="1">
      <alignment horizontal="right" vertical="center" wrapText="1"/>
    </xf>
    <xf numFmtId="0" fontId="101" fillId="9" borderId="1" xfId="6" applyFont="1" applyFill="1" applyBorder="1" applyAlignment="1" applyProtection="1">
      <alignment vertical="center" wrapText="1"/>
      <protection locked="0"/>
    </xf>
    <xf numFmtId="0" fontId="101" fillId="9" borderId="1" xfId="0" applyFont="1" applyFill="1" applyBorder="1" applyAlignment="1">
      <alignment vertical="center" wrapText="1"/>
    </xf>
    <xf numFmtId="0" fontId="101" fillId="9" borderId="1" xfId="0" applyFont="1" applyFill="1" applyBorder="1" applyAlignment="1">
      <alignment horizontal="left" vertical="center" wrapText="1"/>
    </xf>
    <xf numFmtId="0" fontId="102" fillId="9" borderId="1" xfId="6" applyFont="1" applyFill="1" applyBorder="1" applyAlignment="1" applyProtection="1">
      <alignment vertical="center" wrapText="1"/>
      <protection locked="0"/>
    </xf>
    <xf numFmtId="0" fontId="80" fillId="9" borderId="1" xfId="0" applyFont="1" applyFill="1" applyBorder="1" applyAlignment="1">
      <alignment vertical="center" wrapText="1"/>
    </xf>
    <xf numFmtId="0" fontId="102" fillId="44" borderId="1" xfId="6" applyFont="1" applyFill="1" applyBorder="1" applyAlignment="1" applyProtection="1">
      <alignment horizontal="left" vertical="center" wrapText="1"/>
      <protection locked="0"/>
    </xf>
    <xf numFmtId="14" fontId="102" fillId="9" borderId="1" xfId="6" applyNumberFormat="1" applyFont="1" applyFill="1" applyBorder="1" applyAlignment="1" applyProtection="1">
      <alignment horizontal="left" vertical="center" wrapText="1"/>
      <protection locked="0"/>
    </xf>
    <xf numFmtId="172" fontId="101" fillId="9" borderId="3" xfId="10" applyNumberFormat="1" applyFont="1" applyFill="1" applyBorder="1" applyAlignment="1">
      <alignment horizontal="right" vertical="center" wrapText="1"/>
    </xf>
    <xf numFmtId="0" fontId="0" fillId="0" borderId="1" xfId="0" applyFill="1" applyBorder="1" applyAlignment="1">
      <alignment horizontal="left"/>
    </xf>
    <xf numFmtId="172" fontId="0" fillId="0" borderId="1" xfId="0" applyNumberFormat="1" applyFill="1" applyBorder="1" applyAlignment="1">
      <alignment horizontal="right"/>
    </xf>
    <xf numFmtId="0" fontId="0" fillId="0" borderId="0" xfId="0" applyFill="1" applyAlignment="1">
      <alignment vertical="center"/>
    </xf>
    <xf numFmtId="0" fontId="4" fillId="0" borderId="0" xfId="16" applyFill="1" applyAlignment="1">
      <alignment horizontal="center" vertical="center" wrapText="1"/>
    </xf>
    <xf numFmtId="15" fontId="4" fillId="0" borderId="1" xfId="16" applyNumberFormat="1" applyFill="1" applyBorder="1" applyAlignment="1">
      <alignment vertical="top" wrapText="1"/>
    </xf>
    <xf numFmtId="0" fontId="4" fillId="0" borderId="1" xfId="16" applyFill="1" applyBorder="1" applyAlignment="1">
      <alignment vertical="top" wrapText="1"/>
    </xf>
    <xf numFmtId="0" fontId="105" fillId="0" borderId="0" xfId="16" applyFont="1" applyFill="1" applyAlignment="1">
      <alignment vertical="center" wrapText="1"/>
    </xf>
    <xf numFmtId="0" fontId="105" fillId="32" borderId="0" xfId="16" applyFont="1" applyFill="1" applyAlignment="1">
      <alignment horizontal="left" vertical="center" wrapText="1"/>
    </xf>
    <xf numFmtId="14" fontId="4" fillId="0" borderId="14" xfId="16" applyNumberFormat="1" applyFill="1" applyBorder="1" applyAlignment="1">
      <alignment vertical="top" wrapText="1"/>
    </xf>
    <xf numFmtId="14" fontId="4" fillId="0" borderId="13" xfId="16" applyNumberFormat="1" applyFill="1" applyBorder="1" applyAlignment="1">
      <alignment vertical="top" wrapText="1"/>
    </xf>
    <xf numFmtId="166" fontId="4" fillId="0" borderId="13" xfId="17" applyFont="1" applyFill="1" applyBorder="1" applyAlignment="1">
      <alignment vertical="top" wrapText="1"/>
    </xf>
    <xf numFmtId="0" fontId="4" fillId="0" borderId="13" xfId="16" applyFill="1" applyBorder="1" applyAlignment="1">
      <alignment vertical="top" wrapText="1"/>
    </xf>
    <xf numFmtId="0" fontId="4" fillId="0" borderId="13" xfId="16" applyFill="1" applyBorder="1" applyAlignment="1">
      <alignment horizontal="center" vertical="center" wrapText="1"/>
    </xf>
    <xf numFmtId="0" fontId="4" fillId="24" borderId="13" xfId="16" applyFill="1" applyBorder="1" applyAlignment="1">
      <alignment vertical="top" wrapText="1"/>
    </xf>
    <xf numFmtId="0" fontId="4" fillId="0" borderId="13" xfId="16" applyFill="1" applyBorder="1" applyAlignment="1">
      <alignment vertical="center" wrapText="1"/>
    </xf>
    <xf numFmtId="14" fontId="4" fillId="0" borderId="15" xfId="16" applyNumberFormat="1" applyFill="1" applyBorder="1" applyAlignment="1">
      <alignment vertical="top" wrapText="1"/>
    </xf>
    <xf numFmtId="14" fontId="4" fillId="0" borderId="1" xfId="16" applyNumberFormat="1" applyFill="1" applyBorder="1" applyAlignment="1">
      <alignment vertical="top" wrapText="1"/>
    </xf>
    <xf numFmtId="166" fontId="4" fillId="0" borderId="1" xfId="17" applyFont="1" applyFill="1" applyBorder="1" applyAlignment="1">
      <alignment vertical="top" wrapText="1"/>
    </xf>
    <xf numFmtId="0" fontId="4" fillId="0" borderId="1" xfId="16" applyFill="1" applyBorder="1" applyAlignment="1">
      <alignment horizontal="center" vertical="center" wrapText="1"/>
    </xf>
    <xf numFmtId="0" fontId="4" fillId="24" borderId="1" xfId="16" applyFill="1" applyBorder="1" applyAlignment="1">
      <alignment vertical="top" wrapText="1"/>
    </xf>
    <xf numFmtId="0" fontId="4" fillId="0" borderId="1" xfId="16" applyFill="1" applyBorder="1" applyAlignment="1">
      <alignment vertical="center" wrapText="1"/>
    </xf>
    <xf numFmtId="166" fontId="4" fillId="0" borderId="1" xfId="16" applyNumberFormat="1" applyFill="1" applyBorder="1" applyAlignment="1">
      <alignment vertical="top" wrapText="1"/>
    </xf>
    <xf numFmtId="14" fontId="106" fillId="0" borderId="15" xfId="16" applyNumberFormat="1" applyFont="1" applyBorder="1" applyAlignment="1">
      <alignment horizontal="left" vertical="center" wrapText="1"/>
    </xf>
    <xf numFmtId="14" fontId="106" fillId="0" borderId="1" xfId="16" applyNumberFormat="1" applyFont="1" applyBorder="1" applyAlignment="1">
      <alignment horizontal="left" vertical="center" wrapText="1"/>
    </xf>
    <xf numFmtId="166" fontId="106" fillId="0" borderId="1" xfId="17" applyFont="1" applyBorder="1" applyAlignment="1">
      <alignment horizontal="left" vertical="center" wrapText="1"/>
    </xf>
    <xf numFmtId="0" fontId="106" fillId="0" borderId="1" xfId="16" applyFont="1" applyBorder="1" applyAlignment="1">
      <alignment horizontal="left" vertical="center" wrapText="1"/>
    </xf>
    <xf numFmtId="0" fontId="106" fillId="24" borderId="1" xfId="16" applyFont="1" applyFill="1" applyBorder="1" applyAlignment="1">
      <alignment horizontal="left" vertical="center" wrapText="1"/>
    </xf>
    <xf numFmtId="0" fontId="4" fillId="0" borderId="93" xfId="16" applyFill="1" applyBorder="1" applyAlignment="1">
      <alignment vertical="top" wrapText="1"/>
    </xf>
    <xf numFmtId="179" fontId="4" fillId="0" borderId="93" xfId="16" applyNumberFormat="1" applyFill="1" applyBorder="1" applyAlignment="1">
      <alignment vertical="center" wrapText="1"/>
    </xf>
    <xf numFmtId="179" fontId="4" fillId="0" borderId="97" xfId="16" applyNumberFormat="1" applyFill="1" applyBorder="1" applyAlignment="1">
      <alignment vertical="top" wrapText="1"/>
    </xf>
    <xf numFmtId="0" fontId="4" fillId="0" borderId="93" xfId="16" applyFill="1" applyBorder="1" applyAlignment="1">
      <alignment vertical="center" wrapText="1"/>
    </xf>
    <xf numFmtId="0" fontId="4" fillId="0" borderId="97" xfId="16" applyFill="1" applyBorder="1" applyAlignment="1">
      <alignment horizontal="center" vertical="center" wrapText="1"/>
    </xf>
    <xf numFmtId="0" fontId="4" fillId="0" borderId="97" xfId="16" applyFill="1" applyBorder="1" applyAlignment="1">
      <alignment vertical="center" wrapText="1"/>
    </xf>
    <xf numFmtId="0" fontId="4" fillId="0" borderId="98" xfId="16" applyFill="1" applyBorder="1" applyAlignment="1">
      <alignment vertical="top" wrapText="1"/>
    </xf>
    <xf numFmtId="179" fontId="4" fillId="0" borderId="98" xfId="16" applyNumberFormat="1" applyFill="1" applyBorder="1" applyAlignment="1">
      <alignment vertical="center" wrapText="1"/>
    </xf>
    <xf numFmtId="179" fontId="4" fillId="0" borderId="93" xfId="16" applyNumberFormat="1" applyFill="1" applyBorder="1" applyAlignment="1">
      <alignment vertical="top" wrapText="1"/>
    </xf>
    <xf numFmtId="0" fontId="4" fillId="0" borderId="98" xfId="16" applyFill="1" applyBorder="1" applyAlignment="1">
      <alignment vertical="center" wrapText="1"/>
    </xf>
    <xf numFmtId="0" fontId="4" fillId="0" borderId="93" xfId="16" applyFill="1" applyBorder="1" applyAlignment="1">
      <alignment horizontal="center" vertical="center" wrapText="1"/>
    </xf>
    <xf numFmtId="0" fontId="4" fillId="0" borderId="99" xfId="16" applyFill="1" applyBorder="1" applyAlignment="1">
      <alignment vertical="center" wrapText="1"/>
    </xf>
    <xf numFmtId="179" fontId="4" fillId="0" borderId="98" xfId="16" applyNumberFormat="1" applyFill="1" applyBorder="1" applyAlignment="1">
      <alignment vertical="top" wrapText="1"/>
    </xf>
    <xf numFmtId="0" fontId="4" fillId="0" borderId="98" xfId="16" applyFill="1" applyBorder="1" applyAlignment="1">
      <alignment horizontal="center" vertical="center" wrapText="1"/>
    </xf>
    <xf numFmtId="0" fontId="4" fillId="0" borderId="100" xfId="16" applyFill="1" applyBorder="1" applyAlignment="1">
      <alignment vertical="top" wrapText="1"/>
    </xf>
    <xf numFmtId="179" fontId="4" fillId="0" borderId="99" xfId="16" applyNumberFormat="1" applyFill="1" applyBorder="1" applyAlignment="1">
      <alignment vertical="top" wrapText="1"/>
    </xf>
    <xf numFmtId="0" fontId="4" fillId="0" borderId="99" xfId="16" applyFill="1" applyBorder="1" applyAlignment="1">
      <alignment horizontal="center" vertical="center" wrapText="1"/>
    </xf>
    <xf numFmtId="0" fontId="4" fillId="0" borderId="99" xfId="16" applyFill="1" applyBorder="1" applyAlignment="1">
      <alignment vertical="top" wrapText="1"/>
    </xf>
    <xf numFmtId="0" fontId="4" fillId="0" borderId="2" xfId="16" applyFill="1" applyBorder="1" applyAlignment="1">
      <alignment vertical="top" wrapText="1"/>
    </xf>
    <xf numFmtId="179" fontId="4" fillId="0" borderId="2" xfId="16" applyNumberFormat="1" applyFill="1" applyBorder="1" applyAlignment="1">
      <alignment vertical="top" wrapText="1"/>
    </xf>
    <xf numFmtId="14" fontId="4" fillId="0" borderId="1" xfId="16" applyNumberFormat="1" applyFill="1" applyBorder="1" applyAlignment="1">
      <alignment vertical="center" wrapText="1"/>
    </xf>
    <xf numFmtId="3" fontId="4" fillId="0" borderId="1" xfId="16" applyNumberFormat="1" applyFill="1" applyBorder="1" applyAlignment="1">
      <alignment horizontal="center" vertical="center" wrapText="1"/>
    </xf>
    <xf numFmtId="3" fontId="4" fillId="0" borderId="1" xfId="16" applyNumberFormat="1" applyFill="1" applyBorder="1" applyAlignment="1">
      <alignment vertical="center" wrapText="1"/>
    </xf>
    <xf numFmtId="164" fontId="4" fillId="0" borderId="0" xfId="16" applyNumberFormat="1" applyFill="1" applyAlignment="1">
      <alignment horizontal="center" vertical="center" wrapText="1"/>
    </xf>
    <xf numFmtId="14" fontId="4" fillId="0" borderId="1" xfId="16" applyNumberFormat="1" applyFill="1" applyBorder="1" applyAlignment="1">
      <alignment horizontal="center" vertical="center" wrapText="1"/>
    </xf>
    <xf numFmtId="0" fontId="4" fillId="0" borderId="1" xfId="16" applyFill="1" applyBorder="1" applyAlignment="1">
      <alignment horizontal="left" vertical="center" wrapText="1"/>
    </xf>
    <xf numFmtId="169" fontId="0" fillId="0" borderId="1" xfId="17" applyNumberFormat="1" applyFont="1" applyFill="1" applyBorder="1" applyAlignment="1">
      <alignment vertical="top" wrapText="1"/>
    </xf>
    <xf numFmtId="0" fontId="4" fillId="0" borderId="1" xfId="16" applyFill="1" applyBorder="1" applyAlignment="1">
      <alignment horizontal="center" vertical="top" wrapText="1"/>
    </xf>
    <xf numFmtId="0" fontId="4" fillId="0" borderId="1" xfId="16" applyBorder="1" applyAlignment="1">
      <alignment vertical="center" wrapText="1"/>
    </xf>
    <xf numFmtId="0" fontId="106" fillId="0" borderId="1" xfId="16" applyFont="1" applyBorder="1" applyAlignment="1">
      <alignment horizontal="right" vertical="center" wrapText="1"/>
    </xf>
    <xf numFmtId="166" fontId="106" fillId="0" borderId="1" xfId="17" applyFont="1" applyBorder="1" applyAlignment="1">
      <alignment horizontal="left" vertical="top" wrapText="1"/>
    </xf>
    <xf numFmtId="166" fontId="0" fillId="0" borderId="1" xfId="17" applyFont="1" applyFill="1" applyBorder="1" applyAlignment="1">
      <alignment vertical="top" wrapText="1"/>
    </xf>
    <xf numFmtId="0" fontId="106" fillId="0" borderId="1" xfId="16" applyFont="1" applyBorder="1" applyAlignment="1">
      <alignment horizontal="right" vertical="top" wrapText="1"/>
    </xf>
    <xf numFmtId="0" fontId="13" fillId="0" borderId="0" xfId="16" applyFont="1" applyFill="1" applyAlignment="1">
      <alignment horizontal="left" vertical="top" wrapText="1"/>
    </xf>
    <xf numFmtId="0" fontId="15" fillId="0" borderId="0" xfId="16" applyFont="1" applyFill="1" applyAlignment="1">
      <alignment horizontal="left" vertical="top" wrapText="1"/>
    </xf>
    <xf numFmtId="0" fontId="64" fillId="2" borderId="1" xfId="16" applyFont="1" applyFill="1" applyBorder="1" applyAlignment="1">
      <alignment horizontal="center" vertical="center" wrapText="1"/>
    </xf>
    <xf numFmtId="169" fontId="4" fillId="0" borderId="1" xfId="16" applyNumberFormat="1" applyFill="1" applyBorder="1" applyAlignment="1">
      <alignment vertical="top" wrapText="1"/>
    </xf>
    <xf numFmtId="0" fontId="0" fillId="0" borderId="1" xfId="0" applyFill="1" applyBorder="1" applyAlignment="1">
      <alignment vertical="center" wrapText="1"/>
    </xf>
    <xf numFmtId="0" fontId="0" fillId="0" borderId="0" xfId="0" applyFill="1" applyAlignment="1">
      <alignment vertical="center" wrapText="1"/>
    </xf>
    <xf numFmtId="0" fontId="4" fillId="0" borderId="1" xfId="0" applyFont="1" applyFill="1" applyBorder="1" applyAlignment="1">
      <alignment vertical="center" wrapText="1"/>
    </xf>
    <xf numFmtId="41" fontId="0" fillId="0" borderId="1" xfId="15" applyFont="1" applyFill="1" applyBorder="1" applyAlignment="1">
      <alignment vertical="center" wrapText="1"/>
    </xf>
    <xf numFmtId="41" fontId="0" fillId="0" borderId="1" xfId="0" applyNumberFormat="1" applyFill="1" applyBorder="1" applyAlignment="1">
      <alignment vertical="center" wrapText="1"/>
    </xf>
    <xf numFmtId="14" fontId="0" fillId="0" borderId="1" xfId="0" applyNumberFormat="1" applyFill="1" applyBorder="1" applyAlignment="1">
      <alignment vertical="center" wrapText="1"/>
    </xf>
    <xf numFmtId="0" fontId="90" fillId="0" borderId="1" xfId="0" applyFont="1" applyFill="1" applyBorder="1" applyAlignment="1">
      <alignment vertical="center" wrapText="1"/>
    </xf>
    <xf numFmtId="0" fontId="90" fillId="0" borderId="1" xfId="0" applyFont="1" applyFill="1" applyBorder="1" applyAlignment="1">
      <alignment horizontal="center" vertical="center" wrapText="1"/>
    </xf>
    <xf numFmtId="0" fontId="107" fillId="0" borderId="1" xfId="0" applyFont="1" applyBorder="1" applyAlignment="1">
      <alignment horizontal="center" vertical="center"/>
    </xf>
    <xf numFmtId="0" fontId="91" fillId="0" borderId="1" xfId="0" applyFont="1" applyBorder="1" applyAlignment="1">
      <alignment vertical="center" wrapText="1"/>
    </xf>
    <xf numFmtId="0" fontId="0" fillId="0" borderId="1" xfId="0" applyFill="1" applyBorder="1" applyAlignment="1">
      <alignment horizontal="left" vertical="center" wrapText="1"/>
    </xf>
    <xf numFmtId="0" fontId="91" fillId="0" borderId="1" xfId="0" applyFont="1" applyBorder="1" applyAlignment="1">
      <alignment horizontal="center" vertical="center"/>
    </xf>
    <xf numFmtId="169" fontId="91" fillId="0" borderId="1" xfId="17" applyNumberFormat="1" applyFont="1" applyBorder="1" applyAlignment="1">
      <alignment vertical="center"/>
    </xf>
    <xf numFmtId="0" fontId="10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80" fillId="0" borderId="0" xfId="0" applyFont="1" applyFill="1" applyAlignment="1">
      <alignment vertical="center" wrapText="1"/>
    </xf>
    <xf numFmtId="43" fontId="0" fillId="0" borderId="0" xfId="14" applyFont="1" applyFill="1" applyAlignment="1">
      <alignment vertical="center" wrapText="1"/>
    </xf>
    <xf numFmtId="169" fontId="0" fillId="0" borderId="1" xfId="17" applyNumberFormat="1" applyFont="1" applyFill="1" applyBorder="1" applyAlignment="1">
      <alignment vertical="center" wrapText="1"/>
    </xf>
    <xf numFmtId="168" fontId="0" fillId="0" borderId="1" xfId="14" applyNumberFormat="1" applyFont="1" applyFill="1" applyBorder="1" applyAlignment="1">
      <alignment vertical="center" wrapText="1"/>
    </xf>
    <xf numFmtId="0" fontId="21" fillId="0" borderId="18" xfId="0" applyFont="1" applyFill="1" applyBorder="1" applyAlignment="1">
      <alignment horizontal="left" vertical="center" wrapText="1"/>
    </xf>
    <xf numFmtId="43" fontId="4" fillId="0" borderId="2" xfId="14" applyFont="1" applyFill="1" applyBorder="1" applyAlignment="1">
      <alignment vertical="center" wrapText="1"/>
    </xf>
    <xf numFmtId="43" fontId="0" fillId="0" borderId="1" xfId="14" applyFont="1" applyFill="1" applyBorder="1" applyAlignment="1">
      <alignment vertical="center" wrapText="1"/>
    </xf>
    <xf numFmtId="0" fontId="4" fillId="0" borderId="18" xfId="0" applyFont="1" applyFill="1" applyBorder="1" applyAlignment="1">
      <alignment vertical="center" wrapText="1"/>
    </xf>
    <xf numFmtId="168" fontId="0" fillId="0" borderId="1" xfId="10" applyNumberFormat="1" applyFont="1" applyFill="1" applyBorder="1" applyAlignment="1">
      <alignment horizontal="center" vertical="center" wrapText="1"/>
    </xf>
    <xf numFmtId="0" fontId="4" fillId="42" borderId="1" xfId="0" applyFont="1" applyFill="1" applyBorder="1" applyAlignment="1">
      <alignment horizontal="center" vertical="center" wrapText="1"/>
    </xf>
    <xf numFmtId="168" fontId="4" fillId="0" borderId="1" xfId="10" applyNumberFormat="1" applyFont="1" applyFill="1" applyBorder="1" applyAlignment="1">
      <alignment horizontal="center" vertical="center" wrapText="1"/>
    </xf>
    <xf numFmtId="0" fontId="87" fillId="42" borderId="1" xfId="0" applyFont="1" applyFill="1" applyBorder="1" applyAlignment="1">
      <alignment horizontal="center" vertical="center" wrapText="1"/>
    </xf>
    <xf numFmtId="166" fontId="0" fillId="0" borderId="1" xfId="17" applyFont="1" applyFill="1" applyBorder="1" applyAlignment="1">
      <alignment vertical="center" wrapText="1"/>
    </xf>
    <xf numFmtId="0" fontId="0" fillId="0" borderId="1" xfId="0" quotePrefix="1" applyFill="1" applyBorder="1" applyAlignment="1">
      <alignment vertical="center" wrapText="1"/>
    </xf>
    <xf numFmtId="41" fontId="0" fillId="0" borderId="0" xfId="0" applyNumberFormat="1" applyFill="1"/>
    <xf numFmtId="0" fontId="88" fillId="0" borderId="0" xfId="19" applyFont="1" applyAlignment="1">
      <alignment horizontal="left" vertical="center" wrapText="1"/>
    </xf>
    <xf numFmtId="0" fontId="88" fillId="0" borderId="0" xfId="19" applyFont="1" applyAlignment="1">
      <alignment horizontal="center" vertical="center" wrapText="1"/>
    </xf>
    <xf numFmtId="0" fontId="88" fillId="45" borderId="1" xfId="19" applyFont="1" applyFill="1" applyBorder="1" applyAlignment="1">
      <alignment horizontal="left" vertical="center" wrapText="1"/>
    </xf>
    <xf numFmtId="169" fontId="108" fillId="45" borderId="1" xfId="20" applyNumberFormat="1" applyFont="1" applyFill="1" applyBorder="1" applyAlignment="1">
      <alignment wrapText="1"/>
    </xf>
    <xf numFmtId="0" fontId="88" fillId="0" borderId="1" xfId="19" applyFont="1" applyBorder="1" applyAlignment="1">
      <alignment horizontal="center" vertical="center" wrapText="1"/>
    </xf>
    <xf numFmtId="0" fontId="4" fillId="0" borderId="1" xfId="19" applyFont="1" applyBorder="1" applyAlignment="1">
      <alignment horizontal="center" vertical="center" wrapText="1"/>
    </xf>
    <xf numFmtId="0" fontId="81" fillId="0" borderId="1" xfId="19" applyFont="1" applyBorder="1" applyAlignment="1">
      <alignment horizontal="center" vertical="center" wrapText="1"/>
    </xf>
    <xf numFmtId="0" fontId="88" fillId="21" borderId="1" xfId="19" applyFont="1" applyFill="1" applyBorder="1" applyAlignment="1">
      <alignment horizontal="left" vertical="center" wrapText="1"/>
    </xf>
    <xf numFmtId="169" fontId="108" fillId="21" borderId="1" xfId="20" applyNumberFormat="1" applyFont="1" applyFill="1" applyBorder="1" applyAlignment="1">
      <alignment vertical="center" wrapText="1"/>
    </xf>
    <xf numFmtId="0" fontId="88" fillId="0" borderId="1" xfId="19" applyFont="1" applyBorder="1" applyAlignment="1">
      <alignment horizontal="left" vertical="center" wrapText="1"/>
    </xf>
    <xf numFmtId="165" fontId="88" fillId="24" borderId="1" xfId="21" applyFont="1" applyFill="1" applyBorder="1" applyAlignment="1">
      <alignment horizontal="left" vertical="center" wrapText="1"/>
    </xf>
    <xf numFmtId="0" fontId="88" fillId="24" borderId="1" xfId="19" applyFont="1" applyFill="1" applyBorder="1" applyAlignment="1">
      <alignment horizontal="center" vertical="center" wrapText="1"/>
    </xf>
    <xf numFmtId="0" fontId="88" fillId="24" borderId="1" xfId="19" applyFont="1" applyFill="1" applyBorder="1" applyAlignment="1">
      <alignment horizontal="left" vertical="center" wrapText="1"/>
    </xf>
    <xf numFmtId="0" fontId="87" fillId="24" borderId="1" xfId="19" applyFont="1" applyFill="1" applyBorder="1" applyAlignment="1">
      <alignment horizontal="center" vertical="center" wrapText="1"/>
    </xf>
    <xf numFmtId="165" fontId="88" fillId="24" borderId="1" xfId="21" applyFont="1" applyFill="1" applyBorder="1" applyAlignment="1">
      <alignment horizontal="center" vertical="center" wrapText="1"/>
    </xf>
    <xf numFmtId="166" fontId="88" fillId="0" borderId="1" xfId="20" applyFont="1" applyBorder="1" applyAlignment="1">
      <alignment horizontal="left" vertical="center" wrapText="1"/>
    </xf>
    <xf numFmtId="165" fontId="4" fillId="0" borderId="1" xfId="21" applyFont="1" applyFill="1" applyBorder="1" applyAlignment="1" applyProtection="1">
      <alignment horizontal="left" vertical="center" wrapText="1"/>
    </xf>
    <xf numFmtId="0" fontId="109" fillId="24" borderId="1" xfId="19" applyFont="1" applyFill="1" applyBorder="1" applyAlignment="1">
      <alignment vertical="center" wrapText="1"/>
    </xf>
    <xf numFmtId="165" fontId="88" fillId="0" borderId="1" xfId="21" applyFont="1" applyFill="1" applyBorder="1" applyAlignment="1">
      <alignment horizontal="left" vertical="center" wrapText="1"/>
    </xf>
    <xf numFmtId="0" fontId="4" fillId="0" borderId="1" xfId="19" applyFont="1" applyBorder="1" applyAlignment="1">
      <alignment horizontal="left" vertical="center" wrapText="1"/>
    </xf>
    <xf numFmtId="0" fontId="87" fillId="0" borderId="1" xfId="19" applyFont="1" applyBorder="1" applyAlignment="1">
      <alignment horizontal="center" vertical="center" wrapText="1"/>
    </xf>
    <xf numFmtId="164" fontId="109" fillId="24" borderId="1" xfId="19" applyNumberFormat="1" applyFont="1" applyFill="1" applyBorder="1" applyAlignment="1">
      <alignment vertical="center" wrapText="1"/>
    </xf>
    <xf numFmtId="0" fontId="109" fillId="24" borderId="1" xfId="19" applyFont="1" applyFill="1" applyBorder="1" applyAlignment="1">
      <alignment horizontal="center" vertical="center" wrapText="1"/>
    </xf>
    <xf numFmtId="164" fontId="109" fillId="24" borderId="1" xfId="19" applyNumberFormat="1" applyFont="1" applyFill="1" applyBorder="1" applyAlignment="1">
      <alignment horizontal="right" vertical="center" wrapText="1"/>
    </xf>
    <xf numFmtId="0" fontId="88" fillId="24" borderId="1" xfId="19" applyFont="1" applyFill="1" applyBorder="1" applyAlignment="1">
      <alignment vertical="center" wrapText="1"/>
    </xf>
    <xf numFmtId="0" fontId="4" fillId="24" borderId="1" xfId="19" applyFont="1" applyFill="1" applyBorder="1" applyAlignment="1">
      <alignment horizontal="left" vertical="center" wrapText="1"/>
    </xf>
    <xf numFmtId="0" fontId="109" fillId="24" borderId="1" xfId="19" applyFont="1" applyFill="1" applyBorder="1" applyAlignment="1">
      <alignment wrapText="1"/>
    </xf>
    <xf numFmtId="49" fontId="88" fillId="24" borderId="1" xfId="22" applyFont="1" applyFill="1" applyBorder="1" applyAlignment="1" applyProtection="1">
      <alignment horizontal="left" vertical="center" wrapText="1"/>
      <protection locked="0"/>
    </xf>
    <xf numFmtId="165" fontId="109" fillId="24" borderId="1" xfId="21" applyFont="1" applyFill="1" applyBorder="1" applyAlignment="1">
      <alignment horizontal="right" vertical="center" wrapText="1"/>
    </xf>
    <xf numFmtId="169" fontId="108" fillId="21" borderId="16" xfId="20" applyNumberFormat="1" applyFont="1" applyFill="1" applyBorder="1" applyAlignment="1" applyProtection="1">
      <alignment vertical="center" wrapText="1"/>
    </xf>
    <xf numFmtId="169" fontId="108" fillId="21" borderId="1" xfId="20" applyNumberFormat="1" applyFont="1" applyFill="1" applyBorder="1" applyAlignment="1" applyProtection="1">
      <alignment vertical="center" wrapText="1"/>
    </xf>
    <xf numFmtId="0" fontId="108" fillId="21" borderId="1" xfId="19" applyFont="1" applyFill="1" applyBorder="1" applyAlignment="1">
      <alignment vertical="center" wrapText="1"/>
    </xf>
    <xf numFmtId="0" fontId="108" fillId="21" borderId="34" xfId="19" applyFont="1" applyFill="1" applyBorder="1" applyAlignment="1">
      <alignment vertical="center" wrapText="1"/>
    </xf>
    <xf numFmtId="169" fontId="108" fillId="21" borderId="16" xfId="20" applyNumberFormat="1" applyFont="1" applyFill="1" applyBorder="1" applyAlignment="1" applyProtection="1">
      <alignment horizontal="center" vertical="center" wrapText="1"/>
    </xf>
    <xf numFmtId="43" fontId="90" fillId="0" borderId="5" xfId="14" applyFont="1" applyFill="1" applyBorder="1" applyAlignment="1">
      <alignment horizontal="center" vertical="center" wrapText="1"/>
    </xf>
    <xf numFmtId="43" fontId="90" fillId="0" borderId="3" xfId="14" applyFont="1" applyFill="1" applyBorder="1" applyAlignment="1">
      <alignment horizontal="center" vertical="top" wrapText="1"/>
    </xf>
    <xf numFmtId="0" fontId="87" fillId="0" borderId="1" xfId="0" applyFont="1" applyFill="1" applyBorder="1" applyAlignment="1">
      <alignment vertical="center" wrapText="1"/>
    </xf>
    <xf numFmtId="43" fontId="87" fillId="0" borderId="1" xfId="14" applyFont="1" applyFill="1" applyBorder="1" applyAlignment="1">
      <alignment vertical="center" wrapText="1"/>
    </xf>
    <xf numFmtId="0" fontId="91" fillId="0" borderId="103" xfId="0" applyFont="1" applyBorder="1" applyAlignment="1">
      <alignment horizontal="center" vertical="center"/>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17" borderId="2" xfId="0" applyFont="1" applyFill="1" applyBorder="1" applyAlignment="1">
      <alignment horizontal="left" vertical="top" wrapText="1"/>
    </xf>
    <xf numFmtId="0" fontId="6" fillId="17" borderId="4" xfId="0" applyFont="1" applyFill="1" applyBorder="1" applyAlignment="1">
      <alignment horizontal="left" vertical="top" wrapText="1"/>
    </xf>
    <xf numFmtId="0" fontId="6" fillId="17" borderId="3" xfId="0" applyFont="1" applyFill="1" applyBorder="1" applyAlignment="1">
      <alignment horizontal="left" vertical="top" wrapText="1"/>
    </xf>
    <xf numFmtId="0" fontId="6" fillId="18" borderId="2" xfId="0" applyFont="1" applyFill="1" applyBorder="1" applyAlignment="1">
      <alignment horizontal="left" vertical="top" wrapText="1"/>
    </xf>
    <xf numFmtId="0" fontId="6" fillId="18" borderId="4" xfId="0" applyFont="1" applyFill="1" applyBorder="1" applyAlignment="1">
      <alignment horizontal="left" vertical="top" wrapText="1"/>
    </xf>
    <xf numFmtId="0" fontId="6" fillId="18" borderId="3"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3"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8" borderId="4" xfId="0" applyFont="1" applyFill="1" applyBorder="1" applyAlignment="1">
      <alignment horizontal="left" vertical="top" wrapText="1"/>
    </xf>
    <xf numFmtId="0" fontId="6" fillId="8" borderId="3"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28" borderId="2" xfId="0" applyFont="1" applyFill="1" applyBorder="1" applyAlignment="1">
      <alignment horizontal="left" vertical="top" wrapText="1"/>
    </xf>
    <xf numFmtId="0" fontId="6" fillId="28" borderId="4" xfId="0" applyFont="1" applyFill="1" applyBorder="1" applyAlignment="1">
      <alignment horizontal="left" vertical="top" wrapText="1"/>
    </xf>
    <xf numFmtId="0" fontId="6" fillId="28" borderId="3" xfId="0" applyFont="1" applyFill="1" applyBorder="1" applyAlignment="1">
      <alignment horizontal="left" vertical="top" wrapText="1"/>
    </xf>
    <xf numFmtId="0" fontId="6" fillId="15" borderId="2" xfId="0" applyFont="1" applyFill="1" applyBorder="1" applyAlignment="1">
      <alignment horizontal="left" vertical="top" wrapText="1"/>
    </xf>
    <xf numFmtId="0" fontId="6" fillId="15" borderId="4" xfId="0" applyFont="1" applyFill="1" applyBorder="1" applyAlignment="1">
      <alignment horizontal="left" vertical="top" wrapText="1"/>
    </xf>
    <xf numFmtId="0" fontId="6" fillId="15" borderId="3" xfId="0" applyFont="1" applyFill="1" applyBorder="1" applyAlignment="1">
      <alignment horizontal="left" vertical="top" wrapText="1"/>
    </xf>
    <xf numFmtId="0" fontId="6" fillId="20" borderId="2" xfId="0" applyFont="1" applyFill="1" applyBorder="1" applyAlignment="1">
      <alignment horizontal="left" vertical="top" wrapText="1"/>
    </xf>
    <xf numFmtId="0" fontId="6" fillId="20" borderId="4" xfId="0" applyFont="1" applyFill="1" applyBorder="1" applyAlignment="1">
      <alignment horizontal="left" vertical="top" wrapText="1"/>
    </xf>
    <xf numFmtId="0" fontId="6" fillId="20" borderId="3" xfId="0" applyFont="1" applyFill="1" applyBorder="1" applyAlignment="1">
      <alignment horizontal="left" vertical="top" wrapText="1"/>
    </xf>
    <xf numFmtId="0" fontId="6" fillId="14" borderId="2" xfId="0" applyFont="1" applyFill="1" applyBorder="1" applyAlignment="1">
      <alignment horizontal="left" vertical="top" wrapText="1"/>
    </xf>
    <xf numFmtId="0" fontId="6" fillId="14" borderId="3" xfId="0" applyFont="1" applyFill="1" applyBorder="1" applyAlignment="1">
      <alignment horizontal="left" vertical="top" wrapText="1"/>
    </xf>
    <xf numFmtId="0" fontId="15" fillId="3" borderId="1" xfId="0" applyFont="1" applyFill="1" applyBorder="1" applyAlignment="1">
      <alignment horizontal="left" vertical="top" wrapText="1"/>
    </xf>
    <xf numFmtId="0" fontId="6" fillId="26" borderId="2" xfId="0" applyFont="1" applyFill="1" applyBorder="1" applyAlignment="1">
      <alignment horizontal="left" vertical="top" wrapText="1"/>
    </xf>
    <xf numFmtId="0" fontId="6" fillId="26" borderId="4" xfId="0" applyFont="1" applyFill="1" applyBorder="1" applyAlignment="1">
      <alignment horizontal="left" vertical="top" wrapText="1"/>
    </xf>
    <xf numFmtId="0" fontId="6" fillId="26" borderId="3" xfId="0" applyFont="1" applyFill="1" applyBorder="1" applyAlignment="1">
      <alignment horizontal="left" vertical="top" wrapText="1"/>
    </xf>
    <xf numFmtId="0" fontId="15" fillId="4" borderId="2" xfId="0" applyFont="1" applyFill="1" applyBorder="1" applyAlignment="1">
      <alignment horizontal="left" vertical="top" wrapText="1"/>
    </xf>
    <xf numFmtId="0" fontId="15" fillId="4" borderId="4" xfId="0" applyFont="1" applyFill="1" applyBorder="1" applyAlignment="1">
      <alignment horizontal="left" vertical="top" wrapText="1"/>
    </xf>
    <xf numFmtId="0" fontId="15" fillId="4" borderId="3"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4" xfId="0" applyFont="1" applyFill="1" applyBorder="1" applyAlignment="1">
      <alignment horizontal="left" vertical="top" wrapText="1"/>
    </xf>
    <xf numFmtId="0" fontId="6" fillId="30" borderId="2" xfId="0" applyFont="1" applyFill="1" applyBorder="1" applyAlignment="1">
      <alignment horizontal="left" vertical="top" wrapText="1"/>
    </xf>
    <xf numFmtId="0" fontId="6" fillId="30" borderId="4" xfId="0" applyFont="1" applyFill="1" applyBorder="1" applyAlignment="1">
      <alignment horizontal="left" vertical="top" wrapText="1"/>
    </xf>
    <xf numFmtId="0" fontId="6" fillId="30" borderId="3" xfId="0" applyFont="1" applyFill="1" applyBorder="1" applyAlignment="1">
      <alignment horizontal="left"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6" fillId="3" borderId="2"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20"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5" borderId="3" xfId="0" applyFont="1" applyFill="1" applyBorder="1" applyAlignment="1">
      <alignment horizontal="left" vertical="top" wrapText="1"/>
    </xf>
    <xf numFmtId="0" fontId="65" fillId="0" borderId="16" xfId="0" applyFont="1" applyFill="1" applyBorder="1" applyAlignment="1">
      <alignment horizontal="left" vertical="top" wrapText="1"/>
    </xf>
    <xf numFmtId="0" fontId="65" fillId="0" borderId="17" xfId="0" applyFont="1" applyFill="1" applyBorder="1" applyAlignment="1">
      <alignment horizontal="left" vertical="top" wrapText="1"/>
    </xf>
    <xf numFmtId="0" fontId="65" fillId="0" borderId="18"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11" borderId="2" xfId="0" applyFont="1" applyFill="1" applyBorder="1" applyAlignment="1">
      <alignment horizontal="left" vertical="top" wrapText="1"/>
    </xf>
    <xf numFmtId="0" fontId="15" fillId="11" borderId="4" xfId="0" applyFont="1" applyFill="1" applyBorder="1" applyAlignment="1">
      <alignment horizontal="left" vertical="top" wrapText="1"/>
    </xf>
    <xf numFmtId="0" fontId="15" fillId="11" borderId="3" xfId="0" applyFont="1" applyFill="1" applyBorder="1" applyAlignment="1">
      <alignment horizontal="left" vertical="top" wrapText="1"/>
    </xf>
    <xf numFmtId="0" fontId="16" fillId="3" borderId="1" xfId="0" applyFont="1" applyFill="1" applyBorder="1" applyAlignment="1">
      <alignment horizontal="left" vertical="top" wrapText="1"/>
    </xf>
    <xf numFmtId="0" fontId="6" fillId="22" borderId="2" xfId="0" applyFont="1" applyFill="1" applyBorder="1" applyAlignment="1">
      <alignment horizontal="left" vertical="top" wrapText="1"/>
    </xf>
    <xf numFmtId="0" fontId="6" fillId="22" borderId="4" xfId="0" applyFont="1" applyFill="1" applyBorder="1" applyAlignment="1">
      <alignment horizontal="left" vertical="top" wrapText="1"/>
    </xf>
    <xf numFmtId="0" fontId="6" fillId="22" borderId="3" xfId="0" applyFont="1" applyFill="1" applyBorder="1" applyAlignment="1">
      <alignment horizontal="left" vertical="top" wrapText="1"/>
    </xf>
    <xf numFmtId="0" fontId="15" fillId="6" borderId="2" xfId="3" applyFont="1" applyFill="1" applyBorder="1" applyAlignment="1">
      <alignment horizontal="left" vertical="top" wrapText="1"/>
    </xf>
    <xf numFmtId="0" fontId="15" fillId="6" borderId="4" xfId="3" applyFont="1" applyFill="1" applyBorder="1" applyAlignment="1">
      <alignment horizontal="left" vertical="top" wrapText="1"/>
    </xf>
    <xf numFmtId="0" fontId="15" fillId="6" borderId="3" xfId="3" applyFont="1" applyFill="1" applyBorder="1" applyAlignment="1">
      <alignment horizontal="left" vertical="top" wrapText="1"/>
    </xf>
    <xf numFmtId="0" fontId="6" fillId="4" borderId="1" xfId="0" applyFont="1" applyFill="1" applyBorder="1" applyAlignment="1">
      <alignment horizontal="left" vertical="top" wrapText="1"/>
    </xf>
    <xf numFmtId="0" fontId="15" fillId="4" borderId="2" xfId="3" applyFont="1" applyFill="1" applyBorder="1" applyAlignment="1">
      <alignment horizontal="left" vertical="top" wrapText="1"/>
    </xf>
    <xf numFmtId="0" fontId="15" fillId="4" borderId="4" xfId="3" applyFont="1" applyFill="1" applyBorder="1" applyAlignment="1">
      <alignment horizontal="left" vertical="top" wrapText="1"/>
    </xf>
    <xf numFmtId="0" fontId="15" fillId="4" borderId="3" xfId="3" applyFont="1" applyFill="1" applyBorder="1" applyAlignment="1">
      <alignment horizontal="left" vertical="top" wrapText="1"/>
    </xf>
    <xf numFmtId="0" fontId="6" fillId="10" borderId="2"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10" borderId="3" xfId="0" applyFont="1" applyFill="1" applyBorder="1" applyAlignment="1">
      <alignment horizontal="left" vertical="top" wrapText="1"/>
    </xf>
    <xf numFmtId="0" fontId="15" fillId="10" borderId="2" xfId="0" applyFont="1" applyFill="1" applyBorder="1" applyAlignment="1">
      <alignment horizontal="left" vertical="top" wrapText="1"/>
    </xf>
    <xf numFmtId="0" fontId="15" fillId="10" borderId="4" xfId="0" applyFont="1" applyFill="1" applyBorder="1" applyAlignment="1">
      <alignment horizontal="left" vertical="top" wrapText="1"/>
    </xf>
    <xf numFmtId="0" fontId="15" fillId="10"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3" xfId="0" applyFont="1" applyFill="1" applyBorder="1" applyAlignment="1">
      <alignment horizontal="left" vertical="top" wrapText="1"/>
    </xf>
    <xf numFmtId="0" fontId="15" fillId="17" borderId="2" xfId="0" applyFont="1" applyFill="1" applyBorder="1" applyAlignment="1">
      <alignment horizontal="left" vertical="top" wrapText="1"/>
    </xf>
    <xf numFmtId="0" fontId="15" fillId="17" borderId="4" xfId="0" applyFont="1" applyFill="1" applyBorder="1" applyAlignment="1">
      <alignment horizontal="left" vertical="top" wrapText="1"/>
    </xf>
    <xf numFmtId="0" fontId="15" fillId="17" borderId="3" xfId="0" applyFont="1" applyFill="1" applyBorder="1" applyAlignment="1">
      <alignment horizontal="left" vertical="top" wrapText="1"/>
    </xf>
    <xf numFmtId="0" fontId="11" fillId="7" borderId="2" xfId="0" applyFont="1" applyFill="1" applyBorder="1" applyAlignment="1">
      <alignment horizontal="left" vertical="top" wrapText="1"/>
    </xf>
    <xf numFmtId="0" fontId="11" fillId="7" borderId="4" xfId="0" applyFont="1" applyFill="1" applyBorder="1" applyAlignment="1">
      <alignment horizontal="left" vertical="top" wrapText="1"/>
    </xf>
    <xf numFmtId="0" fontId="11" fillId="7" borderId="3" xfId="0" applyFont="1" applyFill="1" applyBorder="1" applyAlignment="1">
      <alignment horizontal="left" vertical="top" wrapText="1"/>
    </xf>
    <xf numFmtId="0" fontId="16" fillId="7" borderId="2" xfId="0" applyFont="1" applyFill="1" applyBorder="1" applyAlignment="1">
      <alignment horizontal="left" vertical="top" wrapText="1"/>
    </xf>
    <xf numFmtId="0" fontId="16" fillId="7" borderId="4" xfId="0" applyFont="1" applyFill="1" applyBorder="1" applyAlignment="1">
      <alignment horizontal="left" vertical="top" wrapText="1"/>
    </xf>
    <xf numFmtId="0" fontId="16" fillId="7" borderId="3" xfId="0" applyFont="1" applyFill="1" applyBorder="1" applyAlignment="1">
      <alignment horizontal="left" vertical="top" wrapText="1"/>
    </xf>
    <xf numFmtId="0" fontId="15" fillId="7" borderId="2"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167" fontId="15" fillId="24" borderId="2" xfId="0" applyNumberFormat="1" applyFont="1" applyFill="1" applyBorder="1" applyAlignment="1">
      <alignment horizontal="left" vertical="top" wrapText="1"/>
    </xf>
    <xf numFmtId="167" fontId="15" fillId="24" borderId="3" xfId="0" applyNumberFormat="1"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3" xfId="0" applyFont="1" applyFill="1" applyBorder="1" applyAlignment="1">
      <alignment horizontal="left" vertical="top" wrapText="1"/>
    </xf>
    <xf numFmtId="0" fontId="15" fillId="22" borderId="2" xfId="0" applyFont="1" applyFill="1" applyBorder="1" applyAlignment="1">
      <alignment horizontal="left" vertical="top" wrapText="1"/>
    </xf>
    <xf numFmtId="0" fontId="15" fillId="22" borderId="4" xfId="0" applyFont="1" applyFill="1" applyBorder="1" applyAlignment="1">
      <alignment horizontal="left" vertical="top" wrapText="1"/>
    </xf>
    <xf numFmtId="0" fontId="15" fillId="22" borderId="3" xfId="0" applyFont="1" applyFill="1" applyBorder="1" applyAlignment="1">
      <alignment horizontal="left" vertical="top" wrapText="1"/>
    </xf>
    <xf numFmtId="0" fontId="15" fillId="14" borderId="2" xfId="0" applyFont="1" applyFill="1" applyBorder="1" applyAlignment="1">
      <alignment horizontal="left" vertical="top" wrapText="1"/>
    </xf>
    <xf numFmtId="0" fontId="15" fillId="14" borderId="4" xfId="0" applyFont="1" applyFill="1" applyBorder="1" applyAlignment="1">
      <alignment horizontal="left" vertical="top" wrapText="1"/>
    </xf>
    <xf numFmtId="0" fontId="15" fillId="14" borderId="3" xfId="0" applyFont="1" applyFill="1" applyBorder="1" applyAlignment="1">
      <alignment horizontal="left" vertical="top" wrapText="1"/>
    </xf>
    <xf numFmtId="0" fontId="15" fillId="34" borderId="2" xfId="0" applyFont="1" applyFill="1" applyBorder="1" applyAlignment="1">
      <alignment horizontal="left" vertical="top" wrapText="1"/>
    </xf>
    <xf numFmtId="0" fontId="15" fillId="34" borderId="4" xfId="0" applyFont="1" applyFill="1" applyBorder="1" applyAlignment="1">
      <alignment horizontal="left" vertical="top" wrapText="1"/>
    </xf>
    <xf numFmtId="0" fontId="15" fillId="34" borderId="3" xfId="0" applyFont="1" applyFill="1" applyBorder="1" applyAlignment="1">
      <alignment horizontal="left" vertical="top" wrapText="1"/>
    </xf>
    <xf numFmtId="0" fontId="15" fillId="26" borderId="2" xfId="0" applyFont="1" applyFill="1" applyBorder="1" applyAlignment="1">
      <alignment horizontal="left" vertical="top" wrapText="1"/>
    </xf>
    <xf numFmtId="0" fontId="15" fillId="26" borderId="4" xfId="0" applyFont="1" applyFill="1" applyBorder="1" applyAlignment="1">
      <alignment horizontal="left" vertical="top" wrapText="1"/>
    </xf>
    <xf numFmtId="0" fontId="15" fillId="26" borderId="3" xfId="0" applyFont="1" applyFill="1" applyBorder="1" applyAlignment="1">
      <alignment horizontal="left" vertical="top" wrapText="1"/>
    </xf>
    <xf numFmtId="167" fontId="15" fillId="24" borderId="4" xfId="0" applyNumberFormat="1" applyFont="1" applyFill="1" applyBorder="1" applyAlignment="1">
      <alignment horizontal="left" vertical="top" wrapText="1"/>
    </xf>
    <xf numFmtId="9" fontId="15" fillId="0" borderId="16" xfId="1" applyFont="1" applyFill="1" applyBorder="1" applyAlignment="1">
      <alignment horizontal="left" vertical="top" wrapText="1"/>
    </xf>
    <xf numFmtId="9" fontId="15" fillId="0" borderId="17" xfId="1" applyFont="1" applyFill="1" applyBorder="1" applyAlignment="1">
      <alignment horizontal="left" vertical="top" wrapText="1"/>
    </xf>
    <xf numFmtId="9" fontId="15" fillId="0" borderId="18" xfId="1" applyFont="1" applyFill="1" applyBorder="1" applyAlignment="1">
      <alignment horizontal="left" vertical="top" wrapText="1"/>
    </xf>
    <xf numFmtId="0" fontId="6" fillId="14" borderId="4" xfId="0" applyFont="1" applyFill="1" applyBorder="1" applyAlignment="1">
      <alignment horizontal="left" vertical="top" wrapText="1"/>
    </xf>
    <xf numFmtId="0" fontId="15" fillId="20" borderId="2" xfId="0" applyFont="1" applyFill="1" applyBorder="1" applyAlignment="1">
      <alignment horizontal="left" vertical="top" wrapText="1"/>
    </xf>
    <xf numFmtId="0" fontId="15" fillId="20" borderId="4" xfId="0" applyFont="1" applyFill="1" applyBorder="1" applyAlignment="1">
      <alignment horizontal="left" vertical="top" wrapText="1"/>
    </xf>
    <xf numFmtId="0" fontId="15" fillId="20" borderId="3" xfId="0" applyFont="1" applyFill="1" applyBorder="1" applyAlignment="1">
      <alignment horizontal="left" vertical="top" wrapText="1"/>
    </xf>
    <xf numFmtId="0" fontId="6" fillId="27" borderId="2" xfId="0" applyFont="1" applyFill="1" applyBorder="1" applyAlignment="1">
      <alignment horizontal="left" vertical="top" wrapText="1"/>
    </xf>
    <xf numFmtId="0" fontId="6" fillId="27" borderId="3" xfId="0" applyFont="1" applyFill="1" applyBorder="1" applyAlignment="1">
      <alignment horizontal="left" vertical="top" wrapText="1"/>
    </xf>
    <xf numFmtId="0" fontId="16" fillId="3" borderId="3" xfId="0" applyFont="1" applyFill="1" applyBorder="1" applyAlignment="1">
      <alignment horizontal="left" vertical="top" wrapText="1"/>
    </xf>
    <xf numFmtId="0" fontId="11" fillId="14" borderId="2" xfId="0" applyFont="1" applyFill="1" applyBorder="1" applyAlignment="1">
      <alignment horizontal="left" vertical="top" wrapText="1"/>
    </xf>
    <xf numFmtId="0" fontId="11" fillId="14" borderId="4" xfId="0" applyFont="1" applyFill="1" applyBorder="1" applyAlignment="1">
      <alignment horizontal="left" vertical="top" wrapText="1"/>
    </xf>
    <xf numFmtId="0" fontId="11" fillId="14" borderId="3" xfId="0" applyFont="1" applyFill="1" applyBorder="1" applyAlignment="1">
      <alignment horizontal="left" vertical="top" wrapText="1"/>
    </xf>
    <xf numFmtId="0" fontId="15" fillId="28" borderId="2" xfId="0" applyFont="1" applyFill="1" applyBorder="1" applyAlignment="1">
      <alignment horizontal="left" vertical="top" wrapText="1"/>
    </xf>
    <xf numFmtId="0" fontId="15" fillId="28" borderId="4" xfId="0" applyFont="1" applyFill="1" applyBorder="1" applyAlignment="1">
      <alignment horizontal="left" vertical="top" wrapText="1"/>
    </xf>
    <xf numFmtId="0" fontId="15" fillId="28" borderId="3" xfId="0" applyFont="1" applyFill="1" applyBorder="1" applyAlignment="1">
      <alignment horizontal="left" vertical="top" wrapText="1"/>
    </xf>
    <xf numFmtId="0" fontId="11" fillId="4" borderId="1" xfId="0" applyFont="1" applyFill="1" applyBorder="1" applyAlignment="1">
      <alignment horizontal="left" vertical="top" wrapText="1"/>
    </xf>
    <xf numFmtId="0" fontId="6" fillId="12" borderId="1" xfId="0" applyFont="1" applyFill="1" applyBorder="1" applyAlignment="1">
      <alignment horizontal="left" vertical="top" wrapText="1"/>
    </xf>
    <xf numFmtId="0" fontId="6" fillId="13" borderId="2" xfId="0" applyFont="1" applyFill="1" applyBorder="1" applyAlignment="1">
      <alignment horizontal="left" vertical="top" wrapText="1"/>
    </xf>
    <xf numFmtId="0" fontId="6" fillId="13" borderId="4" xfId="0" applyFont="1" applyFill="1" applyBorder="1" applyAlignment="1">
      <alignment horizontal="left" vertical="top" wrapText="1"/>
    </xf>
    <xf numFmtId="0" fontId="6" fillId="13" borderId="3" xfId="0" applyFont="1" applyFill="1" applyBorder="1" applyAlignment="1">
      <alignment horizontal="left" vertical="top" wrapText="1"/>
    </xf>
    <xf numFmtId="0" fontId="6" fillId="25" borderId="2" xfId="0" applyFont="1" applyFill="1" applyBorder="1" applyAlignment="1">
      <alignment horizontal="left" vertical="top" wrapText="1"/>
    </xf>
    <xf numFmtId="0" fontId="6" fillId="25" borderId="4" xfId="0" applyFont="1" applyFill="1" applyBorder="1" applyAlignment="1">
      <alignment horizontal="left" vertical="top" wrapText="1"/>
    </xf>
    <xf numFmtId="0" fontId="6" fillId="25" borderId="3" xfId="0" applyFont="1" applyFill="1" applyBorder="1" applyAlignment="1">
      <alignment horizontal="left" vertical="top" wrapText="1"/>
    </xf>
    <xf numFmtId="0" fontId="16" fillId="6" borderId="2" xfId="0"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3" xfId="0" applyFont="1" applyFill="1" applyBorder="1" applyAlignment="1">
      <alignment horizontal="left" vertical="top" wrapText="1"/>
    </xf>
    <xf numFmtId="0" fontId="6" fillId="0" borderId="19" xfId="0" applyFont="1" applyFill="1" applyBorder="1" applyAlignment="1">
      <alignment horizontal="left" vertical="top" wrapText="1"/>
    </xf>
    <xf numFmtId="0" fontId="16" fillId="16" borderId="2" xfId="0" applyFont="1" applyFill="1" applyBorder="1" applyAlignment="1">
      <alignment horizontal="left" vertical="top" wrapText="1"/>
    </xf>
    <xf numFmtId="0" fontId="16" fillId="16" borderId="4" xfId="0" applyFont="1" applyFill="1" applyBorder="1" applyAlignment="1">
      <alignment horizontal="left" vertical="top" wrapText="1"/>
    </xf>
    <xf numFmtId="0" fontId="16" fillId="16" borderId="3" xfId="0" applyFont="1" applyFill="1" applyBorder="1" applyAlignment="1">
      <alignment horizontal="left" vertical="top" wrapText="1"/>
    </xf>
    <xf numFmtId="0" fontId="16" fillId="26" borderId="2" xfId="0" applyFont="1" applyFill="1" applyBorder="1" applyAlignment="1">
      <alignment horizontal="left" vertical="top" wrapText="1"/>
    </xf>
    <xf numFmtId="0" fontId="16" fillId="26" borderId="3" xfId="0" applyFont="1" applyFill="1" applyBorder="1" applyAlignment="1">
      <alignment horizontal="left" vertical="top" wrapText="1"/>
    </xf>
    <xf numFmtId="0" fontId="15" fillId="11" borderId="1" xfId="0" applyFont="1" applyFill="1" applyBorder="1" applyAlignment="1">
      <alignment horizontal="left" vertical="top" wrapText="1"/>
    </xf>
    <xf numFmtId="0" fontId="15" fillId="6" borderId="2" xfId="0" applyFont="1" applyFill="1" applyBorder="1" applyAlignment="1">
      <alignment horizontal="left" vertical="top" wrapText="1"/>
    </xf>
    <xf numFmtId="0" fontId="15" fillId="6" borderId="4" xfId="0" applyFont="1" applyFill="1" applyBorder="1" applyAlignment="1">
      <alignment horizontal="left" vertical="top" wrapText="1"/>
    </xf>
    <xf numFmtId="0" fontId="15" fillId="6" borderId="3" xfId="0" applyFont="1" applyFill="1" applyBorder="1" applyAlignment="1">
      <alignment horizontal="left" vertical="top" wrapText="1"/>
    </xf>
    <xf numFmtId="0" fontId="6" fillId="11" borderId="2" xfId="0" applyFont="1" applyFill="1" applyBorder="1" applyAlignment="1">
      <alignment horizontal="left" vertical="top" wrapText="1"/>
    </xf>
    <xf numFmtId="0" fontId="6" fillId="11" borderId="4" xfId="0" applyFont="1" applyFill="1" applyBorder="1" applyAlignment="1">
      <alignment horizontal="left" vertical="top" wrapText="1"/>
    </xf>
    <xf numFmtId="0" fontId="6" fillId="11" borderId="3"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23" borderId="1" xfId="0" applyFont="1" applyFill="1" applyBorder="1" applyAlignment="1">
      <alignment horizontal="left" vertical="top" wrapText="1"/>
    </xf>
    <xf numFmtId="0" fontId="64" fillId="2" borderId="1" xfId="0" applyFont="1" applyFill="1" applyBorder="1" applyAlignment="1">
      <alignment horizontal="left" vertical="top" wrapText="1"/>
    </xf>
    <xf numFmtId="0" fontId="63" fillId="21" borderId="1" xfId="0" applyFont="1" applyFill="1" applyBorder="1" applyAlignment="1">
      <alignment horizontal="left" vertical="top" wrapText="1"/>
    </xf>
    <xf numFmtId="0" fontId="69" fillId="2" borderId="1" xfId="0" applyFont="1" applyFill="1" applyBorder="1" applyAlignment="1">
      <alignment horizontal="left" vertical="top" wrapText="1"/>
    </xf>
    <xf numFmtId="0" fontId="70" fillId="2" borderId="1" xfId="0" applyFont="1" applyFill="1" applyBorder="1" applyAlignment="1">
      <alignment horizontal="left" vertical="top" wrapText="1"/>
    </xf>
    <xf numFmtId="0" fontId="64" fillId="2" borderId="2" xfId="0" applyFont="1" applyFill="1" applyBorder="1" applyAlignment="1">
      <alignment horizontal="left" vertical="top" wrapText="1"/>
    </xf>
    <xf numFmtId="0" fontId="64" fillId="2" borderId="3" xfId="0" applyFont="1" applyFill="1" applyBorder="1" applyAlignment="1">
      <alignment horizontal="left" vertical="top" wrapText="1"/>
    </xf>
    <xf numFmtId="0" fontId="64" fillId="2" borderId="2" xfId="0" applyFont="1" applyFill="1" applyBorder="1" applyAlignment="1">
      <alignment horizontal="left" vertical="top"/>
    </xf>
    <xf numFmtId="0" fontId="64" fillId="2" borderId="3" xfId="0" applyFont="1" applyFill="1" applyBorder="1" applyAlignment="1">
      <alignment horizontal="left" vertical="top"/>
    </xf>
    <xf numFmtId="0" fontId="9" fillId="0" borderId="78" xfId="0" applyFont="1" applyBorder="1" applyAlignment="1">
      <alignment horizontal="left" vertical="top" wrapText="1"/>
    </xf>
    <xf numFmtId="0" fontId="9" fillId="0" borderId="79"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76" xfId="0" applyFont="1" applyBorder="1" applyAlignment="1">
      <alignment horizontal="left" vertical="top" wrapText="1"/>
    </xf>
    <xf numFmtId="0" fontId="9" fillId="0" borderId="10" xfId="0" applyFont="1" applyBorder="1" applyAlignment="1">
      <alignment horizontal="left" vertical="top" wrapText="1"/>
    </xf>
    <xf numFmtId="0" fontId="9" fillId="0" borderId="67" xfId="0" applyFont="1" applyBorder="1" applyAlignment="1">
      <alignment horizontal="left" vertical="top" wrapText="1"/>
    </xf>
    <xf numFmtId="0" fontId="9" fillId="0" borderId="77" xfId="0" applyFont="1" applyBorder="1" applyAlignment="1">
      <alignment horizontal="left" vertical="top" wrapText="1"/>
    </xf>
    <xf numFmtId="0" fontId="6" fillId="12" borderId="2" xfId="0" applyFont="1" applyFill="1" applyBorder="1" applyAlignment="1">
      <alignment horizontal="left" vertical="top" wrapText="1"/>
    </xf>
    <xf numFmtId="0" fontId="6" fillId="12" borderId="4" xfId="0" applyFont="1" applyFill="1" applyBorder="1" applyAlignment="1">
      <alignment horizontal="left" vertical="top" wrapText="1"/>
    </xf>
    <xf numFmtId="0" fontId="6" fillId="12" borderId="3" xfId="0" applyFont="1" applyFill="1" applyBorder="1" applyAlignment="1">
      <alignment horizontal="left" vertical="top" wrapText="1"/>
    </xf>
    <xf numFmtId="0" fontId="6" fillId="19" borderId="2" xfId="0" applyFont="1" applyFill="1" applyBorder="1" applyAlignment="1">
      <alignment horizontal="left" vertical="top" wrapText="1"/>
    </xf>
    <xf numFmtId="0" fontId="6" fillId="19" borderId="4" xfId="0" applyFont="1" applyFill="1" applyBorder="1" applyAlignment="1">
      <alignment horizontal="left" vertical="top" wrapText="1"/>
    </xf>
    <xf numFmtId="0" fontId="6" fillId="19" borderId="3" xfId="0" applyFont="1" applyFill="1" applyBorder="1" applyAlignment="1">
      <alignment horizontal="left" vertical="top" wrapText="1"/>
    </xf>
    <xf numFmtId="0" fontId="67" fillId="0" borderId="1" xfId="0" applyFont="1" applyFill="1" applyBorder="1" applyAlignment="1">
      <alignment horizontal="left" vertical="top" wrapText="1"/>
    </xf>
    <xf numFmtId="0" fontId="9" fillId="0" borderId="68" xfId="0" applyFont="1" applyBorder="1" applyAlignment="1">
      <alignment horizontal="left" vertical="top" wrapText="1"/>
    </xf>
    <xf numFmtId="0" fontId="9" fillId="0" borderId="74" xfId="0" applyFont="1" applyBorder="1" applyAlignment="1">
      <alignment horizontal="left" vertical="top" wrapText="1"/>
    </xf>
    <xf numFmtId="0" fontId="9" fillId="0" borderId="71" xfId="0" applyFont="1" applyBorder="1" applyAlignment="1">
      <alignment horizontal="left" vertical="top" wrapText="1"/>
    </xf>
    <xf numFmtId="0" fontId="9" fillId="0" borderId="75" xfId="0" applyFont="1" applyBorder="1" applyAlignment="1">
      <alignment horizontal="left" vertical="top" wrapText="1"/>
    </xf>
    <xf numFmtId="0" fontId="68" fillId="0" borderId="7" xfId="0" applyFont="1" applyFill="1" applyBorder="1" applyAlignment="1">
      <alignment horizontal="left" vertical="top" wrapText="1"/>
    </xf>
    <xf numFmtId="0" fontId="68" fillId="0" borderId="6" xfId="0" applyFont="1" applyFill="1" applyBorder="1" applyAlignment="1">
      <alignment horizontal="left" vertical="top" wrapText="1"/>
    </xf>
    <xf numFmtId="0" fontId="68" fillId="0" borderId="5" xfId="0" applyFont="1" applyFill="1" applyBorder="1" applyAlignment="1">
      <alignment horizontal="left" vertical="top" wrapText="1"/>
    </xf>
    <xf numFmtId="0" fontId="9" fillId="0" borderId="69" xfId="0" applyFont="1" applyBorder="1" applyAlignment="1">
      <alignment horizontal="left" vertical="top" wrapText="1"/>
    </xf>
    <xf numFmtId="0" fontId="9" fillId="0" borderId="70" xfId="0" applyFont="1" applyBorder="1" applyAlignment="1">
      <alignment horizontal="left" vertical="top" wrapText="1"/>
    </xf>
    <xf numFmtId="0" fontId="9" fillId="0" borderId="72" xfId="0" applyFont="1" applyBorder="1" applyAlignment="1">
      <alignment horizontal="left" vertical="top" wrapText="1"/>
    </xf>
    <xf numFmtId="0" fontId="9" fillId="0" borderId="73" xfId="0" applyFont="1" applyBorder="1" applyAlignment="1">
      <alignment horizontal="left" vertical="top" wrapText="1"/>
    </xf>
    <xf numFmtId="0" fontId="66" fillId="0" borderId="16" xfId="0" applyFont="1" applyFill="1" applyBorder="1" applyAlignment="1">
      <alignment horizontal="left" vertical="top" wrapText="1"/>
    </xf>
    <xf numFmtId="0" fontId="66" fillId="0" borderId="17" xfId="0" applyFont="1" applyFill="1" applyBorder="1" applyAlignment="1">
      <alignment horizontal="left" vertical="top" wrapText="1"/>
    </xf>
    <xf numFmtId="0" fontId="66" fillId="0" borderId="18" xfId="0" applyFont="1" applyFill="1" applyBorder="1" applyAlignment="1">
      <alignment horizontal="left" vertical="top" wrapText="1"/>
    </xf>
    <xf numFmtId="0" fontId="15" fillId="27" borderId="2" xfId="0" applyFont="1" applyFill="1" applyBorder="1" applyAlignment="1">
      <alignment horizontal="left" vertical="top" wrapText="1"/>
    </xf>
    <xf numFmtId="0" fontId="15" fillId="27" borderId="3" xfId="0" applyFont="1" applyFill="1" applyBorder="1" applyAlignment="1">
      <alignment horizontal="left" vertical="top" wrapText="1"/>
    </xf>
    <xf numFmtId="0" fontId="6" fillId="34" borderId="2" xfId="0" applyFont="1" applyFill="1" applyBorder="1" applyAlignment="1">
      <alignment horizontal="left" vertical="top" wrapText="1"/>
    </xf>
    <xf numFmtId="0" fontId="6" fillId="34" borderId="4" xfId="0" applyFont="1" applyFill="1" applyBorder="1" applyAlignment="1">
      <alignment horizontal="left" vertical="top" wrapText="1"/>
    </xf>
    <xf numFmtId="0" fontId="6" fillId="34" borderId="3" xfId="0" applyFont="1" applyFill="1" applyBorder="1" applyAlignment="1">
      <alignment horizontal="left" vertical="top" wrapText="1"/>
    </xf>
    <xf numFmtId="0" fontId="9" fillId="0" borderId="66" xfId="0" applyFont="1" applyBorder="1" applyAlignment="1">
      <alignment horizontal="left" vertical="top" wrapText="1"/>
    </xf>
    <xf numFmtId="0" fontId="9" fillId="0" borderId="8" xfId="0" applyFont="1" applyBorder="1" applyAlignment="1">
      <alignment horizontal="left" vertical="top" wrapText="1"/>
    </xf>
    <xf numFmtId="0" fontId="19" fillId="14" borderId="2" xfId="0" applyFont="1" applyFill="1" applyBorder="1" applyAlignment="1" applyProtection="1">
      <alignment horizontal="left" vertical="top" wrapText="1"/>
      <protection locked="0"/>
    </xf>
    <xf numFmtId="0" fontId="19" fillId="14" borderId="4" xfId="0" applyFont="1" applyFill="1" applyBorder="1" applyAlignment="1" applyProtection="1">
      <alignment horizontal="left" vertical="top" wrapText="1"/>
      <protection locked="0"/>
    </xf>
    <xf numFmtId="0" fontId="19" fillId="14" borderId="3" xfId="0" applyFont="1" applyFill="1" applyBorder="1" applyAlignment="1" applyProtection="1">
      <alignment horizontal="left" vertical="top" wrapText="1"/>
      <protection locked="0"/>
    </xf>
    <xf numFmtId="0" fontId="12" fillId="14" borderId="2" xfId="0" applyFont="1" applyFill="1" applyBorder="1" applyAlignment="1" applyProtection="1">
      <alignment horizontal="left" vertical="top" wrapText="1"/>
      <protection locked="0"/>
    </xf>
    <xf numFmtId="0" fontId="12" fillId="14" borderId="4" xfId="0" applyFont="1" applyFill="1" applyBorder="1" applyAlignment="1" applyProtection="1">
      <alignment horizontal="left" vertical="top" wrapText="1"/>
      <protection locked="0"/>
    </xf>
    <xf numFmtId="0" fontId="12" fillId="14" borderId="3" xfId="0" applyFont="1" applyFill="1" applyBorder="1" applyAlignment="1" applyProtection="1">
      <alignment horizontal="left" vertical="top" wrapText="1"/>
      <protection locked="0"/>
    </xf>
    <xf numFmtId="0" fontId="19" fillId="22" borderId="2" xfId="0" applyFont="1" applyFill="1" applyBorder="1" applyAlignment="1" applyProtection="1">
      <alignment horizontal="left" vertical="top" wrapText="1"/>
      <protection locked="0"/>
    </xf>
    <xf numFmtId="0" fontId="19" fillId="22" borderId="3" xfId="0" applyFont="1" applyFill="1" applyBorder="1" applyAlignment="1" applyProtection="1">
      <alignment horizontal="left" vertical="top" wrapText="1"/>
      <protection locked="0"/>
    </xf>
    <xf numFmtId="0" fontId="12" fillId="22" borderId="2" xfId="0" applyFont="1" applyFill="1" applyBorder="1" applyAlignment="1" applyProtection="1">
      <alignment horizontal="left" vertical="top" wrapText="1"/>
      <protection locked="0"/>
    </xf>
    <xf numFmtId="0" fontId="12" fillId="22" borderId="4" xfId="0" applyFont="1" applyFill="1" applyBorder="1" applyAlignment="1" applyProtection="1">
      <alignment horizontal="left" vertical="top" wrapText="1"/>
      <protection locked="0"/>
    </xf>
    <xf numFmtId="0" fontId="12" fillId="22" borderId="3" xfId="0" applyFont="1" applyFill="1" applyBorder="1" applyAlignment="1" applyProtection="1">
      <alignment horizontal="left" vertical="top" wrapText="1"/>
      <protection locked="0"/>
    </xf>
    <xf numFmtId="0" fontId="6" fillId="6" borderId="4" xfId="0" applyFont="1" applyFill="1" applyBorder="1" applyAlignment="1">
      <alignment horizontal="left" vertical="top" wrapText="1"/>
    </xf>
    <xf numFmtId="0" fontId="15" fillId="12" borderId="2" xfId="0" applyFont="1" applyFill="1" applyBorder="1" applyAlignment="1">
      <alignment horizontal="left" vertical="top" wrapText="1"/>
    </xf>
    <xf numFmtId="0" fontId="15" fillId="12" borderId="4" xfId="0" applyFont="1" applyFill="1" applyBorder="1" applyAlignment="1">
      <alignment horizontal="left" vertical="top" wrapText="1"/>
    </xf>
    <xf numFmtId="0" fontId="15" fillId="12" borderId="3" xfId="0" applyFont="1" applyFill="1" applyBorder="1" applyAlignment="1">
      <alignment horizontal="left" vertical="top" wrapText="1"/>
    </xf>
    <xf numFmtId="0" fontId="16" fillId="4" borderId="2" xfId="0" applyFont="1" applyFill="1" applyBorder="1" applyAlignment="1">
      <alignment horizontal="left" vertical="top" wrapText="1"/>
    </xf>
    <xf numFmtId="0" fontId="16" fillId="4" borderId="4" xfId="0" applyFont="1" applyFill="1" applyBorder="1" applyAlignment="1">
      <alignment horizontal="left" vertical="top" wrapText="1"/>
    </xf>
    <xf numFmtId="0" fontId="19" fillId="22" borderId="4" xfId="0" applyFont="1" applyFill="1" applyBorder="1" applyAlignment="1" applyProtection="1">
      <alignment horizontal="left" vertical="top" wrapText="1"/>
      <protection locked="0"/>
    </xf>
    <xf numFmtId="0" fontId="6" fillId="34" borderId="1" xfId="0" applyFont="1" applyFill="1" applyBorder="1" applyAlignment="1">
      <alignment horizontal="left" vertical="top" wrapText="1"/>
    </xf>
    <xf numFmtId="0" fontId="15" fillId="17" borderId="1" xfId="0" applyFont="1" applyFill="1" applyBorder="1" applyAlignment="1">
      <alignment horizontal="left" vertical="top" wrapText="1"/>
    </xf>
    <xf numFmtId="0" fontId="6" fillId="23" borderId="2" xfId="0" applyFont="1" applyFill="1" applyBorder="1" applyAlignment="1">
      <alignment horizontal="left" vertical="top" wrapText="1"/>
    </xf>
    <xf numFmtId="0" fontId="6" fillId="23" borderId="4" xfId="0" applyFont="1" applyFill="1" applyBorder="1" applyAlignment="1">
      <alignment horizontal="left" vertical="top" wrapText="1"/>
    </xf>
    <xf numFmtId="0" fontId="6" fillId="29" borderId="4" xfId="0" applyFont="1" applyFill="1" applyBorder="1" applyAlignment="1">
      <alignment horizontal="left" vertical="top" wrapText="1"/>
    </xf>
    <xf numFmtId="0" fontId="91" fillId="0" borderId="103"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4" fillId="2" borderId="17" xfId="0" applyFont="1" applyFill="1" applyBorder="1" applyAlignment="1">
      <alignment horizontal="center" vertical="center" wrapText="1"/>
    </xf>
    <xf numFmtId="0" fontId="64" fillId="2" borderId="18" xfId="0" applyFont="1" applyFill="1" applyBorder="1" applyAlignment="1">
      <alignment horizontal="center" vertical="center" wrapText="1"/>
    </xf>
    <xf numFmtId="0" fontId="103" fillId="0" borderId="1" xfId="0" applyFont="1" applyFill="1" applyBorder="1" applyAlignment="1">
      <alignment horizontal="center" vertical="center" wrapText="1"/>
    </xf>
    <xf numFmtId="0" fontId="90" fillId="0" borderId="2" xfId="16" applyFont="1" applyFill="1" applyBorder="1" applyAlignment="1">
      <alignment horizontal="left" vertical="top" wrapText="1"/>
    </xf>
    <xf numFmtId="0" fontId="90" fillId="0" borderId="4" xfId="16" applyFont="1" applyFill="1" applyBorder="1" applyAlignment="1">
      <alignment horizontal="left" vertical="top" wrapText="1"/>
    </xf>
    <xf numFmtId="0" fontId="90" fillId="0" borderId="3" xfId="16" applyFont="1" applyFill="1" applyBorder="1" applyAlignment="1">
      <alignment horizontal="left" vertical="top" wrapText="1"/>
    </xf>
    <xf numFmtId="0" fontId="90" fillId="0" borderId="2" xfId="16" applyFont="1" applyFill="1" applyBorder="1" applyAlignment="1">
      <alignment horizontal="center" vertical="top" wrapText="1"/>
    </xf>
    <xf numFmtId="0" fontId="90" fillId="0" borderId="4" xfId="16" applyFont="1" applyFill="1" applyBorder="1" applyAlignment="1">
      <alignment horizontal="center" vertical="top" wrapText="1"/>
    </xf>
    <xf numFmtId="0" fontId="90" fillId="4" borderId="2" xfId="16" applyFont="1" applyFill="1" applyBorder="1" applyAlignment="1">
      <alignment horizontal="center" vertical="top" wrapText="1"/>
    </xf>
    <xf numFmtId="0" fontId="90" fillId="4" borderId="4" xfId="16" applyFont="1" applyFill="1" applyBorder="1" applyAlignment="1">
      <alignment horizontal="center" vertical="top" wrapText="1"/>
    </xf>
    <xf numFmtId="0" fontId="90" fillId="0" borderId="3" xfId="16" applyFont="1" applyFill="1" applyBorder="1" applyAlignment="1">
      <alignment horizontal="center" vertical="top" wrapText="1"/>
    </xf>
    <xf numFmtId="0" fontId="90" fillId="4" borderId="3" xfId="16" applyFont="1" applyFill="1" applyBorder="1" applyAlignment="1">
      <alignment horizontal="center" vertical="top" wrapText="1"/>
    </xf>
    <xf numFmtId="166" fontId="90" fillId="0" borderId="2" xfId="17" applyFont="1" applyFill="1" applyBorder="1" applyAlignment="1">
      <alignment horizontal="center" vertical="top" wrapText="1"/>
    </xf>
    <xf numFmtId="166" fontId="90" fillId="0" borderId="3" xfId="17" applyFont="1" applyFill="1" applyBorder="1" applyAlignment="1">
      <alignment horizontal="center" vertical="top" wrapText="1"/>
    </xf>
    <xf numFmtId="0" fontId="99" fillId="2" borderId="17" xfId="16" applyFont="1" applyFill="1" applyBorder="1" applyAlignment="1">
      <alignment horizontal="center" vertical="center" wrapText="1"/>
    </xf>
    <xf numFmtId="0" fontId="99" fillId="2" borderId="18" xfId="16" applyFont="1" applyFill="1" applyBorder="1" applyAlignment="1">
      <alignment horizontal="center" vertical="center" wrapText="1"/>
    </xf>
    <xf numFmtId="174" fontId="92" fillId="0" borderId="2" xfId="16" applyNumberFormat="1" applyFont="1" applyFill="1" applyBorder="1" applyAlignment="1">
      <alignment horizontal="center" vertical="top" wrapText="1"/>
    </xf>
    <xf numFmtId="174" fontId="92" fillId="0" borderId="3" xfId="16" applyNumberFormat="1" applyFont="1" applyFill="1" applyBorder="1" applyAlignment="1">
      <alignment horizontal="center" vertical="top" wrapText="1"/>
    </xf>
    <xf numFmtId="0" fontId="91" fillId="0" borderId="2" xfId="16" applyFont="1" applyFill="1" applyBorder="1" applyAlignment="1">
      <alignment horizontal="center" vertical="center" wrapText="1"/>
    </xf>
    <xf numFmtId="0" fontId="91" fillId="0" borderId="3" xfId="16" applyFont="1" applyFill="1" applyBorder="1" applyAlignment="1">
      <alignment horizontal="center" vertical="center" wrapText="1"/>
    </xf>
    <xf numFmtId="0" fontId="91" fillId="0" borderId="2" xfId="16" applyFont="1" applyFill="1" applyBorder="1" applyAlignment="1">
      <alignment horizontal="center" vertical="top" wrapText="1"/>
    </xf>
    <xf numFmtId="0" fontId="91" fillId="0" borderId="3" xfId="16" applyFont="1" applyFill="1" applyBorder="1" applyAlignment="1">
      <alignment horizontal="center" vertical="top" wrapText="1"/>
    </xf>
    <xf numFmtId="164" fontId="91" fillId="0" borderId="2" xfId="16" applyNumberFormat="1" applyFont="1" applyFill="1" applyBorder="1" applyAlignment="1">
      <alignment horizontal="center" vertical="top" wrapText="1"/>
    </xf>
    <xf numFmtId="164" fontId="91" fillId="0" borderId="3" xfId="16" applyNumberFormat="1" applyFont="1" applyFill="1" applyBorder="1" applyAlignment="1">
      <alignment horizontal="center" vertical="top" wrapText="1"/>
    </xf>
    <xf numFmtId="0" fontId="90" fillId="18" borderId="2" xfId="16" applyFont="1" applyFill="1" applyBorder="1" applyAlignment="1">
      <alignment horizontal="center" vertical="top" wrapText="1"/>
    </xf>
    <xf numFmtId="0" fontId="90" fillId="18" borderId="4" xfId="16" applyFont="1" applyFill="1" applyBorder="1" applyAlignment="1">
      <alignment horizontal="center" vertical="top" wrapText="1"/>
    </xf>
    <xf numFmtId="0" fontId="90" fillId="18" borderId="3" xfId="16" applyFont="1" applyFill="1" applyBorder="1" applyAlignment="1">
      <alignment horizontal="center" vertical="top" wrapText="1"/>
    </xf>
    <xf numFmtId="0" fontId="90" fillId="19" borderId="2" xfId="16" applyFont="1" applyFill="1" applyBorder="1" applyAlignment="1">
      <alignment horizontal="center" vertical="top" wrapText="1"/>
    </xf>
    <xf numFmtId="0" fontId="90" fillId="19" borderId="3" xfId="16" applyFont="1" applyFill="1" applyBorder="1" applyAlignment="1">
      <alignment horizontal="center" vertical="top" wrapText="1"/>
    </xf>
    <xf numFmtId="0" fontId="90" fillId="42" borderId="2" xfId="16" applyFont="1" applyFill="1" applyBorder="1" applyAlignment="1">
      <alignment horizontal="center" vertical="top" wrapText="1"/>
    </xf>
    <xf numFmtId="0" fontId="90" fillId="42" borderId="3" xfId="16" applyFont="1" applyFill="1" applyBorder="1" applyAlignment="1">
      <alignment horizontal="center" vertical="top" wrapText="1"/>
    </xf>
    <xf numFmtId="0" fontId="90" fillId="19" borderId="4" xfId="16" applyFont="1" applyFill="1" applyBorder="1" applyAlignment="1">
      <alignment horizontal="center" vertical="top" wrapText="1"/>
    </xf>
    <xf numFmtId="0" fontId="90" fillId="0" borderId="1" xfId="16" applyFont="1" applyFill="1" applyBorder="1" applyAlignment="1">
      <alignment horizontal="left" vertical="top" wrapText="1"/>
    </xf>
    <xf numFmtId="173" fontId="91" fillId="0" borderId="2" xfId="16" applyNumberFormat="1" applyFont="1" applyFill="1" applyBorder="1" applyAlignment="1">
      <alignment horizontal="center" vertical="top"/>
    </xf>
    <xf numFmtId="173" fontId="91" fillId="0" borderId="4" xfId="16" applyNumberFormat="1" applyFont="1" applyFill="1" applyBorder="1" applyAlignment="1">
      <alignment horizontal="center" vertical="top"/>
    </xf>
    <xf numFmtId="173" fontId="91" fillId="0" borderId="3" xfId="16" applyNumberFormat="1" applyFont="1" applyFill="1" applyBorder="1" applyAlignment="1">
      <alignment horizontal="center" vertical="top"/>
    </xf>
    <xf numFmtId="17" fontId="90" fillId="0" borderId="2" xfId="16" quotePrefix="1" applyNumberFormat="1" applyFont="1" applyFill="1" applyBorder="1" applyAlignment="1">
      <alignment horizontal="center" vertical="top" wrapText="1"/>
    </xf>
    <xf numFmtId="17" fontId="90" fillId="0" borderId="4" xfId="16" quotePrefix="1" applyNumberFormat="1" applyFont="1" applyFill="1" applyBorder="1" applyAlignment="1">
      <alignment horizontal="center" vertical="top" wrapText="1"/>
    </xf>
    <xf numFmtId="17" fontId="90" fillId="0" borderId="3" xfId="16" quotePrefix="1" applyNumberFormat="1" applyFont="1" applyFill="1" applyBorder="1" applyAlignment="1">
      <alignment horizontal="center" vertical="top" wrapText="1"/>
    </xf>
    <xf numFmtId="0" fontId="90" fillId="0" borderId="2" xfId="16" quotePrefix="1" applyFont="1" applyFill="1" applyBorder="1" applyAlignment="1">
      <alignment horizontal="center" vertical="top" wrapText="1"/>
    </xf>
    <xf numFmtId="0" fontId="90" fillId="0" borderId="4" xfId="16" quotePrefix="1" applyFont="1" applyFill="1" applyBorder="1" applyAlignment="1">
      <alignment horizontal="center" vertical="top" wrapText="1"/>
    </xf>
    <xf numFmtId="0" fontId="90" fillId="0" borderId="3" xfId="16" quotePrefix="1" applyFont="1" applyFill="1" applyBorder="1" applyAlignment="1">
      <alignment horizontal="center" vertical="top" wrapText="1"/>
    </xf>
    <xf numFmtId="173" fontId="87" fillId="37" borderId="91" xfId="16" applyNumberFormat="1" applyFont="1" applyFill="1" applyBorder="1" applyAlignment="1">
      <alignment horizontal="center" vertical="center" wrapText="1"/>
    </xf>
    <xf numFmtId="173" fontId="87" fillId="37" borderId="90" xfId="16" applyNumberFormat="1" applyFont="1" applyFill="1" applyBorder="1" applyAlignment="1">
      <alignment horizontal="center" vertical="center" wrapText="1"/>
    </xf>
    <xf numFmtId="173" fontId="87" fillId="37" borderId="89" xfId="16" applyNumberFormat="1" applyFont="1" applyFill="1" applyBorder="1" applyAlignment="1">
      <alignment horizontal="center" vertical="center" wrapText="1"/>
    </xf>
    <xf numFmtId="0" fontId="87" fillId="37" borderId="1" xfId="16" applyFont="1" applyFill="1" applyBorder="1" applyAlignment="1">
      <alignment horizontal="center"/>
    </xf>
    <xf numFmtId="0" fontId="90" fillId="0" borderId="2" xfId="16" quotePrefix="1" applyFont="1" applyFill="1" applyBorder="1" applyAlignment="1">
      <alignment horizontal="left" vertical="top" wrapText="1"/>
    </xf>
    <xf numFmtId="0" fontId="90" fillId="0" borderId="3" xfId="16" quotePrefix="1" applyFont="1" applyFill="1" applyBorder="1" applyAlignment="1">
      <alignment horizontal="left" vertical="top" wrapText="1"/>
    </xf>
    <xf numFmtId="0" fontId="100" fillId="2" borderId="2" xfId="0" applyFont="1" applyFill="1" applyBorder="1" applyAlignment="1">
      <alignment horizontal="center" vertical="center" wrapText="1"/>
    </xf>
    <xf numFmtId="0" fontId="100" fillId="2" borderId="3" xfId="0" applyFont="1" applyFill="1" applyBorder="1" applyAlignment="1">
      <alignment horizontal="center" vertical="center" wrapText="1"/>
    </xf>
    <xf numFmtId="0" fontId="100" fillId="2" borderId="4" xfId="0" applyFont="1" applyFill="1" applyBorder="1" applyAlignment="1">
      <alignment horizontal="center" vertical="center" wrapText="1"/>
    </xf>
    <xf numFmtId="0" fontId="104" fillId="21" borderId="6" xfId="0" applyFont="1" applyFill="1" applyBorder="1" applyAlignment="1">
      <alignment horizontal="center" vertical="center"/>
    </xf>
    <xf numFmtId="0" fontId="101" fillId="9" borderId="1" xfId="0" applyFont="1" applyFill="1" applyBorder="1" applyAlignment="1">
      <alignment horizontal="center" vertical="center" wrapText="1"/>
    </xf>
    <xf numFmtId="0" fontId="101" fillId="9" borderId="2" xfId="0" applyFont="1" applyFill="1" applyBorder="1" applyAlignment="1">
      <alignment horizontal="center" vertical="center" wrapText="1"/>
    </xf>
    <xf numFmtId="0" fontId="101" fillId="9" borderId="3" xfId="0" applyFont="1" applyFill="1" applyBorder="1" applyAlignment="1">
      <alignment horizontal="center" vertical="center" wrapText="1"/>
    </xf>
    <xf numFmtId="0" fontId="101" fillId="9" borderId="4" xfId="0" applyFont="1" applyFill="1" applyBorder="1" applyAlignment="1">
      <alignment horizontal="center" vertical="center" wrapText="1"/>
    </xf>
    <xf numFmtId="0" fontId="4" fillId="0" borderId="1" xfId="0" applyFont="1" applyFill="1" applyBorder="1" applyAlignment="1">
      <alignment horizontal="center"/>
    </xf>
    <xf numFmtId="0" fontId="0" fillId="0" borderId="1" xfId="0" applyFill="1" applyBorder="1" applyAlignment="1">
      <alignment horizontal="center"/>
    </xf>
    <xf numFmtId="0" fontId="80" fillId="0" borderId="1" xfId="0" applyFont="1" applyFill="1" applyBorder="1" applyAlignment="1">
      <alignment horizontal="center" vertical="center" wrapText="1"/>
    </xf>
    <xf numFmtId="0" fontId="87" fillId="0" borderId="1" xfId="0" applyFont="1" applyFill="1" applyBorder="1" applyAlignment="1">
      <alignment horizontal="center" vertical="center" wrapText="1"/>
    </xf>
    <xf numFmtId="0" fontId="100" fillId="2" borderId="1" xfId="0" applyFont="1" applyFill="1" applyBorder="1" applyAlignment="1">
      <alignment horizontal="right" vertical="center" wrapText="1"/>
    </xf>
    <xf numFmtId="0" fontId="101" fillId="15" borderId="1" xfId="0" applyFont="1" applyFill="1" applyBorder="1" applyAlignment="1">
      <alignment horizontal="center" vertical="center" wrapText="1"/>
    </xf>
    <xf numFmtId="0" fontId="101" fillId="15" borderId="2" xfId="0" applyFont="1" applyFill="1" applyBorder="1" applyAlignment="1">
      <alignment horizontal="left" vertical="center" wrapText="1"/>
    </xf>
    <xf numFmtId="0" fontId="101" fillId="15" borderId="4" xfId="0" applyFont="1" applyFill="1" applyBorder="1" applyAlignment="1">
      <alignment horizontal="left" vertical="center" wrapText="1"/>
    </xf>
    <xf numFmtId="172" fontId="101" fillId="15" borderId="1" xfId="10" applyNumberFormat="1" applyFont="1" applyFill="1" applyBorder="1" applyAlignment="1">
      <alignment horizontal="right" vertical="center" wrapText="1"/>
    </xf>
    <xf numFmtId="0" fontId="101" fillId="4" borderId="1" xfId="0" applyFont="1" applyFill="1" applyBorder="1" applyAlignment="1">
      <alignment horizontal="center" vertical="center" wrapText="1"/>
    </xf>
    <xf numFmtId="0" fontId="101" fillId="4" borderId="1" xfId="0" applyFont="1" applyFill="1" applyBorder="1" applyAlignment="1">
      <alignment horizontal="left" vertical="center" wrapText="1"/>
    </xf>
    <xf numFmtId="0" fontId="4" fillId="0" borderId="1" xfId="19" applyFont="1" applyBorder="1" applyAlignment="1">
      <alignment horizontal="center" vertical="center" wrapText="1"/>
    </xf>
    <xf numFmtId="0" fontId="81" fillId="0" borderId="1" xfId="19" applyFont="1" applyBorder="1" applyAlignment="1">
      <alignment horizontal="center" vertical="center" wrapText="1"/>
    </xf>
    <xf numFmtId="169" fontId="88" fillId="0" borderId="1" xfId="19" applyNumberFormat="1" applyFont="1" applyBorder="1" applyAlignment="1">
      <alignment horizontal="center" vertical="center" wrapText="1"/>
    </xf>
    <xf numFmtId="0" fontId="88" fillId="0" borderId="1" xfId="19" applyFont="1" applyBorder="1" applyAlignment="1">
      <alignment horizontal="center" vertical="center" wrapText="1"/>
    </xf>
    <xf numFmtId="0" fontId="108" fillId="21" borderId="1" xfId="19" applyFont="1" applyFill="1" applyBorder="1" applyAlignment="1">
      <alignment horizontal="center" vertical="center" wrapText="1"/>
    </xf>
    <xf numFmtId="0" fontId="108" fillId="45" borderId="1" xfId="19" applyFont="1" applyFill="1" applyBorder="1" applyAlignment="1">
      <alignment horizontal="center" vertical="center" wrapText="1"/>
    </xf>
    <xf numFmtId="0" fontId="108" fillId="21" borderId="52" xfId="19" applyFont="1" applyFill="1" applyBorder="1" applyAlignment="1">
      <alignment horizontal="center" vertical="center" wrapText="1"/>
    </xf>
    <xf numFmtId="0" fontId="108" fillId="21" borderId="0" xfId="19" applyFont="1" applyFill="1" applyAlignment="1">
      <alignment horizontal="center" vertical="center" wrapText="1"/>
    </xf>
    <xf numFmtId="0" fontId="108" fillId="21" borderId="94" xfId="19" applyFont="1" applyFill="1" applyBorder="1" applyAlignment="1">
      <alignment horizontal="center" vertical="center" wrapText="1"/>
    </xf>
    <xf numFmtId="0" fontId="108" fillId="21" borderId="102" xfId="19" applyFont="1" applyFill="1" applyBorder="1" applyAlignment="1">
      <alignment horizontal="center" vertical="center" wrapText="1"/>
    </xf>
    <xf numFmtId="0" fontId="108" fillId="21" borderId="6" xfId="19" applyFont="1" applyFill="1" applyBorder="1" applyAlignment="1">
      <alignment horizontal="center" vertical="center" wrapText="1"/>
    </xf>
    <xf numFmtId="0" fontId="108" fillId="21" borderId="5" xfId="19" applyFont="1" applyFill="1" applyBorder="1" applyAlignment="1">
      <alignment horizontal="center" vertical="center" wrapText="1"/>
    </xf>
    <xf numFmtId="0" fontId="108" fillId="45" borderId="101" xfId="19" applyFont="1" applyFill="1" applyBorder="1" applyAlignment="1">
      <alignment horizontal="center" vertical="center" wrapText="1"/>
    </xf>
    <xf numFmtId="0" fontId="108" fillId="45" borderId="17" xfId="19" applyFont="1" applyFill="1" applyBorder="1" applyAlignment="1">
      <alignment horizontal="center" vertical="center" wrapText="1"/>
    </xf>
    <xf numFmtId="0" fontId="108" fillId="45" borderId="18" xfId="19" applyFont="1" applyFill="1" applyBorder="1" applyAlignment="1">
      <alignment horizontal="center" vertical="center" wrapText="1"/>
    </xf>
    <xf numFmtId="0" fontId="4" fillId="0" borderId="1" xfId="19" applyFont="1" applyBorder="1" applyAlignment="1">
      <alignment horizontal="left" vertical="center" wrapText="1"/>
    </xf>
    <xf numFmtId="0" fontId="64" fillId="2" borderId="17" xfId="16" applyFont="1" applyFill="1" applyBorder="1" applyAlignment="1">
      <alignment horizontal="center" vertical="center" wrapText="1"/>
    </xf>
    <xf numFmtId="0" fontId="64" fillId="2" borderId="18" xfId="16" applyFont="1" applyFill="1" applyBorder="1" applyAlignment="1">
      <alignment horizontal="center" vertical="center" wrapText="1"/>
    </xf>
    <xf numFmtId="0" fontId="4" fillId="0" borderId="2" xfId="16" applyFill="1" applyBorder="1" applyAlignment="1">
      <alignment horizontal="center" vertical="center" wrapText="1"/>
    </xf>
    <xf numFmtId="0" fontId="4" fillId="0" borderId="4" xfId="16" applyFill="1" applyBorder="1" applyAlignment="1">
      <alignment horizontal="center" vertical="center" wrapText="1"/>
    </xf>
    <xf numFmtId="0" fontId="4" fillId="0" borderId="20" xfId="16" applyFill="1" applyBorder="1" applyAlignment="1">
      <alignment horizontal="center" vertical="center" wrapText="1"/>
    </xf>
    <xf numFmtId="0" fontId="4" fillId="0" borderId="38" xfId="16" applyFill="1" applyBorder="1" applyAlignment="1">
      <alignment horizontal="center" vertical="center" wrapText="1"/>
    </xf>
    <xf numFmtId="0" fontId="4" fillId="0" borderId="96" xfId="16" applyFill="1" applyBorder="1" applyAlignment="1">
      <alignment horizontal="center" vertical="center" wrapText="1"/>
    </xf>
    <xf numFmtId="0" fontId="4" fillId="0" borderId="95" xfId="16" applyFill="1" applyBorder="1" applyAlignment="1">
      <alignment horizontal="center" vertical="center" wrapText="1"/>
    </xf>
    <xf numFmtId="0" fontId="108" fillId="21" borderId="6" xfId="0" applyFont="1" applyFill="1" applyBorder="1" applyAlignment="1">
      <alignment horizontal="center" vertical="center" wrapText="1"/>
    </xf>
    <xf numFmtId="0" fontId="79" fillId="0" borderId="78" xfId="0" applyFont="1" applyBorder="1" applyAlignment="1">
      <alignment horizontal="left" vertical="top" wrapText="1"/>
    </xf>
    <xf numFmtId="0" fontId="79" fillId="0" borderId="79" xfId="0" applyFont="1" applyBorder="1" applyAlignment="1">
      <alignment horizontal="left" vertical="top" wrapText="1"/>
    </xf>
    <xf numFmtId="0" fontId="75" fillId="24" borderId="17" xfId="0" applyFont="1" applyFill="1" applyBorder="1" applyAlignment="1">
      <alignment horizontal="left" vertical="top" wrapText="1"/>
    </xf>
    <xf numFmtId="0" fontId="76" fillId="24" borderId="17" xfId="0" applyFont="1" applyFill="1" applyBorder="1" applyAlignment="1">
      <alignment horizontal="left" vertical="top" wrapText="1"/>
    </xf>
    <xf numFmtId="0" fontId="76" fillId="24" borderId="18" xfId="0" applyFont="1" applyFill="1" applyBorder="1" applyAlignment="1">
      <alignment horizontal="left" vertical="top" wrapText="1"/>
    </xf>
    <xf numFmtId="0" fontId="79" fillId="0" borderId="64" xfId="0" applyFont="1" applyBorder="1" applyAlignment="1">
      <alignment horizontal="left" vertical="top" wrapText="1"/>
    </xf>
    <xf numFmtId="0" fontId="79" fillId="0" borderId="65" xfId="0" applyFont="1" applyBorder="1" applyAlignment="1">
      <alignment horizontal="left" vertical="top" wrapText="1"/>
    </xf>
    <xf numFmtId="0" fontId="79" fillId="0" borderId="76" xfId="0" applyFont="1" applyBorder="1" applyAlignment="1">
      <alignment horizontal="left" vertical="top" wrapText="1"/>
    </xf>
    <xf numFmtId="0" fontId="79" fillId="0" borderId="10" xfId="0" applyFont="1" applyBorder="1" applyAlignment="1">
      <alignment horizontal="left" vertical="top" wrapText="1"/>
    </xf>
    <xf numFmtId="0" fontId="79" fillId="0" borderId="67" xfId="0" applyFont="1" applyBorder="1" applyAlignment="1">
      <alignment horizontal="left" vertical="top" wrapText="1"/>
    </xf>
    <xf numFmtId="0" fontId="79" fillId="0" borderId="77" xfId="0" applyFont="1" applyBorder="1" applyAlignment="1">
      <alignment horizontal="left" vertical="top" wrapText="1"/>
    </xf>
    <xf numFmtId="0" fontId="79" fillId="0" borderId="68" xfId="0" applyFont="1" applyBorder="1" applyAlignment="1">
      <alignment horizontal="left" vertical="top" wrapText="1"/>
    </xf>
    <xf numFmtId="0" fontId="79" fillId="0" borderId="69" xfId="0" applyFont="1" applyBorder="1" applyAlignment="1">
      <alignment horizontal="left" vertical="top" wrapText="1"/>
    </xf>
    <xf numFmtId="0" fontId="79" fillId="0" borderId="70" xfId="0" applyFont="1" applyBorder="1" applyAlignment="1">
      <alignment horizontal="left" vertical="top" wrapText="1"/>
    </xf>
    <xf numFmtId="0" fontId="79" fillId="0" borderId="71" xfId="0" applyFont="1" applyBorder="1" applyAlignment="1">
      <alignment horizontal="left" vertical="top" wrapText="1"/>
    </xf>
    <xf numFmtId="0" fontId="79" fillId="0" borderId="72" xfId="0" applyFont="1" applyBorder="1" applyAlignment="1">
      <alignment horizontal="left" vertical="top" wrapText="1"/>
    </xf>
    <xf numFmtId="0" fontId="79" fillId="0" borderId="73" xfId="0" applyFont="1" applyBorder="1" applyAlignment="1">
      <alignment horizontal="left" vertical="top" wrapText="1"/>
    </xf>
    <xf numFmtId="0" fontId="79" fillId="0" borderId="74" xfId="0" applyFont="1" applyBorder="1" applyAlignment="1">
      <alignment horizontal="left" vertical="top" wrapText="1"/>
    </xf>
    <xf numFmtId="0" fontId="79" fillId="0" borderId="75" xfId="0" applyFont="1" applyBorder="1" applyAlignment="1">
      <alignment horizontal="left" vertical="top" wrapText="1"/>
    </xf>
    <xf numFmtId="0" fontId="79" fillId="0" borderId="66" xfId="0" applyFont="1" applyBorder="1" applyAlignment="1">
      <alignment horizontal="left" vertical="top" wrapText="1"/>
    </xf>
    <xf numFmtId="0" fontId="79" fillId="0" borderId="8" xfId="0" applyFont="1" applyBorder="1" applyAlignment="1">
      <alignment horizontal="left" vertical="top" wrapText="1"/>
    </xf>
    <xf numFmtId="0" fontId="34" fillId="24" borderId="1" xfId="0" applyFont="1" applyFill="1" applyBorder="1" applyAlignment="1">
      <alignment horizontal="left" vertical="top" wrapText="1"/>
    </xf>
    <xf numFmtId="0" fontId="40" fillId="9" borderId="26" xfId="0" applyFont="1" applyFill="1" applyBorder="1" applyAlignment="1">
      <alignment horizontal="left" vertical="top" wrapText="1"/>
    </xf>
    <xf numFmtId="0" fontId="40" fillId="9" borderId="27" xfId="0" applyFont="1" applyFill="1" applyBorder="1" applyAlignment="1">
      <alignment horizontal="left" vertical="top" wrapText="1"/>
    </xf>
    <xf numFmtId="0" fontId="34" fillId="0" borderId="35"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20" xfId="0" applyFont="1" applyBorder="1" applyAlignment="1">
      <alignment horizontal="center" vertical="center" wrapText="1"/>
    </xf>
    <xf numFmtId="0" fontId="38" fillId="24" borderId="1" xfId="0" applyFont="1" applyFill="1" applyBorder="1" applyAlignment="1">
      <alignment horizontal="left" vertical="top" wrapText="1"/>
    </xf>
    <xf numFmtId="0" fontId="34" fillId="0" borderId="4" xfId="0" applyFont="1" applyBorder="1" applyAlignment="1">
      <alignment horizontal="center" vertical="center" wrapText="1"/>
    </xf>
    <xf numFmtId="0" fontId="34" fillId="24" borderId="2" xfId="0" applyFont="1" applyFill="1" applyBorder="1" applyAlignment="1">
      <alignment horizontal="left" vertical="top" wrapText="1"/>
    </xf>
    <xf numFmtId="0" fontId="34" fillId="25" borderId="4" xfId="0" applyFont="1" applyFill="1" applyBorder="1" applyAlignment="1">
      <alignment horizontal="center" vertical="center" wrapText="1"/>
    </xf>
    <xf numFmtId="0" fontId="34" fillId="0" borderId="13" xfId="0" applyFont="1" applyBorder="1" applyAlignment="1">
      <alignment horizontal="center" vertical="center" wrapText="1"/>
    </xf>
    <xf numFmtId="0" fontId="29" fillId="0" borderId="27" xfId="0" applyFont="1" applyBorder="1" applyAlignment="1">
      <alignment horizontal="center" vertical="center" wrapText="1"/>
    </xf>
    <xf numFmtId="0" fontId="30" fillId="0" borderId="27" xfId="0" applyFont="1" applyBorder="1" applyAlignment="1">
      <alignment horizontal="left" vertical="center" wrapText="1"/>
    </xf>
    <xf numFmtId="0" fontId="11" fillId="0" borderId="30" xfId="0" applyFont="1" applyBorder="1" applyAlignment="1">
      <alignment horizontal="left" vertical="center"/>
    </xf>
    <xf numFmtId="0" fontId="33" fillId="31" borderId="3" xfId="0" applyFont="1" applyFill="1" applyBorder="1" applyAlignment="1">
      <alignment horizontal="center" vertical="top" wrapText="1"/>
    </xf>
    <xf numFmtId="0" fontId="74" fillId="24" borderId="31" xfId="0" applyFont="1" applyFill="1" applyBorder="1" applyAlignment="1">
      <alignment horizontal="left" vertical="top" wrapText="1"/>
    </xf>
    <xf numFmtId="0" fontId="33" fillId="24" borderId="32" xfId="0" applyFont="1" applyFill="1" applyBorder="1" applyAlignment="1">
      <alignment horizontal="left" vertical="top"/>
    </xf>
    <xf numFmtId="0" fontId="33" fillId="24" borderId="33" xfId="0" applyFont="1" applyFill="1" applyBorder="1" applyAlignment="1">
      <alignment horizontal="left" vertical="top"/>
    </xf>
    <xf numFmtId="0" fontId="11" fillId="0" borderId="24" xfId="0" applyFont="1" applyBorder="1" applyAlignment="1">
      <alignment horizontal="center" vertical="center"/>
    </xf>
    <xf numFmtId="0" fontId="39" fillId="9" borderId="26" xfId="0" applyFont="1" applyFill="1" applyBorder="1" applyAlignment="1">
      <alignment horizontal="center" vertical="top" wrapText="1"/>
    </xf>
    <xf numFmtId="0" fontId="39" fillId="9" borderId="27" xfId="0" applyFont="1" applyFill="1" applyBorder="1" applyAlignment="1">
      <alignment horizontal="center" vertical="top" wrapText="1"/>
    </xf>
    <xf numFmtId="0" fontId="39" fillId="9" borderId="28" xfId="0" applyFont="1" applyFill="1" applyBorder="1" applyAlignment="1">
      <alignment horizontal="center" vertical="top" wrapText="1"/>
    </xf>
    <xf numFmtId="0" fontId="39" fillId="0" borderId="1" xfId="0" applyFont="1" applyBorder="1" applyAlignment="1">
      <alignment horizontal="left" vertical="top" wrapText="1"/>
    </xf>
    <xf numFmtId="0" fontId="39" fillId="24" borderId="1" xfId="0" applyFont="1" applyFill="1" applyBorder="1" applyAlignment="1">
      <alignment horizontal="left" vertical="top" wrapText="1"/>
    </xf>
    <xf numFmtId="0" fontId="49" fillId="24" borderId="1" xfId="0" applyFont="1" applyFill="1" applyBorder="1" applyAlignment="1">
      <alignment horizontal="left" vertical="top" wrapText="1"/>
    </xf>
    <xf numFmtId="0" fontId="49" fillId="24" borderId="2" xfId="0" applyFont="1" applyFill="1" applyBorder="1" applyAlignment="1">
      <alignment horizontal="left" vertical="top" wrapText="1"/>
    </xf>
    <xf numFmtId="0" fontId="46" fillId="24" borderId="0" xfId="0" applyFont="1" applyFill="1" applyAlignment="1">
      <alignment horizontal="left" vertical="top"/>
    </xf>
    <xf numFmtId="0" fontId="46" fillId="24" borderId="0" xfId="0" applyFont="1" applyFill="1" applyAlignment="1">
      <alignment horizontal="left" vertical="top" wrapText="1"/>
    </xf>
    <xf numFmtId="0" fontId="39" fillId="0" borderId="44" xfId="0" applyFont="1" applyBorder="1" applyAlignment="1">
      <alignment horizontal="left" vertical="top" wrapText="1"/>
    </xf>
    <xf numFmtId="0" fontId="50" fillId="0" borderId="3" xfId="0" applyFont="1" applyBorder="1" applyAlignment="1">
      <alignment horizontal="left" vertical="top" wrapText="1"/>
    </xf>
    <xf numFmtId="0" fontId="49" fillId="0" borderId="1" xfId="0" applyFont="1" applyBorder="1" applyAlignment="1">
      <alignment horizontal="left" vertical="top" wrapText="1"/>
    </xf>
    <xf numFmtId="0" fontId="45" fillId="31" borderId="42" xfId="0" applyFont="1" applyFill="1" applyBorder="1" applyAlignment="1">
      <alignment horizontal="center" vertical="center"/>
    </xf>
    <xf numFmtId="0" fontId="45" fillId="31" borderId="43" xfId="0" applyFont="1" applyFill="1" applyBorder="1" applyAlignment="1">
      <alignment horizontal="center" vertical="center"/>
    </xf>
    <xf numFmtId="0" fontId="45" fillId="31" borderId="53" xfId="0" applyFont="1" applyFill="1" applyBorder="1" applyAlignment="1">
      <alignment horizontal="center" vertical="center"/>
    </xf>
    <xf numFmtId="0" fontId="41" fillId="0" borderId="40" xfId="0" applyFont="1" applyBorder="1" applyAlignment="1">
      <alignment horizontal="center" vertical="top"/>
    </xf>
    <xf numFmtId="0" fontId="41" fillId="0" borderId="41" xfId="0" applyFont="1" applyBorder="1" applyAlignment="1">
      <alignment horizontal="center" vertical="top"/>
    </xf>
    <xf numFmtId="0" fontId="74" fillId="24" borderId="80" xfId="0" applyFont="1" applyFill="1" applyBorder="1" applyAlignment="1">
      <alignment horizontal="left" vertical="top" wrapText="1"/>
    </xf>
    <xf numFmtId="0" fontId="74" fillId="24" borderId="27" xfId="0" applyFont="1" applyFill="1" applyBorder="1" applyAlignment="1">
      <alignment horizontal="left" vertical="top" wrapText="1"/>
    </xf>
    <xf numFmtId="0" fontId="74" fillId="24" borderId="81" xfId="0" applyFont="1" applyFill="1" applyBorder="1" applyAlignment="1">
      <alignment horizontal="left" vertical="top" wrapText="1"/>
    </xf>
    <xf numFmtId="0" fontId="43" fillId="0" borderId="23" xfId="0" applyFont="1" applyBorder="1" applyAlignment="1">
      <alignment horizontal="left" vertical="top" wrapText="1"/>
    </xf>
    <xf numFmtId="0" fontId="43" fillId="0" borderId="24" xfId="0" applyFont="1" applyBorder="1" applyAlignment="1">
      <alignment horizontal="left" vertical="top" wrapText="1"/>
    </xf>
    <xf numFmtId="0" fontId="43" fillId="0" borderId="25" xfId="0" applyFont="1" applyBorder="1" applyAlignment="1">
      <alignment horizontal="left" vertical="top" wrapText="1"/>
    </xf>
    <xf numFmtId="0" fontId="81" fillId="0" borderId="64" xfId="0" applyFont="1" applyBorder="1" applyAlignment="1">
      <alignment horizontal="left" vertical="top" wrapText="1"/>
    </xf>
    <xf numFmtId="0" fontId="81" fillId="0" borderId="65" xfId="0" applyFont="1" applyBorder="1" applyAlignment="1">
      <alignment horizontal="left" vertical="top" wrapText="1"/>
    </xf>
    <xf numFmtId="0" fontId="81" fillId="0" borderId="76" xfId="0" applyFont="1" applyBorder="1" applyAlignment="1">
      <alignment horizontal="left" vertical="top" wrapText="1"/>
    </xf>
    <xf numFmtId="0" fontId="81" fillId="0" borderId="10" xfId="0" applyFont="1" applyBorder="1" applyAlignment="1">
      <alignment horizontal="left" vertical="top" wrapText="1"/>
    </xf>
    <xf numFmtId="0" fontId="81" fillId="0" borderId="67" xfId="0" applyFont="1" applyBorder="1" applyAlignment="1">
      <alignment horizontal="left" vertical="top" wrapText="1"/>
    </xf>
    <xf numFmtId="0" fontId="81" fillId="0" borderId="77" xfId="0" applyFont="1" applyBorder="1" applyAlignment="1">
      <alignment horizontal="left" vertical="top" wrapText="1"/>
    </xf>
    <xf numFmtId="0" fontId="81" fillId="0" borderId="68" xfId="0" applyFont="1" applyBorder="1" applyAlignment="1">
      <alignment horizontal="left" vertical="top" wrapText="1"/>
    </xf>
    <xf numFmtId="0" fontId="81" fillId="0" borderId="69" xfId="0" applyFont="1" applyBorder="1" applyAlignment="1">
      <alignment horizontal="left" vertical="top" wrapText="1"/>
    </xf>
    <xf numFmtId="0" fontId="81" fillId="0" borderId="70" xfId="0" applyFont="1" applyBorder="1" applyAlignment="1">
      <alignment horizontal="left" vertical="top" wrapText="1"/>
    </xf>
    <xf numFmtId="0" fontId="81" fillId="0" borderId="71" xfId="0" applyFont="1" applyBorder="1" applyAlignment="1">
      <alignment horizontal="left" vertical="top" wrapText="1"/>
    </xf>
    <xf numFmtId="0" fontId="81" fillId="0" borderId="72" xfId="0" applyFont="1" applyBorder="1" applyAlignment="1">
      <alignment horizontal="left" vertical="top" wrapText="1"/>
    </xf>
    <xf numFmtId="0" fontId="81" fillId="0" borderId="73" xfId="0" applyFont="1" applyBorder="1" applyAlignment="1">
      <alignment horizontal="left" vertical="top" wrapText="1"/>
    </xf>
    <xf numFmtId="0" fontId="81" fillId="0" borderId="74" xfId="0" applyFont="1" applyBorder="1" applyAlignment="1">
      <alignment horizontal="left" vertical="top" wrapText="1"/>
    </xf>
    <xf numFmtId="0" fontId="81" fillId="0" borderId="75" xfId="0" applyFont="1" applyBorder="1" applyAlignment="1">
      <alignment horizontal="left" vertical="top" wrapText="1"/>
    </xf>
    <xf numFmtId="0" fontId="81" fillId="0" borderId="66" xfId="0" applyFont="1" applyBorder="1" applyAlignment="1">
      <alignment horizontal="left" vertical="top" wrapText="1"/>
    </xf>
    <xf numFmtId="0" fontId="81" fillId="0" borderId="8" xfId="0" applyFont="1" applyBorder="1" applyAlignment="1">
      <alignment horizontal="left" vertical="top" wrapText="1"/>
    </xf>
    <xf numFmtId="0" fontId="81" fillId="0" borderId="78" xfId="0" applyFont="1" applyBorder="1" applyAlignment="1">
      <alignment horizontal="left" vertical="top" wrapText="1"/>
    </xf>
    <xf numFmtId="0" fontId="81" fillId="0" borderId="79" xfId="0" applyFont="1" applyBorder="1" applyAlignment="1">
      <alignment horizontal="left" vertical="top" wrapText="1"/>
    </xf>
    <xf numFmtId="0" fontId="39" fillId="9" borderId="55" xfId="0" applyFont="1" applyFill="1" applyBorder="1" applyAlignment="1">
      <alignment horizontal="center" vertical="top"/>
    </xf>
    <xf numFmtId="0" fontId="39" fillId="9" borderId="0" xfId="0" applyFont="1" applyFill="1" applyAlignment="1">
      <alignment horizontal="center" vertical="top"/>
    </xf>
    <xf numFmtId="0" fontId="39" fillId="9" borderId="56" xfId="0" applyFont="1" applyFill="1" applyBorder="1" applyAlignment="1">
      <alignment horizontal="center" vertical="top"/>
    </xf>
    <xf numFmtId="0" fontId="49" fillId="24" borderId="4" xfId="0" applyFont="1" applyFill="1" applyBorder="1" applyAlignment="1">
      <alignment horizontal="left" vertical="top" wrapText="1"/>
    </xf>
    <xf numFmtId="0" fontId="49" fillId="24" borderId="20" xfId="0" applyFont="1" applyFill="1" applyBorder="1" applyAlignment="1">
      <alignment horizontal="left" vertical="top" wrapText="1"/>
    </xf>
    <xf numFmtId="0" fontId="39" fillId="24" borderId="1" xfId="0" applyFont="1" applyFill="1" applyBorder="1" applyAlignment="1">
      <alignment horizontal="left" vertical="top"/>
    </xf>
    <xf numFmtId="0" fontId="33" fillId="24" borderId="0" xfId="0" applyFont="1" applyFill="1" applyAlignment="1">
      <alignment horizontal="left" vertical="top"/>
    </xf>
    <xf numFmtId="0" fontId="33" fillId="24" borderId="0" xfId="0" applyFont="1" applyFill="1" applyAlignment="1">
      <alignment horizontal="left" vertical="top" wrapText="1"/>
    </xf>
    <xf numFmtId="0" fontId="45" fillId="31" borderId="54" xfId="0" applyFont="1" applyFill="1" applyBorder="1" applyAlignment="1">
      <alignment horizontal="center"/>
    </xf>
    <xf numFmtId="0" fontId="45" fillId="31" borderId="32" xfId="0" applyFont="1" applyFill="1" applyBorder="1" applyAlignment="1">
      <alignment horizontal="center"/>
    </xf>
    <xf numFmtId="0" fontId="55" fillId="0" borderId="24" xfId="0" applyFont="1" applyBorder="1" applyAlignment="1">
      <alignment horizontal="center" vertical="top"/>
    </xf>
    <xf numFmtId="0" fontId="55" fillId="0" borderId="49" xfId="0" applyFont="1" applyBorder="1" applyAlignment="1">
      <alignment horizontal="center" vertical="top"/>
    </xf>
    <xf numFmtId="0" fontId="56" fillId="0" borderId="50" xfId="0" applyFont="1" applyBorder="1" applyAlignment="1">
      <alignment horizontal="left" vertical="top" wrapText="1"/>
    </xf>
    <xf numFmtId="0" fontId="56" fillId="0" borderId="22" xfId="0" applyFont="1" applyBorder="1" applyAlignment="1">
      <alignment horizontal="left" vertical="top" wrapText="1"/>
    </xf>
    <xf numFmtId="0" fontId="44" fillId="0" borderId="26" xfId="0" applyFont="1" applyBorder="1" applyAlignment="1">
      <alignment horizontal="left" vertical="top" wrapText="1"/>
    </xf>
    <xf numFmtId="0" fontId="44" fillId="0" borderId="27" xfId="0" applyFont="1" applyBorder="1" applyAlignment="1">
      <alignment horizontal="left" vertical="top" wrapText="1"/>
    </xf>
    <xf numFmtId="0" fontId="23" fillId="10" borderId="52"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61" xfId="0" applyFont="1" applyFill="1" applyBorder="1" applyAlignment="1">
      <alignment horizontal="center" vertical="center" wrapText="1"/>
    </xf>
    <xf numFmtId="0" fontId="23" fillId="10" borderId="62" xfId="0" applyFont="1" applyFill="1" applyBorder="1" applyAlignment="1">
      <alignment horizontal="center" vertical="center" wrapText="1"/>
    </xf>
    <xf numFmtId="0" fontId="23" fillId="10" borderId="63"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168" fontId="0" fillId="0" borderId="0" xfId="14" applyNumberFormat="1" applyFont="1" applyFill="1" applyBorder="1" applyAlignment="1">
      <alignment vertical="center" wrapText="1"/>
    </xf>
    <xf numFmtId="0" fontId="4" fillId="0" borderId="1" xfId="0" applyFont="1" applyFill="1" applyBorder="1" applyAlignment="1">
      <alignment horizontal="left" vertical="center" wrapText="1"/>
    </xf>
    <xf numFmtId="14" fontId="0" fillId="0" borderId="0" xfId="0" applyNumberFormat="1" applyFill="1" applyBorder="1" applyAlignment="1">
      <alignment vertical="center" wrapText="1"/>
    </xf>
    <xf numFmtId="0" fontId="109" fillId="32" borderId="1" xfId="0" applyFont="1" applyFill="1" applyBorder="1" applyAlignment="1">
      <alignment horizontal="justify" vertical="center" wrapText="1"/>
    </xf>
    <xf numFmtId="0" fontId="0" fillId="0" borderId="1" xfId="0" applyBorder="1" applyAlignment="1">
      <alignment vertical="center" wrapText="1"/>
    </xf>
    <xf numFmtId="14" fontId="0" fillId="0" borderId="1" xfId="0" applyNumberFormat="1" applyBorder="1" applyAlignment="1">
      <alignment vertical="center" wrapText="1"/>
    </xf>
  </cellXfs>
  <cellStyles count="23">
    <cellStyle name="BodyStyle" xfId="22" xr:uid="{AA095287-5AFE-4CDB-8C08-0E1CF02B081B}"/>
    <cellStyle name="Hipervínculo 2" xfId="8" xr:uid="{00000000-0005-0000-0000-000000000000}"/>
    <cellStyle name="Millares" xfId="14" builtinId="3"/>
    <cellStyle name="Millares [0]" xfId="15" builtinId="6"/>
    <cellStyle name="Millares [0] 2" xfId="18" xr:uid="{A07C56B6-3C7A-4C66-A760-035684D9284B}"/>
    <cellStyle name="Millares 2" xfId="10" xr:uid="{00000000-0005-0000-0000-000003000000}"/>
    <cellStyle name="Millares 3" xfId="9" xr:uid="{00000000-0005-0000-0000-000004000000}"/>
    <cellStyle name="Moneda" xfId="11" builtinId="4"/>
    <cellStyle name="Moneda [0]" xfId="12" builtinId="7"/>
    <cellStyle name="Moneda [0] 2" xfId="21" xr:uid="{05F5DD0D-0930-4FBC-9104-2BC2FE2903B8}"/>
    <cellStyle name="Moneda [0] 2 2" xfId="2" xr:uid="{00000000-0005-0000-0000-000007000000}"/>
    <cellStyle name="Moneda 2" xfId="17" xr:uid="{FEAAF158-1FAE-429F-99EB-7C5D6696F01E}"/>
    <cellStyle name="Moneda 3" xfId="20" xr:uid="{57284AB8-8A41-4062-922E-FC26E52EBAD0}"/>
    <cellStyle name="Normal" xfId="0" builtinId="0"/>
    <cellStyle name="Normal 2" xfId="6" xr:uid="{00000000-0005-0000-0000-000009000000}"/>
    <cellStyle name="Normal 2 2" xfId="13" xr:uid="{00000000-0005-0000-0000-00000A000000}"/>
    <cellStyle name="Normal 3" xfId="3" xr:uid="{00000000-0005-0000-0000-00000B000000}"/>
    <cellStyle name="Normal 4" xfId="4" xr:uid="{00000000-0005-0000-0000-00000C000000}"/>
    <cellStyle name="Normal 5" xfId="16" xr:uid="{431783F0-BE9B-4362-B906-8CC43E1F63F4}"/>
    <cellStyle name="Normal 6" xfId="19" xr:uid="{47D39DCB-29C9-4BF0-BFB0-F32752055C31}"/>
    <cellStyle name="Porcentaje" xfId="1" builtinId="5"/>
    <cellStyle name="Porcentaje 2" xfId="5" xr:uid="{00000000-0005-0000-0000-00000E000000}"/>
    <cellStyle name="Porcentual 2" xfId="7" xr:uid="{00000000-0005-0000-0000-00000F000000}"/>
  </cellStyles>
  <dxfs count="0"/>
  <tableStyles count="0" defaultTableStyle="TableStyleMedium2" defaultPivotStyle="PivotStyleLight16"/>
  <colors>
    <mruColors>
      <color rgb="FF00FF00"/>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AVANCE GENERAL VIGENCIA 2021 - ETITC </a:t>
            </a:r>
          </a:p>
        </c:rich>
      </c:tx>
      <c:layout>
        <c:manualLayout>
          <c:xMode val="edge"/>
          <c:yMode val="edge"/>
          <c:x val="0.18739769046465016"/>
          <c:y val="0.1022331336128369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569729496551138"/>
          <c:y val="0.31221194046563466"/>
          <c:w val="0.43273785091025851"/>
          <c:h val="0.73034533803088375"/>
        </c:manualLayout>
      </c:layout>
      <c:scatterChart>
        <c:scatterStyle val="smoothMarker"/>
        <c:varyColors val="0"/>
        <c:dLbls>
          <c:showLegendKey val="0"/>
          <c:showVal val="0"/>
          <c:showCatName val="0"/>
          <c:showSerName val="0"/>
          <c:showPercent val="0"/>
          <c:showBubbleSize val="0"/>
        </c:dLbls>
        <c:axId val="452723888"/>
        <c:axId val="452722640"/>
      </c:scatterChart>
      <c:valAx>
        <c:axId val="452722640"/>
        <c:scaling>
          <c:orientation val="minMax"/>
          <c:max val="1"/>
          <c:min val="-1"/>
        </c:scaling>
        <c:delete val="1"/>
        <c:axPos val="l"/>
        <c:numFmt formatCode="General" sourceLinked="1"/>
        <c:majorTickMark val="out"/>
        <c:minorTickMark val="none"/>
        <c:tickLblPos val="nextTo"/>
        <c:crossAx val="452723888"/>
        <c:crosses val="autoZero"/>
        <c:crossBetween val="midCat"/>
      </c:valAx>
      <c:valAx>
        <c:axId val="452723888"/>
        <c:scaling>
          <c:orientation val="minMax"/>
          <c:max val="1"/>
          <c:min val="-1"/>
        </c:scaling>
        <c:delete val="1"/>
        <c:axPos val="b"/>
        <c:numFmt formatCode="General" sourceLinked="1"/>
        <c:majorTickMark val="out"/>
        <c:minorTickMark val="none"/>
        <c:tickLblPos val="nextTo"/>
        <c:crossAx val="452722640"/>
        <c:crosses val="autoZero"/>
        <c:crossBetween val="midCat"/>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AVANCE GENERAL - ETITC 2021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0"/>
      <c:rotY val="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7.8900481189851268E-2"/>
          <c:y val="0.15319444444444447"/>
          <c:w val="0.88498840769903764"/>
          <c:h val="0.72088764946048411"/>
        </c:manualLayout>
      </c:layout>
      <c:bar3DChart>
        <c:barDir val="col"/>
        <c:grouping val="stacked"/>
        <c:varyColors val="0"/>
        <c:ser>
          <c:idx val="0"/>
          <c:order val="0"/>
          <c:tx>
            <c:strRef>
              <c:f>'[3]AVANCE 2021'!$P$3</c:f>
              <c:strCache>
                <c:ptCount val="1"/>
                <c:pt idx="0">
                  <c:v>AVANCE GENERAL </c:v>
                </c:pt>
              </c:strCache>
            </c:strRef>
          </c:tx>
          <c:spPr>
            <a:solidFill>
              <a:schemeClr val="accent1"/>
            </a:solidFill>
            <a:ln>
              <a:noFill/>
            </a:ln>
            <a:effectLst>
              <a:outerShdw blurRad="63500" dist="190500" dir="5400000" sx="49000" sy="49000" algn="ctr" rotWithShape="0">
                <a:srgbClr val="000000">
                  <a:alpha val="97000"/>
                </a:srgbClr>
              </a:outerShdw>
            </a:effectLst>
            <a:sp3d/>
          </c:spPr>
          <c:invertIfNegative val="0"/>
          <c:dPt>
            <c:idx val="0"/>
            <c:invertIfNegative val="0"/>
            <c:bubble3D val="0"/>
            <c:spPr>
              <a:solidFill>
                <a:srgbClr val="00B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1-F211-4207-9088-80ADA8DA081F}"/>
              </c:ext>
            </c:extLst>
          </c:dPt>
          <c:dPt>
            <c:idx val="1"/>
            <c:invertIfNegative val="0"/>
            <c:bubble3D val="0"/>
            <c:spPr>
              <a:solidFill>
                <a:schemeClr val="accent6">
                  <a:lumMod val="60000"/>
                  <a:lumOff val="40000"/>
                </a:schemeClr>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3-F211-4207-9088-80ADA8DA081F}"/>
              </c:ext>
            </c:extLst>
          </c:dPt>
          <c:dPt>
            <c:idx val="2"/>
            <c:invertIfNegative val="0"/>
            <c:bubble3D val="0"/>
            <c:spPr>
              <a:solidFill>
                <a:srgbClr val="92D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5-F211-4207-9088-80ADA8DA081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'[3]AVANCE 2021'!$M$4:$M$6</c:f>
              <c:strCache>
                <c:ptCount val="3"/>
                <c:pt idx="0">
                  <c:v>Lo Intitucional </c:v>
                </c:pt>
                <c:pt idx="1">
                  <c:v>Lo Social </c:v>
                </c:pt>
                <c:pt idx="2">
                  <c:v>Lo ambiental </c:v>
                </c:pt>
              </c:strCache>
            </c:strRef>
          </c:cat>
          <c:val>
            <c:numRef>
              <c:f>'[3]AVANCE 2021'!$P$4:$P$6</c:f>
              <c:numCache>
                <c:formatCode>General</c:formatCode>
                <c:ptCount val="3"/>
                <c:pt idx="0">
                  <c:v>0.84208685861941679</c:v>
                </c:pt>
                <c:pt idx="1">
                  <c:v>0.80658343333333338</c:v>
                </c:pt>
                <c:pt idx="2">
                  <c:v>0.79933020266930299</c:v>
                </c:pt>
              </c:numCache>
            </c:numRef>
          </c:val>
          <c:extLst>
            <c:ext xmlns:c16="http://schemas.microsoft.com/office/drawing/2014/chart" uri="{C3380CC4-5D6E-409C-BE32-E72D297353CC}">
              <c16:uniqueId val="{00000006-F211-4207-9088-80ADA8DA081F}"/>
            </c:ext>
          </c:extLst>
        </c:ser>
        <c:dLbls>
          <c:showLegendKey val="0"/>
          <c:showVal val="0"/>
          <c:showCatName val="0"/>
          <c:showSerName val="0"/>
          <c:showPercent val="0"/>
          <c:showBubbleSize val="0"/>
        </c:dLbls>
        <c:gapWidth val="150"/>
        <c:shape val="cylinder"/>
        <c:axId val="527943552"/>
        <c:axId val="527958112"/>
        <c:axId val="0"/>
      </c:bar3DChart>
      <c:catAx>
        <c:axId val="5279435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527958112"/>
        <c:crosses val="autoZero"/>
        <c:auto val="1"/>
        <c:lblAlgn val="ctr"/>
        <c:lblOffset val="100"/>
        <c:noMultiLvlLbl val="0"/>
      </c:catAx>
      <c:valAx>
        <c:axId val="527958112"/>
        <c:scaling>
          <c:orientation val="minMax"/>
        </c:scaling>
        <c:delete val="1"/>
        <c:axPos val="l"/>
        <c:numFmt formatCode="General" sourceLinked="1"/>
        <c:majorTickMark val="none"/>
        <c:minorTickMark val="none"/>
        <c:tickLblPos val="nextTo"/>
        <c:crossAx val="527943552"/>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57501</xdr:colOff>
      <xdr:row>0</xdr:row>
      <xdr:rowOff>0</xdr:rowOff>
    </xdr:from>
    <xdr:to>
      <xdr:col>0</xdr:col>
      <xdr:colOff>1767840</xdr:colOff>
      <xdr:row>4</xdr:row>
      <xdr:rowOff>54093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01" y="0"/>
          <a:ext cx="1710339" cy="612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26820" cy="421536"/>
    <xdr:pic>
      <xdr:nvPicPr>
        <xdr:cNvPr id="2" name="Imagen 1">
          <a:extLst>
            <a:ext uri="{FF2B5EF4-FFF2-40B4-BE49-F238E27FC236}">
              <a16:creationId xmlns:a16="http://schemas.microsoft.com/office/drawing/2014/main" id="{AE90594A-2ECC-4F47-86E7-A93E9DEB84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6820" cy="42153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290987</xdr:colOff>
      <xdr:row>0</xdr:row>
      <xdr:rowOff>0</xdr:rowOff>
    </xdr:from>
    <xdr:ext cx="2932883" cy="842441"/>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1509" y="0"/>
          <a:ext cx="2932883" cy="842441"/>
        </a:xfrm>
        <a:prstGeom prst="rect">
          <a:avLst/>
        </a:prstGeom>
      </xdr:spPr>
    </xdr:pic>
    <xdr:clientData/>
  </xdr:oneCellAnchor>
  <xdr:oneCellAnchor>
    <xdr:from>
      <xdr:col>3</xdr:col>
      <xdr:colOff>54212</xdr:colOff>
      <xdr:row>3</xdr:row>
      <xdr:rowOff>57979</xdr:rowOff>
    </xdr:from>
    <xdr:ext cx="3186545" cy="784412"/>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54212" y="57979"/>
          <a:ext cx="3186545" cy="784412"/>
        </a:xfrm>
        <a:prstGeom prst="rect">
          <a:avLst/>
        </a:prstGeom>
      </xdr:spPr>
    </xdr:pic>
    <xdr:clientData/>
  </xdr:oneCellAnchor>
  <xdr:oneCellAnchor>
    <xdr:from>
      <xdr:col>24</xdr:col>
      <xdr:colOff>1282420</xdr:colOff>
      <xdr:row>0</xdr:row>
      <xdr:rowOff>102921</xdr:rowOff>
    </xdr:from>
    <xdr:ext cx="2991708" cy="849580"/>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495" y="1760271"/>
          <a:ext cx="2991708" cy="849580"/>
        </a:xfrm>
        <a:prstGeom prst="rect">
          <a:avLst/>
        </a:prstGeom>
      </xdr:spPr>
    </xdr:pic>
    <xdr:clientData/>
  </xdr:oneCellAnchor>
  <xdr:twoCellAnchor>
    <xdr:from>
      <xdr:col>7</xdr:col>
      <xdr:colOff>1143000</xdr:colOff>
      <xdr:row>3</xdr:row>
      <xdr:rowOff>66260</xdr:rowOff>
    </xdr:from>
    <xdr:to>
      <xdr:col>13</xdr:col>
      <xdr:colOff>33131</xdr:colOff>
      <xdr:row>3</xdr:row>
      <xdr:rowOff>662608</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717196" y="66260"/>
          <a:ext cx="3752022" cy="596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50" b="1"/>
            <a:t>SEGUIMIENTO PDI 2021 - 2024, VIGENCIA 2022</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167987</xdr:rowOff>
    </xdr:from>
    <xdr:ext cx="2762226" cy="727362"/>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47625" y="167987"/>
          <a:ext cx="2762226" cy="727362"/>
        </a:xfrm>
        <a:prstGeom prst="rect">
          <a:avLst/>
        </a:prstGeom>
      </xdr:spPr>
    </xdr:pic>
    <xdr:clientData/>
  </xdr:oneCellAnchor>
  <xdr:oneCellAnchor>
    <xdr:from>
      <xdr:col>3</xdr:col>
      <xdr:colOff>534700</xdr:colOff>
      <xdr:row>0</xdr:row>
      <xdr:rowOff>15523</xdr:rowOff>
    </xdr:from>
    <xdr:ext cx="3022024" cy="727427"/>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3575" y="15523"/>
          <a:ext cx="3022024" cy="727427"/>
        </a:xfrm>
        <a:prstGeom prst="rect">
          <a:avLst/>
        </a:prstGeom>
      </xdr:spPr>
    </xdr:pic>
    <xdr:clientData/>
  </xdr:oneCellAnchor>
  <xdr:oneCellAnchor>
    <xdr:from>
      <xdr:col>19</xdr:col>
      <xdr:colOff>1060431</xdr:colOff>
      <xdr:row>0</xdr:row>
      <xdr:rowOff>92222</xdr:rowOff>
    </xdr:from>
    <xdr:ext cx="2600633" cy="745977"/>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67556" y="92222"/>
          <a:ext cx="2600633" cy="745977"/>
        </a:xfrm>
        <a:prstGeom prst="rect">
          <a:avLst/>
        </a:prstGeom>
      </xdr:spPr>
    </xdr:pic>
    <xdr:clientData/>
  </xdr:oneCellAnchor>
  <xdr:twoCellAnchor>
    <xdr:from>
      <xdr:col>4</xdr:col>
      <xdr:colOff>1381125</xdr:colOff>
      <xdr:row>0</xdr:row>
      <xdr:rowOff>133350</xdr:rowOff>
    </xdr:from>
    <xdr:to>
      <xdr:col>10</xdr:col>
      <xdr:colOff>342072</xdr:colOff>
      <xdr:row>0</xdr:row>
      <xdr:rowOff>729698</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6677025" y="133350"/>
          <a:ext cx="3752022" cy="596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SEGUIMIENTO PDI 2021 - 2024, VIGENCIA 2022</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1358715</xdr:colOff>
      <xdr:row>0</xdr:row>
      <xdr:rowOff>0</xdr:rowOff>
    </xdr:from>
    <xdr:ext cx="2932883" cy="84244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590" y="0"/>
          <a:ext cx="2932883" cy="842441"/>
        </a:xfrm>
        <a:prstGeom prst="rect">
          <a:avLst/>
        </a:prstGeom>
      </xdr:spPr>
    </xdr:pic>
    <xdr:clientData/>
  </xdr:oneCellAnchor>
  <xdr:oneCellAnchor>
    <xdr:from>
      <xdr:col>3</xdr:col>
      <xdr:colOff>108857</xdr:colOff>
      <xdr:row>0</xdr:row>
      <xdr:rowOff>54429</xdr:rowOff>
    </xdr:from>
    <xdr:ext cx="2762226" cy="784412"/>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8857" y="54429"/>
          <a:ext cx="2762226" cy="784412"/>
        </a:xfrm>
        <a:prstGeom prst="rect">
          <a:avLst/>
        </a:prstGeom>
      </xdr:spPr>
    </xdr:pic>
    <xdr:clientData/>
  </xdr:oneCellAnchor>
  <xdr:oneCellAnchor>
    <xdr:from>
      <xdr:col>24</xdr:col>
      <xdr:colOff>232522</xdr:colOff>
      <xdr:row>0</xdr:row>
      <xdr:rowOff>71437</xdr:rowOff>
    </xdr:from>
    <xdr:ext cx="2796988" cy="738188"/>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87447" y="71437"/>
          <a:ext cx="2796988" cy="738188"/>
        </a:xfrm>
        <a:prstGeom prst="rect">
          <a:avLst/>
        </a:prstGeom>
      </xdr:spPr>
    </xdr:pic>
    <xdr:clientData/>
  </xdr:oneCellAnchor>
  <xdr:twoCellAnchor>
    <xdr:from>
      <xdr:col>7</xdr:col>
      <xdr:colOff>1590675</xdr:colOff>
      <xdr:row>0</xdr:row>
      <xdr:rowOff>152400</xdr:rowOff>
    </xdr:from>
    <xdr:to>
      <xdr:col>14</xdr:col>
      <xdr:colOff>599247</xdr:colOff>
      <xdr:row>1</xdr:row>
      <xdr:rowOff>539198</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6553200" y="152400"/>
          <a:ext cx="3752022" cy="596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SEGUIMIENTO PDI 2021 - 2024, VIGENCIA 2022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67235</xdr:colOff>
      <xdr:row>3</xdr:row>
      <xdr:rowOff>190501</xdr:rowOff>
    </xdr:from>
    <xdr:to>
      <xdr:col>12</xdr:col>
      <xdr:colOff>638735</xdr:colOff>
      <xdr:row>3</xdr:row>
      <xdr:rowOff>537883</xdr:rowOff>
    </xdr:to>
    <xdr:sp macro="" textlink="">
      <xdr:nvSpPr>
        <xdr:cNvPr id="7" name="CuadroTexto 6">
          <a:extLst>
            <a:ext uri="{FF2B5EF4-FFF2-40B4-BE49-F238E27FC236}">
              <a16:creationId xmlns:a16="http://schemas.microsoft.com/office/drawing/2014/main" id="{00000000-0008-0000-0700-000007000000}"/>
            </a:ext>
          </a:extLst>
        </xdr:cNvPr>
        <xdr:cNvSpPr txBox="1"/>
      </xdr:nvSpPr>
      <xdr:spPr>
        <a:xfrm>
          <a:off x="11239500" y="1580030"/>
          <a:ext cx="571500" cy="347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 98</a:t>
          </a:r>
        </a:p>
      </xdr:txBody>
    </xdr:sp>
    <xdr:clientData/>
  </xdr:twoCellAnchor>
  <xdr:twoCellAnchor>
    <xdr:from>
      <xdr:col>6</xdr:col>
      <xdr:colOff>0</xdr:colOff>
      <xdr:row>0</xdr:row>
      <xdr:rowOff>0</xdr:rowOff>
    </xdr:from>
    <xdr:to>
      <xdr:col>13</xdr:col>
      <xdr:colOff>784011</xdr:colOff>
      <xdr:row>7</xdr:row>
      <xdr:rowOff>130988</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655909</xdr:colOff>
      <xdr:row>1</xdr:row>
      <xdr:rowOff>13780</xdr:rowOff>
    </xdr:from>
    <xdr:to>
      <xdr:col>24</xdr:col>
      <xdr:colOff>657509</xdr:colOff>
      <xdr:row>5</xdr:row>
      <xdr:rowOff>523734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D\Downloads\plan%20de%20accion%202023%20VAF%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ES\Downloads\seguimientopdi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A3" t="str">
            <v>Institucional</v>
          </cell>
          <cell r="B3" t="str">
            <v>OE.1. Consolidar la calidad académica para la acreditación institucional de alta calidad respaldada fortalecimiento
de la gestión, la infraestructura tecnológica y física.</v>
          </cell>
          <cell r="C3" t="str">
            <v>PE-1- Acreditación Institucional de Alta Calidad</v>
          </cell>
          <cell r="F3" t="str">
            <v>ME-1- Obtener la Acreditación Institucional de Alta Calidad en el 2024</v>
          </cell>
          <cell r="H3" t="str">
            <v>OFICINA DE CONTROL INTERNO</v>
          </cell>
          <cell r="L3" t="str">
            <v>Porcentaje de cumplimiento en las fases del Consejo Nacional de Acreditación</v>
          </cell>
        </row>
        <row r="4">
          <cell r="A4" t="str">
            <v>Social</v>
          </cell>
          <cell r="B4" t="str">
            <v>OE.2. Fortalecer y potenciar el Talento Humano en las plantas de personal docente y administrativa</v>
          </cell>
          <cell r="C4" t="str">
            <v>PE-2- Modelo integral de gestión academico-administrativa por Sistema de Créditos Académicos</v>
          </cell>
          <cell r="F4" t="str">
            <v>ME-2- Estructurar e implementar el modelo integral de gestión academico-administrativa por Sistema de Créditos Académicos al 2024.</v>
          </cell>
          <cell r="G4" t="str">
            <v>RECTORÍA</v>
          </cell>
          <cell r="H4" t="str">
            <v xml:space="preserve">SEGURIDAD DIGITAL </v>
          </cell>
          <cell r="L4" t="str">
            <v xml:space="preserve">% de programas radicados para renovación de acreditación/ programas acreditados </v>
          </cell>
        </row>
        <row r="5">
          <cell r="A5" t="str">
            <v>Ambiental</v>
          </cell>
          <cell r="B5" t="str">
            <v>OE-3. Fortalecer el ecosistema de funcionalidades digitales para la gestión y el desarrollo de la actividad
misional mediante el uso de las TIC.</v>
          </cell>
          <cell r="C5" t="str">
            <v>PE-3- Lenguas Extranjeras como oportunidad para la movilidad internacional</v>
          </cell>
          <cell r="F5" t="str">
            <v>ME-3- Desarrollar una política institucional de apropiación de una segunda lengua como parte activa de la gestión curricular, y condición para la titulación en el nivel de ingeniería, a partir del 2023.</v>
          </cell>
          <cell r="G5" t="str">
            <v>VICERRECTORÍA ADMINISTRATIVA Y FINANCIERA</v>
          </cell>
          <cell r="H5" t="str">
            <v>ORII</v>
          </cell>
          <cell r="L5" t="str">
            <v>Porcentaje de implementación del sistema académico-administrativo por sistema de créditos académicos</v>
          </cell>
        </row>
        <row r="6">
          <cell r="B6" t="str">
            <v>OE.4. Fortalecer la visibilidad de la escuela bajo en entorno de asertividad para el posicionamiento
nacional e internacional.</v>
          </cell>
          <cell r="C6" t="str">
            <v>PE-4- Modelo de gestión académica curricular soportada en resultados de aprendizaje y competencias</v>
          </cell>
          <cell r="F6" t="str">
            <v>ME-4- Implementar el modelo de evaluación por resultados de aprendizaje y competencias, soportado en los lineamientos del MEN y el  sistema interno de aseguramiento de la calidad académica.</v>
          </cell>
          <cell r="G6" t="str">
            <v>VICERRECTORÍA ACADÉMICA</v>
          </cell>
          <cell r="H6" t="str">
            <v>SECRETARÍA GENERAL</v>
          </cell>
          <cell r="L6" t="str">
            <v>Porcentaje de programas de educación superior articulados a la política institucional de lengua extranjera</v>
          </cell>
        </row>
        <row r="7">
          <cell r="B7" t="str">
            <v xml:space="preserve">OE.5. Consolidar la infraestructura física de la Escuela para el desarrollo de la academia y la consolidación
de las nuevas apuestas institucionales. </v>
          </cell>
          <cell r="C7" t="str">
            <v>PE-5- MIPG - y los sistemas de gestión para una gobernanza transparente</v>
          </cell>
          <cell r="F7" t="str">
            <v>ME-5- Alinear el modelo MIPG con el Sistema Integrado de Gestión (SIG) para la acreditación</v>
          </cell>
          <cell r="G7" t="str">
            <v>VICERRECTORÍA DE INVESTIGACIÓN EXTENSIÓN Y TRANSFERENCIA</v>
          </cell>
          <cell r="H7" t="str">
            <v>OFICINA ASESORA DE PLANEACIÓN</v>
          </cell>
          <cell r="L7" t="str">
            <v>Porcentaje de programas de educación superior articulados al modelo de evaluación por resultados de aprendizaje y competencias.</v>
          </cell>
        </row>
        <row r="8">
          <cell r="B8" t="str">
            <v xml:space="preserve">OE.6. Aumentar la cobertura mediante programas de educación superior diferenciados, con alta
pertinencia regional de la institución.
</v>
          </cell>
          <cell r="C8" t="str">
            <v xml:space="preserve">PE-6- Egresados como embajadores institucionales </v>
          </cell>
          <cell r="F8" t="str">
            <v>ME-6- Diseñar e implementar el Sistema Unificado de Información y Estadística (SUIE).</v>
          </cell>
          <cell r="H8" t="str">
            <v>OFICINA DE CALIDAD</v>
          </cell>
          <cell r="L8" t="str">
            <v>Porcentaje de alineación del MIPG con el SIG.</v>
          </cell>
        </row>
        <row r="9">
          <cell r="B9" t="str">
            <v>OE.7. Implementar programas y acciones para asegurar la permanencia de los estudiantes.</v>
          </cell>
          <cell r="C9" t="str">
            <v xml:space="preserve">PE-7- Consolidación y aseguramiento del Talento Humano para el mejoramiento de las capacidades en las plantas administrativas y  docentes </v>
          </cell>
          <cell r="F9" t="str">
            <v>ME-7- Aumentar la visibilidad institucional de la Escuela mediante estrategias de marketing digital.</v>
          </cell>
          <cell r="H9" t="str">
            <v>ASEGURAMIENTO DE LA CALIDAD</v>
          </cell>
          <cell r="L9" t="str">
            <v xml:space="preserve">Porcentaje de implementación del SUIE. </v>
          </cell>
        </row>
        <row r="10">
          <cell r="B10" t="str">
            <v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v>
          </cell>
          <cell r="C10" t="str">
            <v>PE-8- Estructuración de la Carrera Docente</v>
          </cell>
          <cell r="F10" t="str">
            <v xml:space="preserve">ME-8- Revisión de la  Estructura Organizacional que soporte las nuevas apuestas institucionales  
</v>
          </cell>
          <cell r="H10" t="str">
            <v>AUTOEVALUACIÓN</v>
          </cell>
          <cell r="L10" t="str">
            <v>Número de estrategias de posicionamiento implementadas.</v>
          </cell>
        </row>
        <row r="11">
          <cell r="B11" t="str">
            <v>OE.9. La Extensión y la Proyección social como aporte al desarrollo de capacidades.</v>
          </cell>
          <cell r="C11" t="str">
            <v>PE-9- Tecnologías de información y comunicaciones al servicio de la academia y la ciencia</v>
          </cell>
          <cell r="F11" t="str">
            <v>ME-9- Implementar modelo de Gestión por Proyectos con metodologías aplicables según fuente de recursos.</v>
          </cell>
          <cell r="H11" t="str">
            <v>GESTIÓN AMBIENTAL</v>
          </cell>
          <cell r="L11" t="str">
            <v>Propuesta de nueva estructura organizacional presentadas ante las entidades competentes.</v>
          </cell>
        </row>
        <row r="12">
          <cell r="B12" t="str">
            <v>OE.10. Establecer un nuevo acuerdo ambiental mediante una
política institucional ambiental y la catedra institucional
en la ETITC.</v>
          </cell>
          <cell r="C12" t="str">
            <v>PE-10- Transformación digital de la ETITC</v>
          </cell>
          <cell r="F12" t="str">
            <v>ME-10- Fortalecer la cultura organizacional como soporte del Desarrollo y mejoramiento del clima organizacional.</v>
          </cell>
          <cell r="H12" t="str">
            <v>OFICINA DE COMUNICACIONES</v>
          </cell>
          <cell r="L12" t="str">
            <v>Porcentaje de proyectos del PDI gestionados por metodologías exigibles.</v>
          </cell>
        </row>
        <row r="13">
          <cell r="B13" t="str">
            <v>OE.11. Aumentar la cobertura mediante programas de educación superior diferenciados, con alta pertinencia regional.</v>
          </cell>
          <cell r="C13" t="str">
            <v>PE- 11- Implementación de estrategias de comunicación externas e internas y fortalecimiento de la gestión documental: LA ETITC COMUNICA</v>
          </cell>
          <cell r="F13" t="str">
            <v>ME-11-Implementar el Sistema de Acompañamiento al desarrollo del Egresado - SADE., con responsabilidad social y académica.</v>
          </cell>
          <cell r="H13" t="str">
            <v>INFRAESTRUCTURA ELÉCTRICA</v>
          </cell>
          <cell r="L13" t="str">
            <v>Índice de clima laboral</v>
          </cell>
        </row>
        <row r="14">
          <cell r="C14" t="str">
            <v>PE-12- Internacionalización para ampliar fronteras de conocimiento</v>
          </cell>
          <cell r="F14" t="str">
            <v>ME-12- Dar continuidad al talento humano integral en las plantas de personal.</v>
          </cell>
          <cell r="H14" t="str">
            <v>PLANTA FÍSICA</v>
          </cell>
          <cell r="L14" t="str">
            <v>Porcentaje de implementación del SADE.</v>
          </cell>
        </row>
        <row r="15">
          <cell r="C15" t="str">
            <v xml:space="preserve">PE-13- Gestión integral de inmuebles
</v>
          </cell>
          <cell r="F15" t="str">
            <v>ME-13- Presentar ante la instancia competente la solicitud y cumplimiento de requisitos para el desarrollo de los procesos meritocráticos de la planta administrativa.</v>
          </cell>
          <cell r="H15" t="str">
            <v>ALMACEN</v>
          </cell>
          <cell r="L15" t="str">
            <v>Porcentaje de apropiación de presupuesto para el pago de plantas de personal</v>
          </cell>
        </row>
        <row r="16">
          <cell r="C16" t="str">
            <v>PE-14- Nuevos programas de pregrado y posgrado</v>
          </cell>
          <cell r="F16" t="str">
            <v>ME-14- Adelantar los procesos meritocráticos de la planta docente.</v>
          </cell>
          <cell r="H16" t="str">
            <v>ÁREA ADMINISTRATIVA Y FINANCIERA</v>
          </cell>
          <cell r="L16" t="str">
            <v>Porcentaje de requisitos cumplidos</v>
          </cell>
        </row>
        <row r="17">
          <cell r="C17" t="str">
            <v xml:space="preserve">PE-15-El IBTI y su papel significativo en la consolidación de la Escuela </v>
          </cell>
          <cell r="F17" t="str">
            <v>ME-15- Organizar e implementar el sistema de plan de carrera de los profesores.</v>
          </cell>
          <cell r="H17" t="str">
            <v>GESTIÓN DOCUMENTAL</v>
          </cell>
          <cell r="L17" t="str">
            <v>Porcentaje de cumplimiento del proceso meritocrático de la planta docente</v>
          </cell>
        </row>
        <row r="18">
          <cell r="C18" t="str">
            <v>PE-16-  Desarrollo integral y transformación social de la comunidad: bienestar comprometido con la permanencia</v>
          </cell>
          <cell r="F18" t="str">
            <v>ME-16- Centro de Atención al Docente del IBTI "La ETITC un lugar para todos."</v>
          </cell>
          <cell r="H18" t="str">
            <v>OFICINA DE CONTRATACIÓN</v>
          </cell>
          <cell r="L18" t="str">
            <v>Porcentaje de sistema de carrera docente implementado</v>
          </cell>
        </row>
        <row r="19">
          <cell r="C19" t="str">
            <v>PE-17-  Centro de Pensamiento y Desarrollo Tecnológico</v>
          </cell>
          <cell r="F19" t="str">
            <v>ME-17- Adecuar las capacidades tecnológicas para atender las necesidades de los procesos misionales.</v>
          </cell>
          <cell r="H19" t="str">
            <v>TALENTO HUMANO</v>
          </cell>
          <cell r="L19" t="str">
            <v>Número de docentes del BTI  que se benefician del centro de atención / Total de docentes del IBTI *100</v>
          </cell>
        </row>
        <row r="20">
          <cell r="C20" t="str">
            <v xml:space="preserve"> PE-18- Fortalecimiento permanente en Competencias en investigación, ciencia, tecnología e innovación en la ETITC   </v>
          </cell>
          <cell r="F20" t="str">
            <v>ME-18- Incorporar elementos de tecnología a los talleres, laboratorios y aulas para enseñanza remota sincrónica en modalidad de alternancia</v>
          </cell>
          <cell r="H20" t="str">
            <v>SEGURIDAD Y SALUD EN EL TRABAJO</v>
          </cell>
          <cell r="L20" t="str">
            <v>Proyectos de TICS ejecutados / Proyectos de TICS programados para la academia</v>
          </cell>
        </row>
        <row r="21">
          <cell r="C21" t="str">
            <v xml:space="preserve"> PE-19- Innovación para el  Fortalecimiento Institucional y el Desarrollo Social.</v>
          </cell>
          <cell r="F21" t="str">
            <v>ME-19- Implementar un modelo estratégico para impulsar la evolución digital de la ETITC, plasmado en el PETI.</v>
          </cell>
          <cell r="H21" t="str">
            <v>INFORMÁTICA Y COMUNICACIONES</v>
          </cell>
          <cell r="L21" t="str">
            <v>Porcentaje de talleres y aulas habilitados con conexión remota.</v>
          </cell>
        </row>
        <row r="22">
          <cell r="C22" t="str">
            <v>PE-20- Centro de Capacitación Industrial  como espacio de cualificación  para la empleabilidad a inmediato plazo.</v>
          </cell>
          <cell r="F22" t="str">
            <v>ME-20- Cumplimiento del 100% la Política de Gobierno Digital para 2021.</v>
          </cell>
          <cell r="H22" t="str">
            <v>INSTITUTO DE BACHILLERATO TÉCNICO INDUSTRIAL</v>
          </cell>
          <cell r="L22" t="str">
            <v>Porcentaje de implementación de modelo estratégico en el PETI.</v>
          </cell>
        </row>
        <row r="23">
          <cell r="C23" t="str">
            <v>PE-21- Proyección Social más allá de las fronteras</v>
          </cell>
          <cell r="F23" t="str">
            <v>ME-21- Fortalecer los canales existentes para la comunicación interna - externa.</v>
          </cell>
          <cell r="H23" t="str">
            <v>BIENESTAR UNIVERSITARIO</v>
          </cell>
          <cell r="L23" t="str">
            <v>Porcentaje de implementación de la Política de Gobierno Digital</v>
          </cell>
        </row>
        <row r="24">
          <cell r="C24" t="str">
            <v xml:space="preserve">PE-22 Política institucional ambiental en la ETITC alineada al Sistema de Gestión Ambiental </v>
          </cell>
          <cell r="F24" t="str">
            <v>ME-22- Implementación del PINAR en cumplimiento a los parámetros establecidos por el Archivo General de la Nación.</v>
          </cell>
          <cell r="H24" t="str">
            <v>DESPACHO DE LA VICERRECTORÍA ACADÉMICA</v>
          </cell>
          <cell r="L24" t="str">
            <v>Porcentaje de implementación de la Política Institucional de Comunicaciones.</v>
          </cell>
        </row>
        <row r="25">
          <cell r="C25" t="str">
            <v xml:space="preserve">PE-23- La catedra institucional de la Escuela </v>
          </cell>
          <cell r="F25" t="str">
            <v>ME-23- Consolidar la política de internacionalización y cooperación Nacional e Internacional de la ETITC.</v>
          </cell>
          <cell r="H25" t="str">
            <v>FACULTAD DE ELECTROMECÁNICA</v>
          </cell>
          <cell r="L25" t="str">
            <v>Número de actividades ejecutadas del PINAR</v>
          </cell>
        </row>
        <row r="26">
          <cell r="C26" t="str">
            <v xml:space="preserve">PE-24- Optimización en el consumo de energía eléctrica y uso de energías alternativas. 
</v>
          </cell>
          <cell r="F26" t="str">
            <v>ME-24- Englobar todos predios que integran la sede central.</v>
          </cell>
          <cell r="H26" t="str">
            <v>FACULTAD DE MECATRÓNICA</v>
          </cell>
          <cell r="L26" t="str">
            <v>Porcentaje de implementación de la Política Institucional de internacionalización y cooperación Nacional e Internacional.</v>
          </cell>
        </row>
        <row r="27">
          <cell r="C27" t="str">
            <v xml:space="preserve">PE-25- Diseño e Implementación de espacios de “Concepto verde” que mejoren la vida académica en las sedes de la ETITC.
</v>
          </cell>
          <cell r="F27" t="str">
            <v>ME-25- Determinar el aprovechamiento del inmueble calle 18 a partir del POT aprobado.</v>
          </cell>
          <cell r="H27" t="str">
            <v>FACULTAD DE PROCESOS INDUSTRIALES</v>
          </cell>
          <cell r="L27" t="str">
            <v>Porcentaje de englobe de los predios que integran la sede central.</v>
          </cell>
        </row>
        <row r="28">
          <cell r="C28" t="str">
            <v xml:space="preserve">PE-26- Actualización de la infraestructura física, cumpliendo normativas aplicables y generando espacios adecuados para el desarrollo de actividades académicas y de bienestar en un el marco  de la sostenibilidad
</v>
          </cell>
          <cell r="F28" t="str">
            <v>ME-26- Formular el Plan de administración e intervención de las instalaciones en comodato (localidad Kennedy).</v>
          </cell>
          <cell r="H28" t="str">
            <v>FACULTAD DE MECÁNICA</v>
          </cell>
          <cell r="L28" t="str">
            <v>Porcentaje de espacios aprovechados y con uso en el inmueble</v>
          </cell>
        </row>
        <row r="29">
          <cell r="C29" t="str">
            <v>PE-27-   Diseñar y ofertar nuevos programas de pregrado con alta pertinencia regional rural</v>
          </cell>
          <cell r="F29" t="str">
            <v>ME-27- Formular e implementar el modelo operativo de administración de inmuebles.</v>
          </cell>
          <cell r="H29" t="str">
            <v>FACULTAD DE SISTEMAS</v>
          </cell>
          <cell r="L29" t="str">
            <v>Porcentaje de ejecución del Plan de administración e intervención de las instalaciones en comodato.</v>
          </cell>
        </row>
        <row r="30">
          <cell r="F30" t="str">
            <v>ME-28 - Gestionar la consecución de un nuevo Campus para la Escuela.</v>
          </cell>
          <cell r="H30" t="str">
            <v>FACULTAD DE ESPECIALIZACIONES</v>
          </cell>
          <cell r="L30" t="str">
            <v>Porcentaje de formulación e implementación del modelo operativo para la administración de inmuebles.</v>
          </cell>
        </row>
        <row r="31">
          <cell r="F31" t="str">
            <v xml:space="preserve">ME-29-  Lograr  al 2023 el Registro Calificado de 1 Especialización Profesional, 1 Especialización Tecnológica, al 2024, 1 carrera profesional por ciclos y 1 Maestría.
</v>
          </cell>
          <cell r="H31" t="str">
            <v>BIBLIOTECA Y MEDIOS EDUCATIVOS</v>
          </cell>
          <cell r="L31" t="str">
            <v>Porcentaje de implementación de la estrategia de consecución del Campus.</v>
          </cell>
        </row>
        <row r="32">
          <cell r="F32" t="str">
            <v xml:space="preserve">ME-30-  Lograr al 2024, que el 50% de los programas con registro calificado en la modalidad presencial  esten convertidos a modalidad semipresencial (blended).
</v>
          </cell>
          <cell r="H32" t="str">
            <v>TALLERES Y LABORATORIOS</v>
          </cell>
          <cell r="L32" t="str">
            <v>INDICADORES: LO SOCIAL</v>
          </cell>
        </row>
        <row r="33">
          <cell r="F33" t="str">
            <v xml:space="preserve"> ME-31- Fortalecer el proceso de articulación y/o integración entre las IEM (Instituciones de Educación Media) y la ETITC.</v>
          </cell>
          <cell r="H33" t="str">
            <v>INSTALACIONES KENNEDY</v>
          </cell>
          <cell r="L33" t="str">
            <v>Programas nuevos con registro calificado/Programas nuevos propuestos al MEN y al CNA*100</v>
          </cell>
        </row>
        <row r="34">
          <cell r="F34" t="str">
            <v xml:space="preserve">ME-32 - Fortalecer el modelo educativo del bachillerato que permita aumentar cobertura, favorecer la permanencia y continuidad en la institución </v>
          </cell>
          <cell r="H34" t="str">
            <v>INVESTIGACIÓN</v>
          </cell>
          <cell r="L34" t="str">
            <v xml:space="preserve">Programas con registro calificado en la modalidad semipresencial/ programas con registro calificado en la modalidad presencial*100.
</v>
          </cell>
        </row>
        <row r="35">
          <cell r="F35" t="str">
            <v>ME-33- Promover la estrategia de articulación  "de tu escuela a mi escuela y a mi universidad".</v>
          </cell>
          <cell r="H35" t="str">
            <v>INNOVACIÓN</v>
          </cell>
          <cell r="L35" t="str">
            <v>Porcentaje de egresados del IBTI que ingresan a PES de la ETITC.</v>
          </cell>
        </row>
        <row r="36">
          <cell r="F36" t="str">
            <v>ME-34- Fortalecer el Programa de Atencion Básica Ampliada.</v>
          </cell>
          <cell r="H36" t="str">
            <v>EXTENSIÓN</v>
          </cell>
          <cell r="L36" t="str">
            <v>% avance del PEI</v>
          </cell>
        </row>
        <row r="37">
          <cell r="F37" t="str">
            <v>ME-35-Formular e implementar el Sistema de Registro Único de Seguimiento de Información y Acompañamiento (RUSIA) de la comunidad educativa de la Institución.</v>
          </cell>
          <cell r="H37" t="str">
            <v>CENTRO DE LENGUAS</v>
          </cell>
          <cell r="L37" t="str">
            <v>Número de estudiantes vinculados en la vigencia / 1300 * 100</v>
          </cell>
        </row>
        <row r="38">
          <cell r="F38" t="str">
            <v>ME-36- Implementar el  Banco de electivas de Bienestar Universitario y la Cátedra ETITC</v>
          </cell>
          <cell r="H38" t="str">
            <v>EGRESADOS</v>
          </cell>
          <cell r="L38" t="str">
            <v>Número de participantes en servicios de bienestar / Total de integrantes de la comunidad educativa * 100</v>
          </cell>
        </row>
        <row r="39">
          <cell r="F39" t="str">
            <v>ME-37- Implementar el Centro de Refuerzo Especializado Académico (CREA).</v>
          </cell>
          <cell r="L39" t="str">
            <v>Estudiantes registrados en Rusia durante la vigencia / 3600 * 100</v>
          </cell>
        </row>
        <row r="40">
          <cell r="F40" t="str">
            <v xml:space="preserve">ME-38- Elaborar los estudios de prefactibilidad, justificación técnica, el diagnóstico de Recursos Humanos, Financieros y Disponibilidad de Infraestructura y Tecnologías de la Información, vinculadas a las actividades de investigación, desarrollo e Innovación del Centro de Pensamiento y Desarrollo Tecnológico. </v>
          </cell>
          <cell r="L40" t="str">
            <v>Número de electivas aprobadas en la vigencia / 3 *100</v>
          </cell>
        </row>
        <row r="41">
          <cell r="F41" t="str">
            <v xml:space="preserve">ME-39- Definir  las líneas de investigación y focos estratégicos y de acción del Centro. </v>
          </cell>
          <cell r="L41" t="str">
            <v>Número de estudiantes de los ciclos propedéuticos atendidos en el CREA / Total de estudiantes matriculados en los ciclos propedéuticos * 100</v>
          </cell>
        </row>
        <row r="42">
          <cell r="F42" t="str">
            <v>ME-40- Establecer la red institucional y de alianzas estrategicas del centro con los respectivos soportes que la respalden</v>
          </cell>
          <cell r="L42" t="str">
            <v xml:space="preserve">Estudio de prefactibilidad </v>
          </cell>
        </row>
        <row r="43">
          <cell r="F43" t="str">
            <v xml:space="preserve">ME-41- Formular el plan de mejoramiento de acuerdo a los crirterios de MinCiencias con sus respectivos informes y análisis. </v>
          </cell>
          <cell r="L43" t="str">
            <v>Líneas de investigación y focos estratégicos definidos</v>
          </cell>
        </row>
        <row r="44">
          <cell r="F44" t="str">
            <v xml:space="preserve">ME-42- Radicar la solicitud para el reconocimiento del Centro de Pensamiento y Desarrollo Tecnológico por parte de Minciencias.  </v>
          </cell>
          <cell r="L44" t="str">
            <v>Red institucional definida</v>
          </cell>
        </row>
        <row r="45">
          <cell r="F45" t="str">
            <v xml:space="preserve">ME-43- Diseñar  e implementar  un Programa de capacitación permanente para la Investigación, Ciencia, Tecnología e Innovación y de fortalecimiento de la investigación en la ETITC. </v>
          </cell>
          <cell r="L45" t="str">
            <v>Plan de mejoramiento formulado</v>
          </cell>
        </row>
        <row r="46">
          <cell r="F46" t="str">
            <v>ME-44- Diseñar  e implementar  un Programa de fortalecimiento de grupos de investigación y ampliación de las modalidades de investigación.</v>
          </cell>
          <cell r="L46" t="str">
            <v>Solicitud del reconocimiento</v>
          </cell>
        </row>
        <row r="47">
          <cell r="F47" t="str">
            <v>ME-45 -  Implementar programa de transferencia de conocimiento (Fortalecer la visibilidad e impacto del conocimiento según los resultados de investigación generado por la actividad científica, tecnológica, académica, social e industrial de la ETITC).</v>
          </cell>
          <cell r="L47" t="str">
            <v>Programa de capacitación permanente implementado</v>
          </cell>
        </row>
        <row r="48">
          <cell r="F48" t="str">
            <v xml:space="preserve">ME-46- Implementar el programa Incubadora tecnológica: Identificación y proyección de productos de investigación con potencial tecnológico y empresarial (spin-off, star-up, patentes...).  </v>
          </cell>
          <cell r="L48" t="str">
            <v>Programa de fortalecimiento de grupos y de investigación implementado</v>
          </cell>
        </row>
        <row r="49">
          <cell r="F49" t="str">
            <v>ME-47- Fortalecer las redes de innovación y alianzas estratégicas de cooperación con otros actores del Sistema Nacional de Ciencia Tecnología e Innovación – SNCTI, sector público, privado y academia para actividades de Investigación, Desarrollo e Innovación - I+D+i.</v>
          </cell>
          <cell r="L49" t="str">
            <v>Programa de transfarencias de conocimiento implementado</v>
          </cell>
        </row>
        <row r="50">
          <cell r="F50" t="str">
            <v xml:space="preserve">ME-48- Diseñar y estructurar el Observatorio Tecnológico y de Innovación de la ETITC. </v>
          </cell>
          <cell r="L50" t="str">
            <v>Programa Incubadora tecnológica</v>
          </cell>
        </row>
        <row r="51">
          <cell r="F51" t="str">
            <v>ME-49- Gestionar  y crear el Proyecto Editorial de la Escuela Tecnológica Instituto Técnico Central</v>
          </cell>
          <cell r="L51" t="str">
            <v>Relaciones estratégicas con otros actores del SNCTI</v>
          </cell>
        </row>
        <row r="52">
          <cell r="F52" t="str">
            <v xml:space="preserve">ME-50- Consolidar y fortalecer el vínculo entre empresa, estado - academia ETITC
</v>
          </cell>
          <cell r="L52" t="str">
            <v xml:space="preserve">Observatorio Tecnológico y de Innovación de la ETITC. </v>
          </cell>
        </row>
        <row r="53">
          <cell r="F53" t="str">
            <v>ME-51.- Gestionar la oferta de asignaturas para procesos de cualificación como herrramienta al mundo laboral y/o homologación e inserción en la educación Superior</v>
          </cell>
          <cell r="L53" t="str">
            <v>Proyecto editorial creado</v>
          </cell>
        </row>
        <row r="54">
          <cell r="F54" t="str">
            <v>ME-52- Diseñar y estructurar oferta de articulación</v>
          </cell>
          <cell r="L54" t="str">
            <v>Número de empresas vinculadas por diferentes factores con la ETITC/ 40 *100</v>
          </cell>
        </row>
        <row r="55">
          <cell r="F55" t="str">
            <v>ME-53- Identificar capacidades institucionales</v>
          </cell>
          <cell r="L55" t="str">
            <v>Número asignaturas ofertadas para procesos de cualificación</v>
          </cell>
        </row>
        <row r="56">
          <cell r="F56" t="str">
            <v>ME-54- Estructurar programa de oferta de servicios proyección social</v>
          </cell>
          <cell r="L56" t="str">
            <v>Número de acuerdos suscritos con colegios</v>
          </cell>
        </row>
        <row r="57">
          <cell r="F57" t="str">
            <v>ME-55- Realizar convenios que permitan la participación en convocatorias que den respuesta a comunidades vulnerables.</v>
          </cell>
          <cell r="L57" t="str">
            <v>Porcentaje de cumplimiento del plan anual de promoción de servicios</v>
          </cell>
        </row>
        <row r="58">
          <cell r="F58" t="str">
            <v>ME-56- Implementar una  política ambiental bajo consideraciones de sostenibilidad.</v>
          </cell>
          <cell r="L58" t="str">
            <v>Convenios reaiizados con comunidades vulnerables</v>
          </cell>
        </row>
        <row r="59">
          <cell r="F59" t="str">
            <v>ME-57- Diseñar e implementar  la catedra ETITC</v>
          </cell>
          <cell r="L59" t="str">
            <v>INDICADORES: LO AMBIENTAL</v>
          </cell>
        </row>
        <row r="60">
          <cell r="F60" t="str">
            <v xml:space="preserve">ME-58- Lograr el Diez por ciento (10%) de ahorro energético.
</v>
          </cell>
          <cell r="L60" t="str">
            <v>Porcentaje de la política ambiental implementado.</v>
          </cell>
        </row>
        <row r="61">
          <cell r="F61" t="str">
            <v xml:space="preserve">ME-59 Implementar el programa de racionalización de consumo de papel
</v>
          </cell>
          <cell r="L61" t="str">
            <v>Porcentaje de diseño e implementación de de la catedra ETITC alcanzado</v>
          </cell>
        </row>
        <row r="62">
          <cell r="F62" t="str">
            <v>ME-60- Realizar la adecuada disposición de todos los residuos producidos en el área de infraestructura, talleres y laboratorios.</v>
          </cell>
          <cell r="L62" t="str">
            <v>Porcentaje de ahorro alcanzado</v>
          </cell>
        </row>
        <row r="63">
          <cell r="F63" t="str">
            <v>ME-61- Adecuar espaciós verdes verticales y horizontales.</v>
          </cell>
          <cell r="L63" t="str">
            <v>Porcentaje de implementación del programa  racionalización de consumo de papel</v>
          </cell>
        </row>
        <row r="64">
          <cell r="F64" t="str">
            <v>ME-62- Adelantar el 50% del reforzamiento estructural de la sede principal.</v>
          </cell>
          <cell r="L64" t="str">
            <v xml:space="preserve">Porcentaje de adecuación de residuos cumplido </v>
          </cell>
        </row>
        <row r="65">
          <cell r="F65" t="str">
            <v>ME-63- Construir espacios adecuados para la ubicación del gimnasio y áreas para desarrollo de actividades de bienestar estudiantil. (Administrativos y docentes)</v>
          </cell>
          <cell r="L65" t="str">
            <v>Porcentaje de elaboración del programa de mantenimiento e intervención de los espacios verdes verticales y horizontales</v>
          </cell>
        </row>
        <row r="66">
          <cell r="F66" t="str">
            <v>ME-64
Contar con un sistema de control de acceso para la sede principal</v>
          </cell>
          <cell r="L66" t="str">
            <v>Porcentaje de ejecución del programa de mantenimiento e intervención de los espacios verdes verticales y horizontales</v>
          </cell>
        </row>
        <row r="67">
          <cell r="F67" t="str">
            <v>ME-65- Adecuación completa de la sede de la calle 18.</v>
          </cell>
          <cell r="L67" t="str">
            <v xml:space="preserve">Porcentaje del reforzamiento estructural obtenido </v>
          </cell>
        </row>
        <row r="68">
          <cell r="F68" t="str">
            <v>ME-66- Adaptación progresiva de la planta física para implementar la normativa de movilidad reducida.</v>
          </cell>
          <cell r="L68" t="str">
            <v>Número de espacios intervenidos para el desarrollo de actividades de bienestar.</v>
          </cell>
        </row>
        <row r="69">
          <cell r="F69" t="str">
            <v>ME-67- Optimización de la oferta de parqueaderos en la sede central.</v>
          </cell>
          <cell r="L69" t="str">
            <v xml:space="preserve">Porcentaje efectivo de la implementación del sistema de control en las 3 porterias de la sede central </v>
          </cell>
        </row>
        <row r="70">
          <cell r="F70" t="str">
            <v>ME -68 - Gestionar las Dotaciones de las instalaciones y sede principal para  la permanencia y aumento de la oferta.</v>
          </cell>
          <cell r="L70" t="str">
            <v>Porcentaje de adecuación alcanzado</v>
          </cell>
        </row>
        <row r="71">
          <cell r="F71" t="str">
            <v>ME-69- Estructurar y gestionar el registro de Pregrado en Ingeniería Agrícola por ciclos.</v>
          </cell>
          <cell r="L71" t="str">
            <v xml:space="preserve">Porcentaje de gestión para la implementación de la normatividad de movilidad reducida  </v>
          </cell>
        </row>
        <row r="72">
          <cell r="F72" t="str">
            <v>ME-70-  Estructurar  y gestionar el registro de   Pregrado en Ingeniería Ambiental por ciclos.</v>
          </cell>
          <cell r="L72" t="str">
            <v xml:space="preserve">Porcentaje de ejecución de la intervenciones necesarias </v>
          </cell>
        </row>
        <row r="73">
          <cell r="F73" t="str">
            <v>ME-71-  Estructurar  y gestionar el registro de   Pregrado en Ingeniería de energías por ciclos.</v>
          </cell>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Hoja1"/>
      <sheetName val="Hoja3"/>
      <sheetName val="Hoja2"/>
      <sheetName val="LO INSTITUCIONAL"/>
      <sheetName val="LO SOCIAL"/>
      <sheetName val="LO AMBIENTAL"/>
      <sheetName val="ACANCES 2022"/>
    </sheetNames>
    <sheetDataSet>
      <sheetData sheetId="0"/>
      <sheetData sheetId="1"/>
      <sheetData sheetId="2"/>
      <sheetData sheetId="3">
        <row r="2">
          <cell r="L2" t="str">
            <v>INDICADORES: LO INSTITUCIONAL</v>
          </cell>
        </row>
        <row r="3">
          <cell r="A3" t="str">
            <v>Institucional</v>
          </cell>
          <cell r="B3" t="str">
            <v>OE.1. Consolidar la calidad académica para la acreditación institucional de alta calidad respaldada fortalecimiento
de la gestión, la infraestructura tecnológica y física.</v>
          </cell>
          <cell r="F3" t="str">
            <v>ME-1- Obtener la Acreditación Institucional de Alta Calidad en el 2024</v>
          </cell>
          <cell r="H3" t="str">
            <v>OFICINA DE CONTROL INTERNO</v>
          </cell>
          <cell r="L3" t="str">
            <v>Porcentaje de cumplimiento en las fases del Consejo Nacional de Acreditación</v>
          </cell>
        </row>
        <row r="4">
          <cell r="A4" t="str">
            <v>Social</v>
          </cell>
          <cell r="B4" t="str">
            <v>OE.2. Fortalecer y potenciar el Talento Humano en las plantas de personal docente y administrativa</v>
          </cell>
          <cell r="F4" t="str">
            <v>ME-2- Estructurar e implementar el modelo integral de gestión academico-administrativa por Sistema de Créditos Académicos al 2024.</v>
          </cell>
          <cell r="G4" t="str">
            <v>RECTORÍA</v>
          </cell>
          <cell r="H4" t="str">
            <v xml:space="preserve">SEGURIDAD DIGITAL </v>
          </cell>
          <cell r="L4" t="str">
            <v xml:space="preserve">% de programas radicados para renovación de acreditación/ programas acreditados </v>
          </cell>
        </row>
        <row r="5">
          <cell r="A5" t="str">
            <v>Ambiental</v>
          </cell>
          <cell r="B5" t="str">
            <v>OE-3. Fortalecer el ecosistema de funcionalidades digitales para la gestión y el desarrollo de la actividad
misional mediante el uso de las TIC.</v>
          </cell>
          <cell r="F5" t="str">
            <v>ME-3- Desarrollar una política institucional de apropiación de una segunda lengua como parte activa de la gestión curricular, y condición para la titulación en el nivel de ingeniería, a partir del 2023.</v>
          </cell>
          <cell r="G5" t="str">
            <v>VICERRECTORÍA ADMINISTRATIVA Y FINANCIERA</v>
          </cell>
          <cell r="H5" t="str">
            <v>ORII</v>
          </cell>
          <cell r="L5" t="str">
            <v>Porcentaje de implementación del sistema académico-administrativo por sistema de créditos académicos</v>
          </cell>
        </row>
        <row r="6">
          <cell r="B6" t="str">
            <v>OE.4. Fortalecer la visibilidad de la escuela bajo en entorno de asertividad para el posicionamiento
nacional e internacional.</v>
          </cell>
          <cell r="F6" t="str">
            <v>ME-4- Implementar el modelo de evaluación por resultados de aprendizaje y competencias, soportado en los lineamientos del MEN y el  sistema interno de aseguramiento de la calidad académica.</v>
          </cell>
          <cell r="G6" t="str">
            <v>VICERRECTORÍA ACADÉMICA</v>
          </cell>
          <cell r="H6" t="str">
            <v>SECRETARÍA GENERAL</v>
          </cell>
          <cell r="L6" t="str">
            <v>Porcentaje de programas de educación superior articulados a la política institucional de lengua extranjera</v>
          </cell>
        </row>
        <row r="7">
          <cell r="B7" t="str">
            <v xml:space="preserve">OE.5. Consolidar la infraestructura física de la Escuela para el desarrollo de la academia y la consolidación
de las nuevas apuestas institucionales. </v>
          </cell>
          <cell r="F7" t="str">
            <v>ME-5- Alinear el modelo MIPG con el Sistema Integrado de Gestión (SIG) para la acreditación</v>
          </cell>
          <cell r="G7" t="str">
            <v>VICERRECTORÍA DE INVESTIGACIÓN EXTENSIÓN Y TRANSFERENCIA</v>
          </cell>
          <cell r="H7" t="str">
            <v>OFICINA ASESORA DE PLANEACIÓN</v>
          </cell>
          <cell r="L7" t="str">
            <v>Porcentaje de programas de educación superior articulados al modelo de evaluación por resultados de aprendizaje y competencias.</v>
          </cell>
        </row>
        <row r="8">
          <cell r="B8" t="str">
            <v xml:space="preserve">OE.6. Aumentar la cobertura mediante programas de educación superior diferenciados, con alta
pertinencia regional de la institución.
</v>
          </cell>
          <cell r="F8" t="str">
            <v>ME-6- Diseñar e implementar el Sistema Unificado de Información y Estadística (SUIE).</v>
          </cell>
          <cell r="H8" t="str">
            <v>OFICINA DE CALIDAD</v>
          </cell>
          <cell r="L8" t="str">
            <v>Porcentaje de alineación del MIPG con el SIG.</v>
          </cell>
        </row>
        <row r="9">
          <cell r="B9" t="str">
            <v>OE.7. Implementar programas y acciones para asegurar la permanencia de los estudiantes.</v>
          </cell>
          <cell r="F9" t="str">
            <v>ME-7- Aumentar la visibilidad institucional de la Escuela mediante estrategias de marketing digital.</v>
          </cell>
          <cell r="H9" t="str">
            <v>ASEGURAMIENTO DE LA CALIDAD</v>
          </cell>
          <cell r="L9" t="str">
            <v xml:space="preserve">Porcentaje de implementación del SUIE. </v>
          </cell>
        </row>
        <row r="10">
          <cell r="B10" t="str">
            <v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v>
          </cell>
          <cell r="F10" t="str">
            <v xml:space="preserve">ME-8- Revisión de la  Estructura Organizacional que soporte las nuevas apuestas institucionales  
</v>
          </cell>
          <cell r="H10" t="str">
            <v>AUTOEVALUACIÓN</v>
          </cell>
          <cell r="L10" t="str">
            <v>Número de estrategias de posicionamiento implementadas.</v>
          </cell>
        </row>
        <row r="11">
          <cell r="B11" t="str">
            <v>OE.9. La Extensión y la Proyección social como aporte al desarrollo de capacidades.</v>
          </cell>
          <cell r="F11" t="str">
            <v>ME-9- Implementar modelo de Gestión por Proyectos con metodologías aplicables según fuente de recursos.</v>
          </cell>
          <cell r="H11" t="str">
            <v>GESTIÓN AMBIENTAL</v>
          </cell>
          <cell r="L11" t="str">
            <v>Propuesta de nueva estructura organizacional presentadas ante las entidades competentes.</v>
          </cell>
        </row>
        <row r="12">
          <cell r="B12" t="str">
            <v>OE.10. Establecer un nuevo acuerdo ambiental mediante una
política institucional ambiental y la catedra institucional
en la ETITC.</v>
          </cell>
          <cell r="F12" t="str">
            <v>ME-10- Fortalecer la cultura organizacional como soporte del Desarrollo y mejoramiento del clima organizacional.</v>
          </cell>
          <cell r="H12" t="str">
            <v>OFICINA DE COMUNICACIONES</v>
          </cell>
          <cell r="L12" t="str">
            <v>Porcentaje de proyectos del PDI gestionados por metodologías exigibles.</v>
          </cell>
        </row>
        <row r="13">
          <cell r="B13" t="str">
            <v>OE.11. Aumentar la cobertura mediante programas de educación superior diferenciados, con alta pertinencia regional.</v>
          </cell>
          <cell r="F13" t="str">
            <v>ME-11-Implementar el Sistema de Acompañamiento al desarrollo del Egresado - SADE., con responsabilidad social y académica.</v>
          </cell>
          <cell r="H13" t="str">
            <v>INFRAESTRUCTURA ELÉCTRICA</v>
          </cell>
          <cell r="L13" t="str">
            <v>Índice de clima laboral</v>
          </cell>
        </row>
        <row r="14">
          <cell r="F14" t="str">
            <v>ME-12- Dar continuidad al talento humano integral en las plantas de personal.</v>
          </cell>
          <cell r="H14" t="str">
            <v>PLANTA FÍSICA</v>
          </cell>
          <cell r="L14" t="str">
            <v>Porcentaje de implementación del SADE.</v>
          </cell>
        </row>
        <row r="15">
          <cell r="F15" t="str">
            <v>ME-13- Presentar ante la instancia competente la solicitud y cumplimiento de requisitos para el desarrollo de los procesos meritocráticos de la planta administrativa.</v>
          </cell>
          <cell r="H15" t="str">
            <v>ALMACEN</v>
          </cell>
          <cell r="L15" t="str">
            <v>Porcentaje de apropiación de presupuesto para el pago de plantas de personal</v>
          </cell>
        </row>
        <row r="16">
          <cell r="F16" t="str">
            <v>ME-14- Adelantar los procesos meritocráticos de la planta docente.</v>
          </cell>
          <cell r="H16" t="str">
            <v>ÁREA ADMINISTRATIVA Y FINANCIERA</v>
          </cell>
          <cell r="L16" t="str">
            <v>Porcentaje de requisitos cumplidos</v>
          </cell>
        </row>
        <row r="17">
          <cell r="F17" t="str">
            <v>ME-15- Organizar e implementar el sistema de plan de carrera de los profesores.</v>
          </cell>
          <cell r="H17" t="str">
            <v>GESTIÓN DOCUMENTAL</v>
          </cell>
          <cell r="L17" t="str">
            <v>Porcentaje de cumplimiento del proceso meritocrático de la planta docente</v>
          </cell>
        </row>
        <row r="18">
          <cell r="F18" t="str">
            <v>ME-16- Centro de Atención al Docente del IBTI "La ETITC un lugar para todos."</v>
          </cell>
          <cell r="H18" t="str">
            <v>OFICINA DE CONTRATACIÓN</v>
          </cell>
          <cell r="L18" t="str">
            <v>Porcentaje de sistema de carrera docente implementado</v>
          </cell>
        </row>
        <row r="19">
          <cell r="F19" t="str">
            <v>ME-17- Adecuar las capacidades tecnológicas para atender las necesidades de los procesos misionales.</v>
          </cell>
          <cell r="H19" t="str">
            <v>TALENTO HUMANO</v>
          </cell>
          <cell r="L19" t="str">
            <v>Número de docentes del BTI  que se benefician del centro de atención / Total de docentes del IBTI *100</v>
          </cell>
        </row>
        <row r="20">
          <cell r="F20" t="str">
            <v>ME-18- Incorporar elementos de tecnología a los talleres, laboratorios y aulas para enseñanza remota sincrónica en modalidad de alternancia</v>
          </cell>
          <cell r="H20" t="str">
            <v>SEGURIDAD Y SALUD EN EL TRABAJO</v>
          </cell>
          <cell r="L20" t="str">
            <v>Proyectos de TICS ejecutados / Proyectos de TICS programados para la academia</v>
          </cell>
        </row>
        <row r="21">
          <cell r="F21" t="str">
            <v>ME-19- Implementar un modelo estratégico para impulsar la evolución digital de la ETITC, plasmado en el PETI.</v>
          </cell>
          <cell r="H21" t="str">
            <v>INFORMÁTICA Y COMUNICACIONES</v>
          </cell>
          <cell r="L21" t="str">
            <v>Porcentaje de talleres y aulas habilitados con conexión remota.</v>
          </cell>
        </row>
        <row r="22">
          <cell r="F22" t="str">
            <v>ME-20- Cumplimiento del 100% la Política de Gobierno Digital para 2021.</v>
          </cell>
          <cell r="H22" t="str">
            <v>INSTITUTO DE BACHILLERATO TÉCNICO INDUSTRIAL</v>
          </cell>
          <cell r="L22" t="str">
            <v>Porcentaje de implementación de modelo estratégico en el PETI.</v>
          </cell>
        </row>
        <row r="23">
          <cell r="F23" t="str">
            <v>ME-21- Fortalecer los canales existentes para la comunicación interna - externa.</v>
          </cell>
          <cell r="H23" t="str">
            <v>BIENESTAR UNIVERSITARIO</v>
          </cell>
          <cell r="L23" t="str">
            <v>Porcentaje de implementación de la Política de Gobierno Digital</v>
          </cell>
        </row>
        <row r="24">
          <cell r="F24" t="str">
            <v>ME-22- Implementación del PINAR en cumplimiento a los parámetros establecidos por el Archivo General de la Nación.</v>
          </cell>
          <cell r="H24" t="str">
            <v>DESPACHO DE LA VICERRECTORÍA ACADÉMICA</v>
          </cell>
          <cell r="L24" t="str">
            <v>Porcentaje de implementación de la Política Institucional de Comunicaciones.</v>
          </cell>
        </row>
        <row r="25">
          <cell r="F25" t="str">
            <v>ME-23- Consolidar la política de internacionalización y cooperación Nacional e Internacional de la ETITC.</v>
          </cell>
          <cell r="H25" t="str">
            <v>FACULTAD DE ELECTROMECÁNICA</v>
          </cell>
          <cell r="L25" t="str">
            <v>Número de actividades ejecutadas del PINAR</v>
          </cell>
        </row>
        <row r="26">
          <cell r="F26" t="str">
            <v>ME-24- Englobar todos predios que integran la sede central.</v>
          </cell>
          <cell r="H26" t="str">
            <v>FACULTAD DE MECATRÓNICA</v>
          </cell>
          <cell r="L26" t="str">
            <v>Porcentaje de implementación de la Política Institucional de internacionalización y cooperación Nacional e Internacional.</v>
          </cell>
        </row>
        <row r="27">
          <cell r="F27" t="str">
            <v>ME-25- Determinar el aprovechamiento del inmueble calle 18 a partir del POT aprobado.</v>
          </cell>
          <cell r="H27" t="str">
            <v>FACULTAD DE PROCESOS INDUSTRIALES</v>
          </cell>
          <cell r="L27" t="str">
            <v>Porcentaje de englobe de los predios que integran la sede central.</v>
          </cell>
        </row>
        <row r="28">
          <cell r="F28" t="str">
            <v>ME-26- Formular el Plan de administración e intervención de las instalaciones en comodato (localidad Kennedy).</v>
          </cell>
          <cell r="H28" t="str">
            <v>FACULTAD DE MECÁNICA</v>
          </cell>
          <cell r="L28" t="str">
            <v>Porcentaje de espacios aprovechados y con uso en el inmueble</v>
          </cell>
        </row>
        <row r="29">
          <cell r="F29" t="str">
            <v>ME-27- Formular e implementar el modelo operativo de administración de inmuebles.</v>
          </cell>
          <cell r="H29" t="str">
            <v>FACULTAD DE SISTEMAS</v>
          </cell>
          <cell r="L29" t="str">
            <v>Porcentaje de ejecución del Plan de administración e intervención de las instalaciones en comodato.</v>
          </cell>
        </row>
        <row r="30">
          <cell r="F30" t="str">
            <v>ME-28 - Gestionar la consecución de un nuevo Campus para la Escuela.</v>
          </cell>
          <cell r="H30" t="str">
            <v>FACULTAD DE ESPECIALIZACIONES</v>
          </cell>
          <cell r="L30" t="str">
            <v>Porcentaje de formulación e implementación del modelo operativo para la administración de inmuebles.</v>
          </cell>
        </row>
        <row r="31">
          <cell r="F31" t="str">
            <v xml:space="preserve">ME-29-  Lograr  al 2023 el Registro Calificado de 1 Especialización Profesional, 1 Especialización Tecnológica, al 2024, 1 carrera profesional por ciclos y 1 Maestría.
</v>
          </cell>
          <cell r="H31" t="str">
            <v>BIBLIOTECA Y MEDIOS EDUCATIVOS</v>
          </cell>
          <cell r="L31" t="str">
            <v>Porcentaje de implementación de la estrategia de consecución del Campus.</v>
          </cell>
        </row>
        <row r="32">
          <cell r="F32" t="str">
            <v xml:space="preserve">ME-30-  Lograr al 2024, que el 50% de los programas con registro calificado en la modalidad presencial  esten convertidos a modalidad semipresencial (blended).
</v>
          </cell>
          <cell r="H32" t="str">
            <v>TALLERES Y LABORATORIOS</v>
          </cell>
          <cell r="L32" t="str">
            <v>INDICADORES: LO SOCIAL</v>
          </cell>
        </row>
        <row r="33">
          <cell r="F33" t="str">
            <v xml:space="preserve"> ME-31- Fortalecer el proceso de articulación y/o integración entre las IEM (Instituciones de Educación Media) y la ETITC.</v>
          </cell>
          <cell r="H33" t="str">
            <v>INSTALACIONES KENNEDY</v>
          </cell>
          <cell r="L33" t="str">
            <v>Programas nuevos con registro calificado/Programas nuevos propuestos al MEN y al CNA*100</v>
          </cell>
        </row>
        <row r="34">
          <cell r="F34" t="str">
            <v xml:space="preserve">ME-32 - Fortalecer el modelo educativo del bachillerato que permita aumentar cobertura, favorecer la permanencia y continuidad en la institución </v>
          </cell>
          <cell r="H34" t="str">
            <v>INVESTIGACIÓN</v>
          </cell>
          <cell r="L34" t="str">
            <v xml:space="preserve">Programas con registro calificado en la modalidad semipresencial/ programas con registro calificado en la modalidad presencial*100.
</v>
          </cell>
        </row>
        <row r="35">
          <cell r="F35" t="str">
            <v>ME-33- Promover la estrategia de articulación  "de tu escuela a mi escuela y a mi universidad".</v>
          </cell>
          <cell r="H35" t="str">
            <v>INNOVACIÓN</v>
          </cell>
          <cell r="L35" t="str">
            <v>Porcentaje de egresados del IBTI que ingresan a PES de la ETITC.</v>
          </cell>
        </row>
        <row r="36">
          <cell r="F36" t="str">
            <v>ME-34- Fortalecer el Programa de Atencion Básica Ampliada.</v>
          </cell>
          <cell r="H36" t="str">
            <v>EXTENSIÓN</v>
          </cell>
          <cell r="L36" t="str">
            <v>% avance del PEI</v>
          </cell>
        </row>
        <row r="37">
          <cell r="F37" t="str">
            <v>ME-35-Formular e implementar el Sistema de Registro Único de Seguimiento de Información y Acompañamiento (RUSIA) de la comunidad educativa de la Institución.</v>
          </cell>
          <cell r="H37" t="str">
            <v>CENTRO DE LENGUAS</v>
          </cell>
          <cell r="L37" t="str">
            <v>Número de estudiantes vinculados en la vigencia / 1300 * 100</v>
          </cell>
        </row>
        <row r="38">
          <cell r="F38" t="str">
            <v>ME-36- Implementar el  Banco de electivas de Bienestar Universitario y la Cátedra ETITC</v>
          </cell>
          <cell r="H38" t="str">
            <v>EGRESADOS</v>
          </cell>
          <cell r="L38" t="str">
            <v>Número de participantes en servicios de bienestar / Total de integrantes de la comunidad educativa * 100</v>
          </cell>
        </row>
        <row r="39">
          <cell r="F39" t="str">
            <v>ME-37- Implementar el Centro de Refuerzo Especializado Académico (CREA).</v>
          </cell>
          <cell r="L39" t="str">
            <v>Estudiantes registrados en Rusia durante la vigencia / 3600 * 100</v>
          </cell>
        </row>
        <row r="40">
          <cell r="F40" t="str">
            <v xml:space="preserve">ME-38- Elaborar los estudios de prefactibilidad, justificación técnica, el diagnóstico de Recursos Humanos, Financieros y Disponibilidad de Infraestructura y Tecnologías de la Información, vinculadas a las actividades de investigación, desarrollo e Innovación del Centro de Pensamiento y Desarrollo Tecnológico. </v>
          </cell>
          <cell r="L40" t="str">
            <v>Número de electivas aprobadas en la vigencia / 3 *100</v>
          </cell>
        </row>
        <row r="41">
          <cell r="F41" t="str">
            <v xml:space="preserve">ME-39- Definir  las líneas de investigación y focos estratégicos y de acción del Centro. </v>
          </cell>
          <cell r="L41" t="str">
            <v>Número de estudiantes de los ciclos propedéuticos atendidos en el CREA / Total de estudiantes matriculados en los ciclos propedéuticos * 100</v>
          </cell>
        </row>
        <row r="42">
          <cell r="F42" t="str">
            <v>ME-40- Establecer la red institucional y de alianzas estrategicas del centro con los respectivos soportes que la respalden</v>
          </cell>
          <cell r="L42" t="str">
            <v xml:space="preserve">Estudio de prefactibilidad </v>
          </cell>
        </row>
        <row r="43">
          <cell r="F43" t="str">
            <v xml:space="preserve">ME-41- Formular el plan de mejoramiento de acuerdo a los crirterios de MinCiencias con sus respectivos informes y análisis. </v>
          </cell>
          <cell r="L43" t="str">
            <v>Líneas de investigación y focos estratégicos definidos</v>
          </cell>
        </row>
        <row r="44">
          <cell r="F44" t="str">
            <v xml:space="preserve">ME-42- Radicar la solicitud para el reconocimiento del Centro de Pensamiento y Desarrollo Tecnológico por parte de Minciencias.  </v>
          </cell>
          <cell r="L44" t="str">
            <v>Red institucional definida</v>
          </cell>
        </row>
        <row r="45">
          <cell r="F45" t="str">
            <v xml:space="preserve">ME-43- Diseñar  e implementar  un Programa de capacitación permanente para la Investigación, Ciencia, Tecnología e Innovación y de fortalecimiento de la investigación en la ETITC. </v>
          </cell>
          <cell r="L45" t="str">
            <v>Plan de mejoramiento formulado</v>
          </cell>
        </row>
        <row r="46">
          <cell r="F46" t="str">
            <v>ME-44- Diseñar  e implementar  un Programa de fortalecimiento de grupos de investigación y ampliación de las modalidades de investigación.</v>
          </cell>
          <cell r="L46" t="str">
            <v>Solicitud del reconocimiento</v>
          </cell>
        </row>
        <row r="47">
          <cell r="F47" t="str">
            <v>ME-45 -  Implementar programa de transferencia de conocimiento (Fortalecer la visibilidad e impacto del conocimiento según los resultados de investigación generado por la actividad científica, tecnológica, académica, social e industrial de la ETITC).</v>
          </cell>
          <cell r="L47" t="str">
            <v>Programa de capacitación permanente implementado</v>
          </cell>
        </row>
        <row r="48">
          <cell r="F48" t="str">
            <v xml:space="preserve">ME-46- Implementar el programa Incubadora tecnológica: Identificación y proyección de productos de investigación con potencial tecnológico y empresarial (spin-off, star-up, patentes...).  </v>
          </cell>
          <cell r="L48" t="str">
            <v>Programa de fortalecimiento de grupos y de investigación implementado</v>
          </cell>
        </row>
        <row r="49">
          <cell r="F49" t="str">
            <v>ME-47- Fortalecer las redes de innovación y alianzas estratégicas de cooperación con otros actores del Sistema Nacional de Ciencia Tecnología e Innovación – SNCTI, sector público, privado y academia para actividades de Investigación, Desarrollo e Innovación - I+D+i.</v>
          </cell>
          <cell r="L49" t="str">
            <v>Programa de transfarencias de conocimiento implementado</v>
          </cell>
        </row>
        <row r="50">
          <cell r="F50" t="str">
            <v xml:space="preserve">ME-48- Diseñar y estructurar el Observatorio Tecnológico y de Innovación de la ETITC. </v>
          </cell>
          <cell r="L50" t="str">
            <v>Programa Incubadora tecnológica</v>
          </cell>
        </row>
        <row r="51">
          <cell r="F51" t="str">
            <v>ME-49- Gestionar  y crear el Proyecto Editorial de la Escuela Tecnológica Instituto Técnico Central</v>
          </cell>
          <cell r="L51" t="str">
            <v>Relaciones estratégicas con otros actores del SNCTI</v>
          </cell>
        </row>
        <row r="52">
          <cell r="F52" t="str">
            <v xml:space="preserve">ME-50- Consolidar y fortalecer el vínculo entre empresa, estado - academia ETITC
</v>
          </cell>
          <cell r="L52" t="str">
            <v xml:space="preserve">Observatorio Tecnológico y de Innovación de la ETITC. </v>
          </cell>
        </row>
        <row r="53">
          <cell r="F53" t="str">
            <v>ME-51.- Gestionar la oferta de asignaturas para procesos de cualificación como herrramienta al mundo laboral y/o homologación e inserción en la educación Superior</v>
          </cell>
          <cell r="L53" t="str">
            <v>Proyecto editorial creado</v>
          </cell>
        </row>
        <row r="54">
          <cell r="F54" t="str">
            <v>ME-52- Diseñar y estructurar oferta de articulación</v>
          </cell>
          <cell r="L54" t="str">
            <v>Número de empresas vinculadas por diferentes factores con la ETITC/ 40 *100</v>
          </cell>
        </row>
        <row r="55">
          <cell r="F55" t="str">
            <v>ME-53- Identificar capacidades institucionales</v>
          </cell>
          <cell r="L55" t="str">
            <v>Número asignaturas ofertadas para procesos de cualificación</v>
          </cell>
        </row>
        <row r="56">
          <cell r="F56" t="str">
            <v>ME-54- Estructurar programa de oferta de servicios proyección social</v>
          </cell>
          <cell r="L56" t="str">
            <v>Número de acuerdos suscritos con colegios</v>
          </cell>
        </row>
        <row r="57">
          <cell r="F57" t="str">
            <v>ME-55- Realizar convenios que permitan la participación en convocatorias que den respuesta a comunidades vulnerables.</v>
          </cell>
          <cell r="L57" t="str">
            <v>Porcentaje de cumplimiento del plan anual de promoción de servicios</v>
          </cell>
        </row>
        <row r="58">
          <cell r="F58" t="str">
            <v>ME-56- Implementar una  política ambiental bajo consideraciones de sostenibilidad.</v>
          </cell>
          <cell r="L58" t="str">
            <v>Convenios reaiizados con comunidades vulnerables</v>
          </cell>
        </row>
        <row r="59">
          <cell r="F59" t="str">
            <v>ME-57- Diseñar e implementar  la catedra ETITC</v>
          </cell>
          <cell r="L59" t="str">
            <v>INDICADORES: LO AMBIENTAL</v>
          </cell>
        </row>
        <row r="60">
          <cell r="F60" t="str">
            <v xml:space="preserve">ME-58- Lograr el Diez por ciento (10%) de ahorro energético.
</v>
          </cell>
          <cell r="L60" t="str">
            <v>Porcentaje de la política ambiental implementado.</v>
          </cell>
        </row>
        <row r="61">
          <cell r="F61" t="str">
            <v xml:space="preserve">ME-59 Implementar el programa de racionalización de consumo de papel
</v>
          </cell>
          <cell r="L61" t="str">
            <v>Porcentaje de diseño e implementación de de la catedra ETITC alcanzado</v>
          </cell>
        </row>
        <row r="62">
          <cell r="F62" t="str">
            <v>ME-60- Realizar la adecuada disposición de todos los residuos producidos en el área de infraestructura, talleres y laboratorios.</v>
          </cell>
          <cell r="L62" t="str">
            <v>Porcentaje de ahorro alcanzado</v>
          </cell>
        </row>
        <row r="63">
          <cell r="F63" t="str">
            <v>ME-61- Adecuar espaciós verdes verticales y horizontales.</v>
          </cell>
          <cell r="L63" t="str">
            <v>Porcentaje de implementación del programa  racionalización de consumo de papel</v>
          </cell>
        </row>
        <row r="64">
          <cell r="F64" t="str">
            <v>ME-62- Adelantar el 50% del reforzamiento estructural de la sede principal.</v>
          </cell>
          <cell r="L64" t="str">
            <v xml:space="preserve">Porcentaje de adecuación de residuos cumplido </v>
          </cell>
        </row>
        <row r="65">
          <cell r="F65" t="str">
            <v>ME-63- Construir espacios adecuados para la ubicación del gimnasio y áreas para desarrollo de actividades de bienestar estudiantil. (Administrativos y docentes)</v>
          </cell>
          <cell r="L65" t="str">
            <v>Porcentaje de elaboración del programa de mantenimiento e intervención de los espacios verdes verticales y horizontales</v>
          </cell>
        </row>
        <row r="66">
          <cell r="F66" t="str">
            <v>ME-64
Contar con un sistema de control de acceso para la sede principal</v>
          </cell>
          <cell r="L66" t="str">
            <v>Porcentaje de ejecución del programa de mantenimiento e intervención de los espacios verdes verticales y horizontales</v>
          </cell>
        </row>
        <row r="67">
          <cell r="F67" t="str">
            <v>ME-65- Adecuación completa de la sede de la calle 18.</v>
          </cell>
          <cell r="L67" t="str">
            <v xml:space="preserve">Porcentaje del reforzamiento estructural obtenido </v>
          </cell>
        </row>
        <row r="68">
          <cell r="F68" t="str">
            <v>ME-66- Adaptación progresiva de la planta física para implementar la normativa de movilidad reducida.</v>
          </cell>
          <cell r="L68" t="str">
            <v>Número de espacios intervenidos para el desarrollo de actividades de bienestar.</v>
          </cell>
        </row>
        <row r="69">
          <cell r="F69" t="str">
            <v>ME-67- Optimización de la oferta de parqueaderos en la sede central.</v>
          </cell>
          <cell r="L69" t="str">
            <v xml:space="preserve">Porcentaje efectivo de la implementación del sistema de control en las 3 porterias de la sede central </v>
          </cell>
        </row>
        <row r="70">
          <cell r="F70" t="str">
            <v>ME -68 - Gestionar las Dotaciones de las instalaciones y sede principal para  la permanencia y aumento de la oferta.</v>
          </cell>
          <cell r="L70" t="str">
            <v>Porcentaje de adecuación alcanzado</v>
          </cell>
        </row>
        <row r="71">
          <cell r="F71" t="str">
            <v>ME-69- Estructurar y gestionar el registro de Pregrado en Ingeniería Agrícola por ciclos.</v>
          </cell>
          <cell r="L71" t="str">
            <v xml:space="preserve">Porcentaje de gestión para la implementación de la normatividad de movilidad reducida  </v>
          </cell>
        </row>
        <row r="72">
          <cell r="F72" t="str">
            <v>ME-70-  Estructurar  y gestionar el registro de   Pregrado en Ingeniería Ambiental por ciclos.</v>
          </cell>
          <cell r="L72" t="str">
            <v xml:space="preserve">Porcentaje de ejecución de la intervenciones necesarias </v>
          </cell>
        </row>
        <row r="73">
          <cell r="F73" t="str">
            <v>ME-71-  Estructurar  y gestionar el registro de   Pregrado en Ingeniería de energías por ciclos.</v>
          </cell>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itucional"/>
      <sheetName val="Social"/>
      <sheetName val="Ambiental"/>
      <sheetName val="AVANCE 2021"/>
      <sheetName val="Hoja2"/>
    </sheetNames>
    <sheetDataSet>
      <sheetData sheetId="0">
        <row r="9">
          <cell r="S9">
            <v>100</v>
          </cell>
        </row>
      </sheetData>
      <sheetData sheetId="1">
        <row r="7">
          <cell r="P7">
            <v>13.333333333333334</v>
          </cell>
        </row>
      </sheetData>
      <sheetData sheetId="2">
        <row r="7">
          <cell r="S7">
            <v>85.714285714285722</v>
          </cell>
        </row>
      </sheetData>
      <sheetData sheetId="3">
        <row r="3">
          <cell r="P3" t="str">
            <v xml:space="preserve">AVANCE GENERAL </v>
          </cell>
        </row>
        <row r="4">
          <cell r="M4" t="str">
            <v xml:space="preserve">Lo Intitucional </v>
          </cell>
          <cell r="P4">
            <v>0.84208685861941679</v>
          </cell>
        </row>
        <row r="5">
          <cell r="M5" t="str">
            <v xml:space="preserve">Lo Social </v>
          </cell>
          <cell r="P5">
            <v>0.80658343333333338</v>
          </cell>
        </row>
        <row r="6">
          <cell r="M6" t="str">
            <v xml:space="preserve">Lo ambiental </v>
          </cell>
          <cell r="P6">
            <v>0.79933020266930299</v>
          </cell>
        </row>
      </sheetData>
      <sheetData sheetId="4">
        <row r="30">
          <cell r="B30">
            <v>0.1</v>
          </cell>
        </row>
      </sheetData>
    </sheetDataSet>
  </externalBook>
</externalLink>
</file>

<file path=xl/persons/person.xml><?xml version="1.0" encoding="utf-8"?>
<personList xmlns="http://schemas.microsoft.com/office/spreadsheetml/2018/threadedcomments" xmlns:x="http://schemas.openxmlformats.org/spreadsheetml/2006/main">
  <person displayName="Seguridad Digital ETITC" id="{ADE27F74-9E99-43A1-A43B-7F243547050C}" userId="S::seguridaddigital@itc.edu.co::1121fe61-c664-4caa-a87a-836a6ff20f8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9" dT="2022-12-20T19:27:39.14" personId="{ADE27F74-9E99-43A1-A43B-7F243547050C}" id="{F6944B22-A4CF-406C-A433-767399C5D033}">
    <text>Se hizo estudio de mercado y herramientas como Fortinet, Mnemo, Tenable son muy buenas pero el presupuesto de la Escuela no da para una tecnología así que en el estudio de mercado seleccione el de menor valor</text>
  </threadedComment>
  <threadedComment ref="J30" dT="2022-12-20T19:38:07.54" personId="{ADE27F74-9E99-43A1-A43B-7F243547050C}" id="{E3690C4A-1935-44B7-ADB2-83637D3F26D1}">
    <text>Licencias se vencen el 05 de Mayo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11"/>
  <sheetViews>
    <sheetView showGridLines="0" zoomScale="37" zoomScaleNormal="55" workbookViewId="0">
      <pane ySplit="6" topLeftCell="A7" activePane="bottomLeft" state="frozen"/>
      <selection activeCell="B1" sqref="B1"/>
      <selection pane="bottomLeft" activeCell="C15" sqref="C15:C22"/>
    </sheetView>
  </sheetViews>
  <sheetFormatPr baseColWidth="10" defaultColWidth="11.44140625" defaultRowHeight="44.4" outlineLevelRow="1" x14ac:dyDescent="0.25"/>
  <cols>
    <col min="1" max="1" width="33.6640625" style="279" customWidth="1"/>
    <col min="2" max="2" width="40.109375" style="8" customWidth="1"/>
    <col min="3" max="3" width="50.44140625" style="8" customWidth="1"/>
    <col min="4" max="4" width="24.6640625" style="9" customWidth="1"/>
    <col min="5" max="5" width="27.33203125" style="281" customWidth="1"/>
    <col min="6" max="6" width="22.77734375" style="380" customWidth="1"/>
    <col min="7" max="7" width="44.44140625" style="8" customWidth="1"/>
    <col min="8" max="8" width="26.33203125" style="9" customWidth="1"/>
    <col min="9" max="9" width="25.109375" style="266" customWidth="1"/>
    <col min="10" max="10" width="29.44140625" style="266" customWidth="1"/>
    <col min="11" max="11" width="19.44140625" style="279" customWidth="1"/>
    <col min="12" max="12" width="15.44140625" style="279" customWidth="1"/>
    <col min="13" max="13" width="37.33203125" style="400" customWidth="1"/>
    <col min="14" max="14" width="17.6640625" style="279" customWidth="1"/>
    <col min="15" max="15" width="11.44140625" style="279" customWidth="1"/>
    <col min="16" max="16" width="18.44140625" style="279" customWidth="1"/>
    <col min="17" max="20" width="11.44140625" style="279" customWidth="1"/>
    <col min="21" max="21" width="11.44140625" style="284" hidden="1" customWidth="1"/>
    <col min="22" max="22" width="25.44140625" style="366" customWidth="1"/>
    <col min="23" max="23" width="24.33203125" style="279" customWidth="1"/>
    <col min="24" max="24" width="21.109375" style="279" customWidth="1"/>
    <col min="25" max="25" width="27.44140625" style="282" customWidth="1"/>
    <col min="26" max="26" width="24.33203125" style="279" customWidth="1"/>
    <col min="27" max="27" width="21.109375" style="279" customWidth="1"/>
    <col min="28" max="28" width="25.44140625" style="282" bestFit="1" customWidth="1"/>
    <col min="29" max="29" width="24.33203125" style="279" customWidth="1"/>
    <col min="30" max="30" width="21.109375" style="279" customWidth="1"/>
    <col min="31" max="31" width="25.44140625" style="282" bestFit="1" customWidth="1"/>
    <col min="32" max="32" width="24.33203125" style="279" hidden="1" customWidth="1"/>
    <col min="33" max="33" width="14" style="279" customWidth="1"/>
    <col min="34" max="34" width="25.33203125" style="279" customWidth="1"/>
    <col min="35" max="247" width="9.109375" style="279" customWidth="1"/>
    <col min="248" max="16384" width="11.44140625" style="279"/>
  </cols>
  <sheetData>
    <row r="1" spans="1:34" ht="12" hidden="1" customHeight="1" x14ac:dyDescent="0.25">
      <c r="A1" s="894" t="s">
        <v>15</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294" t="s">
        <v>16</v>
      </c>
      <c r="AH1" s="295" t="s">
        <v>16</v>
      </c>
    </row>
    <row r="2" spans="1:34" ht="12.45" customHeight="1" x14ac:dyDescent="0.25">
      <c r="A2" s="894"/>
      <c r="B2" s="894"/>
      <c r="C2" s="894"/>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294" t="s">
        <v>17</v>
      </c>
      <c r="AH2" s="296" t="s">
        <v>17</v>
      </c>
    </row>
    <row r="3" spans="1:34" ht="21" customHeight="1" x14ac:dyDescent="0.25">
      <c r="A3" s="894"/>
      <c r="B3" s="894"/>
      <c r="C3" s="894"/>
      <c r="D3" s="894"/>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4"/>
      <c r="AE3" s="894"/>
      <c r="AF3" s="894"/>
      <c r="AG3" s="294" t="s">
        <v>18</v>
      </c>
      <c r="AH3" s="296" t="s">
        <v>18</v>
      </c>
    </row>
    <row r="4" spans="1:34" ht="9.4499999999999993" customHeight="1" x14ac:dyDescent="0.25">
      <c r="A4" s="894"/>
      <c r="B4" s="894"/>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294" t="s">
        <v>19</v>
      </c>
      <c r="AH4" s="297" t="s">
        <v>19</v>
      </c>
    </row>
    <row r="5" spans="1:34" s="9" customFormat="1" ht="19.95" customHeight="1" x14ac:dyDescent="0.25">
      <c r="A5" s="893" t="s">
        <v>20</v>
      </c>
      <c r="B5" s="893" t="s">
        <v>21</v>
      </c>
      <c r="C5" s="893" t="s">
        <v>22</v>
      </c>
      <c r="D5" s="893" t="s">
        <v>23</v>
      </c>
      <c r="E5" s="893" t="s">
        <v>24</v>
      </c>
      <c r="F5" s="893" t="s">
        <v>25</v>
      </c>
      <c r="G5" s="897" t="s">
        <v>26</v>
      </c>
      <c r="H5" s="899" t="s">
        <v>27</v>
      </c>
      <c r="I5" s="893" t="s">
        <v>28</v>
      </c>
      <c r="J5" s="893" t="s">
        <v>29</v>
      </c>
      <c r="K5" s="893" t="s">
        <v>30</v>
      </c>
      <c r="L5" s="893" t="s">
        <v>31</v>
      </c>
      <c r="M5" s="895" t="s">
        <v>32</v>
      </c>
      <c r="N5" s="893" t="s">
        <v>0</v>
      </c>
      <c r="O5" s="893" t="s">
        <v>33</v>
      </c>
      <c r="P5" s="893" t="s">
        <v>34</v>
      </c>
      <c r="Q5" s="893" t="s">
        <v>35</v>
      </c>
      <c r="R5" s="893"/>
      <c r="S5" s="893"/>
      <c r="T5" s="893"/>
      <c r="U5" s="401"/>
      <c r="V5" s="893" t="s">
        <v>36</v>
      </c>
      <c r="W5" s="893"/>
      <c r="X5" s="893"/>
      <c r="Y5" s="893" t="s">
        <v>37</v>
      </c>
      <c r="Z5" s="893"/>
      <c r="AA5" s="893"/>
      <c r="AB5" s="893" t="s">
        <v>38</v>
      </c>
      <c r="AC5" s="893"/>
      <c r="AD5" s="893"/>
      <c r="AE5" s="893" t="s">
        <v>39</v>
      </c>
      <c r="AF5" s="893"/>
      <c r="AG5" s="893"/>
      <c r="AH5" s="306"/>
    </row>
    <row r="6" spans="1:34" s="9" customFormat="1" ht="35.25" customHeight="1" x14ac:dyDescent="0.25">
      <c r="A6" s="893"/>
      <c r="B6" s="893"/>
      <c r="C6" s="893"/>
      <c r="D6" s="893"/>
      <c r="E6" s="893"/>
      <c r="F6" s="893"/>
      <c r="G6" s="898"/>
      <c r="H6" s="900"/>
      <c r="I6" s="893"/>
      <c r="J6" s="893"/>
      <c r="K6" s="893"/>
      <c r="L6" s="893"/>
      <c r="M6" s="896"/>
      <c r="N6" s="893"/>
      <c r="O6" s="893"/>
      <c r="P6" s="893"/>
      <c r="Q6" s="402" t="s">
        <v>40</v>
      </c>
      <c r="R6" s="402" t="s">
        <v>41</v>
      </c>
      <c r="S6" s="402" t="s">
        <v>42</v>
      </c>
      <c r="T6" s="402" t="s">
        <v>43</v>
      </c>
      <c r="U6" s="401" t="s">
        <v>44</v>
      </c>
      <c r="V6" s="403" t="s">
        <v>45</v>
      </c>
      <c r="W6" s="402" t="s">
        <v>46</v>
      </c>
      <c r="X6" s="402" t="s">
        <v>47</v>
      </c>
      <c r="Y6" s="404" t="s">
        <v>48</v>
      </c>
      <c r="Z6" s="402" t="s">
        <v>46</v>
      </c>
      <c r="AA6" s="402" t="s">
        <v>47</v>
      </c>
      <c r="AB6" s="404" t="s">
        <v>49</v>
      </c>
      <c r="AC6" s="402" t="s">
        <v>46</v>
      </c>
      <c r="AD6" s="402" t="s">
        <v>47</v>
      </c>
      <c r="AE6" s="404" t="s">
        <v>50</v>
      </c>
      <c r="AF6" s="402" t="s">
        <v>46</v>
      </c>
      <c r="AG6" s="402" t="s">
        <v>47</v>
      </c>
      <c r="AH6" s="306"/>
    </row>
    <row r="7" spans="1:34" s="9" customFormat="1" ht="9.75" customHeight="1" x14ac:dyDescent="0.25">
      <c r="A7" s="405"/>
      <c r="B7" s="409"/>
      <c r="C7" s="409"/>
      <c r="D7" s="405"/>
      <c r="E7" s="405"/>
      <c r="F7" s="405"/>
      <c r="G7" s="406"/>
      <c r="H7" s="407"/>
      <c r="I7" s="402"/>
      <c r="J7" s="402"/>
      <c r="K7" s="402"/>
      <c r="L7" s="402"/>
      <c r="M7" s="408"/>
      <c r="N7" s="402"/>
      <c r="O7" s="402"/>
      <c r="P7" s="402"/>
      <c r="Q7" s="402"/>
      <c r="R7" s="402"/>
      <c r="S7" s="402"/>
      <c r="T7" s="402"/>
      <c r="U7" s="401"/>
      <c r="V7" s="403"/>
      <c r="W7" s="402"/>
      <c r="X7" s="402"/>
      <c r="Y7" s="404"/>
      <c r="Z7" s="402"/>
      <c r="AA7" s="402"/>
      <c r="AB7" s="404"/>
      <c r="AC7" s="402"/>
      <c r="AD7" s="402"/>
      <c r="AE7" s="404"/>
      <c r="AF7" s="402"/>
      <c r="AG7" s="402"/>
      <c r="AH7" s="306"/>
    </row>
    <row r="8" spans="1:34" ht="69.45" customHeight="1" outlineLevel="1" x14ac:dyDescent="0.25">
      <c r="A8" s="741" t="s">
        <v>13</v>
      </c>
      <c r="B8" s="749" t="s">
        <v>51</v>
      </c>
      <c r="C8" s="749" t="s">
        <v>52</v>
      </c>
      <c r="D8" s="752" t="s">
        <v>53</v>
      </c>
      <c r="E8" s="755" t="s">
        <v>54</v>
      </c>
      <c r="F8" s="755" t="s">
        <v>55</v>
      </c>
      <c r="G8" s="2" t="s">
        <v>56</v>
      </c>
      <c r="H8" s="885" t="s">
        <v>57</v>
      </c>
      <c r="I8" s="274" t="s">
        <v>58</v>
      </c>
      <c r="J8" s="274" t="s">
        <v>59</v>
      </c>
      <c r="K8" s="298">
        <v>44593</v>
      </c>
      <c r="L8" s="298">
        <v>44925</v>
      </c>
      <c r="M8" s="298">
        <v>44652</v>
      </c>
      <c r="N8" s="299">
        <f t="shared" ref="N8:N104" si="0">+(+_xlfn.DAYS(K8,M8))/(+_xlfn.DAYS(K8,L8))</f>
        <v>0.17771084337349397</v>
      </c>
      <c r="O8" s="299">
        <f t="shared" ref="O8:O154" si="1">+IF(N8&gt;=100,100,IF(N8&lt;=0,0,N8))</f>
        <v>0.17771084337349397</v>
      </c>
      <c r="P8" s="300">
        <v>1</v>
      </c>
      <c r="Q8" s="301">
        <v>0.25</v>
      </c>
      <c r="R8" s="301">
        <v>0.5</v>
      </c>
      <c r="S8" s="301">
        <v>0.75</v>
      </c>
      <c r="T8" s="301">
        <v>1</v>
      </c>
      <c r="U8" s="301"/>
      <c r="V8" s="301"/>
      <c r="W8" s="302"/>
      <c r="X8" s="303"/>
      <c r="Y8" s="304"/>
      <c r="Z8" s="305"/>
      <c r="AA8" s="305"/>
      <c r="AB8" s="304"/>
      <c r="AC8" s="305"/>
      <c r="AD8" s="305"/>
      <c r="AE8" s="304"/>
      <c r="AF8" s="305"/>
      <c r="AG8" s="305"/>
      <c r="AH8" s="306"/>
    </row>
    <row r="9" spans="1:34" ht="69.45" customHeight="1" outlineLevel="1" x14ac:dyDescent="0.25">
      <c r="A9" s="742"/>
      <c r="B9" s="750"/>
      <c r="C9" s="750"/>
      <c r="D9" s="753"/>
      <c r="E9" s="756"/>
      <c r="F9" s="756"/>
      <c r="G9" s="2" t="s">
        <v>60</v>
      </c>
      <c r="H9" s="886"/>
      <c r="I9" s="274" t="s">
        <v>61</v>
      </c>
      <c r="J9" s="274" t="s">
        <v>59</v>
      </c>
      <c r="K9" s="298">
        <v>44593</v>
      </c>
      <c r="L9" s="298">
        <v>44925</v>
      </c>
      <c r="M9" s="298">
        <v>44652</v>
      </c>
      <c r="N9" s="299">
        <f t="shared" si="0"/>
        <v>0.17771084337349397</v>
      </c>
      <c r="O9" s="299">
        <f t="shared" si="1"/>
        <v>0.17771084337349397</v>
      </c>
      <c r="P9" s="300">
        <v>1</v>
      </c>
      <c r="Q9" s="301">
        <v>0.25</v>
      </c>
      <c r="R9" s="301">
        <v>0.5</v>
      </c>
      <c r="S9" s="301">
        <v>0.75</v>
      </c>
      <c r="T9" s="301">
        <v>1</v>
      </c>
      <c r="U9" s="301"/>
      <c r="V9" s="301"/>
      <c r="W9" s="302"/>
      <c r="X9" s="303"/>
      <c r="Y9" s="304"/>
      <c r="Z9" s="305"/>
      <c r="AA9" s="305"/>
      <c r="AB9" s="304"/>
      <c r="AC9" s="305"/>
      <c r="AD9" s="305"/>
      <c r="AE9" s="304"/>
      <c r="AF9" s="305"/>
      <c r="AG9" s="305"/>
      <c r="AH9" s="306"/>
    </row>
    <row r="10" spans="1:34" ht="69.45" customHeight="1" outlineLevel="1" x14ac:dyDescent="0.25">
      <c r="A10" s="742"/>
      <c r="B10" s="750"/>
      <c r="C10" s="750"/>
      <c r="D10" s="753"/>
      <c r="E10" s="756"/>
      <c r="F10" s="756"/>
      <c r="G10" s="2" t="s">
        <v>62</v>
      </c>
      <c r="H10" s="886"/>
      <c r="I10" s="274" t="s">
        <v>61</v>
      </c>
      <c r="J10" s="274" t="s">
        <v>59</v>
      </c>
      <c r="K10" s="298">
        <v>44593</v>
      </c>
      <c r="L10" s="298">
        <v>44925</v>
      </c>
      <c r="M10" s="298">
        <v>44652</v>
      </c>
      <c r="N10" s="299">
        <f t="shared" si="0"/>
        <v>0.17771084337349397</v>
      </c>
      <c r="O10" s="299">
        <f t="shared" si="1"/>
        <v>0.17771084337349397</v>
      </c>
      <c r="P10" s="300">
        <v>1</v>
      </c>
      <c r="Q10" s="301">
        <v>0.25</v>
      </c>
      <c r="R10" s="301">
        <v>0.5</v>
      </c>
      <c r="S10" s="301">
        <v>0.75</v>
      </c>
      <c r="T10" s="301">
        <v>1</v>
      </c>
      <c r="U10" s="301"/>
      <c r="V10" s="301"/>
      <c r="W10" s="302"/>
      <c r="X10" s="303"/>
      <c r="Y10" s="304"/>
      <c r="Z10" s="305"/>
      <c r="AA10" s="305"/>
      <c r="AB10" s="304"/>
      <c r="AC10" s="305"/>
      <c r="AD10" s="305"/>
      <c r="AE10" s="304"/>
      <c r="AF10" s="305"/>
      <c r="AG10" s="305"/>
      <c r="AH10" s="306"/>
    </row>
    <row r="11" spans="1:34" ht="69.45" customHeight="1" outlineLevel="1" x14ac:dyDescent="0.25">
      <c r="A11" s="742"/>
      <c r="B11" s="750"/>
      <c r="C11" s="750"/>
      <c r="D11" s="753"/>
      <c r="E11" s="756"/>
      <c r="F11" s="756"/>
      <c r="G11" s="2" t="s">
        <v>63</v>
      </c>
      <c r="H11" s="886"/>
      <c r="I11" s="274" t="s">
        <v>64</v>
      </c>
      <c r="J11" s="274" t="s">
        <v>59</v>
      </c>
      <c r="K11" s="298">
        <v>44593</v>
      </c>
      <c r="L11" s="298">
        <v>44925</v>
      </c>
      <c r="M11" s="298">
        <v>44652</v>
      </c>
      <c r="N11" s="299">
        <f t="shared" si="0"/>
        <v>0.17771084337349397</v>
      </c>
      <c r="O11" s="299">
        <f t="shared" si="1"/>
        <v>0.17771084337349397</v>
      </c>
      <c r="P11" s="300">
        <v>1</v>
      </c>
      <c r="Q11" s="301">
        <v>0.25</v>
      </c>
      <c r="R11" s="301">
        <v>0.5</v>
      </c>
      <c r="S11" s="301">
        <v>0.75</v>
      </c>
      <c r="T11" s="301">
        <v>1</v>
      </c>
      <c r="U11" s="301"/>
      <c r="V11" s="301"/>
      <c r="W11" s="302"/>
      <c r="X11" s="303"/>
      <c r="Y11" s="304"/>
      <c r="Z11" s="305"/>
      <c r="AA11" s="305"/>
      <c r="AB11" s="304"/>
      <c r="AC11" s="305"/>
      <c r="AD11" s="305"/>
      <c r="AE11" s="304"/>
      <c r="AF11" s="305"/>
      <c r="AG11" s="305"/>
      <c r="AH11" s="306"/>
    </row>
    <row r="12" spans="1:34" ht="69.45" customHeight="1" outlineLevel="1" x14ac:dyDescent="0.25">
      <c r="A12" s="742"/>
      <c r="B12" s="750"/>
      <c r="C12" s="750"/>
      <c r="D12" s="753"/>
      <c r="E12" s="756"/>
      <c r="F12" s="756"/>
      <c r="G12" s="2" t="s">
        <v>65</v>
      </c>
      <c r="H12" s="886"/>
      <c r="I12" s="274" t="s">
        <v>66</v>
      </c>
      <c r="J12" s="274" t="s">
        <v>59</v>
      </c>
      <c r="K12" s="298">
        <v>44593</v>
      </c>
      <c r="L12" s="298">
        <v>44925</v>
      </c>
      <c r="M12" s="298">
        <v>44652</v>
      </c>
      <c r="N12" s="299">
        <f t="shared" si="0"/>
        <v>0.17771084337349397</v>
      </c>
      <c r="O12" s="299">
        <f t="shared" si="1"/>
        <v>0.17771084337349397</v>
      </c>
      <c r="P12" s="300">
        <v>1</v>
      </c>
      <c r="Q12" s="301">
        <v>0.25</v>
      </c>
      <c r="R12" s="301">
        <v>0.5</v>
      </c>
      <c r="S12" s="301">
        <v>0.75</v>
      </c>
      <c r="T12" s="301">
        <v>1</v>
      </c>
      <c r="U12" s="301"/>
      <c r="V12" s="301"/>
      <c r="W12" s="302"/>
      <c r="X12" s="303"/>
      <c r="Y12" s="304"/>
      <c r="Z12" s="305"/>
      <c r="AA12" s="305"/>
      <c r="AB12" s="304"/>
      <c r="AC12" s="305"/>
      <c r="AD12" s="305"/>
      <c r="AE12" s="304"/>
      <c r="AF12" s="305"/>
      <c r="AG12" s="305"/>
      <c r="AH12" s="306"/>
    </row>
    <row r="13" spans="1:34" ht="69.45" customHeight="1" outlineLevel="1" x14ac:dyDescent="0.25">
      <c r="A13" s="742"/>
      <c r="B13" s="750"/>
      <c r="C13" s="750"/>
      <c r="D13" s="753"/>
      <c r="E13" s="756"/>
      <c r="F13" s="756"/>
      <c r="G13" s="2" t="s">
        <v>67</v>
      </c>
      <c r="H13" s="886"/>
      <c r="I13" s="274" t="s">
        <v>68</v>
      </c>
      <c r="J13" s="274" t="s">
        <v>59</v>
      </c>
      <c r="K13" s="298">
        <v>44593</v>
      </c>
      <c r="L13" s="298">
        <v>44925</v>
      </c>
      <c r="M13" s="298">
        <v>44652</v>
      </c>
      <c r="N13" s="299">
        <f t="shared" si="0"/>
        <v>0.17771084337349397</v>
      </c>
      <c r="O13" s="299">
        <f t="shared" si="1"/>
        <v>0.17771084337349397</v>
      </c>
      <c r="P13" s="300">
        <v>1</v>
      </c>
      <c r="Q13" s="301">
        <v>0.25</v>
      </c>
      <c r="R13" s="301">
        <v>0.5</v>
      </c>
      <c r="S13" s="301">
        <v>0.75</v>
      </c>
      <c r="T13" s="301">
        <v>1</v>
      </c>
      <c r="U13" s="301"/>
      <c r="V13" s="301"/>
      <c r="W13" s="302"/>
      <c r="X13" s="303"/>
      <c r="Y13" s="304"/>
      <c r="Z13" s="305"/>
      <c r="AA13" s="305"/>
      <c r="AB13" s="304"/>
      <c r="AC13" s="305"/>
      <c r="AD13" s="305"/>
      <c r="AE13" s="304"/>
      <c r="AF13" s="305"/>
      <c r="AG13" s="305"/>
      <c r="AH13" s="306"/>
    </row>
    <row r="14" spans="1:34" ht="69.45" customHeight="1" outlineLevel="1" x14ac:dyDescent="0.25">
      <c r="A14" s="742"/>
      <c r="B14" s="751"/>
      <c r="C14" s="751"/>
      <c r="D14" s="754"/>
      <c r="E14" s="757"/>
      <c r="F14" s="757"/>
      <c r="G14" s="2" t="s">
        <v>69</v>
      </c>
      <c r="H14" s="887"/>
      <c r="I14" s="274" t="s">
        <v>70</v>
      </c>
      <c r="J14" s="274" t="s">
        <v>59</v>
      </c>
      <c r="K14" s="298">
        <v>44593</v>
      </c>
      <c r="L14" s="298">
        <v>44925</v>
      </c>
      <c r="M14" s="298">
        <v>44652</v>
      </c>
      <c r="N14" s="299">
        <f t="shared" si="0"/>
        <v>0.17771084337349397</v>
      </c>
      <c r="O14" s="299">
        <f t="shared" si="1"/>
        <v>0.17771084337349397</v>
      </c>
      <c r="P14" s="300">
        <v>1</v>
      </c>
      <c r="Q14" s="301">
        <v>0.25</v>
      </c>
      <c r="R14" s="301">
        <v>0.5</v>
      </c>
      <c r="S14" s="301">
        <v>0.75</v>
      </c>
      <c r="T14" s="301">
        <v>1</v>
      </c>
      <c r="U14" s="301"/>
      <c r="V14" s="301"/>
      <c r="W14" s="302"/>
      <c r="X14" s="303"/>
      <c r="Y14" s="304"/>
      <c r="Z14" s="305"/>
      <c r="AA14" s="305"/>
      <c r="AB14" s="304"/>
      <c r="AC14" s="305"/>
      <c r="AD14" s="305"/>
      <c r="AE14" s="304"/>
      <c r="AF14" s="305"/>
      <c r="AG14" s="305"/>
      <c r="AH14" s="306"/>
    </row>
    <row r="15" spans="1:34" ht="63" customHeight="1" outlineLevel="1" x14ac:dyDescent="0.25">
      <c r="A15" s="742"/>
      <c r="B15" s="749" t="s">
        <v>51</v>
      </c>
      <c r="C15" s="749" t="s">
        <v>71</v>
      </c>
      <c r="D15" s="787" t="s">
        <v>72</v>
      </c>
      <c r="E15" s="818" t="s">
        <v>73</v>
      </c>
      <c r="F15" s="818" t="s">
        <v>74</v>
      </c>
      <c r="G15" s="340" t="s">
        <v>75</v>
      </c>
      <c r="H15" s="784" t="s">
        <v>76</v>
      </c>
      <c r="I15" s="12" t="s">
        <v>77</v>
      </c>
      <c r="J15" s="12" t="s">
        <v>59</v>
      </c>
      <c r="K15" s="298">
        <v>44593</v>
      </c>
      <c r="L15" s="298">
        <v>44925</v>
      </c>
      <c r="M15" s="298">
        <v>44652</v>
      </c>
      <c r="N15" s="299">
        <f t="shared" si="0"/>
        <v>0.17771084337349397</v>
      </c>
      <c r="O15" s="299">
        <f t="shared" si="1"/>
        <v>0.17771084337349397</v>
      </c>
      <c r="P15" s="300">
        <v>1</v>
      </c>
      <c r="Q15" s="301">
        <v>0.25</v>
      </c>
      <c r="R15" s="301">
        <v>0.5</v>
      </c>
      <c r="S15" s="301">
        <v>0.75</v>
      </c>
      <c r="T15" s="301">
        <v>1</v>
      </c>
      <c r="U15" s="301"/>
      <c r="V15" s="301"/>
      <c r="W15" s="300"/>
      <c r="X15" s="303"/>
      <c r="Y15" s="304"/>
      <c r="Z15" s="305"/>
      <c r="AA15" s="305"/>
      <c r="AB15" s="304"/>
      <c r="AC15" s="305"/>
      <c r="AD15" s="305"/>
      <c r="AE15" s="304"/>
      <c r="AF15" s="305"/>
      <c r="AG15" s="305"/>
      <c r="AH15" s="306"/>
    </row>
    <row r="16" spans="1:34" ht="168.75" customHeight="1" outlineLevel="1" x14ac:dyDescent="0.25">
      <c r="A16" s="742"/>
      <c r="B16" s="750"/>
      <c r="C16" s="750"/>
      <c r="D16" s="788"/>
      <c r="E16" s="819"/>
      <c r="F16" s="819"/>
      <c r="G16" s="340" t="s">
        <v>78</v>
      </c>
      <c r="H16" s="785"/>
      <c r="I16" s="274" t="s">
        <v>79</v>
      </c>
      <c r="J16" s="381">
        <v>7000000</v>
      </c>
      <c r="K16" s="298">
        <v>44593</v>
      </c>
      <c r="L16" s="298">
        <v>44925</v>
      </c>
      <c r="M16" s="298">
        <v>44652</v>
      </c>
      <c r="N16" s="299">
        <f t="shared" si="0"/>
        <v>0.17771084337349397</v>
      </c>
      <c r="O16" s="299">
        <f t="shared" si="1"/>
        <v>0.17771084337349397</v>
      </c>
      <c r="P16" s="300">
        <v>1</v>
      </c>
      <c r="Q16" s="301">
        <v>0.25</v>
      </c>
      <c r="R16" s="301">
        <v>0.5</v>
      </c>
      <c r="S16" s="301">
        <v>0.75</v>
      </c>
      <c r="T16" s="301">
        <v>1</v>
      </c>
      <c r="U16" s="301"/>
      <c r="V16" s="301"/>
      <c r="W16" s="300"/>
      <c r="X16" s="303"/>
      <c r="Y16" s="304"/>
      <c r="Z16" s="305"/>
      <c r="AA16" s="305"/>
      <c r="AB16" s="304"/>
      <c r="AC16" s="305"/>
      <c r="AD16" s="305"/>
      <c r="AE16" s="304"/>
      <c r="AF16" s="305"/>
      <c r="AG16" s="305"/>
      <c r="AH16" s="306"/>
    </row>
    <row r="17" spans="1:35" ht="168.75" customHeight="1" outlineLevel="1" x14ac:dyDescent="0.25">
      <c r="A17" s="742"/>
      <c r="B17" s="750"/>
      <c r="C17" s="750"/>
      <c r="D17" s="788"/>
      <c r="E17" s="819"/>
      <c r="F17" s="819"/>
      <c r="G17" s="340" t="s">
        <v>80</v>
      </c>
      <c r="H17" s="785"/>
      <c r="I17" s="274" t="s">
        <v>81</v>
      </c>
      <c r="J17" s="381">
        <v>29000000</v>
      </c>
      <c r="K17" s="298">
        <v>44593</v>
      </c>
      <c r="L17" s="298">
        <v>44925</v>
      </c>
      <c r="M17" s="298">
        <v>44652</v>
      </c>
      <c r="N17" s="299">
        <f t="shared" si="0"/>
        <v>0.17771084337349397</v>
      </c>
      <c r="O17" s="299">
        <f t="shared" si="1"/>
        <v>0.17771084337349397</v>
      </c>
      <c r="P17" s="300">
        <v>1</v>
      </c>
      <c r="Q17" s="301">
        <v>0.25</v>
      </c>
      <c r="R17" s="301">
        <v>0.5</v>
      </c>
      <c r="S17" s="301">
        <v>0.75</v>
      </c>
      <c r="T17" s="301">
        <v>1</v>
      </c>
      <c r="U17" s="301"/>
      <c r="V17" s="301"/>
      <c r="W17" s="300"/>
      <c r="X17" s="303"/>
      <c r="Y17" s="304"/>
      <c r="Z17" s="305"/>
      <c r="AA17" s="305"/>
      <c r="AB17" s="304"/>
      <c r="AC17" s="305"/>
      <c r="AD17" s="305"/>
      <c r="AE17" s="304"/>
      <c r="AF17" s="305"/>
      <c r="AG17" s="305"/>
      <c r="AH17" s="306"/>
    </row>
    <row r="18" spans="1:35" ht="150" customHeight="1" outlineLevel="1" x14ac:dyDescent="0.25">
      <c r="A18" s="742"/>
      <c r="B18" s="750"/>
      <c r="C18" s="750"/>
      <c r="D18" s="788"/>
      <c r="E18" s="819"/>
      <c r="F18" s="819"/>
      <c r="G18" s="340" t="s">
        <v>82</v>
      </c>
      <c r="H18" s="785"/>
      <c r="I18" s="274" t="s">
        <v>83</v>
      </c>
      <c r="J18" s="381">
        <v>13000000</v>
      </c>
      <c r="K18" s="298">
        <v>44593</v>
      </c>
      <c r="L18" s="298">
        <v>44925</v>
      </c>
      <c r="M18" s="298">
        <v>44652</v>
      </c>
      <c r="N18" s="299">
        <f t="shared" si="0"/>
        <v>0.17771084337349397</v>
      </c>
      <c r="O18" s="299">
        <f t="shared" si="1"/>
        <v>0.17771084337349397</v>
      </c>
      <c r="P18" s="300">
        <v>1</v>
      </c>
      <c r="Q18" s="301">
        <v>0.25</v>
      </c>
      <c r="R18" s="301">
        <v>0.5</v>
      </c>
      <c r="S18" s="301">
        <v>0.75</v>
      </c>
      <c r="T18" s="301">
        <v>1</v>
      </c>
      <c r="U18" s="301"/>
      <c r="V18" s="301"/>
      <c r="W18" s="300"/>
      <c r="X18" s="303"/>
      <c r="Y18" s="304"/>
      <c r="Z18" s="305"/>
      <c r="AA18" s="305"/>
      <c r="AB18" s="304"/>
      <c r="AC18" s="305"/>
      <c r="AD18" s="305"/>
      <c r="AE18" s="304"/>
      <c r="AF18" s="305"/>
      <c r="AG18" s="305"/>
      <c r="AH18" s="306"/>
    </row>
    <row r="19" spans="1:35" ht="56.25" customHeight="1" outlineLevel="1" x14ac:dyDescent="0.25">
      <c r="A19" s="742"/>
      <c r="B19" s="750"/>
      <c r="C19" s="750"/>
      <c r="D19" s="788"/>
      <c r="E19" s="819"/>
      <c r="F19" s="819"/>
      <c r="G19" s="340" t="s">
        <v>84</v>
      </c>
      <c r="H19" s="785"/>
      <c r="I19" s="274" t="s">
        <v>85</v>
      </c>
      <c r="J19" s="381">
        <v>5000000</v>
      </c>
      <c r="K19" s="298">
        <v>44593</v>
      </c>
      <c r="L19" s="298">
        <v>44925</v>
      </c>
      <c r="M19" s="298">
        <v>44652</v>
      </c>
      <c r="N19" s="299">
        <f t="shared" si="0"/>
        <v>0.17771084337349397</v>
      </c>
      <c r="O19" s="299">
        <f t="shared" si="1"/>
        <v>0.17771084337349397</v>
      </c>
      <c r="P19" s="300">
        <v>1</v>
      </c>
      <c r="Q19" s="301">
        <v>0.25</v>
      </c>
      <c r="R19" s="301">
        <v>0.5</v>
      </c>
      <c r="S19" s="301">
        <v>0.75</v>
      </c>
      <c r="T19" s="301">
        <v>1</v>
      </c>
      <c r="U19" s="301"/>
      <c r="V19" s="301"/>
      <c r="W19" s="300"/>
      <c r="X19" s="303"/>
      <c r="Y19" s="304"/>
      <c r="Z19" s="305"/>
      <c r="AA19" s="305"/>
      <c r="AB19" s="304"/>
      <c r="AC19" s="305"/>
      <c r="AD19" s="305"/>
      <c r="AE19" s="304"/>
      <c r="AF19" s="305"/>
      <c r="AG19" s="305"/>
      <c r="AH19" s="306"/>
    </row>
    <row r="20" spans="1:35" ht="56.25" customHeight="1" outlineLevel="1" x14ac:dyDescent="0.25">
      <c r="A20" s="742"/>
      <c r="B20" s="750"/>
      <c r="C20" s="750"/>
      <c r="D20" s="788"/>
      <c r="E20" s="819"/>
      <c r="F20" s="819"/>
      <c r="G20" s="340" t="s">
        <v>86</v>
      </c>
      <c r="H20" s="785"/>
      <c r="I20" s="274" t="s">
        <v>87</v>
      </c>
      <c r="J20" s="381">
        <v>88000000</v>
      </c>
      <c r="K20" s="298">
        <v>44593</v>
      </c>
      <c r="L20" s="298">
        <v>44925</v>
      </c>
      <c r="M20" s="298">
        <v>44652</v>
      </c>
      <c r="N20" s="299">
        <f t="shared" si="0"/>
        <v>0.17771084337349397</v>
      </c>
      <c r="O20" s="299">
        <f t="shared" si="1"/>
        <v>0.17771084337349397</v>
      </c>
      <c r="P20" s="300">
        <v>1</v>
      </c>
      <c r="Q20" s="301">
        <v>0.25</v>
      </c>
      <c r="R20" s="301">
        <v>0.5</v>
      </c>
      <c r="S20" s="301">
        <v>0.75</v>
      </c>
      <c r="T20" s="301">
        <v>1</v>
      </c>
      <c r="U20" s="301"/>
      <c r="V20" s="301"/>
      <c r="W20" s="300"/>
      <c r="X20" s="303"/>
      <c r="Y20" s="304"/>
      <c r="Z20" s="305"/>
      <c r="AA20" s="305"/>
      <c r="AB20" s="304"/>
      <c r="AC20" s="305"/>
      <c r="AD20" s="305"/>
      <c r="AE20" s="304"/>
      <c r="AF20" s="305"/>
      <c r="AG20" s="305"/>
      <c r="AH20" s="306"/>
    </row>
    <row r="21" spans="1:35" ht="75" customHeight="1" outlineLevel="1" x14ac:dyDescent="0.25">
      <c r="A21" s="742"/>
      <c r="B21" s="750"/>
      <c r="C21" s="750"/>
      <c r="D21" s="788"/>
      <c r="E21" s="819"/>
      <c r="F21" s="819"/>
      <c r="G21" s="340" t="s">
        <v>88</v>
      </c>
      <c r="H21" s="785"/>
      <c r="I21" s="274" t="s">
        <v>89</v>
      </c>
      <c r="J21" s="381">
        <v>23000000</v>
      </c>
      <c r="K21" s="298">
        <v>44593</v>
      </c>
      <c r="L21" s="298">
        <v>44925</v>
      </c>
      <c r="M21" s="298">
        <v>44652</v>
      </c>
      <c r="N21" s="299">
        <f t="shared" si="0"/>
        <v>0.17771084337349397</v>
      </c>
      <c r="O21" s="299">
        <f t="shared" si="1"/>
        <v>0.17771084337349397</v>
      </c>
      <c r="P21" s="300">
        <v>1</v>
      </c>
      <c r="Q21" s="301">
        <v>0.25</v>
      </c>
      <c r="R21" s="301">
        <v>0.5</v>
      </c>
      <c r="S21" s="301">
        <v>0.75</v>
      </c>
      <c r="T21" s="301">
        <v>1</v>
      </c>
      <c r="U21" s="301"/>
      <c r="V21" s="301"/>
      <c r="W21" s="300"/>
      <c r="X21" s="303"/>
      <c r="Y21" s="304"/>
      <c r="Z21" s="305"/>
      <c r="AA21" s="305"/>
      <c r="AB21" s="304"/>
      <c r="AC21" s="305"/>
      <c r="AD21" s="305"/>
      <c r="AE21" s="304"/>
      <c r="AF21" s="305"/>
      <c r="AG21" s="305"/>
      <c r="AH21" s="306"/>
    </row>
    <row r="22" spans="1:35" ht="93.75" customHeight="1" outlineLevel="1" x14ac:dyDescent="0.25">
      <c r="A22" s="742"/>
      <c r="B22" s="750"/>
      <c r="C22" s="751"/>
      <c r="D22" s="788"/>
      <c r="E22" s="820"/>
      <c r="F22" s="820"/>
      <c r="G22" s="340" t="s">
        <v>90</v>
      </c>
      <c r="H22" s="860"/>
      <c r="I22" s="12" t="s">
        <v>91</v>
      </c>
      <c r="J22" s="12" t="s">
        <v>59</v>
      </c>
      <c r="K22" s="298">
        <v>44593</v>
      </c>
      <c r="L22" s="298">
        <v>44925</v>
      </c>
      <c r="M22" s="298">
        <v>44652</v>
      </c>
      <c r="N22" s="299">
        <f t="shared" si="0"/>
        <v>0.17771084337349397</v>
      </c>
      <c r="O22" s="299">
        <f t="shared" si="1"/>
        <v>0.17771084337349397</v>
      </c>
      <c r="P22" s="300">
        <v>1</v>
      </c>
      <c r="Q22" s="301">
        <v>0.25</v>
      </c>
      <c r="R22" s="301">
        <v>0.5</v>
      </c>
      <c r="S22" s="301">
        <v>0.75</v>
      </c>
      <c r="T22" s="301">
        <v>1</v>
      </c>
      <c r="U22" s="301"/>
      <c r="V22" s="301"/>
      <c r="W22" s="300"/>
      <c r="X22" s="303"/>
      <c r="Y22" s="304"/>
      <c r="Z22" s="305"/>
      <c r="AA22" s="305"/>
      <c r="AB22" s="304"/>
      <c r="AC22" s="305"/>
      <c r="AD22" s="305"/>
      <c r="AE22" s="304"/>
      <c r="AF22" s="305"/>
      <c r="AG22" s="305"/>
      <c r="AH22" s="306"/>
    </row>
    <row r="23" spans="1:35" ht="225" customHeight="1" outlineLevel="1" x14ac:dyDescent="0.25">
      <c r="A23" s="742"/>
      <c r="B23" s="750"/>
      <c r="C23" s="749" t="s">
        <v>92</v>
      </c>
      <c r="D23" s="788"/>
      <c r="E23" s="818" t="s">
        <v>93</v>
      </c>
      <c r="F23" s="818" t="s">
        <v>94</v>
      </c>
      <c r="G23" s="340" t="s">
        <v>95</v>
      </c>
      <c r="H23" s="784" t="s">
        <v>96</v>
      </c>
      <c r="I23" s="274" t="s">
        <v>97</v>
      </c>
      <c r="J23" s="381">
        <v>4200000</v>
      </c>
      <c r="K23" s="298">
        <v>44593</v>
      </c>
      <c r="L23" s="298">
        <v>44925</v>
      </c>
      <c r="M23" s="298">
        <v>44652</v>
      </c>
      <c r="N23" s="299">
        <f t="shared" si="0"/>
        <v>0.17771084337349397</v>
      </c>
      <c r="O23" s="299">
        <f t="shared" si="1"/>
        <v>0.17771084337349397</v>
      </c>
      <c r="P23" s="300">
        <v>1</v>
      </c>
      <c r="Q23" s="301">
        <v>0.25</v>
      </c>
      <c r="R23" s="301">
        <v>0.5</v>
      </c>
      <c r="S23" s="301">
        <v>0.75</v>
      </c>
      <c r="T23" s="301">
        <v>1</v>
      </c>
      <c r="U23" s="301"/>
      <c r="V23" s="301"/>
      <c r="W23" s="300"/>
      <c r="X23" s="303"/>
      <c r="Y23" s="304"/>
      <c r="Z23" s="305"/>
      <c r="AA23" s="305"/>
      <c r="AB23" s="304"/>
      <c r="AC23" s="305"/>
      <c r="AD23" s="305"/>
      <c r="AE23" s="304"/>
      <c r="AF23" s="305"/>
      <c r="AG23" s="305"/>
      <c r="AH23" s="306"/>
    </row>
    <row r="24" spans="1:35" ht="112.5" customHeight="1" outlineLevel="1" x14ac:dyDescent="0.25">
      <c r="A24" s="742"/>
      <c r="B24" s="750"/>
      <c r="C24" s="750"/>
      <c r="D24" s="788"/>
      <c r="E24" s="819"/>
      <c r="F24" s="819"/>
      <c r="G24" s="340" t="s">
        <v>98</v>
      </c>
      <c r="H24" s="785"/>
      <c r="I24" s="274" t="s">
        <v>99</v>
      </c>
      <c r="J24" s="381">
        <v>14000000</v>
      </c>
      <c r="K24" s="298">
        <v>44593</v>
      </c>
      <c r="L24" s="298">
        <v>44925</v>
      </c>
      <c r="M24" s="298">
        <v>44652</v>
      </c>
      <c r="N24" s="299">
        <f t="shared" si="0"/>
        <v>0.17771084337349397</v>
      </c>
      <c r="O24" s="299">
        <f t="shared" si="1"/>
        <v>0.17771084337349397</v>
      </c>
      <c r="P24" s="300">
        <v>1</v>
      </c>
      <c r="Q24" s="301">
        <v>0.25</v>
      </c>
      <c r="R24" s="301">
        <v>0.5</v>
      </c>
      <c r="S24" s="301">
        <v>0.75</v>
      </c>
      <c r="T24" s="301">
        <v>1</v>
      </c>
      <c r="U24" s="301"/>
      <c r="V24" s="301"/>
      <c r="W24" s="300"/>
      <c r="X24" s="303"/>
      <c r="Y24" s="304"/>
      <c r="Z24" s="305"/>
      <c r="AA24" s="305"/>
      <c r="AB24" s="304"/>
      <c r="AC24" s="305"/>
      <c r="AD24" s="305"/>
      <c r="AE24" s="304"/>
      <c r="AF24" s="305"/>
      <c r="AG24" s="305"/>
      <c r="AH24" s="306"/>
    </row>
    <row r="25" spans="1:35" ht="168.75" customHeight="1" outlineLevel="1" x14ac:dyDescent="0.25">
      <c r="A25" s="742"/>
      <c r="B25" s="751"/>
      <c r="C25" s="751"/>
      <c r="D25" s="789"/>
      <c r="E25" s="820"/>
      <c r="F25" s="820"/>
      <c r="G25" s="340" t="s">
        <v>80</v>
      </c>
      <c r="H25" s="860"/>
      <c r="I25" s="274" t="s">
        <v>100</v>
      </c>
      <c r="J25" s="381">
        <v>4200000</v>
      </c>
      <c r="K25" s="298">
        <v>44593</v>
      </c>
      <c r="L25" s="298">
        <v>44925</v>
      </c>
      <c r="M25" s="298">
        <v>44652</v>
      </c>
      <c r="N25" s="299">
        <f t="shared" si="0"/>
        <v>0.17771084337349397</v>
      </c>
      <c r="O25" s="299">
        <f t="shared" si="1"/>
        <v>0.17771084337349397</v>
      </c>
      <c r="P25" s="300">
        <v>1</v>
      </c>
      <c r="Q25" s="301">
        <v>0.25</v>
      </c>
      <c r="R25" s="301">
        <v>0.5</v>
      </c>
      <c r="S25" s="301">
        <v>0.75</v>
      </c>
      <c r="T25" s="301">
        <v>1</v>
      </c>
      <c r="U25" s="301"/>
      <c r="V25" s="301"/>
      <c r="W25" s="300"/>
      <c r="X25" s="303"/>
      <c r="Y25" s="304"/>
      <c r="Z25" s="305"/>
      <c r="AA25" s="305"/>
      <c r="AB25" s="304"/>
      <c r="AC25" s="305"/>
      <c r="AD25" s="305"/>
      <c r="AE25" s="304"/>
      <c r="AF25" s="305"/>
      <c r="AG25" s="305"/>
      <c r="AH25" s="306"/>
    </row>
    <row r="26" spans="1:35" ht="63" customHeight="1" outlineLevel="1" x14ac:dyDescent="0.25">
      <c r="A26" s="742"/>
      <c r="B26" s="749" t="s">
        <v>51</v>
      </c>
      <c r="C26" s="749" t="s">
        <v>101</v>
      </c>
      <c r="D26" s="755" t="s">
        <v>3</v>
      </c>
      <c r="E26" s="755" t="s">
        <v>102</v>
      </c>
      <c r="F26" s="755" t="s">
        <v>103</v>
      </c>
      <c r="G26" s="830" t="s">
        <v>104</v>
      </c>
      <c r="H26" s="827" t="s">
        <v>105</v>
      </c>
      <c r="I26" s="274" t="s">
        <v>106</v>
      </c>
      <c r="J26" s="381">
        <v>24000000</v>
      </c>
      <c r="K26" s="298">
        <v>44593</v>
      </c>
      <c r="L26" s="298">
        <v>44925</v>
      </c>
      <c r="M26" s="298">
        <v>44652</v>
      </c>
      <c r="N26" s="299">
        <f t="shared" si="0"/>
        <v>0.17771084337349397</v>
      </c>
      <c r="O26" s="299">
        <f t="shared" si="1"/>
        <v>0.17771084337349397</v>
      </c>
      <c r="P26" s="300">
        <v>0.6</v>
      </c>
      <c r="Q26" s="301">
        <v>0.45</v>
      </c>
      <c r="R26" s="301">
        <v>0.5</v>
      </c>
      <c r="S26" s="301">
        <v>0.55000000000000004</v>
      </c>
      <c r="T26" s="301">
        <v>0.6</v>
      </c>
      <c r="U26" s="301"/>
      <c r="V26" s="301"/>
      <c r="W26" s="300"/>
      <c r="X26" s="303"/>
      <c r="Y26" s="304"/>
      <c r="Z26" s="305"/>
      <c r="AA26" s="305"/>
      <c r="AB26" s="304"/>
      <c r="AC26" s="305"/>
      <c r="AD26" s="305"/>
      <c r="AE26" s="304"/>
      <c r="AF26" s="305"/>
      <c r="AG26" s="305"/>
      <c r="AH26" s="306"/>
    </row>
    <row r="27" spans="1:35" ht="131.25" customHeight="1" outlineLevel="1" x14ac:dyDescent="0.25">
      <c r="A27" s="742"/>
      <c r="B27" s="751"/>
      <c r="C27" s="751"/>
      <c r="D27" s="757"/>
      <c r="E27" s="757"/>
      <c r="F27" s="757"/>
      <c r="G27" s="832"/>
      <c r="H27" s="829"/>
      <c r="I27" s="274" t="s">
        <v>107</v>
      </c>
      <c r="J27" s="274" t="s">
        <v>59</v>
      </c>
      <c r="K27" s="298">
        <v>44593</v>
      </c>
      <c r="L27" s="298">
        <v>44925</v>
      </c>
      <c r="M27" s="298">
        <v>44652</v>
      </c>
      <c r="N27" s="299">
        <f t="shared" si="0"/>
        <v>0.17771084337349397</v>
      </c>
      <c r="O27" s="299">
        <f t="shared" si="1"/>
        <v>0.17771084337349397</v>
      </c>
      <c r="P27" s="300">
        <v>1</v>
      </c>
      <c r="Q27" s="301">
        <v>0.25</v>
      </c>
      <c r="R27" s="301">
        <v>0.5</v>
      </c>
      <c r="S27" s="301">
        <v>0.75</v>
      </c>
      <c r="T27" s="301">
        <v>1</v>
      </c>
      <c r="U27" s="301"/>
      <c r="V27" s="301"/>
      <c r="W27" s="300"/>
      <c r="X27" s="303"/>
      <c r="Y27" s="304"/>
      <c r="Z27" s="305"/>
      <c r="AA27" s="305"/>
      <c r="AB27" s="304"/>
      <c r="AC27" s="305"/>
      <c r="AD27" s="305"/>
      <c r="AE27" s="304"/>
      <c r="AF27" s="305"/>
      <c r="AG27" s="305"/>
      <c r="AH27" s="306"/>
    </row>
    <row r="28" spans="1:35" ht="93.75" customHeight="1" outlineLevel="1" x14ac:dyDescent="0.25">
      <c r="A28" s="742"/>
      <c r="B28" s="749" t="s">
        <v>51</v>
      </c>
      <c r="C28" s="749" t="s">
        <v>52</v>
      </c>
      <c r="D28" s="869" t="s">
        <v>108</v>
      </c>
      <c r="E28" s="868" t="s">
        <v>54</v>
      </c>
      <c r="F28" s="868" t="s">
        <v>55</v>
      </c>
      <c r="G28" s="354" t="s">
        <v>109</v>
      </c>
      <c r="H28" s="884" t="s">
        <v>57</v>
      </c>
      <c r="I28" s="274" t="s">
        <v>110</v>
      </c>
      <c r="J28" s="274" t="s">
        <v>111</v>
      </c>
      <c r="K28" s="298">
        <v>44593</v>
      </c>
      <c r="L28" s="298">
        <v>44925</v>
      </c>
      <c r="M28" s="298">
        <v>44652</v>
      </c>
      <c r="N28" s="299">
        <f t="shared" si="0"/>
        <v>0.17771084337349397</v>
      </c>
      <c r="O28" s="299">
        <f t="shared" si="1"/>
        <v>0.17771084337349397</v>
      </c>
      <c r="P28" s="300">
        <v>1</v>
      </c>
      <c r="Q28" s="301">
        <v>0.25</v>
      </c>
      <c r="R28" s="301">
        <v>0.5</v>
      </c>
      <c r="S28" s="301">
        <v>0.75</v>
      </c>
      <c r="T28" s="301">
        <v>1</v>
      </c>
      <c r="U28" s="301"/>
      <c r="V28" s="301"/>
      <c r="W28" s="300"/>
      <c r="X28" s="303"/>
      <c r="Y28" s="304"/>
      <c r="Z28" s="305"/>
      <c r="AA28" s="305"/>
      <c r="AB28" s="304"/>
      <c r="AC28" s="305"/>
      <c r="AD28" s="305"/>
      <c r="AE28" s="304"/>
      <c r="AF28" s="305"/>
      <c r="AG28" s="305"/>
      <c r="AH28" s="306"/>
    </row>
    <row r="29" spans="1:35" ht="75" customHeight="1" outlineLevel="1" x14ac:dyDescent="0.25">
      <c r="A29" s="742"/>
      <c r="B29" s="750"/>
      <c r="C29" s="750"/>
      <c r="D29" s="870"/>
      <c r="E29" s="868"/>
      <c r="F29" s="868"/>
      <c r="G29" s="354" t="s">
        <v>112</v>
      </c>
      <c r="H29" s="884"/>
      <c r="I29" s="274" t="s">
        <v>113</v>
      </c>
      <c r="J29" s="274" t="s">
        <v>111</v>
      </c>
      <c r="K29" s="298">
        <v>44593</v>
      </c>
      <c r="L29" s="298">
        <v>44925</v>
      </c>
      <c r="M29" s="298">
        <v>44652</v>
      </c>
      <c r="N29" s="299">
        <f t="shared" si="0"/>
        <v>0.17771084337349397</v>
      </c>
      <c r="O29" s="299">
        <f t="shared" si="1"/>
        <v>0.17771084337349397</v>
      </c>
      <c r="P29" s="300">
        <v>1</v>
      </c>
      <c r="Q29" s="301">
        <v>0.25</v>
      </c>
      <c r="R29" s="301">
        <v>0.5</v>
      </c>
      <c r="S29" s="301">
        <v>0.75</v>
      </c>
      <c r="T29" s="301">
        <v>1</v>
      </c>
      <c r="U29" s="301"/>
      <c r="V29" s="301"/>
      <c r="W29" s="300"/>
      <c r="X29" s="303"/>
      <c r="Y29" s="304"/>
      <c r="Z29" s="305"/>
      <c r="AA29" s="305"/>
      <c r="AB29" s="304"/>
      <c r="AC29" s="305"/>
      <c r="AD29" s="305"/>
      <c r="AE29" s="304"/>
      <c r="AF29" s="305"/>
      <c r="AG29" s="305"/>
      <c r="AH29" s="306"/>
    </row>
    <row r="30" spans="1:35" ht="75" customHeight="1" outlineLevel="1" x14ac:dyDescent="0.25">
      <c r="A30" s="742"/>
      <c r="B30" s="750"/>
      <c r="C30" s="750"/>
      <c r="D30" s="870"/>
      <c r="E30" s="868"/>
      <c r="F30" s="868"/>
      <c r="G30" s="354" t="s">
        <v>114</v>
      </c>
      <c r="H30" s="884"/>
      <c r="I30" s="274" t="s">
        <v>115</v>
      </c>
      <c r="J30" s="274" t="s">
        <v>111</v>
      </c>
      <c r="K30" s="298">
        <v>44593</v>
      </c>
      <c r="L30" s="298">
        <v>44925</v>
      </c>
      <c r="M30" s="298">
        <v>44652</v>
      </c>
      <c r="N30" s="299">
        <f t="shared" si="0"/>
        <v>0.17771084337349397</v>
      </c>
      <c r="O30" s="299">
        <f t="shared" si="1"/>
        <v>0.17771084337349397</v>
      </c>
      <c r="P30" s="300">
        <v>1</v>
      </c>
      <c r="Q30" s="301">
        <v>0.25</v>
      </c>
      <c r="R30" s="301">
        <v>0.5</v>
      </c>
      <c r="S30" s="301">
        <v>0.75</v>
      </c>
      <c r="T30" s="301">
        <v>1</v>
      </c>
      <c r="U30" s="301"/>
      <c r="V30" s="301"/>
      <c r="W30" s="300"/>
      <c r="X30" s="303"/>
      <c r="Y30" s="304"/>
      <c r="Z30" s="305"/>
      <c r="AA30" s="305"/>
      <c r="AB30" s="304"/>
      <c r="AC30" s="305"/>
      <c r="AD30" s="305"/>
      <c r="AE30" s="304"/>
      <c r="AF30" s="305"/>
      <c r="AG30" s="305"/>
      <c r="AH30" s="306"/>
    </row>
    <row r="31" spans="1:35" ht="56.25" customHeight="1" outlineLevel="1" x14ac:dyDescent="0.25">
      <c r="A31" s="742"/>
      <c r="B31" s="750"/>
      <c r="C31" s="750"/>
      <c r="D31" s="870"/>
      <c r="E31" s="868"/>
      <c r="F31" s="868"/>
      <c r="G31" s="354" t="s">
        <v>116</v>
      </c>
      <c r="H31" s="884"/>
      <c r="I31" s="274" t="s">
        <v>117</v>
      </c>
      <c r="J31" s="274" t="s">
        <v>111</v>
      </c>
      <c r="K31" s="298">
        <v>44593</v>
      </c>
      <c r="L31" s="298">
        <v>44925</v>
      </c>
      <c r="M31" s="298">
        <v>44652</v>
      </c>
      <c r="N31" s="299">
        <f t="shared" si="0"/>
        <v>0.17771084337349397</v>
      </c>
      <c r="O31" s="299">
        <f t="shared" si="1"/>
        <v>0.17771084337349397</v>
      </c>
      <c r="P31" s="300">
        <v>1</v>
      </c>
      <c r="Q31" s="301">
        <v>0.25</v>
      </c>
      <c r="R31" s="301">
        <v>0.5</v>
      </c>
      <c r="S31" s="301">
        <v>0.75</v>
      </c>
      <c r="T31" s="301">
        <v>1</v>
      </c>
      <c r="U31" s="301"/>
      <c r="V31" s="301"/>
      <c r="W31" s="300"/>
      <c r="X31" s="303"/>
      <c r="Y31" s="304"/>
      <c r="Z31" s="305"/>
      <c r="AA31" s="305"/>
      <c r="AB31" s="304"/>
      <c r="AC31" s="305"/>
      <c r="AD31" s="305"/>
      <c r="AE31" s="304"/>
      <c r="AF31" s="305"/>
      <c r="AG31" s="305"/>
      <c r="AH31" s="306"/>
    </row>
    <row r="32" spans="1:35" ht="56.25" customHeight="1" outlineLevel="1" x14ac:dyDescent="0.25">
      <c r="A32" s="742"/>
      <c r="B32" s="751"/>
      <c r="C32" s="751"/>
      <c r="D32" s="871"/>
      <c r="E32" s="868"/>
      <c r="F32" s="868"/>
      <c r="G32" s="264" t="s">
        <v>118</v>
      </c>
      <c r="H32" s="884"/>
      <c r="I32" s="274" t="s">
        <v>119</v>
      </c>
      <c r="J32" s="274" t="s">
        <v>111</v>
      </c>
      <c r="K32" s="298">
        <v>44593</v>
      </c>
      <c r="L32" s="298">
        <v>44925</v>
      </c>
      <c r="M32" s="298">
        <v>44652</v>
      </c>
      <c r="N32" s="299">
        <f t="shared" si="0"/>
        <v>0.17771084337349397</v>
      </c>
      <c r="O32" s="299">
        <f t="shared" si="1"/>
        <v>0.17771084337349397</v>
      </c>
      <c r="P32" s="300">
        <v>1</v>
      </c>
      <c r="Q32" s="301">
        <v>0.25</v>
      </c>
      <c r="R32" s="301">
        <v>0.5</v>
      </c>
      <c r="S32" s="301">
        <v>0.75</v>
      </c>
      <c r="T32" s="301">
        <v>1</v>
      </c>
      <c r="U32" s="301"/>
      <c r="V32" s="301"/>
      <c r="W32" s="300"/>
      <c r="X32" s="303"/>
      <c r="Y32" s="304"/>
      <c r="Z32" s="305"/>
      <c r="AA32" s="305"/>
      <c r="AB32" s="304"/>
      <c r="AC32" s="305"/>
      <c r="AD32" s="305"/>
      <c r="AE32" s="304"/>
      <c r="AF32" s="305"/>
      <c r="AG32" s="305"/>
      <c r="AH32" s="307"/>
      <c r="AI32" s="280"/>
    </row>
    <row r="33" spans="1:34" ht="90.75" customHeight="1" outlineLevel="1" x14ac:dyDescent="0.25">
      <c r="A33" s="742"/>
      <c r="B33" s="750" t="s">
        <v>51</v>
      </c>
      <c r="C33" s="750" t="s">
        <v>52</v>
      </c>
      <c r="D33" s="761" t="s">
        <v>120</v>
      </c>
      <c r="E33" s="767" t="s">
        <v>54</v>
      </c>
      <c r="F33" s="767" t="s">
        <v>55</v>
      </c>
      <c r="G33" s="285" t="s">
        <v>121</v>
      </c>
      <c r="H33" s="875" t="s">
        <v>55</v>
      </c>
      <c r="I33" s="274" t="s">
        <v>122</v>
      </c>
      <c r="J33" s="381">
        <v>32600000</v>
      </c>
      <c r="K33" s="298">
        <v>44593</v>
      </c>
      <c r="L33" s="298">
        <v>44925</v>
      </c>
      <c r="M33" s="298">
        <v>44652</v>
      </c>
      <c r="N33" s="299">
        <f t="shared" si="0"/>
        <v>0.17771084337349397</v>
      </c>
      <c r="O33" s="299">
        <f t="shared" si="1"/>
        <v>0.17771084337349397</v>
      </c>
      <c r="P33" s="300">
        <v>1</v>
      </c>
      <c r="Q33" s="301">
        <v>0.25</v>
      </c>
      <c r="R33" s="301">
        <v>0.5</v>
      </c>
      <c r="S33" s="301">
        <v>0.75</v>
      </c>
      <c r="T33" s="301">
        <v>1</v>
      </c>
      <c r="U33" s="301"/>
      <c r="V33" s="301"/>
      <c r="W33" s="300"/>
      <c r="X33" s="303"/>
      <c r="Y33" s="304"/>
      <c r="Z33" s="305"/>
      <c r="AA33" s="305"/>
      <c r="AB33" s="304"/>
      <c r="AC33" s="305"/>
      <c r="AD33" s="305"/>
      <c r="AE33" s="304"/>
      <c r="AF33" s="305"/>
      <c r="AG33" s="305"/>
      <c r="AH33" s="306"/>
    </row>
    <row r="34" spans="1:34" ht="56.25" customHeight="1" outlineLevel="1" x14ac:dyDescent="0.25">
      <c r="A34" s="742"/>
      <c r="B34" s="750"/>
      <c r="C34" s="750"/>
      <c r="D34" s="762"/>
      <c r="E34" s="854"/>
      <c r="F34" s="854"/>
      <c r="G34" s="285" t="s">
        <v>123</v>
      </c>
      <c r="H34" s="876"/>
      <c r="I34" s="274" t="s">
        <v>122</v>
      </c>
      <c r="J34" s="381" t="s">
        <v>59</v>
      </c>
      <c r="K34" s="298">
        <v>44593</v>
      </c>
      <c r="L34" s="298">
        <v>44925</v>
      </c>
      <c r="M34" s="298">
        <v>44652</v>
      </c>
      <c r="N34" s="299">
        <f t="shared" si="0"/>
        <v>0.17771084337349397</v>
      </c>
      <c r="O34" s="299">
        <f t="shared" si="1"/>
        <v>0.17771084337349397</v>
      </c>
      <c r="P34" s="300">
        <v>1</v>
      </c>
      <c r="Q34" s="301">
        <v>0.25</v>
      </c>
      <c r="R34" s="301">
        <v>0.5</v>
      </c>
      <c r="S34" s="301">
        <v>0.75</v>
      </c>
      <c r="T34" s="301">
        <v>1</v>
      </c>
      <c r="U34" s="301"/>
      <c r="V34" s="301"/>
      <c r="W34" s="300"/>
      <c r="X34" s="303"/>
      <c r="Y34" s="304"/>
      <c r="Z34" s="305"/>
      <c r="AA34" s="305"/>
      <c r="AB34" s="304"/>
      <c r="AC34" s="305"/>
      <c r="AD34" s="305"/>
      <c r="AE34" s="304"/>
      <c r="AF34" s="305"/>
      <c r="AG34" s="305"/>
      <c r="AH34" s="306"/>
    </row>
    <row r="35" spans="1:34" ht="75" customHeight="1" outlineLevel="1" x14ac:dyDescent="0.25">
      <c r="A35" s="742"/>
      <c r="B35" s="750"/>
      <c r="C35" s="750"/>
      <c r="D35" s="762"/>
      <c r="E35" s="854"/>
      <c r="F35" s="854"/>
      <c r="G35" s="285" t="s">
        <v>124</v>
      </c>
      <c r="H35" s="876"/>
      <c r="I35" s="274" t="s">
        <v>125</v>
      </c>
      <c r="J35" s="274" t="s">
        <v>59</v>
      </c>
      <c r="K35" s="298">
        <v>44593</v>
      </c>
      <c r="L35" s="298">
        <v>44925</v>
      </c>
      <c r="M35" s="298">
        <v>44652</v>
      </c>
      <c r="N35" s="299">
        <f t="shared" si="0"/>
        <v>0.17771084337349397</v>
      </c>
      <c r="O35" s="299">
        <f t="shared" si="1"/>
        <v>0.17771084337349397</v>
      </c>
      <c r="P35" s="300">
        <v>1</v>
      </c>
      <c r="Q35" s="301">
        <v>0.25</v>
      </c>
      <c r="R35" s="301">
        <v>0.5</v>
      </c>
      <c r="S35" s="301">
        <v>0.75</v>
      </c>
      <c r="T35" s="301">
        <v>1</v>
      </c>
      <c r="U35" s="301"/>
      <c r="V35" s="301"/>
      <c r="W35" s="300"/>
      <c r="X35" s="303"/>
      <c r="Y35" s="304"/>
      <c r="Z35" s="305"/>
      <c r="AA35" s="305"/>
      <c r="AB35" s="304"/>
      <c r="AC35" s="305"/>
      <c r="AD35" s="305"/>
      <c r="AE35" s="304"/>
      <c r="AF35" s="305"/>
      <c r="AG35" s="305"/>
      <c r="AH35" s="306"/>
    </row>
    <row r="36" spans="1:34" ht="56.25" customHeight="1" outlineLevel="1" x14ac:dyDescent="0.25">
      <c r="A36" s="742"/>
      <c r="B36" s="750"/>
      <c r="C36" s="750"/>
      <c r="D36" s="762"/>
      <c r="E36" s="854"/>
      <c r="F36" s="854"/>
      <c r="G36" s="285" t="s">
        <v>126</v>
      </c>
      <c r="H36" s="876"/>
      <c r="I36" s="274" t="s">
        <v>127</v>
      </c>
      <c r="J36" s="381">
        <v>41800000</v>
      </c>
      <c r="K36" s="298">
        <v>44593</v>
      </c>
      <c r="L36" s="298">
        <v>44925</v>
      </c>
      <c r="M36" s="298">
        <v>44652</v>
      </c>
      <c r="N36" s="299">
        <f t="shared" si="0"/>
        <v>0.17771084337349397</v>
      </c>
      <c r="O36" s="299">
        <f t="shared" si="1"/>
        <v>0.17771084337349397</v>
      </c>
      <c r="P36" s="300">
        <v>1</v>
      </c>
      <c r="Q36" s="301">
        <v>0.25</v>
      </c>
      <c r="R36" s="301">
        <v>0.5</v>
      </c>
      <c r="S36" s="301">
        <v>0.75</v>
      </c>
      <c r="T36" s="301">
        <v>1</v>
      </c>
      <c r="U36" s="301"/>
      <c r="V36" s="301"/>
      <c r="W36" s="300"/>
      <c r="X36" s="303"/>
      <c r="Y36" s="304"/>
      <c r="Z36" s="305"/>
      <c r="AA36" s="305"/>
      <c r="AB36" s="304"/>
      <c r="AC36" s="305"/>
      <c r="AD36" s="305"/>
      <c r="AE36" s="304"/>
      <c r="AF36" s="305"/>
      <c r="AG36" s="305"/>
      <c r="AH36" s="306"/>
    </row>
    <row r="37" spans="1:34" ht="46.5" customHeight="1" outlineLevel="1" x14ac:dyDescent="0.25">
      <c r="A37" s="742"/>
      <c r="B37" s="750"/>
      <c r="C37" s="750"/>
      <c r="D37" s="762"/>
      <c r="E37" s="854"/>
      <c r="F37" s="854"/>
      <c r="G37" s="285" t="s">
        <v>128</v>
      </c>
      <c r="H37" s="876"/>
      <c r="I37" s="274" t="s">
        <v>129</v>
      </c>
      <c r="J37" s="274" t="s">
        <v>59</v>
      </c>
      <c r="K37" s="298">
        <v>44593</v>
      </c>
      <c r="L37" s="298">
        <v>44925</v>
      </c>
      <c r="M37" s="298">
        <v>44652</v>
      </c>
      <c r="N37" s="299">
        <f t="shared" si="0"/>
        <v>0.17771084337349397</v>
      </c>
      <c r="O37" s="299">
        <f t="shared" si="1"/>
        <v>0.17771084337349397</v>
      </c>
      <c r="P37" s="300">
        <v>1</v>
      </c>
      <c r="Q37" s="301">
        <v>0.25</v>
      </c>
      <c r="R37" s="301">
        <v>0.5</v>
      </c>
      <c r="S37" s="301">
        <v>0.75</v>
      </c>
      <c r="T37" s="301">
        <v>1</v>
      </c>
      <c r="U37" s="301"/>
      <c r="V37" s="301"/>
      <c r="W37" s="300"/>
      <c r="X37" s="303"/>
      <c r="Y37" s="304"/>
      <c r="Z37" s="305"/>
      <c r="AA37" s="305"/>
      <c r="AB37" s="304"/>
      <c r="AC37" s="305"/>
      <c r="AD37" s="305"/>
      <c r="AE37" s="304"/>
      <c r="AF37" s="305"/>
      <c r="AG37" s="305"/>
      <c r="AH37" s="306"/>
    </row>
    <row r="38" spans="1:34" ht="56.25" customHeight="1" outlineLevel="1" x14ac:dyDescent="0.25">
      <c r="A38" s="742"/>
      <c r="B38" s="750"/>
      <c r="C38" s="750"/>
      <c r="D38" s="762"/>
      <c r="E38" s="854"/>
      <c r="F38" s="768"/>
      <c r="G38" s="285" t="s">
        <v>130</v>
      </c>
      <c r="H38" s="877"/>
      <c r="I38" s="274" t="s">
        <v>131</v>
      </c>
      <c r="J38" s="274" t="s">
        <v>59</v>
      </c>
      <c r="K38" s="298">
        <v>44593</v>
      </c>
      <c r="L38" s="298">
        <v>44925</v>
      </c>
      <c r="M38" s="298">
        <v>44652</v>
      </c>
      <c r="N38" s="299">
        <f t="shared" si="0"/>
        <v>0.17771084337349397</v>
      </c>
      <c r="O38" s="299">
        <f t="shared" si="1"/>
        <v>0.17771084337349397</v>
      </c>
      <c r="P38" s="300">
        <v>1</v>
      </c>
      <c r="Q38" s="301">
        <v>0.25</v>
      </c>
      <c r="R38" s="301">
        <v>0.5</v>
      </c>
      <c r="S38" s="301">
        <v>0.75</v>
      </c>
      <c r="T38" s="301">
        <v>1</v>
      </c>
      <c r="U38" s="301"/>
      <c r="V38" s="301"/>
      <c r="W38" s="300"/>
      <c r="X38" s="303"/>
      <c r="Y38" s="304"/>
      <c r="Z38" s="305"/>
      <c r="AA38" s="305"/>
      <c r="AB38" s="304"/>
      <c r="AC38" s="305"/>
      <c r="AD38" s="305"/>
      <c r="AE38" s="304"/>
      <c r="AF38" s="305"/>
      <c r="AG38" s="305"/>
      <c r="AH38" s="306"/>
    </row>
    <row r="39" spans="1:34" ht="131.25" customHeight="1" outlineLevel="1" x14ac:dyDescent="0.25">
      <c r="A39" s="742"/>
      <c r="B39" s="750"/>
      <c r="C39" s="750"/>
      <c r="D39" s="762"/>
      <c r="E39" s="854"/>
      <c r="F39" s="351" t="s">
        <v>133</v>
      </c>
      <c r="G39" s="261" t="s">
        <v>134</v>
      </c>
      <c r="H39" s="261" t="s">
        <v>135</v>
      </c>
      <c r="I39" s="274" t="s">
        <v>136</v>
      </c>
      <c r="J39" s="274" t="s">
        <v>59</v>
      </c>
      <c r="K39" s="298">
        <v>44593</v>
      </c>
      <c r="L39" s="298">
        <v>44925</v>
      </c>
      <c r="M39" s="298">
        <v>44652</v>
      </c>
      <c r="N39" s="299">
        <f t="shared" si="0"/>
        <v>0.17771084337349397</v>
      </c>
      <c r="O39" s="299">
        <f t="shared" si="1"/>
        <v>0.17771084337349397</v>
      </c>
      <c r="P39" s="300">
        <v>0.15</v>
      </c>
      <c r="Q39" s="301">
        <v>9.5000000000000001E-2</v>
      </c>
      <c r="R39" s="301">
        <v>0.11</v>
      </c>
      <c r="S39" s="301">
        <v>0.13</v>
      </c>
      <c r="T39" s="301">
        <v>0.15</v>
      </c>
      <c r="U39" s="301"/>
      <c r="V39" s="301"/>
      <c r="W39" s="300"/>
      <c r="X39" s="303"/>
      <c r="Y39" s="304"/>
      <c r="Z39" s="305"/>
      <c r="AA39" s="305"/>
      <c r="AB39" s="304"/>
      <c r="AC39" s="305"/>
      <c r="AD39" s="305"/>
      <c r="AE39" s="304"/>
      <c r="AF39" s="305"/>
      <c r="AG39" s="305"/>
      <c r="AH39" s="306"/>
    </row>
    <row r="40" spans="1:34" ht="75" customHeight="1" outlineLevel="1" x14ac:dyDescent="0.25">
      <c r="A40" s="742"/>
      <c r="B40" s="750"/>
      <c r="C40" s="750"/>
      <c r="D40" s="762"/>
      <c r="E40" s="854"/>
      <c r="F40" s="767" t="s">
        <v>137</v>
      </c>
      <c r="G40" s="261" t="s">
        <v>138</v>
      </c>
      <c r="H40" s="882" t="s">
        <v>139</v>
      </c>
      <c r="I40" s="274" t="s">
        <v>140</v>
      </c>
      <c r="J40" s="381">
        <v>60000000</v>
      </c>
      <c r="K40" s="298">
        <v>44593</v>
      </c>
      <c r="L40" s="298">
        <v>44925</v>
      </c>
      <c r="M40" s="298">
        <v>44652</v>
      </c>
      <c r="N40" s="299">
        <f t="shared" si="0"/>
        <v>0.17771084337349397</v>
      </c>
      <c r="O40" s="299">
        <f t="shared" si="1"/>
        <v>0.17771084337349397</v>
      </c>
      <c r="P40" s="300">
        <v>0.5</v>
      </c>
      <c r="Q40" s="301">
        <v>0.2</v>
      </c>
      <c r="R40" s="301">
        <v>0.3</v>
      </c>
      <c r="S40" s="301">
        <v>0.4</v>
      </c>
      <c r="T40" s="301">
        <v>0.5</v>
      </c>
      <c r="U40" s="301"/>
      <c r="V40" s="301"/>
      <c r="W40" s="300"/>
      <c r="X40" s="303"/>
      <c r="Y40" s="304"/>
      <c r="Z40" s="305"/>
      <c r="AA40" s="305"/>
      <c r="AB40" s="304"/>
      <c r="AC40" s="305"/>
      <c r="AD40" s="305"/>
      <c r="AE40" s="304"/>
      <c r="AF40" s="305"/>
      <c r="AG40" s="305"/>
      <c r="AH40" s="306"/>
    </row>
    <row r="41" spans="1:34" ht="46.5" customHeight="1" outlineLevel="1" x14ac:dyDescent="0.25">
      <c r="A41" s="742"/>
      <c r="B41" s="750"/>
      <c r="C41" s="750"/>
      <c r="D41" s="762"/>
      <c r="E41" s="854"/>
      <c r="F41" s="768"/>
      <c r="G41" s="261" t="s">
        <v>141</v>
      </c>
      <c r="H41" s="883"/>
      <c r="I41" s="274" t="s">
        <v>142</v>
      </c>
      <c r="J41" s="274" t="s">
        <v>59</v>
      </c>
      <c r="K41" s="298">
        <v>44593</v>
      </c>
      <c r="L41" s="298">
        <v>44925</v>
      </c>
      <c r="M41" s="298">
        <v>44652</v>
      </c>
      <c r="N41" s="299">
        <f t="shared" si="0"/>
        <v>0.17771084337349397</v>
      </c>
      <c r="O41" s="299">
        <f t="shared" si="1"/>
        <v>0.17771084337349397</v>
      </c>
      <c r="P41" s="300">
        <v>1</v>
      </c>
      <c r="Q41" s="301">
        <v>0.25</v>
      </c>
      <c r="R41" s="301">
        <v>0.5</v>
      </c>
      <c r="S41" s="301">
        <v>0.75</v>
      </c>
      <c r="T41" s="301">
        <v>1</v>
      </c>
      <c r="U41" s="301"/>
      <c r="V41" s="301"/>
      <c r="W41" s="300"/>
      <c r="X41" s="303"/>
      <c r="Y41" s="304"/>
      <c r="Z41" s="305"/>
      <c r="AA41" s="305"/>
      <c r="AB41" s="304"/>
      <c r="AC41" s="305"/>
      <c r="AD41" s="305"/>
      <c r="AE41" s="304"/>
      <c r="AF41" s="305"/>
      <c r="AG41" s="305"/>
      <c r="AH41" s="306"/>
    </row>
    <row r="42" spans="1:34" ht="112.5" customHeight="1" outlineLevel="1" x14ac:dyDescent="0.25">
      <c r="A42" s="742"/>
      <c r="B42" s="751"/>
      <c r="C42" s="751"/>
      <c r="D42" s="763"/>
      <c r="E42" s="768"/>
      <c r="F42" s="352" t="s">
        <v>55</v>
      </c>
      <c r="G42" s="261" t="s">
        <v>143</v>
      </c>
      <c r="H42" s="271" t="s">
        <v>57</v>
      </c>
      <c r="I42" s="274" t="s">
        <v>144</v>
      </c>
      <c r="J42" s="274" t="s">
        <v>59</v>
      </c>
      <c r="K42" s="298">
        <v>44593</v>
      </c>
      <c r="L42" s="298">
        <v>44925</v>
      </c>
      <c r="M42" s="298">
        <v>44652</v>
      </c>
      <c r="N42" s="299">
        <f t="shared" si="0"/>
        <v>0.17771084337349397</v>
      </c>
      <c r="O42" s="299">
        <f t="shared" si="1"/>
        <v>0.17771084337349397</v>
      </c>
      <c r="P42" s="300">
        <v>0.87</v>
      </c>
      <c r="Q42" s="301">
        <v>0.87</v>
      </c>
      <c r="R42" s="301">
        <v>0.87</v>
      </c>
      <c r="S42" s="301">
        <v>0.87</v>
      </c>
      <c r="T42" s="301">
        <v>0.87</v>
      </c>
      <c r="U42" s="301"/>
      <c r="V42" s="301"/>
      <c r="W42" s="300"/>
      <c r="X42" s="303"/>
      <c r="Y42" s="304"/>
      <c r="Z42" s="305"/>
      <c r="AA42" s="305"/>
      <c r="AB42" s="304"/>
      <c r="AC42" s="305"/>
      <c r="AD42" s="305"/>
      <c r="AE42" s="304"/>
      <c r="AF42" s="305"/>
      <c r="AG42" s="305"/>
      <c r="AH42" s="306"/>
    </row>
    <row r="43" spans="1:34" ht="90" customHeight="1" outlineLevel="1" x14ac:dyDescent="0.25">
      <c r="A43" s="742"/>
      <c r="B43" s="749" t="s">
        <v>51</v>
      </c>
      <c r="C43" s="749" t="s">
        <v>52</v>
      </c>
      <c r="D43" s="746" t="s">
        <v>145</v>
      </c>
      <c r="E43" s="743" t="s">
        <v>146</v>
      </c>
      <c r="F43" s="743" t="s">
        <v>147</v>
      </c>
      <c r="G43" s="3" t="s">
        <v>148</v>
      </c>
      <c r="H43" s="879" t="s">
        <v>149</v>
      </c>
      <c r="I43" s="274" t="s">
        <v>150</v>
      </c>
      <c r="J43" s="381">
        <v>26600000</v>
      </c>
      <c r="K43" s="298">
        <v>44593</v>
      </c>
      <c r="L43" s="298">
        <v>44925</v>
      </c>
      <c r="M43" s="298">
        <v>44652</v>
      </c>
      <c r="N43" s="299">
        <f t="shared" si="0"/>
        <v>0.17771084337349397</v>
      </c>
      <c r="O43" s="299">
        <f t="shared" si="1"/>
        <v>0.17771084337349397</v>
      </c>
      <c r="P43" s="300">
        <v>1</v>
      </c>
      <c r="Q43" s="301">
        <v>0.25</v>
      </c>
      <c r="R43" s="301">
        <v>0.5</v>
      </c>
      <c r="S43" s="301">
        <v>0.75</v>
      </c>
      <c r="T43" s="301">
        <v>1</v>
      </c>
      <c r="U43" s="301"/>
      <c r="V43" s="301"/>
      <c r="W43" s="300"/>
      <c r="X43" s="303"/>
      <c r="Y43" s="304"/>
      <c r="Z43" s="305"/>
      <c r="AA43" s="305"/>
      <c r="AB43" s="304"/>
      <c r="AC43" s="305"/>
      <c r="AD43" s="305"/>
      <c r="AE43" s="304"/>
      <c r="AF43" s="305"/>
      <c r="AG43" s="305"/>
      <c r="AH43" s="306"/>
    </row>
    <row r="44" spans="1:34" ht="56.25" customHeight="1" outlineLevel="1" x14ac:dyDescent="0.25">
      <c r="A44" s="742"/>
      <c r="B44" s="750"/>
      <c r="C44" s="750"/>
      <c r="D44" s="747"/>
      <c r="E44" s="744"/>
      <c r="F44" s="744"/>
      <c r="G44" s="3" t="s">
        <v>151</v>
      </c>
      <c r="H44" s="880"/>
      <c r="I44" s="274" t="s">
        <v>152</v>
      </c>
      <c r="J44" s="274" t="s">
        <v>59</v>
      </c>
      <c r="K44" s="298">
        <v>44593</v>
      </c>
      <c r="L44" s="298">
        <v>44925</v>
      </c>
      <c r="M44" s="298">
        <v>44652</v>
      </c>
      <c r="N44" s="299">
        <f t="shared" si="0"/>
        <v>0.17771084337349397</v>
      </c>
      <c r="O44" s="299">
        <f t="shared" si="1"/>
        <v>0.17771084337349397</v>
      </c>
      <c r="P44" s="300">
        <v>1</v>
      </c>
      <c r="Q44" s="301">
        <v>0.25</v>
      </c>
      <c r="R44" s="301">
        <v>0.5</v>
      </c>
      <c r="S44" s="301">
        <v>0.75</v>
      </c>
      <c r="T44" s="301">
        <v>1</v>
      </c>
      <c r="U44" s="301"/>
      <c r="V44" s="301"/>
      <c r="W44" s="300"/>
      <c r="X44" s="303"/>
      <c r="Y44" s="304"/>
      <c r="Z44" s="305"/>
      <c r="AA44" s="305"/>
      <c r="AB44" s="304"/>
      <c r="AC44" s="305"/>
      <c r="AD44" s="305"/>
      <c r="AE44" s="304"/>
      <c r="AF44" s="305"/>
      <c r="AG44" s="305"/>
      <c r="AH44" s="306"/>
    </row>
    <row r="45" spans="1:34" ht="112.5" customHeight="1" outlineLevel="1" x14ac:dyDescent="0.25">
      <c r="A45" s="742"/>
      <c r="B45" s="750"/>
      <c r="C45" s="750"/>
      <c r="D45" s="747"/>
      <c r="E45" s="744"/>
      <c r="F45" s="744"/>
      <c r="G45" s="3" t="s">
        <v>153</v>
      </c>
      <c r="H45" s="880"/>
      <c r="I45" s="274" t="s">
        <v>154</v>
      </c>
      <c r="J45" s="274" t="s">
        <v>59</v>
      </c>
      <c r="K45" s="298">
        <v>44593</v>
      </c>
      <c r="L45" s="298">
        <v>44925</v>
      </c>
      <c r="M45" s="298">
        <v>44652</v>
      </c>
      <c r="N45" s="299">
        <f t="shared" si="0"/>
        <v>0.17771084337349397</v>
      </c>
      <c r="O45" s="299">
        <f t="shared" si="1"/>
        <v>0.17771084337349397</v>
      </c>
      <c r="P45" s="300">
        <v>1</v>
      </c>
      <c r="Q45" s="301">
        <v>0.25</v>
      </c>
      <c r="R45" s="301">
        <v>0.5</v>
      </c>
      <c r="S45" s="301">
        <v>0.75</v>
      </c>
      <c r="T45" s="301">
        <v>1</v>
      </c>
      <c r="U45" s="301"/>
      <c r="V45" s="301"/>
      <c r="W45" s="300"/>
      <c r="X45" s="303"/>
      <c r="Y45" s="304"/>
      <c r="Z45" s="305"/>
      <c r="AA45" s="305"/>
      <c r="AB45" s="304"/>
      <c r="AC45" s="305"/>
      <c r="AD45" s="305"/>
      <c r="AE45" s="304"/>
      <c r="AF45" s="305"/>
      <c r="AG45" s="305"/>
      <c r="AH45" s="306"/>
    </row>
    <row r="46" spans="1:34" ht="56.25" customHeight="1" outlineLevel="1" x14ac:dyDescent="0.25">
      <c r="A46" s="742"/>
      <c r="B46" s="750"/>
      <c r="C46" s="750"/>
      <c r="D46" s="747"/>
      <c r="E46" s="744"/>
      <c r="F46" s="744"/>
      <c r="G46" s="3" t="s">
        <v>155</v>
      </c>
      <c r="H46" s="880"/>
      <c r="I46" s="274" t="s">
        <v>156</v>
      </c>
      <c r="J46" s="274" t="s">
        <v>59</v>
      </c>
      <c r="K46" s="298">
        <v>44593</v>
      </c>
      <c r="L46" s="298">
        <v>44925</v>
      </c>
      <c r="M46" s="298">
        <v>44652</v>
      </c>
      <c r="N46" s="299">
        <f t="shared" si="0"/>
        <v>0.17771084337349397</v>
      </c>
      <c r="O46" s="299">
        <f t="shared" si="1"/>
        <v>0.17771084337349397</v>
      </c>
      <c r="P46" s="300">
        <v>1</v>
      </c>
      <c r="Q46" s="301">
        <v>0.25</v>
      </c>
      <c r="R46" s="301">
        <v>0.5</v>
      </c>
      <c r="S46" s="301">
        <v>0.75</v>
      </c>
      <c r="T46" s="301">
        <v>1</v>
      </c>
      <c r="U46" s="301"/>
      <c r="V46" s="301"/>
      <c r="W46" s="300"/>
      <c r="X46" s="303"/>
      <c r="Y46" s="304"/>
      <c r="Z46" s="305"/>
      <c r="AA46" s="305"/>
      <c r="AB46" s="304"/>
      <c r="AC46" s="305"/>
      <c r="AD46" s="305"/>
      <c r="AE46" s="304"/>
      <c r="AF46" s="305"/>
      <c r="AG46" s="305"/>
      <c r="AH46" s="306"/>
    </row>
    <row r="47" spans="1:34" ht="56.25" customHeight="1" outlineLevel="1" x14ac:dyDescent="0.25">
      <c r="A47" s="742"/>
      <c r="B47" s="751"/>
      <c r="C47" s="751"/>
      <c r="D47" s="748"/>
      <c r="E47" s="745"/>
      <c r="F47" s="745"/>
      <c r="G47" s="3" t="s">
        <v>157</v>
      </c>
      <c r="H47" s="881"/>
      <c r="I47" s="274" t="s">
        <v>158</v>
      </c>
      <c r="J47" s="274" t="s">
        <v>59</v>
      </c>
      <c r="K47" s="298">
        <v>44593</v>
      </c>
      <c r="L47" s="298">
        <v>44925</v>
      </c>
      <c r="M47" s="298">
        <v>44652</v>
      </c>
      <c r="N47" s="299">
        <f t="shared" si="0"/>
        <v>0.17771084337349397</v>
      </c>
      <c r="O47" s="299">
        <f t="shared" si="1"/>
        <v>0.17771084337349397</v>
      </c>
      <c r="P47" s="300">
        <v>1</v>
      </c>
      <c r="Q47" s="301">
        <v>0.25</v>
      </c>
      <c r="R47" s="301">
        <v>0.5</v>
      </c>
      <c r="S47" s="301">
        <v>0.75</v>
      </c>
      <c r="T47" s="301">
        <v>1</v>
      </c>
      <c r="U47" s="301"/>
      <c r="V47" s="301"/>
      <c r="W47" s="300"/>
      <c r="X47" s="303"/>
      <c r="Y47" s="304"/>
      <c r="Z47" s="305"/>
      <c r="AA47" s="305"/>
      <c r="AB47" s="304"/>
      <c r="AC47" s="305"/>
      <c r="AD47" s="305"/>
      <c r="AE47" s="304"/>
      <c r="AF47" s="305"/>
      <c r="AG47" s="305"/>
      <c r="AH47" s="306"/>
    </row>
    <row r="48" spans="1:34" ht="90" customHeight="1" outlineLevel="1" x14ac:dyDescent="0.25">
      <c r="A48" s="742"/>
      <c r="B48" s="749" t="s">
        <v>51</v>
      </c>
      <c r="C48" s="749" t="s">
        <v>52</v>
      </c>
      <c r="D48" s="787" t="s">
        <v>159</v>
      </c>
      <c r="E48" s="787" t="s">
        <v>146</v>
      </c>
      <c r="F48" s="787" t="s">
        <v>147</v>
      </c>
      <c r="G48" s="262" t="s">
        <v>160</v>
      </c>
      <c r="H48" s="806" t="s">
        <v>149</v>
      </c>
      <c r="I48" s="274" t="s">
        <v>161</v>
      </c>
      <c r="J48" s="382">
        <v>47000000</v>
      </c>
      <c r="K48" s="298">
        <v>44593</v>
      </c>
      <c r="L48" s="298">
        <v>44925</v>
      </c>
      <c r="M48" s="298">
        <v>44652</v>
      </c>
      <c r="N48" s="299">
        <f t="shared" si="0"/>
        <v>0.17771084337349397</v>
      </c>
      <c r="O48" s="299">
        <f t="shared" si="1"/>
        <v>0.17771084337349397</v>
      </c>
      <c r="P48" s="300">
        <v>1</v>
      </c>
      <c r="Q48" s="301">
        <v>0.25</v>
      </c>
      <c r="R48" s="301">
        <v>0.5</v>
      </c>
      <c r="S48" s="301">
        <v>0.75</v>
      </c>
      <c r="T48" s="301">
        <v>1</v>
      </c>
      <c r="U48" s="301"/>
      <c r="V48" s="301"/>
      <c r="W48" s="300"/>
      <c r="X48" s="303"/>
      <c r="Y48" s="304"/>
      <c r="Z48" s="305"/>
      <c r="AA48" s="305"/>
      <c r="AB48" s="304"/>
      <c r="AC48" s="305"/>
      <c r="AD48" s="305"/>
      <c r="AE48" s="304"/>
      <c r="AF48" s="305"/>
      <c r="AG48" s="305"/>
      <c r="AH48" s="306"/>
    </row>
    <row r="49" spans="1:34" ht="56.25" customHeight="1" outlineLevel="1" x14ac:dyDescent="0.25">
      <c r="A49" s="742"/>
      <c r="B49" s="750"/>
      <c r="C49" s="750"/>
      <c r="D49" s="788"/>
      <c r="E49" s="788"/>
      <c r="F49" s="788"/>
      <c r="G49" s="262" t="s">
        <v>162</v>
      </c>
      <c r="H49" s="807"/>
      <c r="I49" s="274" t="s">
        <v>161</v>
      </c>
      <c r="J49" s="286" t="s">
        <v>59</v>
      </c>
      <c r="K49" s="298">
        <v>44593</v>
      </c>
      <c r="L49" s="298">
        <v>44925</v>
      </c>
      <c r="M49" s="298">
        <v>44652</v>
      </c>
      <c r="N49" s="299">
        <f t="shared" si="0"/>
        <v>0.17771084337349397</v>
      </c>
      <c r="O49" s="299">
        <f t="shared" si="1"/>
        <v>0.17771084337349397</v>
      </c>
      <c r="P49" s="300">
        <v>1</v>
      </c>
      <c r="Q49" s="301">
        <v>0.25</v>
      </c>
      <c r="R49" s="301">
        <v>0.5</v>
      </c>
      <c r="S49" s="301">
        <v>0.75</v>
      </c>
      <c r="T49" s="301">
        <v>1</v>
      </c>
      <c r="U49" s="301"/>
      <c r="V49" s="301"/>
      <c r="W49" s="300"/>
      <c r="X49" s="303"/>
      <c r="Y49" s="304"/>
      <c r="Z49" s="305"/>
      <c r="AA49" s="305"/>
      <c r="AB49" s="304"/>
      <c r="AC49" s="305"/>
      <c r="AD49" s="305"/>
      <c r="AE49" s="304"/>
      <c r="AF49" s="305"/>
      <c r="AG49" s="305"/>
      <c r="AH49" s="306"/>
    </row>
    <row r="50" spans="1:34" ht="56.25" customHeight="1" outlineLevel="1" x14ac:dyDescent="0.25">
      <c r="A50" s="742"/>
      <c r="B50" s="750"/>
      <c r="C50" s="750"/>
      <c r="D50" s="788"/>
      <c r="E50" s="788"/>
      <c r="F50" s="788"/>
      <c r="G50" s="262" t="s">
        <v>163</v>
      </c>
      <c r="H50" s="807"/>
      <c r="I50" s="274" t="s">
        <v>164</v>
      </c>
      <c r="J50" s="286" t="s">
        <v>59</v>
      </c>
      <c r="K50" s="298">
        <v>44593</v>
      </c>
      <c r="L50" s="298">
        <v>44925</v>
      </c>
      <c r="M50" s="298">
        <v>44652</v>
      </c>
      <c r="N50" s="299">
        <f t="shared" si="0"/>
        <v>0.17771084337349397</v>
      </c>
      <c r="O50" s="299">
        <f t="shared" si="1"/>
        <v>0.17771084337349397</v>
      </c>
      <c r="P50" s="300">
        <v>1</v>
      </c>
      <c r="Q50" s="301">
        <v>0.25</v>
      </c>
      <c r="R50" s="301">
        <v>0.5</v>
      </c>
      <c r="S50" s="301">
        <v>0.75</v>
      </c>
      <c r="T50" s="301">
        <v>1</v>
      </c>
      <c r="U50" s="301"/>
      <c r="V50" s="301"/>
      <c r="W50" s="300"/>
      <c r="X50" s="303"/>
      <c r="Y50" s="304"/>
      <c r="Z50" s="305"/>
      <c r="AA50" s="305"/>
      <c r="AB50" s="304"/>
      <c r="AC50" s="305"/>
      <c r="AD50" s="305"/>
      <c r="AE50" s="304"/>
      <c r="AF50" s="305"/>
      <c r="AG50" s="305"/>
      <c r="AH50" s="306"/>
    </row>
    <row r="51" spans="1:34" ht="46.5" customHeight="1" outlineLevel="1" x14ac:dyDescent="0.25">
      <c r="A51" s="742"/>
      <c r="B51" s="750"/>
      <c r="C51" s="750"/>
      <c r="D51" s="788"/>
      <c r="E51" s="788"/>
      <c r="F51" s="788"/>
      <c r="G51" s="262" t="s">
        <v>165</v>
      </c>
      <c r="H51" s="807"/>
      <c r="I51" s="274" t="s">
        <v>166</v>
      </c>
      <c r="J51" s="286"/>
      <c r="K51" s="298">
        <v>44593</v>
      </c>
      <c r="L51" s="298">
        <v>44925</v>
      </c>
      <c r="M51" s="298">
        <v>44652</v>
      </c>
      <c r="N51" s="299">
        <f t="shared" si="0"/>
        <v>0.17771084337349397</v>
      </c>
      <c r="O51" s="299">
        <f t="shared" si="1"/>
        <v>0.17771084337349397</v>
      </c>
      <c r="P51" s="300">
        <v>1</v>
      </c>
      <c r="Q51" s="301">
        <v>0.25</v>
      </c>
      <c r="R51" s="301">
        <v>0.5</v>
      </c>
      <c r="S51" s="301">
        <v>0.75</v>
      </c>
      <c r="T51" s="301">
        <v>1</v>
      </c>
      <c r="U51" s="301"/>
      <c r="V51" s="301"/>
      <c r="W51" s="300"/>
      <c r="X51" s="303"/>
      <c r="Y51" s="304"/>
      <c r="Z51" s="305"/>
      <c r="AA51" s="305"/>
      <c r="AB51" s="304"/>
      <c r="AC51" s="305"/>
      <c r="AD51" s="305"/>
      <c r="AE51" s="304"/>
      <c r="AF51" s="305"/>
      <c r="AG51" s="305"/>
      <c r="AH51" s="306"/>
    </row>
    <row r="52" spans="1:34" ht="56.25" customHeight="1" outlineLevel="1" x14ac:dyDescent="0.25">
      <c r="A52" s="742"/>
      <c r="B52" s="750"/>
      <c r="C52" s="750"/>
      <c r="D52" s="788"/>
      <c r="E52" s="788"/>
      <c r="F52" s="788"/>
      <c r="G52" s="262" t="s">
        <v>167</v>
      </c>
      <c r="H52" s="807"/>
      <c r="I52" s="274" t="s">
        <v>168</v>
      </c>
      <c r="J52" s="286" t="s">
        <v>59</v>
      </c>
      <c r="K52" s="298">
        <v>44593</v>
      </c>
      <c r="L52" s="298">
        <v>44925</v>
      </c>
      <c r="M52" s="298">
        <v>44652</v>
      </c>
      <c r="N52" s="299">
        <f t="shared" si="0"/>
        <v>0.17771084337349397</v>
      </c>
      <c r="O52" s="299">
        <f t="shared" si="1"/>
        <v>0.17771084337349397</v>
      </c>
      <c r="P52" s="300">
        <v>1</v>
      </c>
      <c r="Q52" s="301">
        <v>0.25</v>
      </c>
      <c r="R52" s="301">
        <v>0.5</v>
      </c>
      <c r="S52" s="301">
        <v>0.75</v>
      </c>
      <c r="T52" s="301">
        <v>1</v>
      </c>
      <c r="U52" s="301"/>
      <c r="V52" s="301"/>
      <c r="W52" s="300"/>
      <c r="X52" s="303"/>
      <c r="Y52" s="304"/>
      <c r="Z52" s="305"/>
      <c r="AA52" s="305"/>
      <c r="AB52" s="304"/>
      <c r="AC52" s="305"/>
      <c r="AD52" s="305"/>
      <c r="AE52" s="304"/>
      <c r="AF52" s="305"/>
      <c r="AG52" s="305"/>
      <c r="AH52" s="306"/>
    </row>
    <row r="53" spans="1:34" ht="56.25" customHeight="1" outlineLevel="1" x14ac:dyDescent="0.25">
      <c r="A53" s="742"/>
      <c r="B53" s="750"/>
      <c r="C53" s="750"/>
      <c r="D53" s="788"/>
      <c r="E53" s="788"/>
      <c r="F53" s="788"/>
      <c r="G53" s="262" t="s">
        <v>169</v>
      </c>
      <c r="H53" s="807"/>
      <c r="I53" s="298" t="s">
        <v>170</v>
      </c>
      <c r="J53" s="286" t="s">
        <v>59</v>
      </c>
      <c r="K53" s="298">
        <v>44593</v>
      </c>
      <c r="L53" s="298">
        <v>44925</v>
      </c>
      <c r="M53" s="298">
        <v>44652</v>
      </c>
      <c r="N53" s="299">
        <f t="shared" si="0"/>
        <v>0.17771084337349397</v>
      </c>
      <c r="O53" s="299">
        <f t="shared" si="1"/>
        <v>0.17771084337349397</v>
      </c>
      <c r="P53" s="300">
        <v>1</v>
      </c>
      <c r="Q53" s="301">
        <v>0.25</v>
      </c>
      <c r="R53" s="301">
        <v>0.5</v>
      </c>
      <c r="S53" s="301">
        <v>0.75</v>
      </c>
      <c r="T53" s="301">
        <v>1</v>
      </c>
      <c r="U53" s="301"/>
      <c r="V53" s="301"/>
      <c r="W53" s="300"/>
      <c r="X53" s="303"/>
      <c r="Y53" s="304"/>
      <c r="Z53" s="305"/>
      <c r="AA53" s="305"/>
      <c r="AB53" s="304"/>
      <c r="AC53" s="305"/>
      <c r="AD53" s="305"/>
      <c r="AE53" s="304"/>
      <c r="AF53" s="305"/>
      <c r="AG53" s="305"/>
      <c r="AH53" s="306"/>
    </row>
    <row r="54" spans="1:34" ht="75" customHeight="1" outlineLevel="1" x14ac:dyDescent="0.25">
      <c r="A54" s="742"/>
      <c r="B54" s="750"/>
      <c r="C54" s="750"/>
      <c r="D54" s="788"/>
      <c r="E54" s="788"/>
      <c r="F54" s="788"/>
      <c r="G54" s="262" t="s">
        <v>171</v>
      </c>
      <c r="H54" s="808"/>
      <c r="I54" s="298" t="s">
        <v>172</v>
      </c>
      <c r="J54" s="286" t="s">
        <v>59</v>
      </c>
      <c r="K54" s="298">
        <v>44593</v>
      </c>
      <c r="L54" s="298">
        <v>44925</v>
      </c>
      <c r="M54" s="298">
        <v>44652</v>
      </c>
      <c r="N54" s="299">
        <f t="shared" si="0"/>
        <v>0.17771084337349397</v>
      </c>
      <c r="O54" s="299">
        <f t="shared" si="1"/>
        <v>0.17771084337349397</v>
      </c>
      <c r="P54" s="300">
        <v>1</v>
      </c>
      <c r="Q54" s="301">
        <v>0.25</v>
      </c>
      <c r="R54" s="301">
        <v>0.5</v>
      </c>
      <c r="S54" s="301">
        <v>0.75</v>
      </c>
      <c r="T54" s="301">
        <v>1</v>
      </c>
      <c r="U54" s="301"/>
      <c r="V54" s="301"/>
      <c r="W54" s="300"/>
      <c r="X54" s="303"/>
      <c r="Y54" s="304"/>
      <c r="Z54" s="305"/>
      <c r="AA54" s="305"/>
      <c r="AB54" s="304"/>
      <c r="AC54" s="305"/>
      <c r="AD54" s="305"/>
      <c r="AE54" s="304"/>
      <c r="AF54" s="305"/>
      <c r="AG54" s="305"/>
      <c r="AH54" s="306"/>
    </row>
    <row r="55" spans="1:34" ht="93.75" customHeight="1" outlineLevel="1" x14ac:dyDescent="0.25">
      <c r="A55" s="742"/>
      <c r="B55" s="751"/>
      <c r="C55" s="751"/>
      <c r="D55" s="788"/>
      <c r="E55" s="789"/>
      <c r="F55" s="789"/>
      <c r="G55" s="263" t="s">
        <v>173</v>
      </c>
      <c r="H55" s="263" t="s">
        <v>149</v>
      </c>
      <c r="I55" s="274" t="s">
        <v>174</v>
      </c>
      <c r="J55" s="286" t="s">
        <v>59</v>
      </c>
      <c r="K55" s="298">
        <v>44593</v>
      </c>
      <c r="L55" s="298">
        <v>44925</v>
      </c>
      <c r="M55" s="298">
        <v>44652</v>
      </c>
      <c r="N55" s="299">
        <f t="shared" si="0"/>
        <v>0.17771084337349397</v>
      </c>
      <c r="O55" s="299">
        <f t="shared" si="1"/>
        <v>0.17771084337349397</v>
      </c>
      <c r="P55" s="300">
        <v>0.7</v>
      </c>
      <c r="Q55" s="301">
        <v>0.55000000000000004</v>
      </c>
      <c r="R55" s="301">
        <v>0.6</v>
      </c>
      <c r="S55" s="301">
        <v>0.65</v>
      </c>
      <c r="T55" s="301">
        <v>0.7</v>
      </c>
      <c r="U55" s="301"/>
      <c r="V55" s="301"/>
      <c r="W55" s="300"/>
      <c r="X55" s="303"/>
      <c r="Y55" s="304"/>
      <c r="Z55" s="305"/>
      <c r="AA55" s="305"/>
      <c r="AB55" s="304"/>
      <c r="AC55" s="305"/>
      <c r="AD55" s="305"/>
      <c r="AE55" s="304"/>
      <c r="AF55" s="305"/>
      <c r="AG55" s="305"/>
      <c r="AH55" s="306"/>
    </row>
    <row r="56" spans="1:34" ht="56.25" customHeight="1" outlineLevel="1" x14ac:dyDescent="0.25">
      <c r="A56" s="742"/>
      <c r="B56" s="875" t="s">
        <v>51</v>
      </c>
      <c r="C56" s="875" t="s">
        <v>175</v>
      </c>
      <c r="D56" s="891" t="s">
        <v>176</v>
      </c>
      <c r="E56" s="815" t="s">
        <v>177</v>
      </c>
      <c r="F56" s="815" t="s">
        <v>178</v>
      </c>
      <c r="G56" s="285" t="s">
        <v>179</v>
      </c>
      <c r="H56" s="802" t="s">
        <v>149</v>
      </c>
      <c r="I56" s="274" t="s">
        <v>1253</v>
      </c>
      <c r="J56" s="286" t="s">
        <v>59</v>
      </c>
      <c r="K56" s="298">
        <v>44593</v>
      </c>
      <c r="L56" s="298">
        <v>44925</v>
      </c>
      <c r="M56" s="298">
        <v>44652</v>
      </c>
      <c r="N56" s="299">
        <f t="shared" si="0"/>
        <v>0.17771084337349397</v>
      </c>
      <c r="O56" s="299">
        <f t="shared" si="1"/>
        <v>0.17771084337349397</v>
      </c>
      <c r="P56" s="300">
        <v>1</v>
      </c>
      <c r="Q56" s="301">
        <v>0.25</v>
      </c>
      <c r="R56" s="301">
        <v>0.5</v>
      </c>
      <c r="S56" s="301">
        <v>0.75</v>
      </c>
      <c r="T56" s="301">
        <v>1</v>
      </c>
      <c r="U56" s="301"/>
      <c r="V56" s="301"/>
      <c r="W56" s="300"/>
      <c r="X56" s="303"/>
      <c r="Y56" s="304"/>
      <c r="Z56" s="305"/>
      <c r="AA56" s="305"/>
      <c r="AB56" s="304"/>
      <c r="AC56" s="305"/>
      <c r="AD56" s="305"/>
      <c r="AE56" s="304"/>
      <c r="AF56" s="305"/>
      <c r="AG56" s="305"/>
      <c r="AH56" s="306"/>
    </row>
    <row r="57" spans="1:34" ht="46.5" customHeight="1" outlineLevel="1" x14ac:dyDescent="0.25">
      <c r="A57" s="742"/>
      <c r="B57" s="876"/>
      <c r="C57" s="876"/>
      <c r="D57" s="891"/>
      <c r="E57" s="816"/>
      <c r="F57" s="816"/>
      <c r="G57" s="285" t="s">
        <v>180</v>
      </c>
      <c r="H57" s="803"/>
      <c r="I57" s="274" t="s">
        <v>1253</v>
      </c>
      <c r="J57" s="286" t="s">
        <v>59</v>
      </c>
      <c r="K57" s="298">
        <v>44593</v>
      </c>
      <c r="L57" s="298">
        <v>44925</v>
      </c>
      <c r="M57" s="298">
        <v>44652</v>
      </c>
      <c r="N57" s="299">
        <f t="shared" si="0"/>
        <v>0.17771084337349397</v>
      </c>
      <c r="O57" s="299">
        <f t="shared" si="1"/>
        <v>0.17771084337349397</v>
      </c>
      <c r="P57" s="300">
        <v>1</v>
      </c>
      <c r="Q57" s="301">
        <v>0.25</v>
      </c>
      <c r="R57" s="301">
        <v>0.5</v>
      </c>
      <c r="S57" s="301">
        <v>0.75</v>
      </c>
      <c r="T57" s="301">
        <v>1</v>
      </c>
      <c r="U57" s="301"/>
      <c r="V57" s="301"/>
      <c r="W57" s="300"/>
      <c r="X57" s="303"/>
      <c r="Y57" s="304"/>
      <c r="Z57" s="305"/>
      <c r="AA57" s="305"/>
      <c r="AB57" s="304"/>
      <c r="AC57" s="305"/>
      <c r="AD57" s="305"/>
      <c r="AE57" s="304"/>
      <c r="AF57" s="305"/>
      <c r="AG57" s="305"/>
      <c r="AH57" s="306"/>
    </row>
    <row r="58" spans="1:34" ht="56.25" customHeight="1" outlineLevel="1" x14ac:dyDescent="0.25">
      <c r="A58" s="742"/>
      <c r="B58" s="876"/>
      <c r="C58" s="876"/>
      <c r="D58" s="891"/>
      <c r="E58" s="816"/>
      <c r="F58" s="816"/>
      <c r="G58" s="285" t="s">
        <v>181</v>
      </c>
      <c r="H58" s="803"/>
      <c r="I58" s="274" t="s">
        <v>1253</v>
      </c>
      <c r="J58" s="286" t="s">
        <v>59</v>
      </c>
      <c r="K58" s="298">
        <v>44593</v>
      </c>
      <c r="L58" s="298">
        <v>44925</v>
      </c>
      <c r="M58" s="298">
        <v>44652</v>
      </c>
      <c r="N58" s="299">
        <f t="shared" si="0"/>
        <v>0.17771084337349397</v>
      </c>
      <c r="O58" s="299">
        <f t="shared" si="1"/>
        <v>0.17771084337349397</v>
      </c>
      <c r="P58" s="300">
        <v>1</v>
      </c>
      <c r="Q58" s="301">
        <v>0.25</v>
      </c>
      <c r="R58" s="301">
        <v>0.5</v>
      </c>
      <c r="S58" s="301">
        <v>0.75</v>
      </c>
      <c r="T58" s="301">
        <v>1</v>
      </c>
      <c r="U58" s="301"/>
      <c r="V58" s="301"/>
      <c r="W58" s="300"/>
      <c r="X58" s="303"/>
      <c r="Y58" s="304"/>
      <c r="Z58" s="305"/>
      <c r="AA58" s="305"/>
      <c r="AB58" s="304"/>
      <c r="AC58" s="305"/>
      <c r="AD58" s="305"/>
      <c r="AE58" s="304"/>
      <c r="AF58" s="305"/>
      <c r="AG58" s="305"/>
      <c r="AH58" s="306"/>
    </row>
    <row r="59" spans="1:34" ht="112.5" customHeight="1" outlineLevel="1" x14ac:dyDescent="0.25">
      <c r="A59" s="742"/>
      <c r="B59" s="876"/>
      <c r="C59" s="876"/>
      <c r="D59" s="891"/>
      <c r="E59" s="816"/>
      <c r="F59" s="816"/>
      <c r="G59" s="285" t="s">
        <v>182</v>
      </c>
      <c r="H59" s="803"/>
      <c r="I59" s="274" t="s">
        <v>1253</v>
      </c>
      <c r="J59" s="286" t="s">
        <v>59</v>
      </c>
      <c r="K59" s="298">
        <v>44593</v>
      </c>
      <c r="L59" s="298">
        <v>44925</v>
      </c>
      <c r="M59" s="298">
        <v>44652</v>
      </c>
      <c r="N59" s="299">
        <f t="shared" si="0"/>
        <v>0.17771084337349397</v>
      </c>
      <c r="O59" s="299">
        <f t="shared" si="1"/>
        <v>0.17771084337349397</v>
      </c>
      <c r="P59" s="300">
        <v>1</v>
      </c>
      <c r="Q59" s="301">
        <v>0.25</v>
      </c>
      <c r="R59" s="301">
        <v>0.5</v>
      </c>
      <c r="S59" s="301">
        <v>0.75</v>
      </c>
      <c r="T59" s="301">
        <v>1</v>
      </c>
      <c r="U59" s="301"/>
      <c r="V59" s="301"/>
      <c r="W59" s="300"/>
      <c r="X59" s="303"/>
      <c r="Y59" s="304"/>
      <c r="Z59" s="305"/>
      <c r="AA59" s="305"/>
      <c r="AB59" s="304"/>
      <c r="AC59" s="305"/>
      <c r="AD59" s="305"/>
      <c r="AE59" s="304"/>
      <c r="AF59" s="305"/>
      <c r="AG59" s="305"/>
      <c r="AH59" s="306"/>
    </row>
    <row r="60" spans="1:34" ht="56.25" customHeight="1" outlineLevel="1" x14ac:dyDescent="0.25">
      <c r="A60" s="742"/>
      <c r="B60" s="877"/>
      <c r="C60" s="877"/>
      <c r="D60" s="891"/>
      <c r="E60" s="817"/>
      <c r="F60" s="817"/>
      <c r="G60" s="285" t="s">
        <v>183</v>
      </c>
      <c r="H60" s="804"/>
      <c r="I60" s="274" t="s">
        <v>1253</v>
      </c>
      <c r="J60" s="286" t="s">
        <v>59</v>
      </c>
      <c r="K60" s="298">
        <v>44593</v>
      </c>
      <c r="L60" s="298">
        <v>44925</v>
      </c>
      <c r="M60" s="298">
        <v>44652</v>
      </c>
      <c r="N60" s="299">
        <f t="shared" si="0"/>
        <v>0.17771084337349397</v>
      </c>
      <c r="O60" s="299">
        <f t="shared" si="1"/>
        <v>0.17771084337349397</v>
      </c>
      <c r="P60" s="300">
        <v>1</v>
      </c>
      <c r="Q60" s="301">
        <v>0.25</v>
      </c>
      <c r="R60" s="301">
        <v>0.5</v>
      </c>
      <c r="S60" s="301">
        <v>0.75</v>
      </c>
      <c r="T60" s="301">
        <v>1</v>
      </c>
      <c r="U60" s="301"/>
      <c r="V60" s="301"/>
      <c r="W60" s="300"/>
      <c r="X60" s="303"/>
      <c r="Y60" s="304"/>
      <c r="Z60" s="305"/>
      <c r="AA60" s="305"/>
      <c r="AB60" s="304"/>
      <c r="AC60" s="305"/>
      <c r="AD60" s="305"/>
      <c r="AE60" s="304"/>
      <c r="AF60" s="305"/>
      <c r="AG60" s="305"/>
      <c r="AH60" s="306"/>
    </row>
    <row r="61" spans="1:34" ht="59.25" customHeight="1" outlineLevel="1" x14ac:dyDescent="0.25">
      <c r="A61" s="742"/>
      <c r="B61" s="875" t="s">
        <v>184</v>
      </c>
      <c r="C61" s="875" t="s">
        <v>185</v>
      </c>
      <c r="D61" s="891"/>
      <c r="E61" s="815" t="s">
        <v>186</v>
      </c>
      <c r="F61" s="815" t="s">
        <v>187</v>
      </c>
      <c r="G61" s="285" t="s">
        <v>188</v>
      </c>
      <c r="H61" s="802" t="s">
        <v>189</v>
      </c>
      <c r="I61" s="274" t="s">
        <v>1253</v>
      </c>
      <c r="J61" s="286" t="s">
        <v>59</v>
      </c>
      <c r="K61" s="298">
        <v>44593</v>
      </c>
      <c r="L61" s="298">
        <v>44925</v>
      </c>
      <c r="M61" s="298">
        <v>44652</v>
      </c>
      <c r="N61" s="299">
        <f t="shared" si="0"/>
        <v>0.17771084337349397</v>
      </c>
      <c r="O61" s="299">
        <f t="shared" si="1"/>
        <v>0.17771084337349397</v>
      </c>
      <c r="P61" s="300">
        <v>1</v>
      </c>
      <c r="Q61" s="301">
        <v>0.25</v>
      </c>
      <c r="R61" s="301">
        <v>0.5</v>
      </c>
      <c r="S61" s="301">
        <v>0.75</v>
      </c>
      <c r="T61" s="301">
        <v>1</v>
      </c>
      <c r="U61" s="301"/>
      <c r="V61" s="301"/>
      <c r="W61" s="300"/>
      <c r="X61" s="303"/>
      <c r="Y61" s="304"/>
      <c r="Z61" s="305"/>
      <c r="AA61" s="305"/>
      <c r="AB61" s="304"/>
      <c r="AC61" s="305"/>
      <c r="AD61" s="305"/>
      <c r="AE61" s="304"/>
      <c r="AF61" s="305"/>
      <c r="AG61" s="305"/>
      <c r="AH61" s="306"/>
    </row>
    <row r="62" spans="1:34" ht="150" customHeight="1" outlineLevel="1" x14ac:dyDescent="0.25">
      <c r="A62" s="742"/>
      <c r="B62" s="876"/>
      <c r="C62" s="876"/>
      <c r="D62" s="891"/>
      <c r="E62" s="816"/>
      <c r="F62" s="816"/>
      <c r="G62" s="285" t="s">
        <v>190</v>
      </c>
      <c r="H62" s="803"/>
      <c r="I62" s="274" t="s">
        <v>1253</v>
      </c>
      <c r="J62" s="286" t="s">
        <v>59</v>
      </c>
      <c r="K62" s="298">
        <v>44593</v>
      </c>
      <c r="L62" s="298">
        <v>44925</v>
      </c>
      <c r="M62" s="298">
        <v>44652</v>
      </c>
      <c r="N62" s="299">
        <f t="shared" si="0"/>
        <v>0.17771084337349397</v>
      </c>
      <c r="O62" s="299">
        <f t="shared" si="1"/>
        <v>0.17771084337349397</v>
      </c>
      <c r="P62" s="300">
        <v>1</v>
      </c>
      <c r="Q62" s="301">
        <v>0.25</v>
      </c>
      <c r="R62" s="301">
        <v>0.5</v>
      </c>
      <c r="S62" s="301">
        <v>0.75</v>
      </c>
      <c r="T62" s="301">
        <v>1</v>
      </c>
      <c r="U62" s="301"/>
      <c r="V62" s="301"/>
      <c r="W62" s="300"/>
      <c r="X62" s="303"/>
      <c r="Y62" s="304"/>
      <c r="Z62" s="305"/>
      <c r="AA62" s="305"/>
      <c r="AB62" s="304"/>
      <c r="AC62" s="305"/>
      <c r="AD62" s="305"/>
      <c r="AE62" s="304"/>
      <c r="AF62" s="305"/>
      <c r="AG62" s="305"/>
      <c r="AH62" s="306"/>
    </row>
    <row r="63" spans="1:34" ht="206.25" customHeight="1" outlineLevel="1" x14ac:dyDescent="0.25">
      <c r="A63" s="742"/>
      <c r="B63" s="876"/>
      <c r="C63" s="876"/>
      <c r="D63" s="891"/>
      <c r="E63" s="816"/>
      <c r="F63" s="817"/>
      <c r="G63" s="285" t="s">
        <v>191</v>
      </c>
      <c r="H63" s="803"/>
      <c r="I63" s="274" t="s">
        <v>1253</v>
      </c>
      <c r="J63" s="286" t="s">
        <v>59</v>
      </c>
      <c r="K63" s="298">
        <v>44593</v>
      </c>
      <c r="L63" s="298">
        <v>44925</v>
      </c>
      <c r="M63" s="298">
        <v>44652</v>
      </c>
      <c r="N63" s="299">
        <f t="shared" si="0"/>
        <v>0.17771084337349397</v>
      </c>
      <c r="O63" s="299">
        <f t="shared" si="1"/>
        <v>0.17771084337349397</v>
      </c>
      <c r="P63" s="300">
        <v>1</v>
      </c>
      <c r="Q63" s="301">
        <v>0.25</v>
      </c>
      <c r="R63" s="301">
        <v>0.5</v>
      </c>
      <c r="S63" s="301">
        <v>0.75</v>
      </c>
      <c r="T63" s="301">
        <v>1</v>
      </c>
      <c r="U63" s="301"/>
      <c r="V63" s="301"/>
      <c r="W63" s="300"/>
      <c r="X63" s="303"/>
      <c r="Y63" s="304"/>
      <c r="Z63" s="305"/>
      <c r="AA63" s="305"/>
      <c r="AB63" s="304"/>
      <c r="AC63" s="305"/>
      <c r="AD63" s="305"/>
      <c r="AE63" s="304"/>
      <c r="AF63" s="305"/>
      <c r="AG63" s="305"/>
      <c r="AH63" s="306"/>
    </row>
    <row r="64" spans="1:34" ht="206.25" customHeight="1" outlineLevel="1" x14ac:dyDescent="0.25">
      <c r="A64" s="742"/>
      <c r="B64" s="877"/>
      <c r="C64" s="877"/>
      <c r="D64" s="891"/>
      <c r="E64" s="817"/>
      <c r="F64" s="375" t="s">
        <v>192</v>
      </c>
      <c r="G64" s="285" t="s">
        <v>193</v>
      </c>
      <c r="H64" s="804"/>
      <c r="I64" s="274" t="s">
        <v>1253</v>
      </c>
      <c r="J64" s="286" t="s">
        <v>59</v>
      </c>
      <c r="K64" s="298">
        <v>44593</v>
      </c>
      <c r="L64" s="298">
        <v>44925</v>
      </c>
      <c r="M64" s="298">
        <v>44652</v>
      </c>
      <c r="N64" s="299">
        <f t="shared" si="0"/>
        <v>0.17771084337349397</v>
      </c>
      <c r="O64" s="299">
        <f t="shared" si="1"/>
        <v>0.17771084337349397</v>
      </c>
      <c r="P64" s="300">
        <v>1</v>
      </c>
      <c r="Q64" s="301">
        <v>0.25</v>
      </c>
      <c r="R64" s="301">
        <v>0.5</v>
      </c>
      <c r="S64" s="301">
        <v>0.75</v>
      </c>
      <c r="T64" s="301">
        <v>1</v>
      </c>
      <c r="U64" s="301"/>
      <c r="V64" s="301"/>
      <c r="W64" s="300"/>
      <c r="X64" s="303"/>
      <c r="Y64" s="304"/>
      <c r="Z64" s="305"/>
      <c r="AA64" s="305"/>
      <c r="AB64" s="304"/>
      <c r="AC64" s="305"/>
      <c r="AD64" s="305"/>
      <c r="AE64" s="304"/>
      <c r="AF64" s="305"/>
      <c r="AG64" s="305"/>
      <c r="AH64" s="306"/>
    </row>
    <row r="65" spans="1:34" ht="59.25" customHeight="1" outlineLevel="1" x14ac:dyDescent="0.25">
      <c r="A65" s="742"/>
      <c r="B65" s="875" t="s">
        <v>194</v>
      </c>
      <c r="C65" s="875" t="s">
        <v>195</v>
      </c>
      <c r="D65" s="891"/>
      <c r="E65" s="815" t="s">
        <v>196</v>
      </c>
      <c r="F65" s="375" t="s">
        <v>197</v>
      </c>
      <c r="G65" s="285" t="s">
        <v>198</v>
      </c>
      <c r="H65" s="802" t="s">
        <v>199</v>
      </c>
      <c r="I65" s="274" t="s">
        <v>1253</v>
      </c>
      <c r="J65" s="286" t="s">
        <v>59</v>
      </c>
      <c r="K65" s="298">
        <v>44593</v>
      </c>
      <c r="L65" s="298">
        <v>44925</v>
      </c>
      <c r="M65" s="298">
        <v>44652</v>
      </c>
      <c r="N65" s="299">
        <f t="shared" si="0"/>
        <v>0.17771084337349397</v>
      </c>
      <c r="O65" s="299">
        <f t="shared" si="1"/>
        <v>0.17771084337349397</v>
      </c>
      <c r="P65" s="300">
        <v>1</v>
      </c>
      <c r="Q65" s="301">
        <v>0.25</v>
      </c>
      <c r="R65" s="301">
        <v>0.5</v>
      </c>
      <c r="S65" s="301">
        <v>0.75</v>
      </c>
      <c r="T65" s="301">
        <v>1</v>
      </c>
      <c r="U65" s="301"/>
      <c r="V65" s="301"/>
      <c r="W65" s="300"/>
      <c r="X65" s="303"/>
      <c r="Y65" s="304"/>
      <c r="Z65" s="305"/>
      <c r="AA65" s="305"/>
      <c r="AB65" s="304"/>
      <c r="AC65" s="305"/>
      <c r="AD65" s="305"/>
      <c r="AE65" s="304"/>
      <c r="AF65" s="305"/>
      <c r="AG65" s="305"/>
      <c r="AH65" s="306"/>
    </row>
    <row r="66" spans="1:34" ht="131.25" customHeight="1" outlineLevel="1" x14ac:dyDescent="0.25">
      <c r="A66" s="742"/>
      <c r="B66" s="876"/>
      <c r="C66" s="876"/>
      <c r="D66" s="891"/>
      <c r="E66" s="816"/>
      <c r="F66" s="375" t="s">
        <v>200</v>
      </c>
      <c r="G66" s="285" t="s">
        <v>198</v>
      </c>
      <c r="H66" s="803"/>
      <c r="I66" s="274" t="s">
        <v>1253</v>
      </c>
      <c r="J66" s="286" t="s">
        <v>59</v>
      </c>
      <c r="K66" s="298">
        <v>44593</v>
      </c>
      <c r="L66" s="298">
        <v>44925</v>
      </c>
      <c r="M66" s="298">
        <v>44652</v>
      </c>
      <c r="N66" s="299">
        <f t="shared" si="0"/>
        <v>0.17771084337349397</v>
      </c>
      <c r="O66" s="299">
        <f t="shared" si="1"/>
        <v>0.17771084337349397</v>
      </c>
      <c r="P66" s="300">
        <v>1</v>
      </c>
      <c r="Q66" s="301">
        <v>0.25</v>
      </c>
      <c r="R66" s="301">
        <v>0.5</v>
      </c>
      <c r="S66" s="301">
        <v>0.75</v>
      </c>
      <c r="T66" s="301">
        <v>1</v>
      </c>
      <c r="U66" s="301"/>
      <c r="V66" s="301"/>
      <c r="W66" s="300"/>
      <c r="X66" s="303"/>
      <c r="Y66" s="304"/>
      <c r="Z66" s="305"/>
      <c r="AA66" s="305"/>
      <c r="AB66" s="304"/>
      <c r="AC66" s="305"/>
      <c r="AD66" s="305"/>
      <c r="AE66" s="304"/>
      <c r="AF66" s="305"/>
      <c r="AG66" s="305"/>
      <c r="AH66" s="306"/>
    </row>
    <row r="67" spans="1:34" ht="131.25" customHeight="1" outlineLevel="1" x14ac:dyDescent="0.25">
      <c r="A67" s="742"/>
      <c r="B67" s="877"/>
      <c r="C67" s="877"/>
      <c r="D67" s="891"/>
      <c r="E67" s="817"/>
      <c r="F67" s="375" t="s">
        <v>201</v>
      </c>
      <c r="G67" s="285" t="s">
        <v>198</v>
      </c>
      <c r="H67" s="804"/>
      <c r="I67" s="274" t="s">
        <v>1253</v>
      </c>
      <c r="J67" s="286" t="s">
        <v>59</v>
      </c>
      <c r="K67" s="298">
        <v>44593</v>
      </c>
      <c r="L67" s="298">
        <v>44925</v>
      </c>
      <c r="M67" s="298">
        <v>44652</v>
      </c>
      <c r="N67" s="299">
        <f t="shared" si="0"/>
        <v>0.17771084337349397</v>
      </c>
      <c r="O67" s="299">
        <f t="shared" si="1"/>
        <v>0.17771084337349397</v>
      </c>
      <c r="P67" s="300">
        <v>1</v>
      </c>
      <c r="Q67" s="301">
        <v>0.25</v>
      </c>
      <c r="R67" s="301">
        <v>0.5</v>
      </c>
      <c r="S67" s="301">
        <v>0.75</v>
      </c>
      <c r="T67" s="301">
        <v>1</v>
      </c>
      <c r="U67" s="301"/>
      <c r="V67" s="301"/>
      <c r="W67" s="300"/>
      <c r="X67" s="303"/>
      <c r="Y67" s="304"/>
      <c r="Z67" s="305"/>
      <c r="AA67" s="305"/>
      <c r="AB67" s="304"/>
      <c r="AC67" s="305"/>
      <c r="AD67" s="305"/>
      <c r="AE67" s="304"/>
      <c r="AF67" s="305"/>
      <c r="AG67" s="305"/>
      <c r="AH67" s="306"/>
    </row>
    <row r="68" spans="1:34" ht="90" customHeight="1" outlineLevel="1" x14ac:dyDescent="0.25">
      <c r="A68" s="742"/>
      <c r="B68" s="749" t="s">
        <v>194</v>
      </c>
      <c r="C68" s="749" t="s">
        <v>202</v>
      </c>
      <c r="D68" s="872" t="s">
        <v>203</v>
      </c>
      <c r="E68" s="809" t="s">
        <v>204</v>
      </c>
      <c r="F68" s="809" t="s">
        <v>205</v>
      </c>
      <c r="G68" s="6" t="s">
        <v>206</v>
      </c>
      <c r="H68" s="812" t="s">
        <v>207</v>
      </c>
      <c r="I68" s="286" t="s">
        <v>208</v>
      </c>
      <c r="J68" s="286" t="s">
        <v>59</v>
      </c>
      <c r="K68" s="298">
        <v>44593</v>
      </c>
      <c r="L68" s="298">
        <v>44925</v>
      </c>
      <c r="M68" s="298">
        <v>44652</v>
      </c>
      <c r="N68" s="299">
        <f t="shared" si="0"/>
        <v>0.17771084337349397</v>
      </c>
      <c r="O68" s="299">
        <f t="shared" si="1"/>
        <v>0.17771084337349397</v>
      </c>
      <c r="P68" s="300">
        <v>0.8</v>
      </c>
      <c r="Q68" s="301">
        <v>0.72</v>
      </c>
      <c r="R68" s="301">
        <v>0.74</v>
      </c>
      <c r="S68" s="301">
        <v>0.76</v>
      </c>
      <c r="T68" s="301">
        <v>0.8</v>
      </c>
      <c r="U68" s="301"/>
      <c r="V68" s="301"/>
      <c r="W68" s="300"/>
      <c r="X68" s="303"/>
      <c r="Y68" s="304"/>
      <c r="Z68" s="305"/>
      <c r="AA68" s="305"/>
      <c r="AB68" s="304"/>
      <c r="AC68" s="305"/>
      <c r="AD68" s="305"/>
      <c r="AE68" s="304"/>
      <c r="AF68" s="305"/>
      <c r="AG68" s="305"/>
      <c r="AH68" s="306"/>
    </row>
    <row r="69" spans="1:34" ht="93.45" customHeight="1" outlineLevel="1" x14ac:dyDescent="0.25">
      <c r="A69" s="742"/>
      <c r="B69" s="750"/>
      <c r="C69" s="750"/>
      <c r="D69" s="873"/>
      <c r="E69" s="810"/>
      <c r="F69" s="810"/>
      <c r="G69" s="7" t="s">
        <v>209</v>
      </c>
      <c r="H69" s="813"/>
      <c r="I69" s="286" t="s">
        <v>210</v>
      </c>
      <c r="J69" s="382">
        <v>5000000</v>
      </c>
      <c r="K69" s="298">
        <v>44593</v>
      </c>
      <c r="L69" s="298">
        <v>44925</v>
      </c>
      <c r="M69" s="298">
        <v>44652</v>
      </c>
      <c r="N69" s="299">
        <f t="shared" si="0"/>
        <v>0.17771084337349397</v>
      </c>
      <c r="O69" s="299">
        <f t="shared" si="1"/>
        <v>0.17771084337349397</v>
      </c>
      <c r="P69" s="300">
        <v>1</v>
      </c>
      <c r="Q69" s="301">
        <v>0.25</v>
      </c>
      <c r="R69" s="301">
        <v>0.5</v>
      </c>
      <c r="S69" s="301">
        <v>0.75</v>
      </c>
      <c r="T69" s="301">
        <v>1</v>
      </c>
      <c r="U69" s="301"/>
      <c r="V69" s="301"/>
      <c r="W69" s="300"/>
      <c r="X69" s="303"/>
      <c r="Y69" s="304"/>
      <c r="Z69" s="305"/>
      <c r="AA69" s="305"/>
      <c r="AB69" s="304"/>
      <c r="AC69" s="305"/>
      <c r="AD69" s="305"/>
      <c r="AE69" s="304"/>
      <c r="AF69" s="305"/>
      <c r="AG69" s="305"/>
      <c r="AH69" s="306"/>
    </row>
    <row r="70" spans="1:34" ht="70.2" customHeight="1" outlineLevel="1" x14ac:dyDescent="0.25">
      <c r="A70" s="742"/>
      <c r="B70" s="750"/>
      <c r="C70" s="750"/>
      <c r="D70" s="873"/>
      <c r="E70" s="810"/>
      <c r="F70" s="810"/>
      <c r="G70" s="6" t="s">
        <v>211</v>
      </c>
      <c r="H70" s="813"/>
      <c r="I70" s="286" t="s">
        <v>212</v>
      </c>
      <c r="J70" s="286" t="s">
        <v>59</v>
      </c>
      <c r="K70" s="298">
        <v>44593</v>
      </c>
      <c r="L70" s="298">
        <v>44925</v>
      </c>
      <c r="M70" s="298">
        <v>44652</v>
      </c>
      <c r="N70" s="299">
        <f t="shared" si="0"/>
        <v>0.17771084337349397</v>
      </c>
      <c r="O70" s="299">
        <f t="shared" si="1"/>
        <v>0.17771084337349397</v>
      </c>
      <c r="P70" s="300">
        <v>1</v>
      </c>
      <c r="Q70" s="301">
        <v>0.25</v>
      </c>
      <c r="R70" s="301">
        <v>0.5</v>
      </c>
      <c r="S70" s="301">
        <v>0.75</v>
      </c>
      <c r="T70" s="301">
        <v>1</v>
      </c>
      <c r="U70" s="301"/>
      <c r="V70" s="301"/>
      <c r="W70" s="300"/>
      <c r="X70" s="303"/>
      <c r="Y70" s="304"/>
      <c r="Z70" s="305"/>
      <c r="AA70" s="305"/>
      <c r="AB70" s="304"/>
      <c r="AC70" s="305"/>
      <c r="AD70" s="305"/>
      <c r="AE70" s="304"/>
      <c r="AF70" s="305"/>
      <c r="AG70" s="305"/>
      <c r="AH70" s="306"/>
    </row>
    <row r="71" spans="1:34" ht="70.2" customHeight="1" outlineLevel="1" x14ac:dyDescent="0.25">
      <c r="A71" s="742"/>
      <c r="B71" s="750"/>
      <c r="C71" s="750"/>
      <c r="D71" s="873"/>
      <c r="E71" s="810"/>
      <c r="F71" s="810"/>
      <c r="G71" s="6" t="s">
        <v>213</v>
      </c>
      <c r="H71" s="813"/>
      <c r="I71" s="286" t="s">
        <v>214</v>
      </c>
      <c r="J71" s="382">
        <v>600000</v>
      </c>
      <c r="K71" s="298">
        <v>44593</v>
      </c>
      <c r="L71" s="298">
        <v>44925</v>
      </c>
      <c r="M71" s="298">
        <v>44652</v>
      </c>
      <c r="N71" s="299">
        <f t="shared" si="0"/>
        <v>0.17771084337349397</v>
      </c>
      <c r="O71" s="299">
        <f t="shared" si="1"/>
        <v>0.17771084337349397</v>
      </c>
      <c r="P71" s="300">
        <v>1</v>
      </c>
      <c r="Q71" s="301">
        <v>0.25</v>
      </c>
      <c r="R71" s="301">
        <v>0.5</v>
      </c>
      <c r="S71" s="301">
        <v>0.75</v>
      </c>
      <c r="T71" s="301">
        <v>1</v>
      </c>
      <c r="U71" s="301"/>
      <c r="V71" s="301"/>
      <c r="W71" s="300"/>
      <c r="X71" s="303"/>
      <c r="Y71" s="304"/>
      <c r="Z71" s="305"/>
      <c r="AA71" s="305"/>
      <c r="AB71" s="304"/>
      <c r="AC71" s="305"/>
      <c r="AD71" s="305"/>
      <c r="AE71" s="304"/>
      <c r="AF71" s="305"/>
      <c r="AG71" s="305"/>
      <c r="AH71" s="306"/>
    </row>
    <row r="72" spans="1:34" ht="70.2" customHeight="1" outlineLevel="1" x14ac:dyDescent="0.25">
      <c r="A72" s="742"/>
      <c r="B72" s="750"/>
      <c r="C72" s="750"/>
      <c r="D72" s="873"/>
      <c r="E72" s="810"/>
      <c r="F72" s="810"/>
      <c r="G72" s="6" t="s">
        <v>215</v>
      </c>
      <c r="H72" s="813"/>
      <c r="I72" s="286" t="s">
        <v>216</v>
      </c>
      <c r="J72" s="382">
        <v>10000000</v>
      </c>
      <c r="K72" s="298">
        <v>44593</v>
      </c>
      <c r="L72" s="298">
        <v>44925</v>
      </c>
      <c r="M72" s="298">
        <v>44652</v>
      </c>
      <c r="N72" s="299">
        <f t="shared" si="0"/>
        <v>0.17771084337349397</v>
      </c>
      <c r="O72" s="299">
        <f t="shared" si="1"/>
        <v>0.17771084337349397</v>
      </c>
      <c r="P72" s="300">
        <v>1</v>
      </c>
      <c r="Q72" s="301">
        <v>0.25</v>
      </c>
      <c r="R72" s="301">
        <v>0.5</v>
      </c>
      <c r="S72" s="301">
        <v>0.75</v>
      </c>
      <c r="T72" s="301">
        <v>1</v>
      </c>
      <c r="U72" s="301"/>
      <c r="V72" s="301"/>
      <c r="W72" s="300"/>
      <c r="X72" s="303"/>
      <c r="Y72" s="304"/>
      <c r="Z72" s="305"/>
      <c r="AA72" s="305"/>
      <c r="AB72" s="304"/>
      <c r="AC72" s="305"/>
      <c r="AD72" s="305"/>
      <c r="AE72" s="304"/>
      <c r="AF72" s="305"/>
      <c r="AG72" s="305"/>
      <c r="AH72" s="306"/>
    </row>
    <row r="73" spans="1:34" ht="70.2" customHeight="1" outlineLevel="1" x14ac:dyDescent="0.25">
      <c r="A73" s="742"/>
      <c r="B73" s="750"/>
      <c r="C73" s="750"/>
      <c r="D73" s="873"/>
      <c r="E73" s="810"/>
      <c r="F73" s="810"/>
      <c r="G73" s="6" t="s">
        <v>217</v>
      </c>
      <c r="H73" s="813"/>
      <c r="I73" s="286" t="s">
        <v>218</v>
      </c>
      <c r="J73" s="382">
        <v>33000000</v>
      </c>
      <c r="K73" s="298">
        <v>44593</v>
      </c>
      <c r="L73" s="298">
        <v>44925</v>
      </c>
      <c r="M73" s="298">
        <v>44652</v>
      </c>
      <c r="N73" s="299">
        <f t="shared" si="0"/>
        <v>0.17771084337349397</v>
      </c>
      <c r="O73" s="299">
        <f t="shared" si="1"/>
        <v>0.17771084337349397</v>
      </c>
      <c r="P73" s="300">
        <v>1</v>
      </c>
      <c r="Q73" s="301">
        <v>0.25</v>
      </c>
      <c r="R73" s="301">
        <v>0.5</v>
      </c>
      <c r="S73" s="301">
        <v>0.75</v>
      </c>
      <c r="T73" s="301">
        <v>1</v>
      </c>
      <c r="U73" s="301"/>
      <c r="V73" s="301"/>
      <c r="W73" s="300"/>
      <c r="X73" s="303"/>
      <c r="Y73" s="304"/>
      <c r="Z73" s="305"/>
      <c r="AA73" s="305"/>
      <c r="AB73" s="304"/>
      <c r="AC73" s="305"/>
      <c r="AD73" s="305"/>
      <c r="AE73" s="304"/>
      <c r="AF73" s="305"/>
      <c r="AG73" s="305"/>
      <c r="AH73" s="306"/>
    </row>
    <row r="74" spans="1:34" ht="70.2" customHeight="1" outlineLevel="1" x14ac:dyDescent="0.25">
      <c r="A74" s="742"/>
      <c r="B74" s="750"/>
      <c r="C74" s="750"/>
      <c r="D74" s="873"/>
      <c r="E74" s="810"/>
      <c r="F74" s="810"/>
      <c r="G74" s="6" t="s">
        <v>219</v>
      </c>
      <c r="H74" s="813"/>
      <c r="I74" s="286" t="s">
        <v>218</v>
      </c>
      <c r="J74" s="382">
        <f>1800000*11</f>
        <v>19800000</v>
      </c>
      <c r="K74" s="298">
        <v>44593</v>
      </c>
      <c r="L74" s="298">
        <v>44925</v>
      </c>
      <c r="M74" s="298">
        <v>44652</v>
      </c>
      <c r="N74" s="299">
        <f t="shared" si="0"/>
        <v>0.17771084337349397</v>
      </c>
      <c r="O74" s="299">
        <f t="shared" si="1"/>
        <v>0.17771084337349397</v>
      </c>
      <c r="P74" s="300">
        <v>1</v>
      </c>
      <c r="Q74" s="301">
        <v>0.25</v>
      </c>
      <c r="R74" s="301">
        <v>0.5</v>
      </c>
      <c r="S74" s="301">
        <v>0.75</v>
      </c>
      <c r="T74" s="301">
        <v>1</v>
      </c>
      <c r="U74" s="301"/>
      <c r="V74" s="301"/>
      <c r="W74" s="300"/>
      <c r="X74" s="303"/>
      <c r="Y74" s="304"/>
      <c r="Z74" s="305"/>
      <c r="AA74" s="305"/>
      <c r="AB74" s="304"/>
      <c r="AC74" s="305"/>
      <c r="AD74" s="305"/>
      <c r="AE74" s="304"/>
      <c r="AF74" s="305"/>
      <c r="AG74" s="305"/>
      <c r="AH74" s="306"/>
    </row>
    <row r="75" spans="1:34" ht="56.25" customHeight="1" outlineLevel="1" x14ac:dyDescent="0.25">
      <c r="A75" s="742"/>
      <c r="B75" s="750"/>
      <c r="C75" s="750"/>
      <c r="D75" s="873"/>
      <c r="E75" s="810"/>
      <c r="F75" s="810"/>
      <c r="G75" s="6" t="s">
        <v>220</v>
      </c>
      <c r="H75" s="813"/>
      <c r="I75" s="286" t="s">
        <v>221</v>
      </c>
      <c r="J75" s="286" t="s">
        <v>111</v>
      </c>
      <c r="K75" s="298">
        <v>44593</v>
      </c>
      <c r="L75" s="298">
        <v>44925</v>
      </c>
      <c r="M75" s="298">
        <v>44652</v>
      </c>
      <c r="N75" s="299">
        <f t="shared" si="0"/>
        <v>0.17771084337349397</v>
      </c>
      <c r="O75" s="299">
        <f t="shared" si="1"/>
        <v>0.17771084337349397</v>
      </c>
      <c r="P75" s="300">
        <v>1</v>
      </c>
      <c r="Q75" s="301">
        <v>0.25</v>
      </c>
      <c r="R75" s="301">
        <v>0.5</v>
      </c>
      <c r="S75" s="301">
        <v>0.75</v>
      </c>
      <c r="T75" s="301">
        <v>1</v>
      </c>
      <c r="U75" s="301"/>
      <c r="V75" s="301"/>
      <c r="W75" s="300"/>
      <c r="X75" s="303"/>
      <c r="Y75" s="304"/>
      <c r="Z75" s="305"/>
      <c r="AA75" s="305"/>
      <c r="AB75" s="304"/>
      <c r="AC75" s="305"/>
      <c r="AD75" s="305"/>
      <c r="AE75" s="304"/>
      <c r="AF75" s="305"/>
      <c r="AG75" s="305"/>
      <c r="AH75" s="306"/>
    </row>
    <row r="76" spans="1:34" ht="70.2" customHeight="1" outlineLevel="1" x14ac:dyDescent="0.25">
      <c r="A76" s="742"/>
      <c r="B76" s="750"/>
      <c r="C76" s="750"/>
      <c r="D76" s="873"/>
      <c r="E76" s="810"/>
      <c r="F76" s="810"/>
      <c r="G76" s="6" t="s">
        <v>222</v>
      </c>
      <c r="H76" s="813"/>
      <c r="I76" s="286" t="s">
        <v>223</v>
      </c>
      <c r="J76" s="286" t="s">
        <v>111</v>
      </c>
      <c r="K76" s="298">
        <v>44593</v>
      </c>
      <c r="L76" s="298">
        <v>44925</v>
      </c>
      <c r="M76" s="298">
        <v>44652</v>
      </c>
      <c r="N76" s="299">
        <f t="shared" si="0"/>
        <v>0.17771084337349397</v>
      </c>
      <c r="O76" s="299">
        <f t="shared" si="1"/>
        <v>0.17771084337349397</v>
      </c>
      <c r="P76" s="300">
        <v>1</v>
      </c>
      <c r="Q76" s="301">
        <v>0.25</v>
      </c>
      <c r="R76" s="301">
        <v>0.5</v>
      </c>
      <c r="S76" s="301">
        <v>0.75</v>
      </c>
      <c r="T76" s="301">
        <v>1</v>
      </c>
      <c r="U76" s="301"/>
      <c r="V76" s="301"/>
      <c r="W76" s="300"/>
      <c r="X76" s="303"/>
      <c r="Y76" s="304"/>
      <c r="Z76" s="305"/>
      <c r="AA76" s="305"/>
      <c r="AB76" s="304"/>
      <c r="AC76" s="305"/>
      <c r="AD76" s="305"/>
      <c r="AE76" s="304"/>
      <c r="AF76" s="305"/>
      <c r="AG76" s="305"/>
      <c r="AH76" s="306"/>
    </row>
    <row r="77" spans="1:34" ht="56.25" customHeight="1" outlineLevel="1" x14ac:dyDescent="0.25">
      <c r="A77" s="742"/>
      <c r="B77" s="750"/>
      <c r="C77" s="750"/>
      <c r="D77" s="873"/>
      <c r="E77" s="810"/>
      <c r="F77" s="810"/>
      <c r="G77" s="6" t="s">
        <v>224</v>
      </c>
      <c r="H77" s="813"/>
      <c r="I77" s="286" t="s">
        <v>225</v>
      </c>
      <c r="J77" s="286" t="s">
        <v>111</v>
      </c>
      <c r="K77" s="298">
        <v>44593</v>
      </c>
      <c r="L77" s="298">
        <v>44925</v>
      </c>
      <c r="M77" s="298">
        <v>44652</v>
      </c>
      <c r="N77" s="299">
        <f t="shared" si="0"/>
        <v>0.17771084337349397</v>
      </c>
      <c r="O77" s="299">
        <f t="shared" si="1"/>
        <v>0.17771084337349397</v>
      </c>
      <c r="P77" s="300">
        <v>1</v>
      </c>
      <c r="Q77" s="301">
        <v>0.25</v>
      </c>
      <c r="R77" s="301">
        <v>0.5</v>
      </c>
      <c r="S77" s="301">
        <v>0.75</v>
      </c>
      <c r="T77" s="301">
        <v>1</v>
      </c>
      <c r="U77" s="301"/>
      <c r="V77" s="301"/>
      <c r="W77" s="300"/>
      <c r="X77" s="303"/>
      <c r="Y77" s="304"/>
      <c r="Z77" s="305"/>
      <c r="AA77" s="305"/>
      <c r="AB77" s="304"/>
      <c r="AC77" s="305"/>
      <c r="AD77" s="305"/>
      <c r="AE77" s="304"/>
      <c r="AF77" s="305"/>
      <c r="AG77" s="305"/>
      <c r="AH77" s="306"/>
    </row>
    <row r="78" spans="1:34" ht="75" customHeight="1" outlineLevel="1" x14ac:dyDescent="0.25">
      <c r="A78" s="742"/>
      <c r="B78" s="750"/>
      <c r="C78" s="750"/>
      <c r="D78" s="873"/>
      <c r="E78" s="810"/>
      <c r="F78" s="810"/>
      <c r="G78" s="6" t="s">
        <v>226</v>
      </c>
      <c r="H78" s="813"/>
      <c r="I78" s="308" t="s">
        <v>227</v>
      </c>
      <c r="J78" s="381">
        <v>2500000</v>
      </c>
      <c r="K78" s="298">
        <v>44593</v>
      </c>
      <c r="L78" s="298">
        <v>44925</v>
      </c>
      <c r="M78" s="298">
        <v>44652</v>
      </c>
      <c r="N78" s="299">
        <f t="shared" si="0"/>
        <v>0.17771084337349397</v>
      </c>
      <c r="O78" s="299">
        <f t="shared" si="1"/>
        <v>0.17771084337349397</v>
      </c>
      <c r="P78" s="300">
        <v>1</v>
      </c>
      <c r="Q78" s="301">
        <v>0.25</v>
      </c>
      <c r="R78" s="301">
        <v>0.5</v>
      </c>
      <c r="S78" s="301">
        <v>0.75</v>
      </c>
      <c r="T78" s="301">
        <v>1</v>
      </c>
      <c r="U78" s="301"/>
      <c r="V78" s="301"/>
      <c r="W78" s="300"/>
      <c r="X78" s="303"/>
      <c r="Y78" s="304"/>
      <c r="Z78" s="305"/>
      <c r="AA78" s="305"/>
      <c r="AB78" s="304"/>
      <c r="AC78" s="305"/>
      <c r="AD78" s="305"/>
      <c r="AE78" s="304"/>
      <c r="AF78" s="305"/>
      <c r="AG78" s="305"/>
      <c r="AH78" s="306"/>
    </row>
    <row r="79" spans="1:34" ht="56.25" customHeight="1" outlineLevel="1" x14ac:dyDescent="0.25">
      <c r="A79" s="742"/>
      <c r="B79" s="750"/>
      <c r="C79" s="750"/>
      <c r="D79" s="873"/>
      <c r="E79" s="810"/>
      <c r="F79" s="810"/>
      <c r="G79" s="6" t="s">
        <v>228</v>
      </c>
      <c r="H79" s="813"/>
      <c r="I79" s="286" t="s">
        <v>229</v>
      </c>
      <c r="J79" s="286" t="s">
        <v>59</v>
      </c>
      <c r="K79" s="298">
        <v>44593</v>
      </c>
      <c r="L79" s="298">
        <v>44925</v>
      </c>
      <c r="M79" s="298">
        <v>44652</v>
      </c>
      <c r="N79" s="299">
        <f t="shared" si="0"/>
        <v>0.17771084337349397</v>
      </c>
      <c r="O79" s="299">
        <f t="shared" si="1"/>
        <v>0.17771084337349397</v>
      </c>
      <c r="P79" s="300">
        <v>1</v>
      </c>
      <c r="Q79" s="301">
        <v>0.25</v>
      </c>
      <c r="R79" s="301">
        <v>0.5</v>
      </c>
      <c r="S79" s="301">
        <v>0.75</v>
      </c>
      <c r="T79" s="301">
        <v>1</v>
      </c>
      <c r="U79" s="301"/>
      <c r="V79" s="301"/>
      <c r="W79" s="300"/>
      <c r="X79" s="303"/>
      <c r="Y79" s="304"/>
      <c r="Z79" s="305"/>
      <c r="AA79" s="305"/>
      <c r="AB79" s="304"/>
      <c r="AC79" s="305"/>
      <c r="AD79" s="305"/>
      <c r="AE79" s="304"/>
      <c r="AF79" s="305"/>
      <c r="AG79" s="305"/>
      <c r="AH79" s="306"/>
    </row>
    <row r="80" spans="1:34" ht="56.25" customHeight="1" outlineLevel="1" x14ac:dyDescent="0.25">
      <c r="A80" s="742"/>
      <c r="B80" s="750"/>
      <c r="C80" s="750"/>
      <c r="D80" s="873"/>
      <c r="E80" s="810"/>
      <c r="F80" s="810"/>
      <c r="G80" s="6" t="s">
        <v>230</v>
      </c>
      <c r="H80" s="813"/>
      <c r="I80" s="286" t="s">
        <v>231</v>
      </c>
      <c r="J80" s="286" t="s">
        <v>59</v>
      </c>
      <c r="K80" s="298">
        <v>44593</v>
      </c>
      <c r="L80" s="298">
        <v>44925</v>
      </c>
      <c r="M80" s="298">
        <v>44652</v>
      </c>
      <c r="N80" s="299">
        <f t="shared" si="0"/>
        <v>0.17771084337349397</v>
      </c>
      <c r="O80" s="299">
        <f t="shared" si="1"/>
        <v>0.17771084337349397</v>
      </c>
      <c r="P80" s="300">
        <v>1</v>
      </c>
      <c r="Q80" s="301">
        <v>0.25</v>
      </c>
      <c r="R80" s="301">
        <v>0.5</v>
      </c>
      <c r="S80" s="301">
        <v>0.75</v>
      </c>
      <c r="T80" s="301">
        <v>1</v>
      </c>
      <c r="U80" s="301"/>
      <c r="V80" s="301"/>
      <c r="W80" s="300"/>
      <c r="X80" s="303"/>
      <c r="Y80" s="304"/>
      <c r="Z80" s="305"/>
      <c r="AA80" s="305"/>
      <c r="AB80" s="304"/>
      <c r="AC80" s="305"/>
      <c r="AD80" s="305"/>
      <c r="AE80" s="304"/>
      <c r="AF80" s="305"/>
      <c r="AG80" s="305"/>
      <c r="AH80" s="306"/>
    </row>
    <row r="81" spans="1:34" ht="46.5" customHeight="1" outlineLevel="1" x14ac:dyDescent="0.25">
      <c r="A81" s="742"/>
      <c r="B81" s="750"/>
      <c r="C81" s="750"/>
      <c r="D81" s="873"/>
      <c r="E81" s="810"/>
      <c r="F81" s="810"/>
      <c r="G81" s="6" t="s">
        <v>232</v>
      </c>
      <c r="H81" s="813"/>
      <c r="I81" s="833" t="s">
        <v>233</v>
      </c>
      <c r="J81" s="381">
        <v>10000000</v>
      </c>
      <c r="K81" s="298">
        <v>44593</v>
      </c>
      <c r="L81" s="298">
        <v>44925</v>
      </c>
      <c r="M81" s="298">
        <v>44652</v>
      </c>
      <c r="N81" s="299">
        <f t="shared" si="0"/>
        <v>0.17771084337349397</v>
      </c>
      <c r="O81" s="299">
        <f t="shared" si="1"/>
        <v>0.17771084337349397</v>
      </c>
      <c r="P81" s="300">
        <v>1</v>
      </c>
      <c r="Q81" s="301">
        <v>0.25</v>
      </c>
      <c r="R81" s="301">
        <v>0.5</v>
      </c>
      <c r="S81" s="301">
        <v>0.75</v>
      </c>
      <c r="T81" s="301">
        <v>1</v>
      </c>
      <c r="U81" s="301"/>
      <c r="V81" s="301"/>
      <c r="W81" s="300"/>
      <c r="X81" s="303"/>
      <c r="Y81" s="304"/>
      <c r="Z81" s="305"/>
      <c r="AA81" s="305"/>
      <c r="AB81" s="304"/>
      <c r="AC81" s="305"/>
      <c r="AD81" s="305"/>
      <c r="AE81" s="304"/>
      <c r="AF81" s="305"/>
      <c r="AG81" s="305"/>
      <c r="AH81" s="306"/>
    </row>
    <row r="82" spans="1:34" ht="46.5" customHeight="1" outlineLevel="1" x14ac:dyDescent="0.25">
      <c r="A82" s="742"/>
      <c r="B82" s="750"/>
      <c r="C82" s="750"/>
      <c r="D82" s="873"/>
      <c r="E82" s="810"/>
      <c r="F82" s="810"/>
      <c r="G82" s="6" t="s">
        <v>234</v>
      </c>
      <c r="H82" s="813"/>
      <c r="I82" s="834"/>
      <c r="J82" s="381">
        <v>10000000</v>
      </c>
      <c r="K82" s="298">
        <v>44593</v>
      </c>
      <c r="L82" s="298">
        <v>44925</v>
      </c>
      <c r="M82" s="298">
        <v>44652</v>
      </c>
      <c r="N82" s="299">
        <f t="shared" si="0"/>
        <v>0.17771084337349397</v>
      </c>
      <c r="O82" s="299">
        <f t="shared" si="1"/>
        <v>0.17771084337349397</v>
      </c>
      <c r="P82" s="300">
        <v>1</v>
      </c>
      <c r="Q82" s="301">
        <v>0.25</v>
      </c>
      <c r="R82" s="301">
        <v>0.5</v>
      </c>
      <c r="S82" s="301">
        <v>0.75</v>
      </c>
      <c r="T82" s="301">
        <v>1</v>
      </c>
      <c r="U82" s="301"/>
      <c r="V82" s="301"/>
      <c r="W82" s="300"/>
      <c r="X82" s="303"/>
      <c r="Y82" s="304"/>
      <c r="Z82" s="305"/>
      <c r="AA82" s="305"/>
      <c r="AB82" s="304"/>
      <c r="AC82" s="305"/>
      <c r="AD82" s="305"/>
      <c r="AE82" s="304"/>
      <c r="AF82" s="305"/>
      <c r="AG82" s="305"/>
      <c r="AH82" s="306"/>
    </row>
    <row r="83" spans="1:34" ht="75" customHeight="1" outlineLevel="1" x14ac:dyDescent="0.25">
      <c r="A83" s="742"/>
      <c r="B83" s="750"/>
      <c r="C83" s="750"/>
      <c r="D83" s="873"/>
      <c r="E83" s="810"/>
      <c r="F83" s="810"/>
      <c r="G83" s="6" t="s">
        <v>235</v>
      </c>
      <c r="H83" s="813"/>
      <c r="I83" s="274" t="s">
        <v>236</v>
      </c>
      <c r="J83" s="381">
        <v>22000000</v>
      </c>
      <c r="K83" s="298">
        <v>44593</v>
      </c>
      <c r="L83" s="298">
        <v>44925</v>
      </c>
      <c r="M83" s="298">
        <v>44652</v>
      </c>
      <c r="N83" s="299">
        <f t="shared" si="0"/>
        <v>0.17771084337349397</v>
      </c>
      <c r="O83" s="299">
        <f t="shared" si="1"/>
        <v>0.17771084337349397</v>
      </c>
      <c r="P83" s="300">
        <v>1</v>
      </c>
      <c r="Q83" s="301">
        <v>0.25</v>
      </c>
      <c r="R83" s="301">
        <v>0.5</v>
      </c>
      <c r="S83" s="301">
        <v>0.75</v>
      </c>
      <c r="T83" s="301">
        <v>1</v>
      </c>
      <c r="U83" s="301"/>
      <c r="V83" s="301"/>
      <c r="W83" s="300"/>
      <c r="X83" s="303"/>
      <c r="Y83" s="304"/>
      <c r="Z83" s="305"/>
      <c r="AA83" s="305"/>
      <c r="AB83" s="304"/>
      <c r="AC83" s="305"/>
      <c r="AD83" s="305"/>
      <c r="AE83" s="304"/>
      <c r="AF83" s="305"/>
      <c r="AG83" s="305"/>
      <c r="AH83" s="306"/>
    </row>
    <row r="84" spans="1:34" ht="75" customHeight="1" outlineLevel="1" x14ac:dyDescent="0.25">
      <c r="A84" s="742"/>
      <c r="B84" s="750"/>
      <c r="C84" s="750"/>
      <c r="D84" s="873"/>
      <c r="E84" s="810"/>
      <c r="F84" s="810"/>
      <c r="G84" s="7" t="s">
        <v>237</v>
      </c>
      <c r="H84" s="813"/>
      <c r="I84" s="342" t="s">
        <v>238</v>
      </c>
      <c r="J84" s="381">
        <v>10000000</v>
      </c>
      <c r="K84" s="298">
        <v>44593</v>
      </c>
      <c r="L84" s="298">
        <v>44925</v>
      </c>
      <c r="M84" s="298">
        <v>44652</v>
      </c>
      <c r="N84" s="299">
        <f t="shared" si="0"/>
        <v>0.17771084337349397</v>
      </c>
      <c r="O84" s="299">
        <f t="shared" si="1"/>
        <v>0.17771084337349397</v>
      </c>
      <c r="P84" s="300">
        <v>1</v>
      </c>
      <c r="Q84" s="301">
        <v>0.25</v>
      </c>
      <c r="R84" s="301">
        <v>0.5</v>
      </c>
      <c r="S84" s="301">
        <v>0.75</v>
      </c>
      <c r="T84" s="301">
        <v>1</v>
      </c>
      <c r="U84" s="301"/>
      <c r="V84" s="301"/>
      <c r="W84" s="300"/>
      <c r="X84" s="303"/>
      <c r="Y84" s="304"/>
      <c r="Z84" s="305"/>
      <c r="AA84" s="305"/>
      <c r="AB84" s="304"/>
      <c r="AC84" s="305"/>
      <c r="AD84" s="305"/>
      <c r="AE84" s="304"/>
      <c r="AF84" s="305"/>
      <c r="AG84" s="305"/>
      <c r="AH84" s="306"/>
    </row>
    <row r="85" spans="1:34" ht="56.25" customHeight="1" outlineLevel="1" x14ac:dyDescent="0.25">
      <c r="A85" s="742"/>
      <c r="B85" s="750"/>
      <c r="C85" s="750"/>
      <c r="D85" s="873"/>
      <c r="E85" s="810"/>
      <c r="F85" s="810"/>
      <c r="G85" s="6" t="s">
        <v>239</v>
      </c>
      <c r="H85" s="813"/>
      <c r="I85" s="342" t="s">
        <v>240</v>
      </c>
      <c r="J85" s="286" t="s">
        <v>59</v>
      </c>
      <c r="K85" s="298">
        <v>44593</v>
      </c>
      <c r="L85" s="298">
        <v>44925</v>
      </c>
      <c r="M85" s="298">
        <v>44652</v>
      </c>
      <c r="N85" s="299">
        <f t="shared" si="0"/>
        <v>0.17771084337349397</v>
      </c>
      <c r="O85" s="299">
        <f t="shared" si="1"/>
        <v>0.17771084337349397</v>
      </c>
      <c r="P85" s="300">
        <v>1</v>
      </c>
      <c r="Q85" s="301">
        <v>0.25</v>
      </c>
      <c r="R85" s="301">
        <v>0.5</v>
      </c>
      <c r="S85" s="301">
        <v>0.75</v>
      </c>
      <c r="T85" s="301">
        <v>1</v>
      </c>
      <c r="U85" s="301"/>
      <c r="V85" s="301"/>
      <c r="W85" s="300"/>
      <c r="X85" s="303"/>
      <c r="Y85" s="304"/>
      <c r="Z85" s="305"/>
      <c r="AA85" s="305"/>
      <c r="AB85" s="304"/>
      <c r="AC85" s="305"/>
      <c r="AD85" s="305"/>
      <c r="AE85" s="304"/>
      <c r="AF85" s="305"/>
      <c r="AG85" s="305"/>
      <c r="AH85" s="306"/>
    </row>
    <row r="86" spans="1:34" ht="56.25" customHeight="1" outlineLevel="1" x14ac:dyDescent="0.25">
      <c r="A86" s="742"/>
      <c r="B86" s="750"/>
      <c r="C86" s="750"/>
      <c r="D86" s="873"/>
      <c r="E86" s="811"/>
      <c r="F86" s="811"/>
      <c r="G86" s="6" t="s">
        <v>241</v>
      </c>
      <c r="H86" s="814"/>
      <c r="I86" s="342" t="s">
        <v>242</v>
      </c>
      <c r="J86" s="381">
        <v>12000000</v>
      </c>
      <c r="K86" s="298">
        <v>44593</v>
      </c>
      <c r="L86" s="298">
        <v>44925</v>
      </c>
      <c r="M86" s="298">
        <v>44652</v>
      </c>
      <c r="N86" s="299">
        <f t="shared" si="0"/>
        <v>0.17771084337349397</v>
      </c>
      <c r="O86" s="299">
        <f t="shared" si="1"/>
        <v>0.17771084337349397</v>
      </c>
      <c r="P86" s="300">
        <v>1</v>
      </c>
      <c r="Q86" s="301">
        <v>0.25</v>
      </c>
      <c r="R86" s="301">
        <v>0.5</v>
      </c>
      <c r="S86" s="301">
        <v>0.75</v>
      </c>
      <c r="T86" s="301">
        <v>1</v>
      </c>
      <c r="U86" s="301"/>
      <c r="V86" s="301"/>
      <c r="W86" s="300"/>
      <c r="X86" s="303"/>
      <c r="Y86" s="304"/>
      <c r="Z86" s="305"/>
      <c r="AA86" s="305"/>
      <c r="AB86" s="304"/>
      <c r="AC86" s="305"/>
      <c r="AD86" s="305"/>
      <c r="AE86" s="304"/>
      <c r="AF86" s="305"/>
      <c r="AG86" s="305"/>
      <c r="AH86" s="306"/>
    </row>
    <row r="87" spans="1:34" ht="56.25" customHeight="1" outlineLevel="1" x14ac:dyDescent="0.25">
      <c r="A87" s="742"/>
      <c r="B87" s="750"/>
      <c r="C87" s="750"/>
      <c r="D87" s="873"/>
      <c r="E87" s="809" t="s">
        <v>243</v>
      </c>
      <c r="F87" s="809" t="s">
        <v>244</v>
      </c>
      <c r="G87" s="6" t="s">
        <v>245</v>
      </c>
      <c r="H87" s="812" t="s">
        <v>246</v>
      </c>
      <c r="I87" s="274" t="s">
        <v>236</v>
      </c>
      <c r="J87" s="286" t="s">
        <v>59</v>
      </c>
      <c r="K87" s="298">
        <v>44593</v>
      </c>
      <c r="L87" s="298">
        <v>44925</v>
      </c>
      <c r="M87" s="298">
        <v>44652</v>
      </c>
      <c r="N87" s="299">
        <f t="shared" si="0"/>
        <v>0.17771084337349397</v>
      </c>
      <c r="O87" s="299">
        <f t="shared" si="1"/>
        <v>0.17771084337349397</v>
      </c>
      <c r="P87" s="300">
        <v>0.9</v>
      </c>
      <c r="Q87" s="301">
        <v>0.86</v>
      </c>
      <c r="R87" s="301">
        <v>0.87</v>
      </c>
      <c r="S87" s="301">
        <v>0.88</v>
      </c>
      <c r="T87" s="301">
        <v>0.9</v>
      </c>
      <c r="U87" s="301"/>
      <c r="V87" s="301"/>
      <c r="W87" s="300"/>
      <c r="X87" s="303"/>
      <c r="Y87" s="304"/>
      <c r="Z87" s="305"/>
      <c r="AA87" s="305"/>
      <c r="AB87" s="304"/>
      <c r="AC87" s="305"/>
      <c r="AD87" s="305"/>
      <c r="AE87" s="304"/>
      <c r="AF87" s="305"/>
      <c r="AG87" s="305"/>
      <c r="AH87" s="306"/>
    </row>
    <row r="88" spans="1:34" ht="75" customHeight="1" outlineLevel="1" x14ac:dyDescent="0.25">
      <c r="A88" s="742"/>
      <c r="B88" s="750"/>
      <c r="C88" s="750"/>
      <c r="D88" s="873"/>
      <c r="E88" s="810"/>
      <c r="F88" s="810"/>
      <c r="G88" s="6" t="s">
        <v>247</v>
      </c>
      <c r="H88" s="813"/>
      <c r="I88" s="274" t="s">
        <v>248</v>
      </c>
      <c r="J88" s="381">
        <f>(6*1670000)+2340000+930000+2820021</f>
        <v>16110021</v>
      </c>
      <c r="K88" s="298">
        <v>44593</v>
      </c>
      <c r="L88" s="298">
        <v>44925</v>
      </c>
      <c r="M88" s="298">
        <v>44652</v>
      </c>
      <c r="N88" s="299">
        <f t="shared" si="0"/>
        <v>0.17771084337349397</v>
      </c>
      <c r="O88" s="299">
        <f t="shared" si="1"/>
        <v>0.17771084337349397</v>
      </c>
      <c r="P88" s="300">
        <v>1</v>
      </c>
      <c r="Q88" s="301">
        <v>0.25</v>
      </c>
      <c r="R88" s="301">
        <v>0.5</v>
      </c>
      <c r="S88" s="301">
        <v>0.75</v>
      </c>
      <c r="T88" s="301">
        <v>1</v>
      </c>
      <c r="U88" s="301"/>
      <c r="V88" s="301"/>
      <c r="W88" s="300"/>
      <c r="X88" s="303"/>
      <c r="Y88" s="304"/>
      <c r="Z88" s="305"/>
      <c r="AA88" s="305"/>
      <c r="AB88" s="304"/>
      <c r="AC88" s="305"/>
      <c r="AD88" s="305"/>
      <c r="AE88" s="304"/>
      <c r="AF88" s="305"/>
      <c r="AG88" s="305"/>
      <c r="AH88" s="306"/>
    </row>
    <row r="89" spans="1:34" ht="46.5" customHeight="1" outlineLevel="1" x14ac:dyDescent="0.25">
      <c r="A89" s="742"/>
      <c r="B89" s="750"/>
      <c r="C89" s="750"/>
      <c r="D89" s="873"/>
      <c r="E89" s="810"/>
      <c r="F89" s="810"/>
      <c r="G89" s="7" t="s">
        <v>250</v>
      </c>
      <c r="H89" s="813"/>
      <c r="I89" s="274" t="s">
        <v>251</v>
      </c>
      <c r="J89" s="286" t="s">
        <v>59</v>
      </c>
      <c r="K89" s="298">
        <v>44593</v>
      </c>
      <c r="L89" s="298">
        <v>44925</v>
      </c>
      <c r="M89" s="298">
        <v>44652</v>
      </c>
      <c r="N89" s="299">
        <f t="shared" si="0"/>
        <v>0.17771084337349397</v>
      </c>
      <c r="O89" s="299">
        <f t="shared" si="1"/>
        <v>0.17771084337349397</v>
      </c>
      <c r="P89" s="300">
        <v>1</v>
      </c>
      <c r="Q89" s="301">
        <v>0.25</v>
      </c>
      <c r="R89" s="301">
        <v>0.5</v>
      </c>
      <c r="S89" s="301">
        <v>0.75</v>
      </c>
      <c r="T89" s="301">
        <v>1</v>
      </c>
      <c r="U89" s="301"/>
      <c r="V89" s="301"/>
      <c r="W89" s="300"/>
      <c r="X89" s="303"/>
      <c r="Y89" s="304"/>
      <c r="Z89" s="305"/>
      <c r="AA89" s="305"/>
      <c r="AB89" s="304"/>
      <c r="AC89" s="305"/>
      <c r="AD89" s="305"/>
      <c r="AE89" s="304"/>
      <c r="AF89" s="305"/>
      <c r="AG89" s="305"/>
      <c r="AH89" s="306"/>
    </row>
    <row r="90" spans="1:34" ht="56.25" customHeight="1" outlineLevel="1" x14ac:dyDescent="0.25">
      <c r="A90" s="742"/>
      <c r="B90" s="750"/>
      <c r="C90" s="750"/>
      <c r="D90" s="873"/>
      <c r="E90" s="810"/>
      <c r="F90" s="810"/>
      <c r="G90" s="6" t="s">
        <v>252</v>
      </c>
      <c r="H90" s="813"/>
      <c r="I90" s="274" t="s">
        <v>253</v>
      </c>
      <c r="J90" s="286" t="s">
        <v>59</v>
      </c>
      <c r="K90" s="298">
        <v>44593</v>
      </c>
      <c r="L90" s="298">
        <v>44925</v>
      </c>
      <c r="M90" s="298">
        <v>44652</v>
      </c>
      <c r="N90" s="299">
        <f t="shared" si="0"/>
        <v>0.17771084337349397</v>
      </c>
      <c r="O90" s="299">
        <f t="shared" si="1"/>
        <v>0.17771084337349397</v>
      </c>
      <c r="P90" s="300">
        <v>1</v>
      </c>
      <c r="Q90" s="301">
        <v>0.25</v>
      </c>
      <c r="R90" s="301">
        <v>0.5</v>
      </c>
      <c r="S90" s="301">
        <v>0.75</v>
      </c>
      <c r="T90" s="301">
        <v>1</v>
      </c>
      <c r="U90" s="301"/>
      <c r="V90" s="301"/>
      <c r="W90" s="300"/>
      <c r="X90" s="303"/>
      <c r="Y90" s="304"/>
      <c r="Z90" s="305"/>
      <c r="AA90" s="305"/>
      <c r="AB90" s="304"/>
      <c r="AC90" s="305"/>
      <c r="AD90" s="305"/>
      <c r="AE90" s="304"/>
      <c r="AF90" s="305"/>
      <c r="AG90" s="305"/>
      <c r="AH90" s="306"/>
    </row>
    <row r="91" spans="1:34" ht="75" customHeight="1" outlineLevel="1" x14ac:dyDescent="0.25">
      <c r="A91" s="742"/>
      <c r="B91" s="750"/>
      <c r="C91" s="750"/>
      <c r="D91" s="873"/>
      <c r="E91" s="810"/>
      <c r="F91" s="810"/>
      <c r="G91" s="7" t="s">
        <v>254</v>
      </c>
      <c r="H91" s="813"/>
      <c r="I91" s="274" t="s">
        <v>255</v>
      </c>
      <c r="J91" s="383">
        <v>15000000</v>
      </c>
      <c r="K91" s="298">
        <v>44593</v>
      </c>
      <c r="L91" s="298">
        <v>44925</v>
      </c>
      <c r="M91" s="298">
        <v>44652</v>
      </c>
      <c r="N91" s="299">
        <f t="shared" si="0"/>
        <v>0.17771084337349397</v>
      </c>
      <c r="O91" s="299">
        <f t="shared" si="1"/>
        <v>0.17771084337349397</v>
      </c>
      <c r="P91" s="300">
        <v>1</v>
      </c>
      <c r="Q91" s="301">
        <v>0.25</v>
      </c>
      <c r="R91" s="301">
        <v>0.5</v>
      </c>
      <c r="S91" s="301">
        <v>0.75</v>
      </c>
      <c r="T91" s="301">
        <v>1</v>
      </c>
      <c r="U91" s="301"/>
      <c r="V91" s="301"/>
      <c r="W91" s="300"/>
      <c r="X91" s="303"/>
      <c r="Y91" s="304"/>
      <c r="Z91" s="305"/>
      <c r="AA91" s="305"/>
      <c r="AB91" s="304"/>
      <c r="AC91" s="305"/>
      <c r="AD91" s="305"/>
      <c r="AE91" s="304"/>
      <c r="AF91" s="305"/>
      <c r="AG91" s="305"/>
      <c r="AH91" s="306"/>
    </row>
    <row r="92" spans="1:34" ht="46.5" customHeight="1" outlineLevel="1" x14ac:dyDescent="0.25">
      <c r="A92" s="742"/>
      <c r="B92" s="750"/>
      <c r="C92" s="750"/>
      <c r="D92" s="873"/>
      <c r="E92" s="810"/>
      <c r="F92" s="810"/>
      <c r="G92" s="7" t="s">
        <v>256</v>
      </c>
      <c r="H92" s="813"/>
      <c r="I92" s="274" t="s">
        <v>253</v>
      </c>
      <c r="J92" s="286" t="s">
        <v>59</v>
      </c>
      <c r="K92" s="298">
        <v>44593</v>
      </c>
      <c r="L92" s="298">
        <v>44925</v>
      </c>
      <c r="M92" s="298">
        <v>44652</v>
      </c>
      <c r="N92" s="299">
        <f t="shared" si="0"/>
        <v>0.17771084337349397</v>
      </c>
      <c r="O92" s="299">
        <f t="shared" si="1"/>
        <v>0.17771084337349397</v>
      </c>
      <c r="P92" s="300">
        <v>1</v>
      </c>
      <c r="Q92" s="301">
        <v>0.25</v>
      </c>
      <c r="R92" s="301">
        <v>0.5</v>
      </c>
      <c r="S92" s="301">
        <v>0.75</v>
      </c>
      <c r="T92" s="301">
        <v>1</v>
      </c>
      <c r="U92" s="301"/>
      <c r="V92" s="301"/>
      <c r="W92" s="300"/>
      <c r="X92" s="303"/>
      <c r="Y92" s="304"/>
      <c r="Z92" s="305"/>
      <c r="AA92" s="305"/>
      <c r="AB92" s="304"/>
      <c r="AC92" s="305"/>
      <c r="AD92" s="305"/>
      <c r="AE92" s="304"/>
      <c r="AF92" s="305"/>
      <c r="AG92" s="305"/>
      <c r="AH92" s="306"/>
    </row>
    <row r="93" spans="1:34" ht="93.75" customHeight="1" outlineLevel="1" x14ac:dyDescent="0.25">
      <c r="A93" s="742"/>
      <c r="B93" s="750"/>
      <c r="C93" s="750"/>
      <c r="D93" s="873"/>
      <c r="E93" s="810"/>
      <c r="F93" s="810"/>
      <c r="G93" s="7" t="s">
        <v>257</v>
      </c>
      <c r="H93" s="813"/>
      <c r="I93" s="308" t="s">
        <v>258</v>
      </c>
      <c r="J93" s="383">
        <v>6000000</v>
      </c>
      <c r="K93" s="298">
        <v>44593</v>
      </c>
      <c r="L93" s="298">
        <v>44925</v>
      </c>
      <c r="M93" s="298">
        <v>44652</v>
      </c>
      <c r="N93" s="299">
        <f t="shared" si="0"/>
        <v>0.17771084337349397</v>
      </c>
      <c r="O93" s="299">
        <f t="shared" si="1"/>
        <v>0.17771084337349397</v>
      </c>
      <c r="P93" s="300">
        <v>1</v>
      </c>
      <c r="Q93" s="301">
        <v>0.25</v>
      </c>
      <c r="R93" s="301">
        <v>0.5</v>
      </c>
      <c r="S93" s="301">
        <v>0.75</v>
      </c>
      <c r="T93" s="301">
        <v>1</v>
      </c>
      <c r="U93" s="301"/>
      <c r="V93" s="301"/>
      <c r="W93" s="300"/>
      <c r="X93" s="303"/>
      <c r="Y93" s="304"/>
      <c r="Z93" s="305"/>
      <c r="AA93" s="305"/>
      <c r="AB93" s="304"/>
      <c r="AC93" s="305"/>
      <c r="AD93" s="305"/>
      <c r="AE93" s="304"/>
      <c r="AF93" s="305"/>
      <c r="AG93" s="305"/>
      <c r="AH93" s="306"/>
    </row>
    <row r="94" spans="1:34" ht="86.25" customHeight="1" outlineLevel="1" x14ac:dyDescent="0.25">
      <c r="A94" s="742"/>
      <c r="B94" s="750"/>
      <c r="C94" s="750"/>
      <c r="D94" s="873"/>
      <c r="E94" s="810"/>
      <c r="F94" s="811"/>
      <c r="G94" s="7" t="s">
        <v>259</v>
      </c>
      <c r="H94" s="814"/>
      <c r="I94" s="274" t="s">
        <v>260</v>
      </c>
      <c r="J94" s="286" t="s">
        <v>59</v>
      </c>
      <c r="K94" s="298">
        <v>44593</v>
      </c>
      <c r="L94" s="298">
        <v>44925</v>
      </c>
      <c r="M94" s="298">
        <v>44652</v>
      </c>
      <c r="N94" s="299">
        <f t="shared" si="0"/>
        <v>0.17771084337349397</v>
      </c>
      <c r="O94" s="299">
        <f t="shared" si="1"/>
        <v>0.17771084337349397</v>
      </c>
      <c r="P94" s="300">
        <v>1</v>
      </c>
      <c r="Q94" s="301">
        <v>0.25</v>
      </c>
      <c r="R94" s="301">
        <v>0.5</v>
      </c>
      <c r="S94" s="301">
        <v>0.75</v>
      </c>
      <c r="T94" s="301">
        <v>1</v>
      </c>
      <c r="U94" s="301"/>
      <c r="V94" s="301"/>
      <c r="W94" s="300"/>
      <c r="X94" s="303"/>
      <c r="Y94" s="304"/>
      <c r="Z94" s="305"/>
      <c r="AA94" s="305"/>
      <c r="AB94" s="304"/>
      <c r="AC94" s="305"/>
      <c r="AD94" s="305"/>
      <c r="AE94" s="304"/>
      <c r="AF94" s="305"/>
      <c r="AG94" s="305"/>
      <c r="AH94" s="306"/>
    </row>
    <row r="95" spans="1:34" ht="75" customHeight="1" outlineLevel="1" x14ac:dyDescent="0.25">
      <c r="A95" s="742"/>
      <c r="B95" s="750"/>
      <c r="C95" s="750"/>
      <c r="D95" s="873"/>
      <c r="E95" s="810"/>
      <c r="F95" s="809" t="s">
        <v>261</v>
      </c>
      <c r="G95" s="7" t="s">
        <v>262</v>
      </c>
      <c r="H95" s="812" t="s">
        <v>263</v>
      </c>
      <c r="I95" s="274" t="s">
        <v>236</v>
      </c>
      <c r="J95" s="286" t="s">
        <v>59</v>
      </c>
      <c r="K95" s="298">
        <v>44593</v>
      </c>
      <c r="L95" s="298">
        <v>44925</v>
      </c>
      <c r="M95" s="298">
        <v>44652</v>
      </c>
      <c r="N95" s="299">
        <f t="shared" si="0"/>
        <v>0.17771084337349397</v>
      </c>
      <c r="O95" s="299">
        <f t="shared" si="1"/>
        <v>0.17771084337349397</v>
      </c>
      <c r="P95" s="300">
        <v>0.05</v>
      </c>
      <c r="Q95" s="301">
        <v>0.03</v>
      </c>
      <c r="R95" s="301" t="s">
        <v>264</v>
      </c>
      <c r="S95" s="301">
        <v>0.04</v>
      </c>
      <c r="T95" s="301">
        <v>0.05</v>
      </c>
      <c r="U95" s="301"/>
      <c r="V95" s="301"/>
      <c r="W95" s="300"/>
      <c r="X95" s="303"/>
      <c r="Y95" s="304"/>
      <c r="Z95" s="305"/>
      <c r="AA95" s="305"/>
      <c r="AB95" s="304"/>
      <c r="AC95" s="305"/>
      <c r="AD95" s="305"/>
      <c r="AE95" s="304"/>
      <c r="AF95" s="305"/>
      <c r="AG95" s="305"/>
      <c r="AH95" s="306"/>
    </row>
    <row r="96" spans="1:34" ht="112.5" customHeight="1" outlineLevel="1" x14ac:dyDescent="0.25">
      <c r="A96" s="742"/>
      <c r="B96" s="750"/>
      <c r="C96" s="750"/>
      <c r="D96" s="873"/>
      <c r="E96" s="810"/>
      <c r="F96" s="810"/>
      <c r="G96" s="7" t="s">
        <v>265</v>
      </c>
      <c r="H96" s="813"/>
      <c r="I96" s="274" t="s">
        <v>255</v>
      </c>
      <c r="J96" s="383">
        <v>30000000</v>
      </c>
      <c r="K96" s="298">
        <v>44593</v>
      </c>
      <c r="L96" s="298">
        <v>44925</v>
      </c>
      <c r="M96" s="298">
        <v>44652</v>
      </c>
      <c r="N96" s="299">
        <f t="shared" si="0"/>
        <v>0.17771084337349397</v>
      </c>
      <c r="O96" s="299">
        <f t="shared" si="1"/>
        <v>0.17771084337349397</v>
      </c>
      <c r="P96" s="300">
        <v>1</v>
      </c>
      <c r="Q96" s="301">
        <v>0.25</v>
      </c>
      <c r="R96" s="301">
        <v>0.5</v>
      </c>
      <c r="S96" s="301">
        <v>0.75</v>
      </c>
      <c r="T96" s="301">
        <v>1</v>
      </c>
      <c r="U96" s="301"/>
      <c r="V96" s="301"/>
      <c r="W96" s="300"/>
      <c r="X96" s="303"/>
      <c r="Y96" s="304"/>
      <c r="Z96" s="305"/>
      <c r="AA96" s="305"/>
      <c r="AB96" s="304"/>
      <c r="AC96" s="305"/>
      <c r="AD96" s="305"/>
      <c r="AE96" s="304"/>
      <c r="AF96" s="305"/>
      <c r="AG96" s="305"/>
      <c r="AH96" s="306"/>
    </row>
    <row r="97" spans="1:34" ht="31.5" customHeight="1" outlineLevel="1" x14ac:dyDescent="0.25">
      <c r="A97" s="878"/>
      <c r="B97" s="750"/>
      <c r="C97" s="750"/>
      <c r="D97" s="873"/>
      <c r="E97" s="810"/>
      <c r="F97" s="811"/>
      <c r="G97" s="7" t="s">
        <v>266</v>
      </c>
      <c r="H97" s="814"/>
      <c r="I97" s="274" t="s">
        <v>267</v>
      </c>
      <c r="J97" s="384" t="s">
        <v>59</v>
      </c>
      <c r="K97" s="298">
        <v>44593</v>
      </c>
      <c r="L97" s="298">
        <v>44925</v>
      </c>
      <c r="M97" s="298">
        <v>44652</v>
      </c>
      <c r="N97" s="299">
        <f t="shared" si="0"/>
        <v>0.17771084337349397</v>
      </c>
      <c r="O97" s="299">
        <f t="shared" si="1"/>
        <v>0.17771084337349397</v>
      </c>
      <c r="P97" s="300">
        <v>1</v>
      </c>
      <c r="Q97" s="301">
        <v>0.25</v>
      </c>
      <c r="R97" s="301">
        <v>0.5</v>
      </c>
      <c r="S97" s="301">
        <v>0.75</v>
      </c>
      <c r="T97" s="301">
        <v>1</v>
      </c>
      <c r="U97" s="301"/>
      <c r="V97" s="301"/>
      <c r="W97" s="300"/>
      <c r="X97" s="303"/>
      <c r="Y97" s="304"/>
      <c r="Z97" s="305"/>
      <c r="AA97" s="305"/>
      <c r="AB97" s="304"/>
      <c r="AC97" s="305"/>
      <c r="AD97" s="305"/>
      <c r="AE97" s="304"/>
      <c r="AF97" s="305"/>
      <c r="AG97" s="305"/>
      <c r="AH97" s="306"/>
    </row>
    <row r="98" spans="1:34" ht="33.75" customHeight="1" outlineLevel="1" x14ac:dyDescent="0.25">
      <c r="A98" s="878"/>
      <c r="B98" s="751"/>
      <c r="C98" s="751"/>
      <c r="D98" s="874"/>
      <c r="E98" s="811"/>
      <c r="F98" s="376" t="s">
        <v>268</v>
      </c>
      <c r="G98" s="7" t="s">
        <v>269</v>
      </c>
      <c r="H98" s="6" t="s">
        <v>270</v>
      </c>
      <c r="I98" s="274" t="s">
        <v>271</v>
      </c>
      <c r="J98" s="384" t="s">
        <v>59</v>
      </c>
      <c r="K98" s="298">
        <v>44593</v>
      </c>
      <c r="L98" s="298">
        <v>44925</v>
      </c>
      <c r="M98" s="298">
        <v>44652</v>
      </c>
      <c r="N98" s="299">
        <f t="shared" si="0"/>
        <v>0.17771084337349397</v>
      </c>
      <c r="O98" s="299">
        <f t="shared" si="1"/>
        <v>0.17771084337349397</v>
      </c>
      <c r="P98" s="300">
        <v>0.4</v>
      </c>
      <c r="Q98" s="301">
        <v>0.25</v>
      </c>
      <c r="R98" s="301">
        <v>0.3</v>
      </c>
      <c r="S98" s="301">
        <v>0.35</v>
      </c>
      <c r="T98" s="301">
        <v>0.4</v>
      </c>
      <c r="U98" s="301"/>
      <c r="V98" s="301"/>
      <c r="W98" s="300"/>
      <c r="X98" s="303"/>
      <c r="Y98" s="304"/>
      <c r="Z98" s="305"/>
      <c r="AA98" s="305"/>
      <c r="AB98" s="304"/>
      <c r="AC98" s="305"/>
      <c r="AD98" s="305"/>
      <c r="AE98" s="304"/>
      <c r="AF98" s="305"/>
      <c r="AG98" s="305"/>
      <c r="AH98" s="306"/>
    </row>
    <row r="99" spans="1:34" ht="59.25" customHeight="1" outlineLevel="1" x14ac:dyDescent="0.25">
      <c r="A99" s="878"/>
      <c r="B99" s="769" t="s">
        <v>51</v>
      </c>
      <c r="C99" s="769" t="s">
        <v>52</v>
      </c>
      <c r="D99" s="787" t="s">
        <v>272</v>
      </c>
      <c r="E99" s="818" t="s">
        <v>54</v>
      </c>
      <c r="F99" s="818" t="s">
        <v>273</v>
      </c>
      <c r="G99" s="340" t="s">
        <v>274</v>
      </c>
      <c r="H99" s="773" t="s">
        <v>275</v>
      </c>
      <c r="I99" s="274" t="s">
        <v>276</v>
      </c>
      <c r="J99" s="286" t="s">
        <v>59</v>
      </c>
      <c r="K99" s="298">
        <v>44593</v>
      </c>
      <c r="L99" s="298">
        <v>44925</v>
      </c>
      <c r="M99" s="298">
        <v>44652</v>
      </c>
      <c r="N99" s="299">
        <f t="shared" si="0"/>
        <v>0.17771084337349397</v>
      </c>
      <c r="O99" s="299">
        <f t="shared" si="1"/>
        <v>0.17771084337349397</v>
      </c>
      <c r="P99" s="300">
        <v>7.0000000000000007E-2</v>
      </c>
      <c r="Q99" s="301">
        <v>0.06</v>
      </c>
      <c r="R99" s="301">
        <v>0.06</v>
      </c>
      <c r="S99" s="301">
        <v>7.0000000000000007E-2</v>
      </c>
      <c r="T99" s="301">
        <v>7.0000000000000007E-2</v>
      </c>
      <c r="U99" s="301"/>
      <c r="V99" s="301"/>
      <c r="W99" s="300"/>
      <c r="X99" s="303"/>
      <c r="Y99" s="304"/>
      <c r="Z99" s="305"/>
      <c r="AA99" s="305"/>
      <c r="AB99" s="304"/>
      <c r="AC99" s="305"/>
      <c r="AD99" s="305"/>
      <c r="AE99" s="304"/>
      <c r="AF99" s="305"/>
      <c r="AG99" s="305"/>
      <c r="AH99" s="306"/>
    </row>
    <row r="100" spans="1:34" ht="59.25" customHeight="1" outlineLevel="1" x14ac:dyDescent="0.25">
      <c r="A100" s="878"/>
      <c r="B100" s="769"/>
      <c r="C100" s="769"/>
      <c r="D100" s="788"/>
      <c r="E100" s="819"/>
      <c r="F100" s="819"/>
      <c r="G100" s="340" t="s">
        <v>277</v>
      </c>
      <c r="H100" s="774"/>
      <c r="I100" s="274" t="s">
        <v>278</v>
      </c>
      <c r="J100" s="286" t="s">
        <v>59</v>
      </c>
      <c r="K100" s="298">
        <v>44593</v>
      </c>
      <c r="L100" s="298">
        <v>44925</v>
      </c>
      <c r="M100" s="298">
        <v>44652</v>
      </c>
      <c r="N100" s="299">
        <f t="shared" si="0"/>
        <v>0.17771084337349397</v>
      </c>
      <c r="O100" s="299">
        <f t="shared" si="1"/>
        <v>0.17771084337349397</v>
      </c>
      <c r="P100" s="300">
        <v>1</v>
      </c>
      <c r="Q100" s="301">
        <v>0.25</v>
      </c>
      <c r="R100" s="301">
        <v>0.5</v>
      </c>
      <c r="S100" s="301">
        <v>0.75</v>
      </c>
      <c r="T100" s="301">
        <v>1</v>
      </c>
      <c r="U100" s="301"/>
      <c r="V100" s="301"/>
      <c r="W100" s="300"/>
      <c r="X100" s="303"/>
      <c r="Y100" s="304"/>
      <c r="Z100" s="305"/>
      <c r="AA100" s="305"/>
      <c r="AB100" s="304"/>
      <c r="AC100" s="305"/>
      <c r="AD100" s="305"/>
      <c r="AE100" s="304"/>
      <c r="AF100" s="305"/>
      <c r="AG100" s="305"/>
      <c r="AH100" s="306"/>
    </row>
    <row r="101" spans="1:34" ht="59.25" customHeight="1" outlineLevel="1" x14ac:dyDescent="0.25">
      <c r="A101" s="878"/>
      <c r="B101" s="769"/>
      <c r="C101" s="769"/>
      <c r="D101" s="788"/>
      <c r="E101" s="819"/>
      <c r="F101" s="819"/>
      <c r="G101" s="340" t="s">
        <v>279</v>
      </c>
      <c r="H101" s="774"/>
      <c r="I101" s="274" t="s">
        <v>280</v>
      </c>
      <c r="J101" s="286" t="s">
        <v>59</v>
      </c>
      <c r="K101" s="298">
        <v>44593</v>
      </c>
      <c r="L101" s="298">
        <v>44925</v>
      </c>
      <c r="M101" s="298">
        <v>44652</v>
      </c>
      <c r="N101" s="299">
        <f t="shared" si="0"/>
        <v>0.17771084337349397</v>
      </c>
      <c r="O101" s="299">
        <f t="shared" si="1"/>
        <v>0.17771084337349397</v>
      </c>
      <c r="P101" s="300">
        <v>1</v>
      </c>
      <c r="Q101" s="301">
        <v>0.25</v>
      </c>
      <c r="R101" s="301">
        <v>0.5</v>
      </c>
      <c r="S101" s="301">
        <v>0.75</v>
      </c>
      <c r="T101" s="301">
        <v>1</v>
      </c>
      <c r="U101" s="301"/>
      <c r="V101" s="301"/>
      <c r="W101" s="300"/>
      <c r="X101" s="303"/>
      <c r="Y101" s="304"/>
      <c r="Z101" s="305"/>
      <c r="AA101" s="305"/>
      <c r="AB101" s="304"/>
      <c r="AC101" s="305"/>
      <c r="AD101" s="305"/>
      <c r="AE101" s="304"/>
      <c r="AF101" s="305"/>
      <c r="AG101" s="305"/>
      <c r="AH101" s="306"/>
    </row>
    <row r="102" spans="1:34" ht="59.25" customHeight="1" outlineLevel="1" x14ac:dyDescent="0.25">
      <c r="A102" s="878"/>
      <c r="B102" s="769"/>
      <c r="C102" s="769"/>
      <c r="D102" s="788"/>
      <c r="E102" s="820"/>
      <c r="F102" s="820"/>
      <c r="G102" s="340" t="s">
        <v>281</v>
      </c>
      <c r="H102" s="775"/>
      <c r="I102" s="274" t="s">
        <v>282</v>
      </c>
      <c r="J102" s="286" t="s">
        <v>59</v>
      </c>
      <c r="K102" s="298">
        <v>44593</v>
      </c>
      <c r="L102" s="298">
        <v>44925</v>
      </c>
      <c r="M102" s="298">
        <v>44652</v>
      </c>
      <c r="N102" s="299">
        <f t="shared" si="0"/>
        <v>0.17771084337349397</v>
      </c>
      <c r="O102" s="299">
        <f t="shared" si="1"/>
        <v>0.17771084337349397</v>
      </c>
      <c r="P102" s="300">
        <v>1</v>
      </c>
      <c r="Q102" s="301">
        <v>0.25</v>
      </c>
      <c r="R102" s="301">
        <v>0.5</v>
      </c>
      <c r="S102" s="301">
        <v>0.75</v>
      </c>
      <c r="T102" s="301">
        <v>1</v>
      </c>
      <c r="U102" s="301"/>
      <c r="V102" s="301"/>
      <c r="W102" s="300"/>
      <c r="X102" s="303"/>
      <c r="Y102" s="304"/>
      <c r="Z102" s="305"/>
      <c r="AA102" s="305"/>
      <c r="AB102" s="304"/>
      <c r="AC102" s="305"/>
      <c r="AD102" s="305"/>
      <c r="AE102" s="304"/>
      <c r="AF102" s="305"/>
      <c r="AG102" s="305"/>
      <c r="AH102" s="306"/>
    </row>
    <row r="103" spans="1:34" ht="59.25" customHeight="1" outlineLevel="1" x14ac:dyDescent="0.25">
      <c r="A103" s="878"/>
      <c r="B103" s="769"/>
      <c r="C103" s="769" t="s">
        <v>101</v>
      </c>
      <c r="D103" s="788"/>
      <c r="E103" s="805" t="s">
        <v>283</v>
      </c>
      <c r="F103" s="805" t="s">
        <v>284</v>
      </c>
      <c r="G103" s="340" t="s">
        <v>285</v>
      </c>
      <c r="H103" s="773" t="s">
        <v>286</v>
      </c>
      <c r="I103" s="274" t="s">
        <v>287</v>
      </c>
      <c r="J103" s="286" t="s">
        <v>59</v>
      </c>
      <c r="K103" s="298">
        <v>44593</v>
      </c>
      <c r="L103" s="298">
        <v>44925</v>
      </c>
      <c r="M103" s="298">
        <v>44652</v>
      </c>
      <c r="N103" s="299">
        <f t="shared" si="0"/>
        <v>0.17771084337349397</v>
      </c>
      <c r="O103" s="299">
        <f t="shared" si="1"/>
        <v>0.17771084337349397</v>
      </c>
      <c r="P103" s="300">
        <v>0.5</v>
      </c>
      <c r="Q103" s="301">
        <v>0.32</v>
      </c>
      <c r="R103" s="301">
        <v>0.35</v>
      </c>
      <c r="S103" s="301">
        <v>0.42</v>
      </c>
      <c r="T103" s="301">
        <v>0.5</v>
      </c>
      <c r="U103" s="301"/>
      <c r="V103" s="301"/>
      <c r="W103" s="300"/>
      <c r="X103" s="303"/>
      <c r="Y103" s="304"/>
      <c r="Z103" s="305"/>
      <c r="AA103" s="305"/>
      <c r="AB103" s="304"/>
      <c r="AC103" s="305"/>
      <c r="AD103" s="305"/>
      <c r="AE103" s="304"/>
      <c r="AF103" s="305"/>
      <c r="AG103" s="305"/>
      <c r="AH103" s="306"/>
    </row>
    <row r="104" spans="1:34" ht="73.5" customHeight="1" outlineLevel="1" x14ac:dyDescent="0.25">
      <c r="A104" s="878"/>
      <c r="B104" s="769"/>
      <c r="C104" s="769"/>
      <c r="D104" s="788"/>
      <c r="E104" s="805"/>
      <c r="F104" s="805"/>
      <c r="G104" s="340" t="s">
        <v>288</v>
      </c>
      <c r="H104" s="774"/>
      <c r="I104" s="274" t="s">
        <v>289</v>
      </c>
      <c r="J104" s="286" t="s">
        <v>59</v>
      </c>
      <c r="K104" s="298">
        <v>44593</v>
      </c>
      <c r="L104" s="298">
        <v>44925</v>
      </c>
      <c r="M104" s="298">
        <v>44652</v>
      </c>
      <c r="N104" s="299">
        <f t="shared" si="0"/>
        <v>0.17771084337349397</v>
      </c>
      <c r="O104" s="299">
        <f t="shared" si="1"/>
        <v>0.17771084337349397</v>
      </c>
      <c r="P104" s="300">
        <v>1</v>
      </c>
      <c r="Q104" s="301">
        <v>0.25</v>
      </c>
      <c r="R104" s="301">
        <v>0.5</v>
      </c>
      <c r="S104" s="301">
        <v>0.75</v>
      </c>
      <c r="T104" s="301">
        <v>1</v>
      </c>
      <c r="U104" s="301"/>
      <c r="V104" s="301"/>
      <c r="W104" s="300"/>
      <c r="X104" s="303"/>
      <c r="Y104" s="304"/>
      <c r="Z104" s="305"/>
      <c r="AA104" s="305"/>
      <c r="AB104" s="304"/>
      <c r="AC104" s="305"/>
      <c r="AD104" s="305"/>
      <c r="AE104" s="304"/>
      <c r="AF104" s="305"/>
      <c r="AG104" s="305"/>
      <c r="AH104" s="306"/>
    </row>
    <row r="105" spans="1:34" ht="73.5" customHeight="1" outlineLevel="1" x14ac:dyDescent="0.25">
      <c r="A105" s="358"/>
      <c r="B105" s="769"/>
      <c r="C105" s="769"/>
      <c r="D105" s="789"/>
      <c r="E105" s="805"/>
      <c r="F105" s="805"/>
      <c r="G105" s="340" t="s">
        <v>290</v>
      </c>
      <c r="H105" s="775"/>
      <c r="I105" s="274" t="s">
        <v>291</v>
      </c>
      <c r="J105" s="286" t="s">
        <v>59</v>
      </c>
      <c r="K105" s="298">
        <v>44593</v>
      </c>
      <c r="L105" s="298">
        <v>44925</v>
      </c>
      <c r="M105" s="298">
        <v>44652</v>
      </c>
      <c r="N105" s="299">
        <f t="shared" ref="N105:N168" si="2">+(+_xlfn.DAYS(K105,M105))/(+_xlfn.DAYS(K105,L105))</f>
        <v>0.17771084337349397</v>
      </c>
      <c r="O105" s="299">
        <f t="shared" si="1"/>
        <v>0.17771084337349397</v>
      </c>
      <c r="P105" s="300">
        <v>1</v>
      </c>
      <c r="Q105" s="301">
        <v>0.25</v>
      </c>
      <c r="R105" s="301">
        <v>0.5</v>
      </c>
      <c r="S105" s="301">
        <v>0.75</v>
      </c>
      <c r="T105" s="301">
        <v>1</v>
      </c>
      <c r="U105" s="301"/>
      <c r="V105" s="301"/>
      <c r="W105" s="300"/>
      <c r="X105" s="303"/>
      <c r="Y105" s="304"/>
      <c r="Z105" s="305"/>
      <c r="AA105" s="305"/>
      <c r="AB105" s="304"/>
      <c r="AC105" s="305"/>
      <c r="AD105" s="305"/>
      <c r="AE105" s="304"/>
      <c r="AF105" s="305"/>
      <c r="AG105" s="305"/>
      <c r="AH105" s="306"/>
    </row>
    <row r="106" spans="1:34" ht="96" customHeight="1" x14ac:dyDescent="0.25">
      <c r="A106" s="790" t="s">
        <v>13</v>
      </c>
      <c r="B106" s="791"/>
      <c r="C106" s="791"/>
      <c r="D106" s="791"/>
      <c r="E106" s="791"/>
      <c r="F106" s="791"/>
      <c r="G106" s="791"/>
      <c r="H106" s="791"/>
      <c r="I106" s="791"/>
      <c r="J106" s="791"/>
      <c r="K106" s="791"/>
      <c r="L106" s="792"/>
      <c r="M106" s="374">
        <v>44652</v>
      </c>
      <c r="N106" s="299" t="e">
        <f t="shared" si="2"/>
        <v>#DIV/0!</v>
      </c>
      <c r="O106" s="299" t="e">
        <f t="shared" si="1"/>
        <v>#DIV/0!</v>
      </c>
      <c r="P106" s="300">
        <v>1</v>
      </c>
      <c r="Q106" s="851"/>
      <c r="R106" s="852"/>
      <c r="S106" s="852"/>
      <c r="T106" s="853"/>
      <c r="U106" s="353"/>
      <c r="V106" s="301"/>
      <c r="W106" s="300"/>
      <c r="X106" s="303"/>
      <c r="Y106" s="304"/>
      <c r="Z106" s="305"/>
      <c r="AA106" s="305"/>
      <c r="AB106" s="304"/>
      <c r="AC106" s="305"/>
      <c r="AD106" s="305"/>
      <c r="AE106" s="304"/>
      <c r="AF106" s="305"/>
      <c r="AG106" s="305"/>
      <c r="AH106" s="306"/>
    </row>
    <row r="107" spans="1:34" ht="189.75" customHeight="1" outlineLevel="1" x14ac:dyDescent="0.25">
      <c r="A107" s="793" t="s">
        <v>292</v>
      </c>
      <c r="B107" s="784" t="s">
        <v>293</v>
      </c>
      <c r="C107" s="784" t="s">
        <v>1257</v>
      </c>
      <c r="D107" s="755" t="s">
        <v>294</v>
      </c>
      <c r="E107" s="861" t="s">
        <v>295</v>
      </c>
      <c r="F107" s="861" t="s">
        <v>296</v>
      </c>
      <c r="G107" s="10" t="s">
        <v>297</v>
      </c>
      <c r="H107" s="841" t="s">
        <v>298</v>
      </c>
      <c r="I107" s="12" t="s">
        <v>299</v>
      </c>
      <c r="J107" s="286" t="s">
        <v>111</v>
      </c>
      <c r="K107" s="298">
        <v>44593</v>
      </c>
      <c r="L107" s="298">
        <v>44925</v>
      </c>
      <c r="M107" s="298">
        <v>44652</v>
      </c>
      <c r="N107" s="299">
        <f t="shared" si="2"/>
        <v>0.17771084337349397</v>
      </c>
      <c r="O107" s="299">
        <f t="shared" si="1"/>
        <v>0.17771084337349397</v>
      </c>
      <c r="P107" s="300">
        <v>1</v>
      </c>
      <c r="Q107" s="301">
        <v>0.25</v>
      </c>
      <c r="R107" s="301">
        <v>0.5</v>
      </c>
      <c r="S107" s="301">
        <v>0.75</v>
      </c>
      <c r="T107" s="301">
        <v>1</v>
      </c>
      <c r="U107" s="301"/>
      <c r="V107" s="301"/>
      <c r="W107" s="300"/>
      <c r="X107" s="303"/>
      <c r="Y107" s="304"/>
      <c r="Z107" s="305"/>
      <c r="AA107" s="305"/>
      <c r="AB107" s="304"/>
      <c r="AC107" s="305"/>
      <c r="AD107" s="305"/>
      <c r="AE107" s="304"/>
      <c r="AF107" s="305"/>
      <c r="AG107" s="305"/>
      <c r="AH107" s="306"/>
    </row>
    <row r="108" spans="1:34" ht="206.25" customHeight="1" outlineLevel="1" x14ac:dyDescent="0.25">
      <c r="A108" s="794"/>
      <c r="B108" s="785"/>
      <c r="C108" s="785"/>
      <c r="D108" s="756"/>
      <c r="E108" s="862"/>
      <c r="F108" s="862"/>
      <c r="G108" s="10" t="s">
        <v>300</v>
      </c>
      <c r="H108" s="842"/>
      <c r="I108" s="12" t="s">
        <v>299</v>
      </c>
      <c r="J108" s="286" t="s">
        <v>111</v>
      </c>
      <c r="K108" s="298">
        <v>44593</v>
      </c>
      <c r="L108" s="298">
        <v>44925</v>
      </c>
      <c r="M108" s="298">
        <v>44652</v>
      </c>
      <c r="N108" s="299">
        <f t="shared" si="2"/>
        <v>0.17771084337349397</v>
      </c>
      <c r="O108" s="299">
        <f t="shared" si="1"/>
        <v>0.17771084337349397</v>
      </c>
      <c r="P108" s="300">
        <v>1</v>
      </c>
      <c r="Q108" s="301">
        <v>0.25</v>
      </c>
      <c r="R108" s="301">
        <v>0.5</v>
      </c>
      <c r="S108" s="301">
        <v>0.75</v>
      </c>
      <c r="T108" s="301">
        <v>1</v>
      </c>
      <c r="U108" s="301"/>
      <c r="V108" s="301"/>
      <c r="W108" s="300"/>
      <c r="X108" s="303"/>
      <c r="Y108" s="304"/>
      <c r="Z108" s="305"/>
      <c r="AA108" s="305"/>
      <c r="AB108" s="304"/>
      <c r="AC108" s="305"/>
      <c r="AD108" s="305"/>
      <c r="AE108" s="304"/>
      <c r="AF108" s="305"/>
      <c r="AG108" s="305"/>
      <c r="AH108" s="306"/>
    </row>
    <row r="109" spans="1:34" ht="43.2" customHeight="1" outlineLevel="1" x14ac:dyDescent="0.25">
      <c r="A109" s="794"/>
      <c r="B109" s="785"/>
      <c r="C109" s="785"/>
      <c r="D109" s="756"/>
      <c r="E109" s="862"/>
      <c r="F109" s="862"/>
      <c r="G109" s="10" t="s">
        <v>301</v>
      </c>
      <c r="H109" s="842"/>
      <c r="I109" s="12" t="s">
        <v>299</v>
      </c>
      <c r="J109" s="286" t="s">
        <v>111</v>
      </c>
      <c r="K109" s="298">
        <v>44593</v>
      </c>
      <c r="L109" s="298">
        <v>44925</v>
      </c>
      <c r="M109" s="298">
        <v>44652</v>
      </c>
      <c r="N109" s="299">
        <f t="shared" si="2"/>
        <v>0.17771084337349397</v>
      </c>
      <c r="O109" s="299">
        <f t="shared" si="1"/>
        <v>0.17771084337349397</v>
      </c>
      <c r="P109" s="300">
        <v>1</v>
      </c>
      <c r="Q109" s="301">
        <v>0.25</v>
      </c>
      <c r="R109" s="301">
        <v>0.5</v>
      </c>
      <c r="S109" s="301">
        <v>0.75</v>
      </c>
      <c r="T109" s="301">
        <v>1</v>
      </c>
      <c r="U109" s="301"/>
      <c r="V109" s="301"/>
      <c r="W109" s="300"/>
      <c r="X109" s="303"/>
      <c r="Y109" s="304"/>
      <c r="Z109" s="305"/>
      <c r="AA109" s="305"/>
      <c r="AB109" s="304"/>
      <c r="AC109" s="305"/>
      <c r="AD109" s="305"/>
      <c r="AE109" s="304"/>
      <c r="AF109" s="305"/>
      <c r="AG109" s="305"/>
      <c r="AH109" s="306"/>
    </row>
    <row r="110" spans="1:34" ht="206.25" customHeight="1" outlineLevel="1" x14ac:dyDescent="0.25">
      <c r="A110" s="794"/>
      <c r="B110" s="785"/>
      <c r="C110" s="785"/>
      <c r="D110" s="756"/>
      <c r="E110" s="862"/>
      <c r="F110" s="862"/>
      <c r="G110" s="10" t="s">
        <v>302</v>
      </c>
      <c r="H110" s="842"/>
      <c r="I110" s="12" t="s">
        <v>299</v>
      </c>
      <c r="J110" s="286" t="s">
        <v>111</v>
      </c>
      <c r="K110" s="298">
        <v>44593</v>
      </c>
      <c r="L110" s="298">
        <v>44925</v>
      </c>
      <c r="M110" s="298">
        <v>44652</v>
      </c>
      <c r="N110" s="299">
        <f t="shared" si="2"/>
        <v>0.17771084337349397</v>
      </c>
      <c r="O110" s="299">
        <f t="shared" si="1"/>
        <v>0.17771084337349397</v>
      </c>
      <c r="P110" s="300">
        <v>1</v>
      </c>
      <c r="Q110" s="301">
        <v>0.25</v>
      </c>
      <c r="R110" s="301">
        <v>0.5</v>
      </c>
      <c r="S110" s="301">
        <v>0.75</v>
      </c>
      <c r="T110" s="301">
        <v>1</v>
      </c>
      <c r="U110" s="301"/>
      <c r="V110" s="301"/>
      <c r="W110" s="300"/>
      <c r="X110" s="303"/>
      <c r="Y110" s="304"/>
      <c r="Z110" s="305"/>
      <c r="AA110" s="305"/>
      <c r="AB110" s="304"/>
      <c r="AC110" s="305"/>
      <c r="AD110" s="305"/>
      <c r="AE110" s="304"/>
      <c r="AF110" s="305"/>
      <c r="AG110" s="305"/>
      <c r="AH110" s="306"/>
    </row>
    <row r="111" spans="1:34" ht="93.75" customHeight="1" outlineLevel="1" x14ac:dyDescent="0.25">
      <c r="A111" s="794"/>
      <c r="B111" s="785"/>
      <c r="C111" s="785"/>
      <c r="D111" s="756"/>
      <c r="E111" s="862"/>
      <c r="F111" s="862"/>
      <c r="G111" s="10" t="s">
        <v>303</v>
      </c>
      <c r="H111" s="842"/>
      <c r="I111" s="12" t="s">
        <v>299</v>
      </c>
      <c r="J111" s="286" t="s">
        <v>111</v>
      </c>
      <c r="K111" s="298">
        <v>44593</v>
      </c>
      <c r="L111" s="298">
        <v>44925</v>
      </c>
      <c r="M111" s="298">
        <v>44652</v>
      </c>
      <c r="N111" s="299">
        <f t="shared" si="2"/>
        <v>0.17771084337349397</v>
      </c>
      <c r="O111" s="299">
        <f t="shared" si="1"/>
        <v>0.17771084337349397</v>
      </c>
      <c r="P111" s="300">
        <v>1</v>
      </c>
      <c r="Q111" s="301">
        <v>0.25</v>
      </c>
      <c r="R111" s="301">
        <v>0.5</v>
      </c>
      <c r="S111" s="301">
        <v>0.75</v>
      </c>
      <c r="T111" s="301">
        <v>1</v>
      </c>
      <c r="U111" s="301"/>
      <c r="V111" s="301"/>
      <c r="W111" s="300"/>
      <c r="X111" s="303"/>
      <c r="Y111" s="304"/>
      <c r="Z111" s="305"/>
      <c r="AA111" s="305"/>
      <c r="AB111" s="304"/>
      <c r="AC111" s="305"/>
      <c r="AD111" s="305"/>
      <c r="AE111" s="304"/>
      <c r="AF111" s="305"/>
      <c r="AG111" s="305"/>
      <c r="AH111" s="306"/>
    </row>
    <row r="112" spans="1:34" ht="56.25" customHeight="1" outlineLevel="1" x14ac:dyDescent="0.25">
      <c r="A112" s="794"/>
      <c r="B112" s="785"/>
      <c r="C112" s="785"/>
      <c r="D112" s="756"/>
      <c r="E112" s="862"/>
      <c r="F112" s="862"/>
      <c r="G112" s="10" t="s">
        <v>304</v>
      </c>
      <c r="H112" s="842"/>
      <c r="I112" s="12" t="s">
        <v>299</v>
      </c>
      <c r="J112" s="286" t="s">
        <v>111</v>
      </c>
      <c r="K112" s="298">
        <v>44593</v>
      </c>
      <c r="L112" s="298">
        <v>44925</v>
      </c>
      <c r="M112" s="298">
        <v>44652</v>
      </c>
      <c r="N112" s="299">
        <f t="shared" si="2"/>
        <v>0.17771084337349397</v>
      </c>
      <c r="O112" s="299">
        <f t="shared" si="1"/>
        <v>0.17771084337349397</v>
      </c>
      <c r="P112" s="300">
        <v>1</v>
      </c>
      <c r="Q112" s="301">
        <v>0.25</v>
      </c>
      <c r="R112" s="301">
        <v>0.5</v>
      </c>
      <c r="S112" s="301">
        <v>0.75</v>
      </c>
      <c r="T112" s="301">
        <v>1</v>
      </c>
      <c r="U112" s="301"/>
      <c r="V112" s="301"/>
      <c r="W112" s="300"/>
      <c r="X112" s="303"/>
      <c r="Y112" s="304"/>
      <c r="Z112" s="305"/>
      <c r="AA112" s="305"/>
      <c r="AB112" s="304"/>
      <c r="AC112" s="305"/>
      <c r="AD112" s="305"/>
      <c r="AE112" s="304"/>
      <c r="AF112" s="305"/>
      <c r="AG112" s="305"/>
      <c r="AH112" s="306"/>
    </row>
    <row r="113" spans="1:34" ht="56.25" customHeight="1" outlineLevel="1" x14ac:dyDescent="0.25">
      <c r="A113" s="794"/>
      <c r="B113" s="785"/>
      <c r="C113" s="785"/>
      <c r="D113" s="756"/>
      <c r="E113" s="862"/>
      <c r="F113" s="862"/>
      <c r="G113" s="10" t="s">
        <v>305</v>
      </c>
      <c r="H113" s="842"/>
      <c r="I113" s="12" t="s">
        <v>299</v>
      </c>
      <c r="J113" s="286" t="s">
        <v>111</v>
      </c>
      <c r="K113" s="298">
        <v>44593</v>
      </c>
      <c r="L113" s="298">
        <v>44925</v>
      </c>
      <c r="M113" s="298">
        <v>44652</v>
      </c>
      <c r="N113" s="299">
        <f t="shared" si="2"/>
        <v>0.17771084337349397</v>
      </c>
      <c r="O113" s="299">
        <f t="shared" si="1"/>
        <v>0.17771084337349397</v>
      </c>
      <c r="P113" s="300">
        <v>1</v>
      </c>
      <c r="Q113" s="301">
        <v>0.25</v>
      </c>
      <c r="R113" s="301">
        <v>0.5</v>
      </c>
      <c r="S113" s="301">
        <v>0.75</v>
      </c>
      <c r="T113" s="301">
        <v>1</v>
      </c>
      <c r="U113" s="301"/>
      <c r="V113" s="301"/>
      <c r="W113" s="300"/>
      <c r="X113" s="303"/>
      <c r="Y113" s="304"/>
      <c r="Z113" s="305"/>
      <c r="AA113" s="305"/>
      <c r="AB113" s="304"/>
      <c r="AC113" s="305"/>
      <c r="AD113" s="305"/>
      <c r="AE113" s="304"/>
      <c r="AF113" s="305"/>
      <c r="AG113" s="305"/>
      <c r="AH113" s="306"/>
    </row>
    <row r="114" spans="1:34" ht="93.75" customHeight="1" outlineLevel="1" x14ac:dyDescent="0.25">
      <c r="A114" s="794"/>
      <c r="B114" s="785"/>
      <c r="C114" s="785"/>
      <c r="D114" s="756"/>
      <c r="E114" s="862"/>
      <c r="F114" s="862"/>
      <c r="G114" s="10" t="s">
        <v>306</v>
      </c>
      <c r="H114" s="842"/>
      <c r="I114" s="12" t="s">
        <v>299</v>
      </c>
      <c r="J114" s="286" t="s">
        <v>111</v>
      </c>
      <c r="K114" s="298">
        <v>44593</v>
      </c>
      <c r="L114" s="298">
        <v>44925</v>
      </c>
      <c r="M114" s="298">
        <v>44652</v>
      </c>
      <c r="N114" s="299">
        <f t="shared" si="2"/>
        <v>0.17771084337349397</v>
      </c>
      <c r="O114" s="299">
        <f t="shared" si="1"/>
        <v>0.17771084337349397</v>
      </c>
      <c r="P114" s="300">
        <v>1</v>
      </c>
      <c r="Q114" s="301">
        <v>0.25</v>
      </c>
      <c r="R114" s="301">
        <v>0.5</v>
      </c>
      <c r="S114" s="301">
        <v>0.75</v>
      </c>
      <c r="T114" s="301">
        <v>1</v>
      </c>
      <c r="U114" s="301"/>
      <c r="V114" s="301"/>
      <c r="W114" s="300"/>
      <c r="X114" s="303"/>
      <c r="Y114" s="304"/>
      <c r="Z114" s="305"/>
      <c r="AA114" s="305"/>
      <c r="AB114" s="304"/>
      <c r="AC114" s="305"/>
      <c r="AD114" s="305"/>
      <c r="AE114" s="304"/>
      <c r="AF114" s="305"/>
      <c r="AG114" s="305"/>
      <c r="AH114" s="306"/>
    </row>
    <row r="115" spans="1:34" ht="56.25" customHeight="1" outlineLevel="1" x14ac:dyDescent="0.25">
      <c r="A115" s="794"/>
      <c r="B115" s="785"/>
      <c r="C115" s="785"/>
      <c r="D115" s="756"/>
      <c r="E115" s="862"/>
      <c r="F115" s="862"/>
      <c r="G115" s="10" t="s">
        <v>307</v>
      </c>
      <c r="H115" s="842"/>
      <c r="I115" s="12" t="s">
        <v>299</v>
      </c>
      <c r="J115" s="286" t="s">
        <v>111</v>
      </c>
      <c r="K115" s="298">
        <v>44593</v>
      </c>
      <c r="L115" s="298">
        <v>44925</v>
      </c>
      <c r="M115" s="298">
        <v>44652</v>
      </c>
      <c r="N115" s="299">
        <f t="shared" si="2"/>
        <v>0.17771084337349397</v>
      </c>
      <c r="O115" s="299">
        <f t="shared" si="1"/>
        <v>0.17771084337349397</v>
      </c>
      <c r="P115" s="300">
        <v>1</v>
      </c>
      <c r="Q115" s="301">
        <v>0.25</v>
      </c>
      <c r="R115" s="301">
        <v>0.5</v>
      </c>
      <c r="S115" s="301">
        <v>0.75</v>
      </c>
      <c r="T115" s="301">
        <v>1</v>
      </c>
      <c r="U115" s="301"/>
      <c r="V115" s="301"/>
      <c r="W115" s="300"/>
      <c r="X115" s="303"/>
      <c r="Y115" s="304"/>
      <c r="Z115" s="305"/>
      <c r="AA115" s="305"/>
      <c r="AB115" s="304"/>
      <c r="AC115" s="305"/>
      <c r="AD115" s="305"/>
      <c r="AE115" s="304"/>
      <c r="AF115" s="305"/>
      <c r="AG115" s="305"/>
      <c r="AH115" s="306"/>
    </row>
    <row r="116" spans="1:34" ht="75" customHeight="1" outlineLevel="1" x14ac:dyDescent="0.25">
      <c r="A116" s="794"/>
      <c r="B116" s="785"/>
      <c r="C116" s="785"/>
      <c r="D116" s="756"/>
      <c r="E116" s="862"/>
      <c r="F116" s="862"/>
      <c r="G116" s="10" t="s">
        <v>308</v>
      </c>
      <c r="H116" s="842"/>
      <c r="I116" s="12" t="s">
        <v>299</v>
      </c>
      <c r="J116" s="286" t="s">
        <v>111</v>
      </c>
      <c r="K116" s="298">
        <v>44593</v>
      </c>
      <c r="L116" s="298">
        <v>44925</v>
      </c>
      <c r="M116" s="298">
        <v>44652</v>
      </c>
      <c r="N116" s="299">
        <f t="shared" si="2"/>
        <v>0.17771084337349397</v>
      </c>
      <c r="O116" s="299">
        <f t="shared" si="1"/>
        <v>0.17771084337349397</v>
      </c>
      <c r="P116" s="300">
        <v>1</v>
      </c>
      <c r="Q116" s="301">
        <v>0.25</v>
      </c>
      <c r="R116" s="301">
        <v>0.5</v>
      </c>
      <c r="S116" s="301">
        <v>0.75</v>
      </c>
      <c r="T116" s="301">
        <v>1</v>
      </c>
      <c r="U116" s="301"/>
      <c r="V116" s="301"/>
      <c r="W116" s="300"/>
      <c r="X116" s="303"/>
      <c r="Y116" s="304"/>
      <c r="Z116" s="305"/>
      <c r="AA116" s="305"/>
      <c r="AB116" s="304"/>
      <c r="AC116" s="305"/>
      <c r="AD116" s="305"/>
      <c r="AE116" s="304"/>
      <c r="AF116" s="305"/>
      <c r="AG116" s="305"/>
      <c r="AH116" s="306"/>
    </row>
    <row r="117" spans="1:34" ht="75" customHeight="1" outlineLevel="1" x14ac:dyDescent="0.25">
      <c r="A117" s="794"/>
      <c r="B117" s="785"/>
      <c r="C117" s="785"/>
      <c r="D117" s="756"/>
      <c r="E117" s="862"/>
      <c r="F117" s="862"/>
      <c r="G117" s="10" t="s">
        <v>309</v>
      </c>
      <c r="H117" s="842"/>
      <c r="I117" s="12" t="s">
        <v>299</v>
      </c>
      <c r="J117" s="286" t="s">
        <v>111</v>
      </c>
      <c r="K117" s="298">
        <v>44593</v>
      </c>
      <c r="L117" s="298">
        <v>44925</v>
      </c>
      <c r="M117" s="298">
        <v>44652</v>
      </c>
      <c r="N117" s="299">
        <f t="shared" si="2"/>
        <v>0.17771084337349397</v>
      </c>
      <c r="O117" s="299">
        <f t="shared" si="1"/>
        <v>0.17771084337349397</v>
      </c>
      <c r="P117" s="300">
        <v>1</v>
      </c>
      <c r="Q117" s="301">
        <v>0.25</v>
      </c>
      <c r="R117" s="301">
        <v>0.5</v>
      </c>
      <c r="S117" s="301">
        <v>0.75</v>
      </c>
      <c r="T117" s="301">
        <v>1</v>
      </c>
      <c r="U117" s="301"/>
      <c r="V117" s="301"/>
      <c r="W117" s="300"/>
      <c r="X117" s="303"/>
      <c r="Y117" s="304"/>
      <c r="Z117" s="305"/>
      <c r="AA117" s="305"/>
      <c r="AB117" s="304"/>
      <c r="AC117" s="305"/>
      <c r="AD117" s="305"/>
      <c r="AE117" s="304"/>
      <c r="AF117" s="305"/>
      <c r="AG117" s="305"/>
      <c r="AH117" s="306"/>
    </row>
    <row r="118" spans="1:34" ht="93.75" customHeight="1" outlineLevel="1" x14ac:dyDescent="0.25">
      <c r="A118" s="794"/>
      <c r="B118" s="785"/>
      <c r="C118" s="785"/>
      <c r="D118" s="756"/>
      <c r="E118" s="862"/>
      <c r="F118" s="862"/>
      <c r="G118" s="10" t="s">
        <v>310</v>
      </c>
      <c r="H118" s="842"/>
      <c r="I118" s="12" t="s">
        <v>299</v>
      </c>
      <c r="J118" s="286" t="s">
        <v>111</v>
      </c>
      <c r="K118" s="298">
        <v>44593</v>
      </c>
      <c r="L118" s="298">
        <v>44925</v>
      </c>
      <c r="M118" s="298">
        <v>44652</v>
      </c>
      <c r="N118" s="299">
        <f t="shared" si="2"/>
        <v>0.17771084337349397</v>
      </c>
      <c r="O118" s="299">
        <f t="shared" si="1"/>
        <v>0.17771084337349397</v>
      </c>
      <c r="P118" s="300">
        <v>1</v>
      </c>
      <c r="Q118" s="301">
        <v>0.25</v>
      </c>
      <c r="R118" s="301">
        <v>0.5</v>
      </c>
      <c r="S118" s="301">
        <v>0.75</v>
      </c>
      <c r="T118" s="301">
        <v>1</v>
      </c>
      <c r="U118" s="301"/>
      <c r="V118" s="301"/>
      <c r="W118" s="300"/>
      <c r="X118" s="303"/>
      <c r="Y118" s="304"/>
      <c r="Z118" s="305"/>
      <c r="AA118" s="305"/>
      <c r="AB118" s="304"/>
      <c r="AC118" s="305"/>
      <c r="AD118" s="305"/>
      <c r="AE118" s="304"/>
      <c r="AF118" s="305"/>
      <c r="AG118" s="305"/>
      <c r="AH118" s="306"/>
    </row>
    <row r="119" spans="1:34" ht="56.25" customHeight="1" outlineLevel="1" x14ac:dyDescent="0.25">
      <c r="A119" s="794"/>
      <c r="B119" s="785"/>
      <c r="C119" s="785"/>
      <c r="D119" s="756"/>
      <c r="E119" s="862"/>
      <c r="F119" s="862"/>
      <c r="G119" s="10" t="s">
        <v>311</v>
      </c>
      <c r="H119" s="842"/>
      <c r="I119" s="12" t="s">
        <v>299</v>
      </c>
      <c r="J119" s="286" t="s">
        <v>111</v>
      </c>
      <c r="K119" s="298">
        <v>44593</v>
      </c>
      <c r="L119" s="298">
        <v>44925</v>
      </c>
      <c r="M119" s="298">
        <v>44652</v>
      </c>
      <c r="N119" s="299">
        <f t="shared" si="2"/>
        <v>0.17771084337349397</v>
      </c>
      <c r="O119" s="299">
        <f t="shared" si="1"/>
        <v>0.17771084337349397</v>
      </c>
      <c r="P119" s="300">
        <v>1</v>
      </c>
      <c r="Q119" s="301">
        <v>0.25</v>
      </c>
      <c r="R119" s="301">
        <v>0.5</v>
      </c>
      <c r="S119" s="301">
        <v>0.75</v>
      </c>
      <c r="T119" s="301">
        <v>1</v>
      </c>
      <c r="U119" s="301"/>
      <c r="V119" s="301"/>
      <c r="W119" s="300"/>
      <c r="X119" s="303"/>
      <c r="Y119" s="304"/>
      <c r="Z119" s="305"/>
      <c r="AA119" s="305"/>
      <c r="AB119" s="304"/>
      <c r="AC119" s="305"/>
      <c r="AD119" s="305"/>
      <c r="AE119" s="304"/>
      <c r="AF119" s="305"/>
      <c r="AG119" s="305"/>
      <c r="AH119" s="306"/>
    </row>
    <row r="120" spans="1:34" ht="56.25" customHeight="1" outlineLevel="1" x14ac:dyDescent="0.25">
      <c r="A120" s="794"/>
      <c r="B120" s="785"/>
      <c r="C120" s="785"/>
      <c r="D120" s="756"/>
      <c r="E120" s="862"/>
      <c r="F120" s="862"/>
      <c r="G120" s="10" t="s">
        <v>312</v>
      </c>
      <c r="H120" s="842"/>
      <c r="I120" s="12" t="s">
        <v>299</v>
      </c>
      <c r="J120" s="286" t="s">
        <v>111</v>
      </c>
      <c r="K120" s="298">
        <v>44593</v>
      </c>
      <c r="L120" s="298">
        <v>44925</v>
      </c>
      <c r="M120" s="298">
        <v>44652</v>
      </c>
      <c r="N120" s="299">
        <f t="shared" si="2"/>
        <v>0.17771084337349397</v>
      </c>
      <c r="O120" s="299">
        <f t="shared" si="1"/>
        <v>0.17771084337349397</v>
      </c>
      <c r="P120" s="300">
        <v>1</v>
      </c>
      <c r="Q120" s="301">
        <v>0.25</v>
      </c>
      <c r="R120" s="301">
        <v>0.5</v>
      </c>
      <c r="S120" s="301">
        <v>0.75</v>
      </c>
      <c r="T120" s="301">
        <v>1</v>
      </c>
      <c r="U120" s="301"/>
      <c r="V120" s="301"/>
      <c r="W120" s="300"/>
      <c r="X120" s="303"/>
      <c r="Y120" s="304"/>
      <c r="Z120" s="305"/>
      <c r="AA120" s="305"/>
      <c r="AB120" s="304"/>
      <c r="AC120" s="305"/>
      <c r="AD120" s="305"/>
      <c r="AE120" s="304"/>
      <c r="AF120" s="305"/>
      <c r="AG120" s="305"/>
      <c r="AH120" s="306"/>
    </row>
    <row r="121" spans="1:34" ht="56.25" customHeight="1" outlineLevel="1" x14ac:dyDescent="0.25">
      <c r="A121" s="794"/>
      <c r="B121" s="785"/>
      <c r="C121" s="785"/>
      <c r="D121" s="756"/>
      <c r="E121" s="862"/>
      <c r="F121" s="862"/>
      <c r="G121" s="10" t="s">
        <v>313</v>
      </c>
      <c r="H121" s="842"/>
      <c r="I121" s="12" t="s">
        <v>299</v>
      </c>
      <c r="J121" s="286" t="s">
        <v>111</v>
      </c>
      <c r="K121" s="298">
        <v>44593</v>
      </c>
      <c r="L121" s="298">
        <v>44925</v>
      </c>
      <c r="M121" s="298">
        <v>44652</v>
      </c>
      <c r="N121" s="299">
        <f t="shared" si="2"/>
        <v>0.17771084337349397</v>
      </c>
      <c r="O121" s="299">
        <f t="shared" si="1"/>
        <v>0.17771084337349397</v>
      </c>
      <c r="P121" s="300">
        <v>1</v>
      </c>
      <c r="Q121" s="301">
        <v>0.25</v>
      </c>
      <c r="R121" s="301">
        <v>0.5</v>
      </c>
      <c r="S121" s="301">
        <v>0.75</v>
      </c>
      <c r="T121" s="301">
        <v>1</v>
      </c>
      <c r="U121" s="301"/>
      <c r="V121" s="301"/>
      <c r="W121" s="300"/>
      <c r="X121" s="303"/>
      <c r="Y121" s="304"/>
      <c r="Z121" s="305"/>
      <c r="AA121" s="305"/>
      <c r="AB121" s="304"/>
      <c r="AC121" s="305"/>
      <c r="AD121" s="305"/>
      <c r="AE121" s="304"/>
      <c r="AF121" s="305"/>
      <c r="AG121" s="305"/>
      <c r="AH121" s="306"/>
    </row>
    <row r="122" spans="1:34" ht="56.25" customHeight="1" outlineLevel="1" x14ac:dyDescent="0.25">
      <c r="A122" s="794"/>
      <c r="B122" s="785"/>
      <c r="C122" s="785"/>
      <c r="D122" s="756"/>
      <c r="E122" s="862"/>
      <c r="F122" s="862"/>
      <c r="G122" s="10" t="s">
        <v>314</v>
      </c>
      <c r="H122" s="842"/>
      <c r="I122" s="12" t="s">
        <v>299</v>
      </c>
      <c r="J122" s="286" t="s">
        <v>111</v>
      </c>
      <c r="K122" s="298">
        <v>44593</v>
      </c>
      <c r="L122" s="298">
        <v>44925</v>
      </c>
      <c r="M122" s="298">
        <v>44652</v>
      </c>
      <c r="N122" s="299">
        <f t="shared" si="2"/>
        <v>0.17771084337349397</v>
      </c>
      <c r="O122" s="299">
        <f t="shared" si="1"/>
        <v>0.17771084337349397</v>
      </c>
      <c r="P122" s="300">
        <v>1</v>
      </c>
      <c r="Q122" s="301">
        <v>0.25</v>
      </c>
      <c r="R122" s="301">
        <v>0.5</v>
      </c>
      <c r="S122" s="301">
        <v>0.75</v>
      </c>
      <c r="T122" s="301">
        <v>1</v>
      </c>
      <c r="U122" s="301"/>
      <c r="V122" s="301"/>
      <c r="W122" s="300"/>
      <c r="X122" s="303"/>
      <c r="Y122" s="304"/>
      <c r="Z122" s="305"/>
      <c r="AA122" s="305"/>
      <c r="AB122" s="304"/>
      <c r="AC122" s="305"/>
      <c r="AD122" s="305"/>
      <c r="AE122" s="304"/>
      <c r="AF122" s="305"/>
      <c r="AG122" s="305"/>
      <c r="AH122" s="306"/>
    </row>
    <row r="123" spans="1:34" ht="75" customHeight="1" outlineLevel="1" x14ac:dyDescent="0.25">
      <c r="A123" s="794"/>
      <c r="B123" s="785"/>
      <c r="C123" s="785"/>
      <c r="D123" s="756"/>
      <c r="E123" s="862"/>
      <c r="F123" s="862"/>
      <c r="G123" s="287" t="s">
        <v>315</v>
      </c>
      <c r="H123" s="842"/>
      <c r="I123" s="12" t="s">
        <v>299</v>
      </c>
      <c r="J123" s="286" t="s">
        <v>111</v>
      </c>
      <c r="K123" s="298">
        <v>44593</v>
      </c>
      <c r="L123" s="298">
        <v>44925</v>
      </c>
      <c r="M123" s="298">
        <v>44652</v>
      </c>
      <c r="N123" s="299">
        <f t="shared" si="2"/>
        <v>0.17771084337349397</v>
      </c>
      <c r="O123" s="299">
        <f t="shared" si="1"/>
        <v>0.17771084337349397</v>
      </c>
      <c r="P123" s="300">
        <v>1</v>
      </c>
      <c r="Q123" s="301">
        <v>0.25</v>
      </c>
      <c r="R123" s="301">
        <v>0.5</v>
      </c>
      <c r="S123" s="301">
        <v>0.75</v>
      </c>
      <c r="T123" s="301">
        <v>1</v>
      </c>
      <c r="U123" s="301"/>
      <c r="V123" s="301"/>
      <c r="W123" s="300"/>
      <c r="X123" s="303"/>
      <c r="Y123" s="304"/>
      <c r="Z123" s="305"/>
      <c r="AA123" s="305"/>
      <c r="AB123" s="304"/>
      <c r="AC123" s="305"/>
      <c r="AD123" s="305"/>
      <c r="AE123" s="304"/>
      <c r="AF123" s="305"/>
      <c r="AG123" s="305"/>
      <c r="AH123" s="306"/>
    </row>
    <row r="124" spans="1:34" ht="56.25" customHeight="1" outlineLevel="1" x14ac:dyDescent="0.25">
      <c r="A124" s="794"/>
      <c r="B124" s="785"/>
      <c r="C124" s="785"/>
      <c r="D124" s="756"/>
      <c r="E124" s="862"/>
      <c r="F124" s="862"/>
      <c r="G124" s="287" t="s">
        <v>324</v>
      </c>
      <c r="H124" s="842"/>
      <c r="I124" s="12" t="s">
        <v>299</v>
      </c>
      <c r="J124" s="286" t="s">
        <v>111</v>
      </c>
      <c r="K124" s="298">
        <v>44593</v>
      </c>
      <c r="L124" s="298">
        <v>44925</v>
      </c>
      <c r="M124" s="298">
        <v>44652</v>
      </c>
      <c r="N124" s="299">
        <f t="shared" ref="N124:N131" si="3">+(+_xlfn.DAYS(K124,M124))/(+_xlfn.DAYS(K124,L124))</f>
        <v>0.17771084337349397</v>
      </c>
      <c r="O124" s="299">
        <f t="shared" ref="O124:O131" si="4">+IF(N124&gt;=100,100,IF(N124&lt;=0,0,N124))</f>
        <v>0.17771084337349397</v>
      </c>
      <c r="P124" s="300">
        <v>1</v>
      </c>
      <c r="Q124" s="301">
        <v>0.25</v>
      </c>
      <c r="R124" s="301">
        <v>0.5</v>
      </c>
      <c r="S124" s="301">
        <v>0.75</v>
      </c>
      <c r="T124" s="301">
        <v>1</v>
      </c>
      <c r="U124" s="301"/>
      <c r="V124" s="301"/>
      <c r="W124" s="300"/>
      <c r="X124" s="303"/>
      <c r="Y124" s="304"/>
      <c r="Z124" s="305"/>
      <c r="AA124" s="305"/>
      <c r="AB124" s="304"/>
      <c r="AC124" s="305"/>
      <c r="AD124" s="305"/>
      <c r="AE124" s="304"/>
      <c r="AF124" s="305"/>
      <c r="AG124" s="305"/>
      <c r="AH124" s="306"/>
    </row>
    <row r="125" spans="1:34" ht="75" customHeight="1" outlineLevel="1" x14ac:dyDescent="0.25">
      <c r="A125" s="794"/>
      <c r="B125" s="785"/>
      <c r="C125" s="785"/>
      <c r="D125" s="756"/>
      <c r="E125" s="862"/>
      <c r="F125" s="862"/>
      <c r="G125" s="287" t="s">
        <v>325</v>
      </c>
      <c r="H125" s="842"/>
      <c r="I125" s="12" t="s">
        <v>299</v>
      </c>
      <c r="J125" s="286" t="s">
        <v>111</v>
      </c>
      <c r="K125" s="298">
        <v>44593</v>
      </c>
      <c r="L125" s="298">
        <v>44925</v>
      </c>
      <c r="M125" s="298">
        <v>44652</v>
      </c>
      <c r="N125" s="299">
        <f t="shared" si="3"/>
        <v>0.17771084337349397</v>
      </c>
      <c r="O125" s="299">
        <f t="shared" si="4"/>
        <v>0.17771084337349397</v>
      </c>
      <c r="P125" s="300">
        <v>1</v>
      </c>
      <c r="Q125" s="301">
        <v>0.25</v>
      </c>
      <c r="R125" s="301">
        <v>0.5</v>
      </c>
      <c r="S125" s="301">
        <v>0.75</v>
      </c>
      <c r="T125" s="301">
        <v>1</v>
      </c>
      <c r="U125" s="301"/>
      <c r="V125" s="301"/>
      <c r="W125" s="300"/>
      <c r="X125" s="303"/>
      <c r="Y125" s="304"/>
      <c r="Z125" s="305"/>
      <c r="AA125" s="305"/>
      <c r="AB125" s="304"/>
      <c r="AC125" s="305"/>
      <c r="AD125" s="305"/>
      <c r="AE125" s="304"/>
      <c r="AF125" s="305"/>
      <c r="AG125" s="305"/>
      <c r="AH125" s="306"/>
    </row>
    <row r="126" spans="1:34" ht="75" customHeight="1" outlineLevel="1" x14ac:dyDescent="0.25">
      <c r="A126" s="794"/>
      <c r="B126" s="785"/>
      <c r="C126" s="785"/>
      <c r="D126" s="756"/>
      <c r="E126" s="862"/>
      <c r="F126" s="862"/>
      <c r="G126" s="287" t="s">
        <v>326</v>
      </c>
      <c r="H126" s="842"/>
      <c r="I126" s="12" t="s">
        <v>299</v>
      </c>
      <c r="J126" s="286" t="s">
        <v>111</v>
      </c>
      <c r="K126" s="298">
        <v>44593</v>
      </c>
      <c r="L126" s="298">
        <v>44925</v>
      </c>
      <c r="M126" s="298">
        <v>44652</v>
      </c>
      <c r="N126" s="299">
        <f t="shared" si="3"/>
        <v>0.17771084337349397</v>
      </c>
      <c r="O126" s="299">
        <f t="shared" si="4"/>
        <v>0.17771084337349397</v>
      </c>
      <c r="P126" s="300">
        <v>1</v>
      </c>
      <c r="Q126" s="301">
        <v>0.25</v>
      </c>
      <c r="R126" s="301">
        <v>0.5</v>
      </c>
      <c r="S126" s="301">
        <v>0.75</v>
      </c>
      <c r="T126" s="301">
        <v>1</v>
      </c>
      <c r="U126" s="301"/>
      <c r="V126" s="301"/>
      <c r="W126" s="300"/>
      <c r="X126" s="303"/>
      <c r="Y126" s="304"/>
      <c r="Z126" s="305"/>
      <c r="AA126" s="305"/>
      <c r="AB126" s="304"/>
      <c r="AC126" s="305"/>
      <c r="AD126" s="305"/>
      <c r="AE126" s="304"/>
      <c r="AF126" s="305"/>
      <c r="AG126" s="305"/>
      <c r="AH126" s="306"/>
    </row>
    <row r="127" spans="1:34" ht="56.25" customHeight="1" outlineLevel="1" x14ac:dyDescent="0.25">
      <c r="A127" s="794"/>
      <c r="B127" s="785"/>
      <c r="C127" s="785"/>
      <c r="D127" s="756"/>
      <c r="E127" s="862"/>
      <c r="F127" s="862"/>
      <c r="G127" s="287" t="s">
        <v>327</v>
      </c>
      <c r="H127" s="842"/>
      <c r="I127" s="286" t="s">
        <v>328</v>
      </c>
      <c r="J127" s="286" t="s">
        <v>111</v>
      </c>
      <c r="K127" s="298">
        <v>44593</v>
      </c>
      <c r="L127" s="298">
        <v>44925</v>
      </c>
      <c r="M127" s="298">
        <v>44652</v>
      </c>
      <c r="N127" s="299">
        <f t="shared" si="3"/>
        <v>0.17771084337349397</v>
      </c>
      <c r="O127" s="299">
        <f t="shared" si="4"/>
        <v>0.17771084337349397</v>
      </c>
      <c r="P127" s="300">
        <v>1</v>
      </c>
      <c r="Q127" s="301">
        <v>0.25</v>
      </c>
      <c r="R127" s="301">
        <v>0.5</v>
      </c>
      <c r="S127" s="301">
        <v>0.75</v>
      </c>
      <c r="T127" s="301">
        <v>1</v>
      </c>
      <c r="U127" s="301"/>
      <c r="V127" s="301"/>
      <c r="W127" s="300"/>
      <c r="X127" s="303"/>
      <c r="Y127" s="304"/>
      <c r="Z127" s="305"/>
      <c r="AA127" s="305"/>
      <c r="AB127" s="304"/>
      <c r="AC127" s="305"/>
      <c r="AD127" s="305"/>
      <c r="AE127" s="304"/>
      <c r="AF127" s="305"/>
      <c r="AG127" s="305"/>
      <c r="AH127" s="306"/>
    </row>
    <row r="128" spans="1:34" ht="46.5" customHeight="1" outlineLevel="1" x14ac:dyDescent="0.25">
      <c r="A128" s="794"/>
      <c r="B128" s="785"/>
      <c r="C128" s="785"/>
      <c r="D128" s="756"/>
      <c r="E128" s="862"/>
      <c r="F128" s="862"/>
      <c r="G128" s="287" t="s">
        <v>329</v>
      </c>
      <c r="H128" s="842"/>
      <c r="I128" s="286" t="s">
        <v>330</v>
      </c>
      <c r="J128" s="286" t="s">
        <v>111</v>
      </c>
      <c r="K128" s="298">
        <v>44593</v>
      </c>
      <c r="L128" s="298">
        <v>44925</v>
      </c>
      <c r="M128" s="298">
        <v>44652</v>
      </c>
      <c r="N128" s="299">
        <f t="shared" si="3"/>
        <v>0.17771084337349397</v>
      </c>
      <c r="O128" s="299">
        <f t="shared" si="4"/>
        <v>0.17771084337349397</v>
      </c>
      <c r="P128" s="300">
        <v>1</v>
      </c>
      <c r="Q128" s="301">
        <v>0.25</v>
      </c>
      <c r="R128" s="301">
        <v>0.5</v>
      </c>
      <c r="S128" s="301">
        <v>0.75</v>
      </c>
      <c r="T128" s="301">
        <v>1</v>
      </c>
      <c r="U128" s="301"/>
      <c r="V128" s="301"/>
      <c r="W128" s="300"/>
      <c r="X128" s="303"/>
      <c r="Y128" s="304"/>
      <c r="Z128" s="305"/>
      <c r="AA128" s="305"/>
      <c r="AB128" s="304"/>
      <c r="AC128" s="305"/>
      <c r="AD128" s="305"/>
      <c r="AE128" s="304"/>
      <c r="AF128" s="305"/>
      <c r="AG128" s="305"/>
      <c r="AH128" s="306"/>
    </row>
    <row r="129" spans="1:34" ht="75" customHeight="1" outlineLevel="1" x14ac:dyDescent="0.25">
      <c r="A129" s="794"/>
      <c r="B129" s="785"/>
      <c r="C129" s="785"/>
      <c r="D129" s="756"/>
      <c r="E129" s="862"/>
      <c r="F129" s="862"/>
      <c r="G129" s="287" t="s">
        <v>331</v>
      </c>
      <c r="H129" s="842"/>
      <c r="I129" s="286" t="s">
        <v>328</v>
      </c>
      <c r="J129" s="286" t="s">
        <v>111</v>
      </c>
      <c r="K129" s="298">
        <v>44593</v>
      </c>
      <c r="L129" s="298">
        <v>44925</v>
      </c>
      <c r="M129" s="298">
        <v>44652</v>
      </c>
      <c r="N129" s="299">
        <f t="shared" si="3"/>
        <v>0.17771084337349397</v>
      </c>
      <c r="O129" s="299">
        <f t="shared" si="4"/>
        <v>0.17771084337349397</v>
      </c>
      <c r="P129" s="300">
        <v>1</v>
      </c>
      <c r="Q129" s="301">
        <v>0.25</v>
      </c>
      <c r="R129" s="301">
        <v>0.5</v>
      </c>
      <c r="S129" s="301">
        <v>0.75</v>
      </c>
      <c r="T129" s="301">
        <v>1</v>
      </c>
      <c r="U129" s="301"/>
      <c r="V129" s="301"/>
      <c r="W129" s="300"/>
      <c r="X129" s="303"/>
      <c r="Y129" s="304"/>
      <c r="Z129" s="305"/>
      <c r="AA129" s="305"/>
      <c r="AB129" s="304"/>
      <c r="AC129" s="305"/>
      <c r="AD129" s="305"/>
      <c r="AE129" s="304"/>
      <c r="AF129" s="305"/>
      <c r="AG129" s="305"/>
      <c r="AH129" s="306"/>
    </row>
    <row r="130" spans="1:34" ht="46.5" customHeight="1" outlineLevel="1" x14ac:dyDescent="0.25">
      <c r="A130" s="794"/>
      <c r="B130" s="785"/>
      <c r="C130" s="785"/>
      <c r="D130" s="756"/>
      <c r="E130" s="862"/>
      <c r="F130" s="862"/>
      <c r="G130" s="287" t="s">
        <v>332</v>
      </c>
      <c r="H130" s="842"/>
      <c r="I130" s="286" t="s">
        <v>214</v>
      </c>
      <c r="J130" s="286" t="s">
        <v>111</v>
      </c>
      <c r="K130" s="298">
        <v>44593</v>
      </c>
      <c r="L130" s="298">
        <v>44925</v>
      </c>
      <c r="M130" s="298">
        <v>44652</v>
      </c>
      <c r="N130" s="299">
        <f t="shared" si="3"/>
        <v>0.17771084337349397</v>
      </c>
      <c r="O130" s="299">
        <f t="shared" si="4"/>
        <v>0.17771084337349397</v>
      </c>
      <c r="P130" s="300">
        <v>1</v>
      </c>
      <c r="Q130" s="301">
        <v>0.25</v>
      </c>
      <c r="R130" s="301">
        <v>0.5</v>
      </c>
      <c r="S130" s="301">
        <v>0.75</v>
      </c>
      <c r="T130" s="301">
        <v>1</v>
      </c>
      <c r="U130" s="301"/>
      <c r="V130" s="301"/>
      <c r="W130" s="300"/>
      <c r="X130" s="303"/>
      <c r="Y130" s="304"/>
      <c r="Z130" s="305"/>
      <c r="AA130" s="305"/>
      <c r="AB130" s="304"/>
      <c r="AC130" s="305"/>
      <c r="AD130" s="305"/>
      <c r="AE130" s="304"/>
      <c r="AF130" s="305"/>
      <c r="AG130" s="305"/>
      <c r="AH130" s="306"/>
    </row>
    <row r="131" spans="1:34" ht="75.75" customHeight="1" outlineLevel="1" thickBot="1" x14ac:dyDescent="0.3">
      <c r="A131" s="794"/>
      <c r="B131" s="786"/>
      <c r="C131" s="786"/>
      <c r="D131" s="756"/>
      <c r="E131" s="863"/>
      <c r="F131" s="863"/>
      <c r="G131" s="288" t="s">
        <v>333</v>
      </c>
      <c r="H131" s="842"/>
      <c r="I131" s="286" t="s">
        <v>299</v>
      </c>
      <c r="J131" s="286" t="s">
        <v>111</v>
      </c>
      <c r="K131" s="298">
        <v>44593</v>
      </c>
      <c r="L131" s="298">
        <v>44925</v>
      </c>
      <c r="M131" s="298">
        <v>44652</v>
      </c>
      <c r="N131" s="299">
        <f t="shared" si="3"/>
        <v>0.17771084337349397</v>
      </c>
      <c r="O131" s="299">
        <f t="shared" si="4"/>
        <v>0.17771084337349397</v>
      </c>
      <c r="P131" s="300">
        <v>1</v>
      </c>
      <c r="Q131" s="301">
        <v>0.25</v>
      </c>
      <c r="R131" s="301">
        <v>0.5</v>
      </c>
      <c r="S131" s="301">
        <v>0.75</v>
      </c>
      <c r="T131" s="301">
        <v>1</v>
      </c>
      <c r="U131" s="301"/>
      <c r="V131" s="301"/>
      <c r="W131" s="300"/>
      <c r="X131" s="303"/>
      <c r="Y131" s="304"/>
      <c r="Z131" s="305"/>
      <c r="AA131" s="305"/>
      <c r="AB131" s="304"/>
      <c r="AC131" s="305"/>
      <c r="AD131" s="305"/>
      <c r="AE131" s="304"/>
      <c r="AF131" s="305"/>
      <c r="AG131" s="305"/>
      <c r="AH131" s="306"/>
    </row>
    <row r="132" spans="1:34" ht="75" customHeight="1" outlineLevel="1" x14ac:dyDescent="0.25">
      <c r="A132" s="794"/>
      <c r="B132" s="784" t="s">
        <v>316</v>
      </c>
      <c r="C132" s="784" t="s">
        <v>317</v>
      </c>
      <c r="D132" s="756"/>
      <c r="E132" s="861" t="s">
        <v>318</v>
      </c>
      <c r="F132" s="861" t="s">
        <v>319</v>
      </c>
      <c r="G132" s="287" t="s">
        <v>320</v>
      </c>
      <c r="H132" s="842"/>
      <c r="I132" s="12" t="s">
        <v>299</v>
      </c>
      <c r="J132" s="286" t="s">
        <v>111</v>
      </c>
      <c r="K132" s="298">
        <v>44593</v>
      </c>
      <c r="L132" s="298">
        <v>44925</v>
      </c>
      <c r="M132" s="298">
        <v>44652</v>
      </c>
      <c r="N132" s="299">
        <f t="shared" si="2"/>
        <v>0.17771084337349397</v>
      </c>
      <c r="O132" s="299">
        <f t="shared" si="1"/>
        <v>0.17771084337349397</v>
      </c>
      <c r="P132" s="300">
        <v>1</v>
      </c>
      <c r="Q132" s="301">
        <v>0.25</v>
      </c>
      <c r="R132" s="301">
        <v>0.5</v>
      </c>
      <c r="S132" s="301">
        <v>0.75</v>
      </c>
      <c r="T132" s="301">
        <v>1</v>
      </c>
      <c r="U132" s="301"/>
      <c r="V132" s="301"/>
      <c r="W132" s="300"/>
      <c r="X132" s="303"/>
      <c r="Y132" s="304"/>
      <c r="Z132" s="305"/>
      <c r="AA132" s="305"/>
      <c r="AB132" s="304"/>
      <c r="AC132" s="305"/>
      <c r="AD132" s="305"/>
      <c r="AE132" s="304"/>
      <c r="AF132" s="305"/>
      <c r="AG132" s="305"/>
      <c r="AH132" s="306"/>
    </row>
    <row r="133" spans="1:34" ht="93.75" customHeight="1" outlineLevel="1" x14ac:dyDescent="0.25">
      <c r="A133" s="794"/>
      <c r="B133" s="785"/>
      <c r="C133" s="785"/>
      <c r="D133" s="756"/>
      <c r="E133" s="862"/>
      <c r="F133" s="862"/>
      <c r="G133" s="287" t="s">
        <v>321</v>
      </c>
      <c r="H133" s="842"/>
      <c r="I133" s="12" t="s">
        <v>322</v>
      </c>
      <c r="J133" s="286" t="s">
        <v>111</v>
      </c>
      <c r="K133" s="298">
        <v>44593</v>
      </c>
      <c r="L133" s="298">
        <v>44925</v>
      </c>
      <c r="M133" s="298">
        <v>44652</v>
      </c>
      <c r="N133" s="299">
        <f t="shared" si="2"/>
        <v>0.17771084337349397</v>
      </c>
      <c r="O133" s="299">
        <f t="shared" si="1"/>
        <v>0.17771084337349397</v>
      </c>
      <c r="P133" s="300">
        <v>1</v>
      </c>
      <c r="Q133" s="301">
        <v>0.25</v>
      </c>
      <c r="R133" s="301">
        <v>0.5</v>
      </c>
      <c r="S133" s="301">
        <v>0.75</v>
      </c>
      <c r="T133" s="301">
        <v>1</v>
      </c>
      <c r="U133" s="301"/>
      <c r="V133" s="301"/>
      <c r="W133" s="300"/>
      <c r="X133" s="303"/>
      <c r="Y133" s="304"/>
      <c r="Z133" s="305"/>
      <c r="AA133" s="305"/>
      <c r="AB133" s="304"/>
      <c r="AC133" s="305"/>
      <c r="AD133" s="305"/>
      <c r="AE133" s="304"/>
      <c r="AF133" s="305"/>
      <c r="AG133" s="305"/>
      <c r="AH133" s="306"/>
    </row>
    <row r="134" spans="1:34" ht="56.25" customHeight="1" outlineLevel="1" x14ac:dyDescent="0.25">
      <c r="A134" s="794"/>
      <c r="B134" s="860"/>
      <c r="C134" s="860"/>
      <c r="D134" s="756"/>
      <c r="E134" s="863"/>
      <c r="F134" s="863"/>
      <c r="G134" s="287" t="s">
        <v>323</v>
      </c>
      <c r="H134" s="842"/>
      <c r="I134" s="12" t="s">
        <v>299</v>
      </c>
      <c r="J134" s="286" t="s">
        <v>111</v>
      </c>
      <c r="K134" s="298">
        <v>44593</v>
      </c>
      <c r="L134" s="298">
        <v>44925</v>
      </c>
      <c r="M134" s="298">
        <v>44652</v>
      </c>
      <c r="N134" s="299">
        <f t="shared" si="2"/>
        <v>0.17771084337349397</v>
      </c>
      <c r="O134" s="299">
        <f t="shared" si="1"/>
        <v>0.17771084337349397</v>
      </c>
      <c r="P134" s="300">
        <v>1</v>
      </c>
      <c r="Q134" s="301">
        <v>0.25</v>
      </c>
      <c r="R134" s="301">
        <v>0.5</v>
      </c>
      <c r="S134" s="301">
        <v>0.75</v>
      </c>
      <c r="T134" s="301">
        <v>1</v>
      </c>
      <c r="U134" s="301"/>
      <c r="V134" s="301"/>
      <c r="W134" s="300"/>
      <c r="X134" s="303"/>
      <c r="Y134" s="304"/>
      <c r="Z134" s="305"/>
      <c r="AA134" s="305"/>
      <c r="AB134" s="304"/>
      <c r="AC134" s="305"/>
      <c r="AD134" s="305"/>
      <c r="AE134" s="304"/>
      <c r="AF134" s="305"/>
      <c r="AG134" s="305"/>
      <c r="AH134" s="306"/>
    </row>
    <row r="135" spans="1:34" ht="60" customHeight="1" outlineLevel="1" x14ac:dyDescent="0.25">
      <c r="A135" s="794"/>
      <c r="B135" s="798" t="s">
        <v>293</v>
      </c>
      <c r="C135" s="798" t="s">
        <v>334</v>
      </c>
      <c r="D135" s="787" t="s">
        <v>4</v>
      </c>
      <c r="E135" s="867" t="s">
        <v>335</v>
      </c>
      <c r="F135" s="357" t="s">
        <v>336</v>
      </c>
      <c r="G135" s="340" t="s">
        <v>338</v>
      </c>
      <c r="H135" s="340" t="s">
        <v>339</v>
      </c>
      <c r="I135" s="274" t="s">
        <v>340</v>
      </c>
      <c r="J135" s="286" t="s">
        <v>111</v>
      </c>
      <c r="K135" s="298">
        <v>44593</v>
      </c>
      <c r="L135" s="298">
        <v>44925</v>
      </c>
      <c r="M135" s="298">
        <v>44652</v>
      </c>
      <c r="N135" s="299">
        <f t="shared" si="2"/>
        <v>0.17771084337349397</v>
      </c>
      <c r="O135" s="299">
        <f t="shared" si="1"/>
        <v>0.17771084337349397</v>
      </c>
      <c r="P135" s="300">
        <v>0.65</v>
      </c>
      <c r="Q135" s="301">
        <v>0.54</v>
      </c>
      <c r="R135" s="301">
        <v>0.57999999999999996</v>
      </c>
      <c r="S135" s="301">
        <v>0.62</v>
      </c>
      <c r="T135" s="301">
        <v>0.65</v>
      </c>
      <c r="U135" s="301"/>
      <c r="V135" s="301"/>
      <c r="W135" s="300"/>
      <c r="X135" s="303"/>
      <c r="Y135" s="304"/>
      <c r="Z135" s="305"/>
      <c r="AA135" s="305"/>
      <c r="AB135" s="304"/>
      <c r="AC135" s="305"/>
      <c r="AD135" s="305"/>
      <c r="AE135" s="304"/>
      <c r="AF135" s="305"/>
      <c r="AG135" s="305"/>
      <c r="AH135" s="306"/>
    </row>
    <row r="136" spans="1:34" ht="168.75" customHeight="1" outlineLevel="1" x14ac:dyDescent="0.25">
      <c r="A136" s="794"/>
      <c r="B136" s="798"/>
      <c r="C136" s="798"/>
      <c r="D136" s="788"/>
      <c r="E136" s="867"/>
      <c r="F136" s="776" t="s">
        <v>341</v>
      </c>
      <c r="G136" s="773" t="s">
        <v>342</v>
      </c>
      <c r="H136" s="340" t="s">
        <v>343</v>
      </c>
      <c r="I136" s="274" t="s">
        <v>344</v>
      </c>
      <c r="J136" s="385">
        <v>90000000</v>
      </c>
      <c r="K136" s="298">
        <v>44593</v>
      </c>
      <c r="L136" s="298">
        <v>44925</v>
      </c>
      <c r="M136" s="298">
        <v>44652</v>
      </c>
      <c r="N136" s="299">
        <f t="shared" si="2"/>
        <v>0.17771084337349397</v>
      </c>
      <c r="O136" s="299">
        <f t="shared" si="1"/>
        <v>0.17771084337349397</v>
      </c>
      <c r="P136" s="300">
        <v>0.8</v>
      </c>
      <c r="Q136" s="301">
        <v>0.72</v>
      </c>
      <c r="R136" s="301">
        <v>0.75</v>
      </c>
      <c r="S136" s="301">
        <v>0.78</v>
      </c>
      <c r="T136" s="301">
        <v>0.8</v>
      </c>
      <c r="U136" s="301"/>
      <c r="V136" s="301"/>
      <c r="W136" s="300"/>
      <c r="X136" s="303"/>
      <c r="Y136" s="304"/>
      <c r="Z136" s="305"/>
      <c r="AA136" s="305"/>
      <c r="AB136" s="304"/>
      <c r="AC136" s="305"/>
      <c r="AD136" s="305"/>
      <c r="AE136" s="304"/>
      <c r="AF136" s="305"/>
      <c r="AG136" s="305"/>
      <c r="AH136" s="306"/>
    </row>
    <row r="137" spans="1:34" ht="168.75" customHeight="1" outlineLevel="1" x14ac:dyDescent="0.25">
      <c r="A137" s="794"/>
      <c r="B137" s="798"/>
      <c r="C137" s="798"/>
      <c r="D137" s="788"/>
      <c r="E137" s="867"/>
      <c r="F137" s="777"/>
      <c r="G137" s="775"/>
      <c r="H137" s="340" t="s">
        <v>345</v>
      </c>
      <c r="I137" s="274" t="s">
        <v>346</v>
      </c>
      <c r="J137" s="386" t="s">
        <v>59</v>
      </c>
      <c r="K137" s="298">
        <v>44593</v>
      </c>
      <c r="L137" s="298">
        <v>44925</v>
      </c>
      <c r="M137" s="298">
        <v>44652</v>
      </c>
      <c r="N137" s="299">
        <f t="shared" si="2"/>
        <v>0.17771084337349397</v>
      </c>
      <c r="O137" s="299">
        <f t="shared" ref="O137" si="5">+IF(N137&gt;=100,100,IF(N137&lt;=0,0,N137))</f>
        <v>0.17771084337349397</v>
      </c>
      <c r="P137" s="300">
        <v>0.75</v>
      </c>
      <c r="Q137" s="301">
        <v>63</v>
      </c>
      <c r="R137" s="301">
        <v>0.67</v>
      </c>
      <c r="S137" s="301">
        <v>0.71</v>
      </c>
      <c r="T137" s="301">
        <v>0.75</v>
      </c>
      <c r="U137" s="301"/>
      <c r="V137" s="301"/>
      <c r="W137" s="300"/>
      <c r="X137" s="303"/>
      <c r="Y137" s="304"/>
      <c r="Z137" s="305"/>
      <c r="AA137" s="305"/>
      <c r="AB137" s="304"/>
      <c r="AC137" s="305"/>
      <c r="AD137" s="305"/>
      <c r="AE137" s="304"/>
      <c r="AF137" s="305"/>
      <c r="AG137" s="305"/>
      <c r="AH137" s="306"/>
    </row>
    <row r="138" spans="1:34" ht="70.2" customHeight="1" outlineLevel="1" x14ac:dyDescent="0.25">
      <c r="A138" s="794"/>
      <c r="B138" s="798"/>
      <c r="C138" s="798"/>
      <c r="D138" s="788"/>
      <c r="E138" s="867"/>
      <c r="F138" s="776" t="s">
        <v>347</v>
      </c>
      <c r="G138" s="773" t="s">
        <v>348</v>
      </c>
      <c r="H138" s="340" t="s">
        <v>349</v>
      </c>
      <c r="I138" s="274" t="s">
        <v>350</v>
      </c>
      <c r="J138" s="386" t="s">
        <v>59</v>
      </c>
      <c r="K138" s="298">
        <v>44593</v>
      </c>
      <c r="L138" s="298">
        <v>44925</v>
      </c>
      <c r="M138" s="298">
        <v>44652</v>
      </c>
      <c r="N138" s="299">
        <f t="shared" si="2"/>
        <v>0.17771084337349397</v>
      </c>
      <c r="O138" s="299">
        <f t="shared" si="1"/>
        <v>0.17771084337349397</v>
      </c>
      <c r="P138" s="300">
        <v>1</v>
      </c>
      <c r="Q138" s="301">
        <v>0.92</v>
      </c>
      <c r="R138" s="301">
        <v>0.95</v>
      </c>
      <c r="S138" s="301">
        <v>0.98</v>
      </c>
      <c r="T138" s="301">
        <v>1</v>
      </c>
      <c r="U138" s="301"/>
      <c r="V138" s="301"/>
      <c r="W138" s="300"/>
      <c r="X138" s="303"/>
      <c r="Y138" s="304"/>
      <c r="Z138" s="305"/>
      <c r="AA138" s="305"/>
      <c r="AB138" s="304"/>
      <c r="AC138" s="305"/>
      <c r="AD138" s="305"/>
      <c r="AE138" s="304"/>
      <c r="AF138" s="305"/>
      <c r="AG138" s="305"/>
      <c r="AH138" s="306"/>
    </row>
    <row r="139" spans="1:34" ht="70.2" customHeight="1" outlineLevel="1" x14ac:dyDescent="0.25">
      <c r="A139" s="794"/>
      <c r="B139" s="798"/>
      <c r="C139" s="798"/>
      <c r="D139" s="788"/>
      <c r="E139" s="867"/>
      <c r="F139" s="777"/>
      <c r="G139" s="775"/>
      <c r="H139" s="335" t="s">
        <v>351</v>
      </c>
      <c r="I139" s="274" t="s">
        <v>350</v>
      </c>
      <c r="J139" s="386" t="s">
        <v>59</v>
      </c>
      <c r="K139" s="298">
        <v>44593</v>
      </c>
      <c r="L139" s="298">
        <v>44925</v>
      </c>
      <c r="M139" s="298">
        <v>44652</v>
      </c>
      <c r="N139" s="299">
        <f t="shared" si="2"/>
        <v>0.17771084337349397</v>
      </c>
      <c r="O139" s="299">
        <f t="shared" ref="O139" si="6">+IF(N139&gt;=100,100,IF(N139&lt;=0,0,N139))</f>
        <v>0.17771084337349397</v>
      </c>
      <c r="P139" s="300">
        <v>0.5</v>
      </c>
      <c r="Q139" s="301">
        <v>0.31</v>
      </c>
      <c r="R139" s="301">
        <v>0.37</v>
      </c>
      <c r="S139" s="301">
        <v>0.44</v>
      </c>
      <c r="T139" s="301">
        <v>0.5</v>
      </c>
      <c r="U139" s="301"/>
      <c r="V139" s="301"/>
      <c r="W139" s="300"/>
      <c r="X139" s="303"/>
      <c r="Y139" s="304"/>
      <c r="Z139" s="305"/>
      <c r="AA139" s="305"/>
      <c r="AB139" s="304"/>
      <c r="AC139" s="305"/>
      <c r="AD139" s="305"/>
      <c r="AE139" s="304"/>
      <c r="AF139" s="305"/>
      <c r="AG139" s="305"/>
      <c r="AH139" s="306"/>
    </row>
    <row r="140" spans="1:34" ht="56.25" customHeight="1" outlineLevel="1" x14ac:dyDescent="0.25">
      <c r="A140" s="794"/>
      <c r="B140" s="798"/>
      <c r="C140" s="798"/>
      <c r="D140" s="788"/>
      <c r="E140" s="867"/>
      <c r="F140" s="776" t="s">
        <v>352</v>
      </c>
      <c r="G140" s="340" t="s">
        <v>353</v>
      </c>
      <c r="H140" s="773" t="s">
        <v>354</v>
      </c>
      <c r="I140" s="274" t="s">
        <v>350</v>
      </c>
      <c r="J140" s="386" t="s">
        <v>59</v>
      </c>
      <c r="K140" s="298">
        <v>44593</v>
      </c>
      <c r="L140" s="298">
        <v>44925</v>
      </c>
      <c r="M140" s="298">
        <v>44652</v>
      </c>
      <c r="N140" s="299">
        <f t="shared" si="2"/>
        <v>0.17771084337349397</v>
      </c>
      <c r="O140" s="299">
        <f t="shared" si="1"/>
        <v>0.17771084337349397</v>
      </c>
      <c r="P140" s="300">
        <v>1</v>
      </c>
      <c r="Q140" s="301">
        <v>0.65</v>
      </c>
      <c r="R140" s="301">
        <v>0.75</v>
      </c>
      <c r="S140" s="301">
        <v>0.85</v>
      </c>
      <c r="T140" s="301">
        <v>1</v>
      </c>
      <c r="U140" s="301"/>
      <c r="V140" s="301"/>
      <c r="W140" s="300"/>
      <c r="X140" s="303"/>
      <c r="Y140" s="304"/>
      <c r="Z140" s="305"/>
      <c r="AA140" s="305"/>
      <c r="AB140" s="304"/>
      <c r="AC140" s="305"/>
      <c r="AD140" s="305"/>
      <c r="AE140" s="304"/>
      <c r="AF140" s="305"/>
      <c r="AG140" s="305"/>
      <c r="AH140" s="306"/>
    </row>
    <row r="141" spans="1:34" ht="93.45" customHeight="1" outlineLevel="1" x14ac:dyDescent="0.25">
      <c r="A141" s="794"/>
      <c r="B141" s="798"/>
      <c r="C141" s="798"/>
      <c r="D141" s="788"/>
      <c r="E141" s="867"/>
      <c r="F141" s="777"/>
      <c r="G141" s="340" t="s">
        <v>355</v>
      </c>
      <c r="H141" s="775"/>
      <c r="I141" s="274" t="s">
        <v>356</v>
      </c>
      <c r="J141" s="386" t="s">
        <v>59</v>
      </c>
      <c r="K141" s="298">
        <v>44593</v>
      </c>
      <c r="L141" s="298">
        <v>44925</v>
      </c>
      <c r="M141" s="298">
        <v>44652</v>
      </c>
      <c r="N141" s="299">
        <f t="shared" si="2"/>
        <v>0.17771084337349397</v>
      </c>
      <c r="O141" s="299">
        <f t="shared" si="1"/>
        <v>0.17771084337349397</v>
      </c>
      <c r="P141" s="300">
        <v>1</v>
      </c>
      <c r="Q141" s="301">
        <v>0.25</v>
      </c>
      <c r="R141" s="301">
        <v>0.5</v>
      </c>
      <c r="S141" s="301">
        <v>0.75</v>
      </c>
      <c r="T141" s="301">
        <v>1</v>
      </c>
      <c r="U141" s="301"/>
      <c r="V141" s="301"/>
      <c r="W141" s="300"/>
      <c r="X141" s="303"/>
      <c r="Y141" s="304"/>
      <c r="Z141" s="305"/>
      <c r="AA141" s="305"/>
      <c r="AB141" s="304"/>
      <c r="AC141" s="305"/>
      <c r="AD141" s="305"/>
      <c r="AE141" s="304"/>
      <c r="AF141" s="305"/>
      <c r="AG141" s="305"/>
      <c r="AH141" s="306"/>
    </row>
    <row r="142" spans="1:34" ht="93.75" customHeight="1" outlineLevel="1" x14ac:dyDescent="0.25">
      <c r="A142" s="794"/>
      <c r="B142" s="798"/>
      <c r="C142" s="798"/>
      <c r="D142" s="788"/>
      <c r="E142" s="867"/>
      <c r="F142" s="357" t="s">
        <v>357</v>
      </c>
      <c r="G142" s="340" t="s">
        <v>346</v>
      </c>
      <c r="H142" s="340" t="s">
        <v>358</v>
      </c>
      <c r="I142" s="274" t="s">
        <v>111</v>
      </c>
      <c r="J142" s="385" t="s">
        <v>59</v>
      </c>
      <c r="K142" s="298">
        <v>44593</v>
      </c>
      <c r="L142" s="298">
        <v>44925</v>
      </c>
      <c r="M142" s="298">
        <v>44652</v>
      </c>
      <c r="N142" s="299">
        <f t="shared" si="2"/>
        <v>0.17771084337349397</v>
      </c>
      <c r="O142" s="299">
        <f t="shared" si="1"/>
        <v>0.17771084337349397</v>
      </c>
      <c r="P142" s="300">
        <v>0.5</v>
      </c>
      <c r="Q142" s="301">
        <v>0.25</v>
      </c>
      <c r="R142" s="301">
        <v>0.33</v>
      </c>
      <c r="S142" s="301">
        <v>0.43</v>
      </c>
      <c r="T142" s="301">
        <v>0.5</v>
      </c>
      <c r="U142" s="301"/>
      <c r="V142" s="301"/>
      <c r="W142" s="300"/>
      <c r="X142" s="303"/>
      <c r="Y142" s="304"/>
      <c r="Z142" s="305"/>
      <c r="AA142" s="305"/>
      <c r="AB142" s="304"/>
      <c r="AC142" s="305"/>
      <c r="AD142" s="305"/>
      <c r="AE142" s="304"/>
      <c r="AF142" s="305"/>
      <c r="AG142" s="305"/>
      <c r="AH142" s="306"/>
    </row>
    <row r="143" spans="1:34" ht="75" customHeight="1" outlineLevel="1" x14ac:dyDescent="0.25">
      <c r="A143" s="794"/>
      <c r="B143" s="798" t="s">
        <v>359</v>
      </c>
      <c r="C143" s="798" t="s">
        <v>360</v>
      </c>
      <c r="D143" s="788"/>
      <c r="E143" s="776" t="s">
        <v>361</v>
      </c>
      <c r="F143" s="776" t="s">
        <v>362</v>
      </c>
      <c r="G143" s="289" t="s">
        <v>363</v>
      </c>
      <c r="H143" s="773" t="s">
        <v>207</v>
      </c>
      <c r="I143" s="274" t="s">
        <v>344</v>
      </c>
      <c r="J143" s="385">
        <v>35000000</v>
      </c>
      <c r="K143" s="298">
        <v>44593</v>
      </c>
      <c r="L143" s="298">
        <v>44925</v>
      </c>
      <c r="M143" s="298">
        <v>44652</v>
      </c>
      <c r="N143" s="299">
        <f t="shared" si="2"/>
        <v>0.17771084337349397</v>
      </c>
      <c r="O143" s="299">
        <f t="shared" si="1"/>
        <v>0.17771084337349397</v>
      </c>
      <c r="P143" s="300">
        <v>1</v>
      </c>
      <c r="Q143" s="301">
        <v>0.25</v>
      </c>
      <c r="R143" s="301">
        <v>0.5</v>
      </c>
      <c r="S143" s="301">
        <v>0.75</v>
      </c>
      <c r="T143" s="301">
        <v>1</v>
      </c>
      <c r="U143" s="301"/>
      <c r="V143" s="301"/>
      <c r="W143" s="300"/>
      <c r="X143" s="303"/>
      <c r="Y143" s="304"/>
      <c r="Z143" s="305"/>
      <c r="AA143" s="305"/>
      <c r="AB143" s="304"/>
      <c r="AC143" s="305"/>
      <c r="AD143" s="305"/>
      <c r="AE143" s="304"/>
      <c r="AF143" s="305"/>
      <c r="AG143" s="305"/>
      <c r="AH143" s="306"/>
    </row>
    <row r="144" spans="1:34" ht="60" customHeight="1" outlineLevel="1" x14ac:dyDescent="0.25">
      <c r="A144" s="794"/>
      <c r="B144" s="798"/>
      <c r="C144" s="798"/>
      <c r="D144" s="788"/>
      <c r="E144" s="778"/>
      <c r="F144" s="778"/>
      <c r="G144" s="340" t="s">
        <v>364</v>
      </c>
      <c r="H144" s="774"/>
      <c r="I144" s="274" t="s">
        <v>365</v>
      </c>
      <c r="J144" s="385">
        <v>54000000</v>
      </c>
      <c r="K144" s="298">
        <v>44593</v>
      </c>
      <c r="L144" s="298">
        <v>44925</v>
      </c>
      <c r="M144" s="298">
        <v>44652</v>
      </c>
      <c r="N144" s="299">
        <f t="shared" si="2"/>
        <v>0.17771084337349397</v>
      </c>
      <c r="O144" s="299">
        <f t="shared" si="1"/>
        <v>0.17771084337349397</v>
      </c>
      <c r="P144" s="300">
        <v>1</v>
      </c>
      <c r="Q144" s="301">
        <v>0.25</v>
      </c>
      <c r="R144" s="301">
        <v>0.5</v>
      </c>
      <c r="S144" s="301">
        <v>0.75</v>
      </c>
      <c r="T144" s="301">
        <v>1</v>
      </c>
      <c r="U144" s="301"/>
      <c r="V144" s="301"/>
      <c r="W144" s="300"/>
      <c r="X144" s="303"/>
      <c r="Y144" s="304"/>
      <c r="Z144" s="305"/>
      <c r="AA144" s="305"/>
      <c r="AB144" s="304"/>
      <c r="AC144" s="305"/>
      <c r="AD144" s="305"/>
      <c r="AE144" s="304"/>
      <c r="AF144" s="305"/>
      <c r="AG144" s="305"/>
      <c r="AH144" s="306"/>
    </row>
    <row r="145" spans="1:34" ht="70.2" customHeight="1" outlineLevel="1" x14ac:dyDescent="0.25">
      <c r="A145" s="794"/>
      <c r="B145" s="798"/>
      <c r="C145" s="798"/>
      <c r="D145" s="788"/>
      <c r="E145" s="777"/>
      <c r="F145" s="777"/>
      <c r="G145" s="340" t="s">
        <v>366</v>
      </c>
      <c r="H145" s="775"/>
      <c r="I145" s="274" t="s">
        <v>365</v>
      </c>
      <c r="J145" s="385">
        <v>20000000</v>
      </c>
      <c r="K145" s="298">
        <v>44593</v>
      </c>
      <c r="L145" s="298">
        <v>44925</v>
      </c>
      <c r="M145" s="298">
        <v>44652</v>
      </c>
      <c r="N145" s="299">
        <f t="shared" si="2"/>
        <v>0.17771084337349397</v>
      </c>
      <c r="O145" s="299">
        <f t="shared" si="1"/>
        <v>0.17771084337349397</v>
      </c>
      <c r="P145" s="300">
        <v>1</v>
      </c>
      <c r="Q145" s="301">
        <v>0.25</v>
      </c>
      <c r="R145" s="301">
        <v>0.5</v>
      </c>
      <c r="S145" s="301">
        <v>0.75</v>
      </c>
      <c r="T145" s="301">
        <v>1</v>
      </c>
      <c r="U145" s="301"/>
      <c r="V145" s="301"/>
      <c r="W145" s="300"/>
      <c r="X145" s="303"/>
      <c r="Y145" s="304"/>
      <c r="Z145" s="305"/>
      <c r="AA145" s="305"/>
      <c r="AB145" s="304"/>
      <c r="AC145" s="305"/>
      <c r="AD145" s="305"/>
      <c r="AE145" s="304"/>
      <c r="AF145" s="305"/>
      <c r="AG145" s="305"/>
      <c r="AH145" s="306"/>
    </row>
    <row r="146" spans="1:34" ht="60" customHeight="1" outlineLevel="1" x14ac:dyDescent="0.25">
      <c r="A146" s="794"/>
      <c r="B146" s="798"/>
      <c r="C146" s="798"/>
      <c r="D146" s="788"/>
      <c r="E146" s="776" t="s">
        <v>367</v>
      </c>
      <c r="F146" s="776" t="s">
        <v>368</v>
      </c>
      <c r="G146" s="340" t="s">
        <v>369</v>
      </c>
      <c r="H146" s="773" t="s">
        <v>370</v>
      </c>
      <c r="I146" s="274" t="s">
        <v>371</v>
      </c>
      <c r="J146" s="308" t="s">
        <v>59</v>
      </c>
      <c r="K146" s="298">
        <v>44593</v>
      </c>
      <c r="L146" s="298">
        <v>44925</v>
      </c>
      <c r="M146" s="298">
        <v>44652</v>
      </c>
      <c r="N146" s="299">
        <f t="shared" si="2"/>
        <v>0.17771084337349397</v>
      </c>
      <c r="O146" s="299">
        <f t="shared" si="1"/>
        <v>0.17771084337349397</v>
      </c>
      <c r="P146" s="300">
        <v>1</v>
      </c>
      <c r="Q146" s="301">
        <v>0.25</v>
      </c>
      <c r="R146" s="301">
        <v>0.5</v>
      </c>
      <c r="S146" s="301">
        <v>0.75</v>
      </c>
      <c r="T146" s="301">
        <v>1</v>
      </c>
      <c r="U146" s="301"/>
      <c r="V146" s="301"/>
      <c r="W146" s="300"/>
      <c r="X146" s="303"/>
      <c r="Y146" s="304"/>
      <c r="Z146" s="305"/>
      <c r="AA146" s="305"/>
      <c r="AB146" s="304"/>
      <c r="AC146" s="305"/>
      <c r="AD146" s="305"/>
      <c r="AE146" s="304"/>
      <c r="AF146" s="305"/>
      <c r="AG146" s="305"/>
      <c r="AH146" s="306"/>
    </row>
    <row r="147" spans="1:34" ht="108" customHeight="1" outlineLevel="1" x14ac:dyDescent="0.25">
      <c r="A147" s="794"/>
      <c r="B147" s="798"/>
      <c r="C147" s="798"/>
      <c r="D147" s="788"/>
      <c r="E147" s="777"/>
      <c r="F147" s="777"/>
      <c r="G147" s="340" t="s">
        <v>372</v>
      </c>
      <c r="H147" s="775"/>
      <c r="I147" s="274" t="s">
        <v>373</v>
      </c>
      <c r="J147" s="308" t="s">
        <v>59</v>
      </c>
      <c r="K147" s="298">
        <v>44593</v>
      </c>
      <c r="L147" s="298">
        <v>44925</v>
      </c>
      <c r="M147" s="298">
        <v>44652</v>
      </c>
      <c r="N147" s="299">
        <f t="shared" si="2"/>
        <v>0.17771084337349397</v>
      </c>
      <c r="O147" s="299">
        <f t="shared" si="1"/>
        <v>0.17771084337349397</v>
      </c>
      <c r="P147" s="300">
        <v>1</v>
      </c>
      <c r="Q147" s="301">
        <v>0.25</v>
      </c>
      <c r="R147" s="301">
        <v>0.5</v>
      </c>
      <c r="S147" s="301">
        <v>0.75</v>
      </c>
      <c r="T147" s="301">
        <v>1</v>
      </c>
      <c r="U147" s="301"/>
      <c r="V147" s="301"/>
      <c r="W147" s="300"/>
      <c r="X147" s="303"/>
      <c r="Y147" s="304"/>
      <c r="Z147" s="305"/>
      <c r="AA147" s="305"/>
      <c r="AB147" s="304"/>
      <c r="AC147" s="305"/>
      <c r="AD147" s="305"/>
      <c r="AE147" s="304"/>
      <c r="AF147" s="305"/>
      <c r="AG147" s="305"/>
      <c r="AH147" s="306"/>
    </row>
    <row r="148" spans="1:34" ht="59.25" customHeight="1" outlineLevel="1" x14ac:dyDescent="0.25">
      <c r="A148" s="794"/>
      <c r="B148" s="798"/>
      <c r="C148" s="798"/>
      <c r="D148" s="788"/>
      <c r="E148" s="776" t="s">
        <v>374</v>
      </c>
      <c r="F148" s="776" t="s">
        <v>375</v>
      </c>
      <c r="G148" s="340" t="s">
        <v>376</v>
      </c>
      <c r="H148" s="340" t="s">
        <v>377</v>
      </c>
      <c r="I148" s="274" t="s">
        <v>337</v>
      </c>
      <c r="J148" s="286" t="s">
        <v>111</v>
      </c>
      <c r="K148" s="298">
        <v>44593</v>
      </c>
      <c r="L148" s="298">
        <v>44925</v>
      </c>
      <c r="M148" s="298">
        <v>44652</v>
      </c>
      <c r="N148" s="299">
        <f t="shared" si="2"/>
        <v>0.17771084337349397</v>
      </c>
      <c r="O148" s="299">
        <f t="shared" si="1"/>
        <v>0.17771084337349397</v>
      </c>
      <c r="P148" s="300">
        <v>0.95</v>
      </c>
      <c r="Q148" s="301">
        <v>0.92</v>
      </c>
      <c r="R148" s="301">
        <v>0.93</v>
      </c>
      <c r="S148" s="301">
        <v>0.94</v>
      </c>
      <c r="T148" s="301">
        <v>0.95</v>
      </c>
      <c r="U148" s="301"/>
      <c r="V148" s="301"/>
      <c r="W148" s="300"/>
      <c r="X148" s="303"/>
      <c r="Y148" s="304"/>
      <c r="Z148" s="305"/>
      <c r="AA148" s="305"/>
      <c r="AB148" s="304"/>
      <c r="AC148" s="305"/>
      <c r="AD148" s="305"/>
      <c r="AE148" s="304"/>
      <c r="AF148" s="305"/>
      <c r="AG148" s="305"/>
      <c r="AH148" s="306"/>
    </row>
    <row r="149" spans="1:34" ht="112.5" customHeight="1" outlineLevel="1" x14ac:dyDescent="0.25">
      <c r="A149" s="794"/>
      <c r="B149" s="798"/>
      <c r="C149" s="798"/>
      <c r="D149" s="788"/>
      <c r="E149" s="778"/>
      <c r="F149" s="778"/>
      <c r="G149" s="289" t="s">
        <v>378</v>
      </c>
      <c r="H149" s="340" t="s">
        <v>379</v>
      </c>
      <c r="I149" s="274" t="s">
        <v>337</v>
      </c>
      <c r="J149" s="385">
        <v>55000000</v>
      </c>
      <c r="K149" s="298">
        <v>44593</v>
      </c>
      <c r="L149" s="298">
        <v>44925</v>
      </c>
      <c r="M149" s="298">
        <v>44652</v>
      </c>
      <c r="N149" s="299">
        <f t="shared" si="2"/>
        <v>0.17771084337349397</v>
      </c>
      <c r="O149" s="299">
        <f t="shared" si="1"/>
        <v>0.17771084337349397</v>
      </c>
      <c r="P149" s="300">
        <v>0.2</v>
      </c>
      <c r="Q149" s="301">
        <v>0.12</v>
      </c>
      <c r="R149" s="301">
        <v>0.14000000000000001</v>
      </c>
      <c r="S149" s="301">
        <v>0.18</v>
      </c>
      <c r="T149" s="301">
        <v>0.2</v>
      </c>
      <c r="U149" s="301"/>
      <c r="V149" s="301"/>
      <c r="W149" s="300"/>
      <c r="X149" s="303"/>
      <c r="Y149" s="304"/>
      <c r="Z149" s="305"/>
      <c r="AA149" s="305"/>
      <c r="AB149" s="304"/>
      <c r="AC149" s="305"/>
      <c r="AD149" s="305"/>
      <c r="AE149" s="304"/>
      <c r="AF149" s="305"/>
      <c r="AG149" s="305"/>
      <c r="AH149" s="306"/>
    </row>
    <row r="150" spans="1:34" ht="168.75" customHeight="1" outlineLevel="1" x14ac:dyDescent="0.25">
      <c r="A150" s="794"/>
      <c r="B150" s="798"/>
      <c r="C150" s="798"/>
      <c r="D150" s="788"/>
      <c r="E150" s="777"/>
      <c r="F150" s="777"/>
      <c r="G150" s="289" t="s">
        <v>380</v>
      </c>
      <c r="H150" s="340" t="s">
        <v>111</v>
      </c>
      <c r="I150" s="274" t="s">
        <v>337</v>
      </c>
      <c r="J150" s="385">
        <v>50000000</v>
      </c>
      <c r="K150" s="298">
        <v>44593</v>
      </c>
      <c r="L150" s="298">
        <v>44925</v>
      </c>
      <c r="M150" s="298">
        <v>44652</v>
      </c>
      <c r="N150" s="299">
        <f t="shared" si="2"/>
        <v>0.17771084337349397</v>
      </c>
      <c r="O150" s="299">
        <f t="shared" si="1"/>
        <v>0.17771084337349397</v>
      </c>
      <c r="P150" s="300">
        <v>1</v>
      </c>
      <c r="Q150" s="301">
        <v>0.25</v>
      </c>
      <c r="R150" s="301">
        <v>0.5</v>
      </c>
      <c r="S150" s="301">
        <v>0.75</v>
      </c>
      <c r="T150" s="301">
        <v>1</v>
      </c>
      <c r="U150" s="301"/>
      <c r="V150" s="301"/>
      <c r="W150" s="300"/>
      <c r="X150" s="303"/>
      <c r="Y150" s="304"/>
      <c r="Z150" s="305"/>
      <c r="AA150" s="305"/>
      <c r="AB150" s="304"/>
      <c r="AC150" s="305"/>
      <c r="AD150" s="305"/>
      <c r="AE150" s="304"/>
      <c r="AF150" s="305"/>
      <c r="AG150" s="305"/>
      <c r="AH150" s="306"/>
    </row>
    <row r="151" spans="1:34" ht="112.5" customHeight="1" outlineLevel="1" x14ac:dyDescent="0.25">
      <c r="A151" s="794"/>
      <c r="B151" s="798"/>
      <c r="C151" s="798"/>
      <c r="D151" s="788"/>
      <c r="E151" s="776" t="s">
        <v>381</v>
      </c>
      <c r="F151" s="776" t="s">
        <v>382</v>
      </c>
      <c r="G151" s="340" t="s">
        <v>383</v>
      </c>
      <c r="H151" s="773" t="s">
        <v>384</v>
      </c>
      <c r="I151" s="274" t="s">
        <v>385</v>
      </c>
      <c r="J151" s="292" t="s">
        <v>111</v>
      </c>
      <c r="K151" s="298">
        <v>44593</v>
      </c>
      <c r="L151" s="298">
        <v>44925</v>
      </c>
      <c r="M151" s="298">
        <v>44652</v>
      </c>
      <c r="N151" s="299">
        <f t="shared" si="2"/>
        <v>0.17771084337349397</v>
      </c>
      <c r="O151" s="299">
        <f t="shared" si="1"/>
        <v>0.17771084337349397</v>
      </c>
      <c r="P151" s="300">
        <v>0.24</v>
      </c>
      <c r="Q151" s="301">
        <v>0.15</v>
      </c>
      <c r="R151" s="301">
        <v>0.19</v>
      </c>
      <c r="S151" s="301">
        <v>0.21</v>
      </c>
      <c r="T151" s="301">
        <v>0.24</v>
      </c>
      <c r="U151" s="301"/>
      <c r="V151" s="301"/>
      <c r="W151" s="300"/>
      <c r="X151" s="303"/>
      <c r="Y151" s="304"/>
      <c r="Z151" s="305"/>
      <c r="AA151" s="305"/>
      <c r="AB151" s="304"/>
      <c r="AC151" s="305"/>
      <c r="AD151" s="305"/>
      <c r="AE151" s="304"/>
      <c r="AF151" s="305"/>
      <c r="AG151" s="305"/>
      <c r="AH151" s="306"/>
    </row>
    <row r="152" spans="1:34" ht="93.75" customHeight="1" outlineLevel="1" x14ac:dyDescent="0.25">
      <c r="A152" s="794"/>
      <c r="B152" s="798"/>
      <c r="C152" s="798"/>
      <c r="D152" s="788"/>
      <c r="E152" s="778"/>
      <c r="F152" s="778"/>
      <c r="G152" s="340" t="s">
        <v>386</v>
      </c>
      <c r="H152" s="774"/>
      <c r="I152" s="274" t="s">
        <v>385</v>
      </c>
      <c r="J152" s="292" t="s">
        <v>111</v>
      </c>
      <c r="K152" s="298">
        <v>44593</v>
      </c>
      <c r="L152" s="298">
        <v>44925</v>
      </c>
      <c r="M152" s="298">
        <v>44652</v>
      </c>
      <c r="N152" s="299">
        <f t="shared" si="2"/>
        <v>0.17771084337349397</v>
      </c>
      <c r="O152" s="299">
        <f t="shared" si="1"/>
        <v>0.17771084337349397</v>
      </c>
      <c r="P152" s="300">
        <v>1</v>
      </c>
      <c r="Q152" s="301">
        <v>0.25</v>
      </c>
      <c r="R152" s="301">
        <v>0.5</v>
      </c>
      <c r="S152" s="301">
        <v>0.75</v>
      </c>
      <c r="T152" s="301">
        <v>1</v>
      </c>
      <c r="U152" s="301"/>
      <c r="V152" s="301"/>
      <c r="W152" s="300"/>
      <c r="X152" s="303"/>
      <c r="Y152" s="304"/>
      <c r="Z152" s="305"/>
      <c r="AA152" s="305"/>
      <c r="AB152" s="304"/>
      <c r="AC152" s="305"/>
      <c r="AD152" s="305"/>
      <c r="AE152" s="304"/>
      <c r="AF152" s="305"/>
      <c r="AG152" s="305"/>
      <c r="AH152" s="306"/>
    </row>
    <row r="153" spans="1:34" ht="75" customHeight="1" outlineLevel="1" x14ac:dyDescent="0.25">
      <c r="A153" s="794"/>
      <c r="B153" s="798"/>
      <c r="C153" s="798"/>
      <c r="D153" s="788"/>
      <c r="E153" s="778"/>
      <c r="F153" s="778"/>
      <c r="G153" s="340" t="s">
        <v>387</v>
      </c>
      <c r="H153" s="774"/>
      <c r="I153" s="274" t="s">
        <v>385</v>
      </c>
      <c r="J153" s="292" t="s">
        <v>111</v>
      </c>
      <c r="K153" s="298">
        <v>44593</v>
      </c>
      <c r="L153" s="298">
        <v>44925</v>
      </c>
      <c r="M153" s="298">
        <v>44652</v>
      </c>
      <c r="N153" s="299">
        <f t="shared" si="2"/>
        <v>0.17771084337349397</v>
      </c>
      <c r="O153" s="299">
        <f t="shared" si="1"/>
        <v>0.17771084337349397</v>
      </c>
      <c r="P153" s="300">
        <v>1</v>
      </c>
      <c r="Q153" s="301">
        <v>0.25</v>
      </c>
      <c r="R153" s="301">
        <v>0.5</v>
      </c>
      <c r="S153" s="301">
        <v>0.75</v>
      </c>
      <c r="T153" s="301">
        <v>1</v>
      </c>
      <c r="U153" s="301"/>
      <c r="V153" s="301"/>
      <c r="W153" s="300"/>
      <c r="X153" s="303"/>
      <c r="Y153" s="304"/>
      <c r="Z153" s="305"/>
      <c r="AA153" s="305"/>
      <c r="AB153" s="304"/>
      <c r="AC153" s="305"/>
      <c r="AD153" s="305"/>
      <c r="AE153" s="304"/>
      <c r="AF153" s="305"/>
      <c r="AG153" s="305"/>
      <c r="AH153" s="306"/>
    </row>
    <row r="154" spans="1:34" ht="100.95" customHeight="1" outlineLevel="1" x14ac:dyDescent="0.25">
      <c r="A154" s="794"/>
      <c r="B154" s="798"/>
      <c r="C154" s="798"/>
      <c r="D154" s="788"/>
      <c r="E154" s="778"/>
      <c r="F154" s="778"/>
      <c r="G154" s="340" t="s">
        <v>388</v>
      </c>
      <c r="H154" s="774"/>
      <c r="I154" s="274" t="s">
        <v>385</v>
      </c>
      <c r="J154" s="292" t="s">
        <v>111</v>
      </c>
      <c r="K154" s="298">
        <v>44593</v>
      </c>
      <c r="L154" s="298">
        <v>44925</v>
      </c>
      <c r="M154" s="298">
        <v>44652</v>
      </c>
      <c r="N154" s="299">
        <f t="shared" si="2"/>
        <v>0.17771084337349397</v>
      </c>
      <c r="O154" s="299">
        <f t="shared" si="1"/>
        <v>0.17771084337349397</v>
      </c>
      <c r="P154" s="300">
        <v>1</v>
      </c>
      <c r="Q154" s="301">
        <v>0.25</v>
      </c>
      <c r="R154" s="301">
        <v>0.5</v>
      </c>
      <c r="S154" s="301">
        <v>0.75</v>
      </c>
      <c r="T154" s="301">
        <v>1</v>
      </c>
      <c r="U154" s="301"/>
      <c r="V154" s="301"/>
      <c r="W154" s="300"/>
      <c r="X154" s="303"/>
      <c r="Y154" s="304"/>
      <c r="Z154" s="305"/>
      <c r="AA154" s="305"/>
      <c r="AB154" s="304"/>
      <c r="AC154" s="305"/>
      <c r="AD154" s="305"/>
      <c r="AE154" s="304"/>
      <c r="AF154" s="305"/>
      <c r="AG154" s="305"/>
      <c r="AH154" s="306"/>
    </row>
    <row r="155" spans="1:34" ht="70.2" customHeight="1" outlineLevel="1" x14ac:dyDescent="0.25">
      <c r="A155" s="794"/>
      <c r="B155" s="798"/>
      <c r="C155" s="798"/>
      <c r="D155" s="788"/>
      <c r="E155" s="778"/>
      <c r="F155" s="778"/>
      <c r="G155" s="340" t="s">
        <v>389</v>
      </c>
      <c r="H155" s="774"/>
      <c r="I155" s="274" t="s">
        <v>385</v>
      </c>
      <c r="J155" s="385">
        <v>35000000</v>
      </c>
      <c r="K155" s="298">
        <v>44593</v>
      </c>
      <c r="L155" s="298">
        <v>44925</v>
      </c>
      <c r="M155" s="298">
        <v>44652</v>
      </c>
      <c r="N155" s="299">
        <f t="shared" si="2"/>
        <v>0.17771084337349397</v>
      </c>
      <c r="O155" s="299">
        <f t="shared" ref="O155:O204" si="7">+IF(N155&gt;=100,100,IF(N155&lt;=0,0,N155))</f>
        <v>0.17771084337349397</v>
      </c>
      <c r="P155" s="300">
        <v>1</v>
      </c>
      <c r="Q155" s="301">
        <v>0.25</v>
      </c>
      <c r="R155" s="301">
        <v>0.5</v>
      </c>
      <c r="S155" s="301">
        <v>0.75</v>
      </c>
      <c r="T155" s="301">
        <v>1</v>
      </c>
      <c r="U155" s="301"/>
      <c r="V155" s="301"/>
      <c r="W155" s="300"/>
      <c r="X155" s="303"/>
      <c r="Y155" s="304"/>
      <c r="Z155" s="305"/>
      <c r="AA155" s="305"/>
      <c r="AB155" s="304"/>
      <c r="AC155" s="305"/>
      <c r="AD155" s="305"/>
      <c r="AE155" s="304"/>
      <c r="AF155" s="305"/>
      <c r="AG155" s="305"/>
      <c r="AH155" s="306"/>
    </row>
    <row r="156" spans="1:34" ht="60" customHeight="1" outlineLevel="1" x14ac:dyDescent="0.25">
      <c r="A156" s="794"/>
      <c r="B156" s="798"/>
      <c r="C156" s="798"/>
      <c r="D156" s="788"/>
      <c r="E156" s="778"/>
      <c r="F156" s="778"/>
      <c r="G156" s="289" t="s">
        <v>390</v>
      </c>
      <c r="H156" s="774"/>
      <c r="I156" s="274" t="s">
        <v>337</v>
      </c>
      <c r="J156" s="385">
        <v>200000000</v>
      </c>
      <c r="K156" s="298">
        <v>44593</v>
      </c>
      <c r="L156" s="298">
        <v>44925</v>
      </c>
      <c r="M156" s="298">
        <v>44652</v>
      </c>
      <c r="N156" s="299">
        <f t="shared" si="2"/>
        <v>0.17771084337349397</v>
      </c>
      <c r="O156" s="299">
        <f t="shared" si="7"/>
        <v>0.17771084337349397</v>
      </c>
      <c r="P156" s="300">
        <v>1</v>
      </c>
      <c r="Q156" s="301">
        <v>0.25</v>
      </c>
      <c r="R156" s="301">
        <v>0.5</v>
      </c>
      <c r="S156" s="301">
        <v>0.75</v>
      </c>
      <c r="T156" s="301">
        <v>1</v>
      </c>
      <c r="U156" s="301"/>
      <c r="V156" s="301"/>
      <c r="W156" s="300"/>
      <c r="X156" s="303"/>
      <c r="Y156" s="304"/>
      <c r="Z156" s="305"/>
      <c r="AA156" s="305"/>
      <c r="AB156" s="304"/>
      <c r="AC156" s="305"/>
      <c r="AD156" s="305"/>
      <c r="AE156" s="304"/>
      <c r="AF156" s="305"/>
      <c r="AG156" s="305"/>
      <c r="AH156" s="306"/>
    </row>
    <row r="157" spans="1:34" ht="108" customHeight="1" outlineLevel="1" x14ac:dyDescent="0.25">
      <c r="A157" s="794"/>
      <c r="B157" s="798"/>
      <c r="C157" s="798"/>
      <c r="D157" s="788"/>
      <c r="E157" s="778"/>
      <c r="F157" s="778"/>
      <c r="G157" s="289" t="s">
        <v>391</v>
      </c>
      <c r="H157" s="774"/>
      <c r="I157" s="274" t="s">
        <v>337</v>
      </c>
      <c r="J157" s="385">
        <v>20000000</v>
      </c>
      <c r="K157" s="298">
        <v>44593</v>
      </c>
      <c r="L157" s="298">
        <v>44925</v>
      </c>
      <c r="M157" s="298">
        <v>44652</v>
      </c>
      <c r="N157" s="299">
        <f t="shared" si="2"/>
        <v>0.17771084337349397</v>
      </c>
      <c r="O157" s="299">
        <f t="shared" si="7"/>
        <v>0.17771084337349397</v>
      </c>
      <c r="P157" s="300">
        <v>1</v>
      </c>
      <c r="Q157" s="301">
        <v>0.25</v>
      </c>
      <c r="R157" s="301">
        <v>0.5</v>
      </c>
      <c r="S157" s="301">
        <v>0.75</v>
      </c>
      <c r="T157" s="301">
        <v>1</v>
      </c>
      <c r="U157" s="301"/>
      <c r="V157" s="301"/>
      <c r="W157" s="300"/>
      <c r="X157" s="303"/>
      <c r="Y157" s="304"/>
      <c r="Z157" s="305"/>
      <c r="AA157" s="305"/>
      <c r="AB157" s="304"/>
      <c r="AC157" s="305"/>
      <c r="AD157" s="305"/>
      <c r="AE157" s="304"/>
      <c r="AF157" s="305"/>
      <c r="AG157" s="305"/>
      <c r="AH157" s="306"/>
    </row>
    <row r="158" spans="1:34" ht="150" customHeight="1" outlineLevel="1" x14ac:dyDescent="0.25">
      <c r="A158" s="794"/>
      <c r="B158" s="798"/>
      <c r="C158" s="798"/>
      <c r="D158" s="788"/>
      <c r="E158" s="778"/>
      <c r="F158" s="778"/>
      <c r="G158" s="289" t="s">
        <v>392</v>
      </c>
      <c r="H158" s="774"/>
      <c r="I158" s="274" t="s">
        <v>337</v>
      </c>
      <c r="J158" s="385">
        <v>25000000</v>
      </c>
      <c r="K158" s="298">
        <v>44593</v>
      </c>
      <c r="L158" s="298">
        <v>44925</v>
      </c>
      <c r="M158" s="298">
        <v>44652</v>
      </c>
      <c r="N158" s="299">
        <f t="shared" si="2"/>
        <v>0.17771084337349397</v>
      </c>
      <c r="O158" s="299">
        <f t="shared" si="7"/>
        <v>0.17771084337349397</v>
      </c>
      <c r="P158" s="300">
        <v>1</v>
      </c>
      <c r="Q158" s="301">
        <v>0.25</v>
      </c>
      <c r="R158" s="301">
        <v>0.5</v>
      </c>
      <c r="S158" s="301">
        <v>0.75</v>
      </c>
      <c r="T158" s="301">
        <v>1</v>
      </c>
      <c r="U158" s="301"/>
      <c r="V158" s="301"/>
      <c r="W158" s="300"/>
      <c r="X158" s="303"/>
      <c r="Y158" s="304"/>
      <c r="Z158" s="305"/>
      <c r="AA158" s="305"/>
      <c r="AB158" s="304"/>
      <c r="AC158" s="305"/>
      <c r="AD158" s="305"/>
      <c r="AE158" s="304"/>
      <c r="AF158" s="305"/>
      <c r="AG158" s="305"/>
      <c r="AH158" s="306"/>
    </row>
    <row r="159" spans="1:34" ht="108" customHeight="1" outlineLevel="1" x14ac:dyDescent="0.25">
      <c r="A159" s="794"/>
      <c r="B159" s="798"/>
      <c r="C159" s="798"/>
      <c r="D159" s="788"/>
      <c r="E159" s="778"/>
      <c r="F159" s="778"/>
      <c r="G159" s="340" t="s">
        <v>393</v>
      </c>
      <c r="H159" s="774"/>
      <c r="I159" s="274" t="s">
        <v>394</v>
      </c>
      <c r="J159" s="385">
        <v>730000000</v>
      </c>
      <c r="K159" s="298">
        <v>44593</v>
      </c>
      <c r="L159" s="298">
        <v>44925</v>
      </c>
      <c r="M159" s="298">
        <v>44652</v>
      </c>
      <c r="N159" s="299">
        <f t="shared" si="2"/>
        <v>0.17771084337349397</v>
      </c>
      <c r="O159" s="299">
        <f t="shared" si="7"/>
        <v>0.17771084337349397</v>
      </c>
      <c r="P159" s="300">
        <v>1</v>
      </c>
      <c r="Q159" s="301">
        <v>0.25</v>
      </c>
      <c r="R159" s="301">
        <v>0.5</v>
      </c>
      <c r="S159" s="301">
        <v>0.75</v>
      </c>
      <c r="T159" s="301">
        <v>1</v>
      </c>
      <c r="U159" s="301"/>
      <c r="V159" s="301"/>
      <c r="W159" s="300"/>
      <c r="X159" s="303"/>
      <c r="Y159" s="304"/>
      <c r="Z159" s="305"/>
      <c r="AA159" s="305"/>
      <c r="AB159" s="304"/>
      <c r="AC159" s="305"/>
      <c r="AD159" s="305"/>
      <c r="AE159" s="304"/>
      <c r="AF159" s="305"/>
      <c r="AG159" s="305"/>
      <c r="AH159" s="306"/>
    </row>
    <row r="160" spans="1:34" ht="131.25" customHeight="1" outlineLevel="1" x14ac:dyDescent="0.25">
      <c r="A160" s="794"/>
      <c r="B160" s="798"/>
      <c r="C160" s="798"/>
      <c r="D160" s="788"/>
      <c r="E160" s="778"/>
      <c r="F160" s="778"/>
      <c r="G160" s="340" t="s">
        <v>395</v>
      </c>
      <c r="H160" s="774"/>
      <c r="I160" s="274" t="s">
        <v>396</v>
      </c>
      <c r="J160" s="385">
        <v>73000000</v>
      </c>
      <c r="K160" s="298">
        <v>44593</v>
      </c>
      <c r="L160" s="298">
        <v>44925</v>
      </c>
      <c r="M160" s="298">
        <v>44652</v>
      </c>
      <c r="N160" s="299">
        <f t="shared" si="2"/>
        <v>0.17771084337349397</v>
      </c>
      <c r="O160" s="299">
        <f t="shared" si="7"/>
        <v>0.17771084337349397</v>
      </c>
      <c r="P160" s="300">
        <v>1</v>
      </c>
      <c r="Q160" s="301">
        <v>0.25</v>
      </c>
      <c r="R160" s="301">
        <v>0.5</v>
      </c>
      <c r="S160" s="301">
        <v>0.75</v>
      </c>
      <c r="T160" s="301">
        <v>1</v>
      </c>
      <c r="U160" s="301"/>
      <c r="V160" s="301"/>
      <c r="W160" s="300"/>
      <c r="X160" s="303"/>
      <c r="Y160" s="304"/>
      <c r="Z160" s="305"/>
      <c r="AA160" s="305"/>
      <c r="AB160" s="304"/>
      <c r="AC160" s="305"/>
      <c r="AD160" s="305"/>
      <c r="AE160" s="304"/>
      <c r="AF160" s="305"/>
      <c r="AG160" s="305"/>
      <c r="AH160" s="306"/>
    </row>
    <row r="161" spans="1:34" ht="96" customHeight="1" outlineLevel="1" x14ac:dyDescent="0.25">
      <c r="A161" s="794"/>
      <c r="B161" s="798"/>
      <c r="C161" s="798"/>
      <c r="D161" s="788"/>
      <c r="E161" s="778"/>
      <c r="F161" s="778"/>
      <c r="G161" s="340" t="s">
        <v>397</v>
      </c>
      <c r="H161" s="774"/>
      <c r="I161" s="274" t="s">
        <v>152</v>
      </c>
      <c r="J161" s="385">
        <v>600000000</v>
      </c>
      <c r="K161" s="298">
        <v>44593</v>
      </c>
      <c r="L161" s="298">
        <v>44925</v>
      </c>
      <c r="M161" s="298">
        <v>44652</v>
      </c>
      <c r="N161" s="299">
        <f t="shared" si="2"/>
        <v>0.17771084337349397</v>
      </c>
      <c r="O161" s="299">
        <f t="shared" si="7"/>
        <v>0.17771084337349397</v>
      </c>
      <c r="P161" s="300">
        <v>1</v>
      </c>
      <c r="Q161" s="301">
        <v>0.25</v>
      </c>
      <c r="R161" s="301">
        <v>0.5</v>
      </c>
      <c r="S161" s="301">
        <v>0.75</v>
      </c>
      <c r="T161" s="301">
        <v>1</v>
      </c>
      <c r="U161" s="301"/>
      <c r="V161" s="301"/>
      <c r="W161" s="300"/>
      <c r="X161" s="303"/>
      <c r="Y161" s="304"/>
      <c r="Z161" s="305"/>
      <c r="AA161" s="305"/>
      <c r="AB161" s="304"/>
      <c r="AC161" s="305"/>
      <c r="AD161" s="305"/>
      <c r="AE161" s="304"/>
      <c r="AF161" s="305"/>
      <c r="AG161" s="305"/>
      <c r="AH161" s="306"/>
    </row>
    <row r="162" spans="1:34" ht="96.75" customHeight="1" outlineLevel="1" x14ac:dyDescent="0.25">
      <c r="A162" s="794"/>
      <c r="B162" s="798"/>
      <c r="C162" s="798"/>
      <c r="D162" s="788"/>
      <c r="E162" s="778"/>
      <c r="F162" s="778"/>
      <c r="G162" s="340" t="s">
        <v>398</v>
      </c>
      <c r="H162" s="774"/>
      <c r="I162" s="274" t="s">
        <v>152</v>
      </c>
      <c r="J162" s="385">
        <v>60000000</v>
      </c>
      <c r="K162" s="298">
        <v>44593</v>
      </c>
      <c r="L162" s="298">
        <v>44925</v>
      </c>
      <c r="M162" s="298">
        <v>44652</v>
      </c>
      <c r="N162" s="299">
        <f t="shared" si="2"/>
        <v>0.17771084337349397</v>
      </c>
      <c r="O162" s="299">
        <f t="shared" si="7"/>
        <v>0.17771084337349397</v>
      </c>
      <c r="P162" s="300">
        <v>1</v>
      </c>
      <c r="Q162" s="301">
        <v>0.25</v>
      </c>
      <c r="R162" s="301">
        <v>0.5</v>
      </c>
      <c r="S162" s="301">
        <v>0.75</v>
      </c>
      <c r="T162" s="301">
        <v>1</v>
      </c>
      <c r="U162" s="301"/>
      <c r="V162" s="301"/>
      <c r="W162" s="300"/>
      <c r="X162" s="303"/>
      <c r="Y162" s="304"/>
      <c r="Z162" s="305"/>
      <c r="AA162" s="305"/>
      <c r="AB162" s="304"/>
      <c r="AC162" s="305"/>
      <c r="AD162" s="305"/>
      <c r="AE162" s="304"/>
      <c r="AF162" s="305"/>
      <c r="AG162" s="305"/>
      <c r="AH162" s="306"/>
    </row>
    <row r="163" spans="1:34" ht="93.75" customHeight="1" outlineLevel="1" x14ac:dyDescent="0.25">
      <c r="A163" s="794"/>
      <c r="B163" s="798"/>
      <c r="C163" s="798"/>
      <c r="D163" s="788"/>
      <c r="E163" s="778"/>
      <c r="F163" s="778"/>
      <c r="G163" s="340" t="s">
        <v>399</v>
      </c>
      <c r="H163" s="774"/>
      <c r="I163" s="274" t="s">
        <v>214</v>
      </c>
      <c r="J163" s="385">
        <v>300000000</v>
      </c>
      <c r="K163" s="298">
        <v>44593</v>
      </c>
      <c r="L163" s="298">
        <v>44925</v>
      </c>
      <c r="M163" s="298">
        <v>44652</v>
      </c>
      <c r="N163" s="299">
        <f t="shared" si="2"/>
        <v>0.17771084337349397</v>
      </c>
      <c r="O163" s="299">
        <f t="shared" si="7"/>
        <v>0.17771084337349397</v>
      </c>
      <c r="P163" s="300">
        <v>1</v>
      </c>
      <c r="Q163" s="301">
        <v>0.25</v>
      </c>
      <c r="R163" s="301">
        <v>0.5</v>
      </c>
      <c r="S163" s="301">
        <v>0.75</v>
      </c>
      <c r="T163" s="301">
        <v>1</v>
      </c>
      <c r="U163" s="301"/>
      <c r="V163" s="301"/>
      <c r="W163" s="300"/>
      <c r="X163" s="303"/>
      <c r="Y163" s="304"/>
      <c r="Z163" s="305"/>
      <c r="AA163" s="305"/>
      <c r="AB163" s="304"/>
      <c r="AC163" s="305"/>
      <c r="AD163" s="305"/>
      <c r="AE163" s="304"/>
      <c r="AF163" s="305"/>
      <c r="AG163" s="305"/>
      <c r="AH163" s="306"/>
    </row>
    <row r="164" spans="1:34" ht="187.5" customHeight="1" outlineLevel="1" x14ac:dyDescent="0.25">
      <c r="A164" s="794"/>
      <c r="B164" s="798"/>
      <c r="C164" s="798"/>
      <c r="D164" s="788"/>
      <c r="E164" s="778"/>
      <c r="F164" s="778"/>
      <c r="G164" s="340" t="s">
        <v>400</v>
      </c>
      <c r="H164" s="774"/>
      <c r="I164" s="274" t="s">
        <v>337</v>
      </c>
      <c r="J164" s="385" t="s">
        <v>59</v>
      </c>
      <c r="K164" s="298">
        <v>44593</v>
      </c>
      <c r="L164" s="298">
        <v>44925</v>
      </c>
      <c r="M164" s="298">
        <v>44652</v>
      </c>
      <c r="N164" s="299">
        <f t="shared" si="2"/>
        <v>0.17771084337349397</v>
      </c>
      <c r="O164" s="299">
        <f t="shared" si="7"/>
        <v>0.17771084337349397</v>
      </c>
      <c r="P164" s="300">
        <v>1</v>
      </c>
      <c r="Q164" s="301">
        <v>0.25</v>
      </c>
      <c r="R164" s="301">
        <v>0.5</v>
      </c>
      <c r="S164" s="301">
        <v>0.75</v>
      </c>
      <c r="T164" s="301">
        <v>1</v>
      </c>
      <c r="U164" s="301"/>
      <c r="V164" s="301"/>
      <c r="W164" s="300"/>
      <c r="X164" s="303"/>
      <c r="Y164" s="304"/>
      <c r="Z164" s="305"/>
      <c r="AA164" s="305"/>
      <c r="AB164" s="304"/>
      <c r="AC164" s="305"/>
      <c r="AD164" s="305"/>
      <c r="AE164" s="304"/>
      <c r="AF164" s="305"/>
      <c r="AG164" s="305"/>
      <c r="AH164" s="306"/>
    </row>
    <row r="165" spans="1:34" ht="225" customHeight="1" outlineLevel="1" x14ac:dyDescent="0.25">
      <c r="A165" s="794"/>
      <c r="B165" s="798"/>
      <c r="C165" s="798"/>
      <c r="D165" s="788"/>
      <c r="E165" s="778"/>
      <c r="F165" s="778"/>
      <c r="G165" s="340" t="s">
        <v>401</v>
      </c>
      <c r="H165" s="774"/>
      <c r="I165" s="274" t="s">
        <v>344</v>
      </c>
      <c r="J165" s="385">
        <v>500000000</v>
      </c>
      <c r="K165" s="298">
        <v>44593</v>
      </c>
      <c r="L165" s="298">
        <v>44925</v>
      </c>
      <c r="M165" s="298">
        <v>44652</v>
      </c>
      <c r="N165" s="299">
        <f t="shared" si="2"/>
        <v>0.17771084337349397</v>
      </c>
      <c r="O165" s="299">
        <f t="shared" si="7"/>
        <v>0.17771084337349397</v>
      </c>
      <c r="P165" s="300">
        <v>1</v>
      </c>
      <c r="Q165" s="301">
        <v>0.25</v>
      </c>
      <c r="R165" s="301">
        <v>0.5</v>
      </c>
      <c r="S165" s="301">
        <v>0.75</v>
      </c>
      <c r="T165" s="301">
        <v>1</v>
      </c>
      <c r="U165" s="301"/>
      <c r="V165" s="301"/>
      <c r="W165" s="300"/>
      <c r="X165" s="303"/>
      <c r="Y165" s="304"/>
      <c r="Z165" s="305"/>
      <c r="AA165" s="305"/>
      <c r="AB165" s="304"/>
      <c r="AC165" s="305"/>
      <c r="AD165" s="305"/>
      <c r="AE165" s="304"/>
      <c r="AF165" s="305"/>
      <c r="AG165" s="305"/>
      <c r="AH165" s="306"/>
    </row>
    <row r="166" spans="1:34" ht="243.75" customHeight="1" outlineLevel="1" x14ac:dyDescent="0.25">
      <c r="A166" s="794"/>
      <c r="B166" s="798"/>
      <c r="C166" s="798"/>
      <c r="D166" s="788"/>
      <c r="E166" s="778"/>
      <c r="F166" s="777"/>
      <c r="G166" s="340" t="s">
        <v>402</v>
      </c>
      <c r="H166" s="775"/>
      <c r="I166" s="274" t="s">
        <v>344</v>
      </c>
      <c r="J166" s="385">
        <v>100000000</v>
      </c>
      <c r="K166" s="298">
        <v>44593</v>
      </c>
      <c r="L166" s="298">
        <v>44925</v>
      </c>
      <c r="M166" s="298">
        <v>44652</v>
      </c>
      <c r="N166" s="299">
        <f t="shared" si="2"/>
        <v>0.17771084337349397</v>
      </c>
      <c r="O166" s="299">
        <f t="shared" si="7"/>
        <v>0.17771084337349397</v>
      </c>
      <c r="P166" s="300">
        <v>1</v>
      </c>
      <c r="Q166" s="301">
        <v>0.25</v>
      </c>
      <c r="R166" s="301">
        <v>0.5</v>
      </c>
      <c r="S166" s="301">
        <v>0.75</v>
      </c>
      <c r="T166" s="301">
        <v>1</v>
      </c>
      <c r="U166" s="301"/>
      <c r="V166" s="301"/>
      <c r="W166" s="300"/>
      <c r="X166" s="303"/>
      <c r="Y166" s="304"/>
      <c r="Z166" s="305"/>
      <c r="AA166" s="305"/>
      <c r="AB166" s="304"/>
      <c r="AC166" s="305"/>
      <c r="AD166" s="305"/>
      <c r="AE166" s="304"/>
      <c r="AF166" s="305"/>
      <c r="AG166" s="305"/>
      <c r="AH166" s="306"/>
    </row>
    <row r="167" spans="1:34" ht="100.95" customHeight="1" outlineLevel="1" x14ac:dyDescent="0.25">
      <c r="A167" s="794"/>
      <c r="B167" s="798"/>
      <c r="C167" s="798"/>
      <c r="D167" s="788"/>
      <c r="E167" s="778"/>
      <c r="F167" s="776" t="s">
        <v>403</v>
      </c>
      <c r="G167" s="340" t="s">
        <v>404</v>
      </c>
      <c r="H167" s="773" t="s">
        <v>405</v>
      </c>
      <c r="I167" s="274" t="s">
        <v>406</v>
      </c>
      <c r="J167" s="385" t="s">
        <v>59</v>
      </c>
      <c r="K167" s="298">
        <v>44593</v>
      </c>
      <c r="L167" s="298">
        <v>44925</v>
      </c>
      <c r="M167" s="298">
        <v>44652</v>
      </c>
      <c r="N167" s="299">
        <f t="shared" si="2"/>
        <v>0.17771084337349397</v>
      </c>
      <c r="O167" s="299">
        <f t="shared" si="7"/>
        <v>0.17771084337349397</v>
      </c>
      <c r="P167" s="300">
        <v>0.04</v>
      </c>
      <c r="Q167" s="301">
        <v>0.25</v>
      </c>
      <c r="R167" s="301">
        <v>0.5</v>
      </c>
      <c r="S167" s="301">
        <v>0.75</v>
      </c>
      <c r="T167" s="301">
        <v>1</v>
      </c>
      <c r="U167" s="301"/>
      <c r="V167" s="301"/>
      <c r="W167" s="300"/>
      <c r="X167" s="303"/>
      <c r="Y167" s="304"/>
      <c r="Z167" s="305"/>
      <c r="AA167" s="305"/>
      <c r="AB167" s="304"/>
      <c r="AC167" s="305"/>
      <c r="AD167" s="305"/>
      <c r="AE167" s="304"/>
      <c r="AF167" s="305"/>
      <c r="AG167" s="305"/>
      <c r="AH167" s="306"/>
    </row>
    <row r="168" spans="1:34" ht="70.2" customHeight="1" outlineLevel="1" x14ac:dyDescent="0.25">
      <c r="A168" s="794"/>
      <c r="B168" s="798"/>
      <c r="C168" s="798"/>
      <c r="D168" s="788"/>
      <c r="E168" s="778"/>
      <c r="F168" s="778"/>
      <c r="G168" s="340" t="s">
        <v>407</v>
      </c>
      <c r="H168" s="774"/>
      <c r="I168" s="274" t="s">
        <v>344</v>
      </c>
      <c r="J168" s="385">
        <v>200000000</v>
      </c>
      <c r="K168" s="298">
        <v>44593</v>
      </c>
      <c r="L168" s="298">
        <v>44925</v>
      </c>
      <c r="M168" s="298">
        <v>44652</v>
      </c>
      <c r="N168" s="299">
        <f t="shared" si="2"/>
        <v>0.17771084337349397</v>
      </c>
      <c r="O168" s="299">
        <f t="shared" si="7"/>
        <v>0.17771084337349397</v>
      </c>
      <c r="P168" s="300">
        <v>1</v>
      </c>
      <c r="Q168" s="301" t="s">
        <v>408</v>
      </c>
      <c r="R168" s="301">
        <v>0.03</v>
      </c>
      <c r="S168" s="301" t="s">
        <v>264</v>
      </c>
      <c r="T168" s="301">
        <v>0.04</v>
      </c>
      <c r="U168" s="301"/>
      <c r="V168" s="301"/>
      <c r="W168" s="300"/>
      <c r="X168" s="303"/>
      <c r="Y168" s="304"/>
      <c r="Z168" s="305"/>
      <c r="AA168" s="305"/>
      <c r="AB168" s="304"/>
      <c r="AC168" s="305"/>
      <c r="AD168" s="305"/>
      <c r="AE168" s="304"/>
      <c r="AF168" s="305"/>
      <c r="AG168" s="305"/>
      <c r="AH168" s="306"/>
    </row>
    <row r="169" spans="1:34" ht="75" customHeight="1" outlineLevel="1" x14ac:dyDescent="0.25">
      <c r="A169" s="794"/>
      <c r="B169" s="798"/>
      <c r="C169" s="798"/>
      <c r="D169" s="788"/>
      <c r="E169" s="778"/>
      <c r="F169" s="777"/>
      <c r="G169" s="340" t="s">
        <v>409</v>
      </c>
      <c r="H169" s="775"/>
      <c r="I169" s="274" t="s">
        <v>344</v>
      </c>
      <c r="J169" s="385">
        <v>20000000</v>
      </c>
      <c r="K169" s="298">
        <v>44593</v>
      </c>
      <c r="L169" s="298">
        <v>44925</v>
      </c>
      <c r="M169" s="298">
        <v>44652</v>
      </c>
      <c r="N169" s="299">
        <f t="shared" ref="N169:N232" si="8">+(+_xlfn.DAYS(K169,M169))/(+_xlfn.DAYS(K169,L169))</f>
        <v>0.17771084337349397</v>
      </c>
      <c r="O169" s="299">
        <f t="shared" si="7"/>
        <v>0.17771084337349397</v>
      </c>
      <c r="P169" s="300">
        <v>1</v>
      </c>
      <c r="Q169" s="301">
        <v>0.25</v>
      </c>
      <c r="R169" s="301">
        <v>0.5</v>
      </c>
      <c r="S169" s="301">
        <v>0.75</v>
      </c>
      <c r="T169" s="301">
        <v>1</v>
      </c>
      <c r="U169" s="301"/>
      <c r="V169" s="301"/>
      <c r="W169" s="300"/>
      <c r="X169" s="303"/>
      <c r="Y169" s="304"/>
      <c r="Z169" s="305"/>
      <c r="AA169" s="305"/>
      <c r="AB169" s="304"/>
      <c r="AC169" s="305"/>
      <c r="AD169" s="305"/>
      <c r="AE169" s="304"/>
      <c r="AF169" s="305"/>
      <c r="AG169" s="305"/>
      <c r="AH169" s="306"/>
    </row>
    <row r="170" spans="1:34" ht="93.45" customHeight="1" outlineLevel="1" x14ac:dyDescent="0.25">
      <c r="A170" s="794"/>
      <c r="B170" s="798"/>
      <c r="C170" s="798"/>
      <c r="D170" s="788"/>
      <c r="E170" s="778"/>
      <c r="F170" s="357" t="s">
        <v>410</v>
      </c>
      <c r="G170" s="340" t="s">
        <v>411</v>
      </c>
      <c r="H170" s="340" t="s">
        <v>412</v>
      </c>
      <c r="I170" s="274" t="s">
        <v>337</v>
      </c>
      <c r="J170" s="385" t="s">
        <v>59</v>
      </c>
      <c r="K170" s="298">
        <v>44593</v>
      </c>
      <c r="L170" s="298">
        <v>44925</v>
      </c>
      <c r="M170" s="298">
        <v>44652</v>
      </c>
      <c r="N170" s="299">
        <f t="shared" si="8"/>
        <v>0.17771084337349397</v>
      </c>
      <c r="O170" s="299">
        <f t="shared" si="7"/>
        <v>0.17771084337349397</v>
      </c>
      <c r="P170" s="300">
        <v>0.7</v>
      </c>
      <c r="Q170" s="301">
        <v>0.55000000000000004</v>
      </c>
      <c r="R170" s="301">
        <v>0.6</v>
      </c>
      <c r="S170" s="301">
        <v>0.65</v>
      </c>
      <c r="T170" s="301">
        <v>0.7</v>
      </c>
      <c r="U170" s="301"/>
      <c r="V170" s="301"/>
      <c r="W170" s="300"/>
      <c r="X170" s="303"/>
      <c r="Y170" s="304"/>
      <c r="Z170" s="305"/>
      <c r="AA170" s="305"/>
      <c r="AB170" s="304"/>
      <c r="AC170" s="305"/>
      <c r="AD170" s="305"/>
      <c r="AE170" s="304"/>
      <c r="AF170" s="305"/>
      <c r="AG170" s="305"/>
      <c r="AH170" s="306"/>
    </row>
    <row r="171" spans="1:34" ht="75" customHeight="1" outlineLevel="1" x14ac:dyDescent="0.25">
      <c r="A171" s="794"/>
      <c r="B171" s="798"/>
      <c r="C171" s="798"/>
      <c r="D171" s="788"/>
      <c r="E171" s="778"/>
      <c r="F171" s="357" t="s">
        <v>413</v>
      </c>
      <c r="G171" s="340" t="s">
        <v>414</v>
      </c>
      <c r="H171" s="340" t="s">
        <v>415</v>
      </c>
      <c r="I171" s="274" t="s">
        <v>356</v>
      </c>
      <c r="J171" s="385" t="s">
        <v>59</v>
      </c>
      <c r="K171" s="298">
        <v>44593</v>
      </c>
      <c r="L171" s="298">
        <v>44925</v>
      </c>
      <c r="M171" s="298">
        <v>44652</v>
      </c>
      <c r="N171" s="299">
        <f t="shared" si="8"/>
        <v>0.17771084337349397</v>
      </c>
      <c r="O171" s="299">
        <f t="shared" si="7"/>
        <v>0.17771084337349397</v>
      </c>
      <c r="P171" s="300">
        <v>0.75</v>
      </c>
      <c r="Q171" s="301">
        <v>0.55000000000000004</v>
      </c>
      <c r="R171" s="301">
        <v>0.65</v>
      </c>
      <c r="S171" s="301">
        <v>0.7</v>
      </c>
      <c r="T171" s="301">
        <v>0.75</v>
      </c>
      <c r="U171" s="301"/>
      <c r="V171" s="301"/>
      <c r="W171" s="300"/>
      <c r="X171" s="303"/>
      <c r="Y171" s="304"/>
      <c r="Z171" s="305"/>
      <c r="AA171" s="305"/>
      <c r="AB171" s="304"/>
      <c r="AC171" s="305"/>
      <c r="AD171" s="305"/>
      <c r="AE171" s="304"/>
      <c r="AF171" s="305"/>
      <c r="AG171" s="305"/>
      <c r="AH171" s="306"/>
    </row>
    <row r="172" spans="1:34" ht="135" customHeight="1" outlineLevel="1" x14ac:dyDescent="0.25">
      <c r="A172" s="794"/>
      <c r="B172" s="798"/>
      <c r="C172" s="798"/>
      <c r="D172" s="788"/>
      <c r="E172" s="778"/>
      <c r="F172" s="776" t="s">
        <v>416</v>
      </c>
      <c r="G172" s="773" t="s">
        <v>417</v>
      </c>
      <c r="H172" s="340" t="s">
        <v>418</v>
      </c>
      <c r="I172" s="833" t="s">
        <v>419</v>
      </c>
      <c r="J172" s="385">
        <v>50000000</v>
      </c>
      <c r="K172" s="298">
        <v>44593</v>
      </c>
      <c r="L172" s="298">
        <v>44925</v>
      </c>
      <c r="M172" s="298">
        <v>44652</v>
      </c>
      <c r="N172" s="299">
        <f t="shared" si="8"/>
        <v>0.17771084337349397</v>
      </c>
      <c r="O172" s="299">
        <f t="shared" si="7"/>
        <v>0.17771084337349397</v>
      </c>
      <c r="P172" s="300">
        <v>1</v>
      </c>
      <c r="Q172" s="301">
        <v>0.7</v>
      </c>
      <c r="R172" s="301">
        <v>0.8</v>
      </c>
      <c r="S172" s="301">
        <v>0.9</v>
      </c>
      <c r="T172" s="301">
        <v>1</v>
      </c>
      <c r="U172" s="301"/>
      <c r="V172" s="301"/>
      <c r="W172" s="300"/>
      <c r="X172" s="303"/>
      <c r="Y172" s="304"/>
      <c r="Z172" s="305"/>
      <c r="AA172" s="305"/>
      <c r="AB172" s="304"/>
      <c r="AC172" s="305"/>
      <c r="AD172" s="305"/>
      <c r="AE172" s="304"/>
      <c r="AF172" s="305"/>
      <c r="AG172" s="305"/>
      <c r="AH172" s="306"/>
    </row>
    <row r="173" spans="1:34" ht="75" customHeight="1" outlineLevel="1" x14ac:dyDescent="0.25">
      <c r="A173" s="794"/>
      <c r="B173" s="798"/>
      <c r="C173" s="798"/>
      <c r="D173" s="788"/>
      <c r="E173" s="778"/>
      <c r="F173" s="777"/>
      <c r="G173" s="775"/>
      <c r="H173" s="335" t="s">
        <v>420</v>
      </c>
      <c r="I173" s="834"/>
      <c r="J173" s="385" t="s">
        <v>111</v>
      </c>
      <c r="K173" s="298">
        <v>44593</v>
      </c>
      <c r="L173" s="298">
        <v>44925</v>
      </c>
      <c r="M173" s="298">
        <v>44652</v>
      </c>
      <c r="N173" s="299">
        <f t="shared" si="8"/>
        <v>0.17771084337349397</v>
      </c>
      <c r="O173" s="299">
        <f t="shared" ref="O173" si="9">+IF(N173&gt;=100,100,IF(N173&lt;=0,0,N173))</f>
        <v>0.17771084337349397</v>
      </c>
      <c r="P173" s="300">
        <v>0.3</v>
      </c>
      <c r="Q173" s="301">
        <v>0.15</v>
      </c>
      <c r="R173" s="301">
        <v>0.2</v>
      </c>
      <c r="S173" s="301">
        <v>0.25</v>
      </c>
      <c r="T173" s="301">
        <v>0.3</v>
      </c>
      <c r="U173" s="301"/>
      <c r="V173" s="301"/>
      <c r="W173" s="300"/>
      <c r="X173" s="303"/>
      <c r="Y173" s="304"/>
      <c r="Z173" s="305"/>
      <c r="AA173" s="305"/>
      <c r="AB173" s="304"/>
      <c r="AC173" s="305"/>
      <c r="AD173" s="305"/>
      <c r="AE173" s="304"/>
      <c r="AF173" s="305"/>
      <c r="AG173" s="305"/>
      <c r="AH173" s="306"/>
    </row>
    <row r="174" spans="1:34" ht="60" customHeight="1" outlineLevel="1" x14ac:dyDescent="0.25">
      <c r="A174" s="794"/>
      <c r="B174" s="798"/>
      <c r="C174" s="798"/>
      <c r="D174" s="788"/>
      <c r="E174" s="778"/>
      <c r="F174" s="776" t="s">
        <v>421</v>
      </c>
      <c r="G174" s="340" t="s">
        <v>422</v>
      </c>
      <c r="H174" s="773" t="s">
        <v>423</v>
      </c>
      <c r="I174" s="274" t="s">
        <v>337</v>
      </c>
      <c r="J174" s="385" t="s">
        <v>59</v>
      </c>
      <c r="K174" s="298">
        <v>44593</v>
      </c>
      <c r="L174" s="298">
        <v>44925</v>
      </c>
      <c r="M174" s="298">
        <v>44652</v>
      </c>
      <c r="N174" s="299">
        <f t="shared" si="8"/>
        <v>0.17771084337349397</v>
      </c>
      <c r="O174" s="299">
        <f t="shared" si="7"/>
        <v>0.17771084337349397</v>
      </c>
      <c r="P174" s="300">
        <v>0.6</v>
      </c>
      <c r="Q174" s="301">
        <v>0.45</v>
      </c>
      <c r="R174" s="301">
        <v>0.5</v>
      </c>
      <c r="S174" s="301">
        <v>0.55000000000000004</v>
      </c>
      <c r="T174" s="301">
        <v>0.6</v>
      </c>
      <c r="U174" s="301"/>
      <c r="V174" s="301"/>
      <c r="W174" s="300"/>
      <c r="X174" s="303"/>
      <c r="Y174" s="304"/>
      <c r="Z174" s="305"/>
      <c r="AA174" s="305"/>
      <c r="AB174" s="304"/>
      <c r="AC174" s="305"/>
      <c r="AD174" s="305"/>
      <c r="AE174" s="304"/>
      <c r="AF174" s="305"/>
      <c r="AG174" s="305"/>
      <c r="AH174" s="306"/>
    </row>
    <row r="175" spans="1:34" ht="70.2" customHeight="1" outlineLevel="1" x14ac:dyDescent="0.25">
      <c r="A175" s="794"/>
      <c r="B175" s="798"/>
      <c r="C175" s="798"/>
      <c r="D175" s="788"/>
      <c r="E175" s="778"/>
      <c r="F175" s="777"/>
      <c r="G175" s="340" t="s">
        <v>424</v>
      </c>
      <c r="H175" s="775"/>
      <c r="I175" s="274" t="s">
        <v>425</v>
      </c>
      <c r="J175" s="385">
        <v>90000000</v>
      </c>
      <c r="K175" s="298">
        <v>44593</v>
      </c>
      <c r="L175" s="298">
        <v>44925</v>
      </c>
      <c r="M175" s="298">
        <v>44652</v>
      </c>
      <c r="N175" s="299">
        <f t="shared" si="8"/>
        <v>0.17771084337349397</v>
      </c>
      <c r="O175" s="299">
        <f t="shared" si="7"/>
        <v>0.17771084337349397</v>
      </c>
      <c r="P175" s="300">
        <v>1</v>
      </c>
      <c r="Q175" s="301">
        <v>0.25</v>
      </c>
      <c r="R175" s="301">
        <v>0.5</v>
      </c>
      <c r="S175" s="301">
        <v>0.75</v>
      </c>
      <c r="T175" s="301">
        <v>1</v>
      </c>
      <c r="U175" s="301"/>
      <c r="V175" s="301"/>
      <c r="W175" s="300"/>
      <c r="X175" s="303"/>
      <c r="Y175" s="304"/>
      <c r="Z175" s="305"/>
      <c r="AA175" s="305"/>
      <c r="AB175" s="304"/>
      <c r="AC175" s="305"/>
      <c r="AD175" s="305"/>
      <c r="AE175" s="304"/>
      <c r="AF175" s="305"/>
      <c r="AG175" s="305"/>
      <c r="AH175" s="306"/>
    </row>
    <row r="176" spans="1:34" ht="60" customHeight="1" outlineLevel="1" x14ac:dyDescent="0.25">
      <c r="A176" s="794"/>
      <c r="B176" s="798"/>
      <c r="C176" s="798"/>
      <c r="D176" s="788"/>
      <c r="E176" s="778"/>
      <c r="F176" s="776" t="s">
        <v>426</v>
      </c>
      <c r="G176" s="340" t="s">
        <v>427</v>
      </c>
      <c r="H176" s="773" t="s">
        <v>428</v>
      </c>
      <c r="I176" s="274" t="s">
        <v>429</v>
      </c>
      <c r="J176" s="385">
        <v>4000000</v>
      </c>
      <c r="K176" s="298">
        <v>44593</v>
      </c>
      <c r="L176" s="298">
        <v>44925</v>
      </c>
      <c r="M176" s="298">
        <v>44652</v>
      </c>
      <c r="N176" s="299">
        <f t="shared" si="8"/>
        <v>0.17771084337349397</v>
      </c>
      <c r="O176" s="299">
        <f t="shared" si="7"/>
        <v>0.17771084337349397</v>
      </c>
      <c r="P176" s="300">
        <v>0.6</v>
      </c>
      <c r="Q176" s="301">
        <v>0.45</v>
      </c>
      <c r="R176" s="301">
        <v>0.5</v>
      </c>
      <c r="S176" s="301">
        <v>0.55000000000000004</v>
      </c>
      <c r="T176" s="301">
        <v>0.6</v>
      </c>
      <c r="U176" s="301"/>
      <c r="V176" s="301"/>
      <c r="W176" s="300"/>
      <c r="X176" s="303"/>
      <c r="Y176" s="304"/>
      <c r="Z176" s="305"/>
      <c r="AA176" s="305"/>
      <c r="AB176" s="304"/>
      <c r="AC176" s="305"/>
      <c r="AD176" s="305"/>
      <c r="AE176" s="304"/>
      <c r="AF176" s="305"/>
      <c r="AG176" s="305"/>
      <c r="AH176" s="306"/>
    </row>
    <row r="177" spans="1:34" ht="108" customHeight="1" outlineLevel="1" x14ac:dyDescent="0.25">
      <c r="A177" s="794"/>
      <c r="B177" s="798"/>
      <c r="C177" s="798"/>
      <c r="D177" s="788"/>
      <c r="E177" s="778"/>
      <c r="F177" s="778"/>
      <c r="G177" s="340" t="s">
        <v>430</v>
      </c>
      <c r="H177" s="774"/>
      <c r="I177" s="274" t="s">
        <v>429</v>
      </c>
      <c r="J177" s="385" t="s">
        <v>59</v>
      </c>
      <c r="K177" s="298">
        <v>44593</v>
      </c>
      <c r="L177" s="298">
        <v>44925</v>
      </c>
      <c r="M177" s="298">
        <v>44652</v>
      </c>
      <c r="N177" s="299">
        <f t="shared" si="8"/>
        <v>0.17771084337349397</v>
      </c>
      <c r="O177" s="299">
        <f t="shared" si="7"/>
        <v>0.17771084337349397</v>
      </c>
      <c r="P177" s="300">
        <v>1</v>
      </c>
      <c r="Q177" s="301">
        <v>0.25</v>
      </c>
      <c r="R177" s="301">
        <v>0.5</v>
      </c>
      <c r="S177" s="301">
        <v>0.75</v>
      </c>
      <c r="T177" s="301">
        <v>1</v>
      </c>
      <c r="U177" s="301"/>
      <c r="V177" s="301"/>
      <c r="W177" s="300"/>
      <c r="X177" s="303"/>
      <c r="Y177" s="304"/>
      <c r="Z177" s="305"/>
      <c r="AA177" s="305"/>
      <c r="AB177" s="304"/>
      <c r="AC177" s="305"/>
      <c r="AD177" s="305"/>
      <c r="AE177" s="304"/>
      <c r="AF177" s="305"/>
      <c r="AG177" s="305"/>
      <c r="AH177" s="306"/>
    </row>
    <row r="178" spans="1:34" ht="108" customHeight="1" outlineLevel="1" x14ac:dyDescent="0.25">
      <c r="A178" s="794"/>
      <c r="B178" s="798"/>
      <c r="C178" s="798"/>
      <c r="D178" s="788"/>
      <c r="E178" s="777"/>
      <c r="F178" s="777"/>
      <c r="G178" s="289" t="s">
        <v>431</v>
      </c>
      <c r="H178" s="775"/>
      <c r="I178" s="274" t="s">
        <v>337</v>
      </c>
      <c r="J178" s="385">
        <v>220000000</v>
      </c>
      <c r="K178" s="298">
        <v>44593</v>
      </c>
      <c r="L178" s="298">
        <v>44925</v>
      </c>
      <c r="M178" s="298">
        <v>44652</v>
      </c>
      <c r="N178" s="299">
        <f t="shared" si="8"/>
        <v>0.17771084337349397</v>
      </c>
      <c r="O178" s="299">
        <f t="shared" si="7"/>
        <v>0.17771084337349397</v>
      </c>
      <c r="P178" s="300">
        <v>1</v>
      </c>
      <c r="Q178" s="301">
        <v>0.25</v>
      </c>
      <c r="R178" s="301">
        <v>0.5</v>
      </c>
      <c r="S178" s="301">
        <v>0.75</v>
      </c>
      <c r="T178" s="301">
        <v>1</v>
      </c>
      <c r="U178" s="301"/>
      <c r="V178" s="301"/>
      <c r="W178" s="300"/>
      <c r="X178" s="303"/>
      <c r="Y178" s="304"/>
      <c r="Z178" s="305"/>
      <c r="AA178" s="305"/>
      <c r="AB178" s="304"/>
      <c r="AC178" s="305"/>
      <c r="AD178" s="305"/>
      <c r="AE178" s="304"/>
      <c r="AF178" s="305"/>
      <c r="AG178" s="305"/>
      <c r="AH178" s="306"/>
    </row>
    <row r="179" spans="1:34" ht="147" customHeight="1" outlineLevel="1" x14ac:dyDescent="0.25">
      <c r="A179" s="794"/>
      <c r="B179" s="749" t="s">
        <v>51</v>
      </c>
      <c r="C179" s="749" t="s">
        <v>432</v>
      </c>
      <c r="D179" s="779" t="s">
        <v>433</v>
      </c>
      <c r="E179" s="758" t="s">
        <v>434</v>
      </c>
      <c r="F179" s="758" t="s">
        <v>435</v>
      </c>
      <c r="G179" s="15" t="s">
        <v>436</v>
      </c>
      <c r="H179" s="864" t="s">
        <v>437</v>
      </c>
      <c r="I179" s="274" t="s">
        <v>152</v>
      </c>
      <c r="J179" s="286" t="s">
        <v>111</v>
      </c>
      <c r="K179" s="298">
        <v>44593</v>
      </c>
      <c r="L179" s="298">
        <v>44925</v>
      </c>
      <c r="M179" s="298">
        <v>44652</v>
      </c>
      <c r="N179" s="299">
        <f t="shared" si="8"/>
        <v>0.17771084337349397</v>
      </c>
      <c r="O179" s="299">
        <f t="shared" si="7"/>
        <v>0.17771084337349397</v>
      </c>
      <c r="P179" s="300">
        <v>1</v>
      </c>
      <c r="Q179" s="301">
        <v>0.25</v>
      </c>
      <c r="R179" s="301">
        <v>0.5</v>
      </c>
      <c r="S179" s="301">
        <v>0.75</v>
      </c>
      <c r="T179" s="301">
        <v>1</v>
      </c>
      <c r="U179" s="301"/>
      <c r="V179" s="301"/>
      <c r="W179" s="300"/>
      <c r="X179" s="303"/>
      <c r="Y179" s="304"/>
      <c r="Z179" s="305"/>
      <c r="AA179" s="305"/>
      <c r="AB179" s="304"/>
      <c r="AC179" s="305"/>
      <c r="AD179" s="305"/>
      <c r="AE179" s="304"/>
      <c r="AF179" s="305"/>
      <c r="AG179" s="305"/>
      <c r="AH179" s="306"/>
    </row>
    <row r="180" spans="1:34" ht="46.5" customHeight="1" outlineLevel="1" x14ac:dyDescent="0.25">
      <c r="A180" s="794"/>
      <c r="B180" s="750"/>
      <c r="C180" s="750"/>
      <c r="D180" s="780"/>
      <c r="E180" s="759"/>
      <c r="F180" s="759"/>
      <c r="G180" s="15" t="s">
        <v>438</v>
      </c>
      <c r="H180" s="865"/>
      <c r="I180" s="274" t="s">
        <v>439</v>
      </c>
      <c r="J180" s="286" t="s">
        <v>59</v>
      </c>
      <c r="K180" s="298">
        <v>44593</v>
      </c>
      <c r="L180" s="298">
        <v>44925</v>
      </c>
      <c r="M180" s="298">
        <v>44652</v>
      </c>
      <c r="N180" s="299">
        <f t="shared" si="8"/>
        <v>0.17771084337349397</v>
      </c>
      <c r="O180" s="299">
        <f t="shared" ref="O180:O181" si="10">+IF(N180&gt;=100,100,IF(N180&lt;=0,0,N180))</f>
        <v>0.17771084337349397</v>
      </c>
      <c r="P180" s="300">
        <v>1</v>
      </c>
      <c r="Q180" s="301">
        <v>0.25</v>
      </c>
      <c r="R180" s="301">
        <v>0.5</v>
      </c>
      <c r="S180" s="301">
        <v>0.75</v>
      </c>
      <c r="T180" s="301">
        <v>1</v>
      </c>
      <c r="U180" s="301"/>
      <c r="V180" s="301"/>
      <c r="W180" s="300"/>
      <c r="X180" s="303"/>
      <c r="Y180" s="304"/>
      <c r="Z180" s="305"/>
      <c r="AA180" s="305"/>
      <c r="AB180" s="304"/>
      <c r="AC180" s="305"/>
      <c r="AD180" s="305"/>
      <c r="AE180" s="304"/>
      <c r="AF180" s="305"/>
      <c r="AG180" s="305"/>
      <c r="AH180" s="306"/>
    </row>
    <row r="181" spans="1:34" ht="46.5" customHeight="1" outlineLevel="1" x14ac:dyDescent="0.25">
      <c r="A181" s="794"/>
      <c r="B181" s="751"/>
      <c r="C181" s="751"/>
      <c r="D181" s="781"/>
      <c r="E181" s="760"/>
      <c r="F181" s="760"/>
      <c r="G181" s="15" t="s">
        <v>440</v>
      </c>
      <c r="H181" s="866"/>
      <c r="I181" s="308" t="s">
        <v>441</v>
      </c>
      <c r="J181" s="286" t="s">
        <v>59</v>
      </c>
      <c r="K181" s="298">
        <v>44593</v>
      </c>
      <c r="L181" s="298">
        <v>44925</v>
      </c>
      <c r="M181" s="298">
        <v>44652</v>
      </c>
      <c r="N181" s="299">
        <f t="shared" si="8"/>
        <v>0.17771084337349397</v>
      </c>
      <c r="O181" s="299">
        <f t="shared" si="10"/>
        <v>0.17771084337349397</v>
      </c>
      <c r="P181" s="300">
        <v>1</v>
      </c>
      <c r="Q181" s="301">
        <v>0.25</v>
      </c>
      <c r="R181" s="301">
        <v>0.5</v>
      </c>
      <c r="S181" s="301">
        <v>0.75</v>
      </c>
      <c r="T181" s="301">
        <v>1</v>
      </c>
      <c r="U181" s="301"/>
      <c r="V181" s="301"/>
      <c r="W181" s="300"/>
      <c r="X181" s="303"/>
      <c r="Y181" s="304"/>
      <c r="Z181" s="305"/>
      <c r="AA181" s="305"/>
      <c r="AB181" s="304"/>
      <c r="AC181" s="305"/>
      <c r="AD181" s="305"/>
      <c r="AE181" s="304"/>
      <c r="AF181" s="305"/>
      <c r="AG181" s="305"/>
      <c r="AH181" s="306"/>
    </row>
    <row r="182" spans="1:34" ht="90" customHeight="1" outlineLevel="1" x14ac:dyDescent="0.25">
      <c r="A182" s="794"/>
      <c r="B182" s="269" t="s">
        <v>51</v>
      </c>
      <c r="C182" s="343" t="s">
        <v>460</v>
      </c>
      <c r="D182" s="338" t="s">
        <v>442</v>
      </c>
      <c r="E182" s="13" t="s">
        <v>443</v>
      </c>
      <c r="F182" s="13" t="s">
        <v>444</v>
      </c>
      <c r="G182" s="14" t="s">
        <v>445</v>
      </c>
      <c r="H182" s="14" t="s">
        <v>446</v>
      </c>
      <c r="I182" s="286" t="s">
        <v>111</v>
      </c>
      <c r="J182" s="286" t="s">
        <v>111</v>
      </c>
      <c r="K182" s="298">
        <v>44593</v>
      </c>
      <c r="L182" s="298">
        <v>44925</v>
      </c>
      <c r="M182" s="298">
        <v>44652</v>
      </c>
      <c r="N182" s="299">
        <f t="shared" si="8"/>
        <v>0.17771084337349397</v>
      </c>
      <c r="O182" s="299">
        <f t="shared" si="7"/>
        <v>0.17771084337349397</v>
      </c>
      <c r="P182" s="300">
        <v>0.4</v>
      </c>
      <c r="Q182" s="301">
        <v>0.25</v>
      </c>
      <c r="R182" s="301">
        <v>0.3</v>
      </c>
      <c r="S182" s="301">
        <v>0.35</v>
      </c>
      <c r="T182" s="301">
        <v>0.4</v>
      </c>
      <c r="U182" s="301"/>
      <c r="V182" s="301"/>
      <c r="W182" s="300"/>
      <c r="X182" s="303"/>
      <c r="Y182" s="301"/>
      <c r="Z182" s="305"/>
      <c r="AA182" s="305"/>
      <c r="AB182" s="304"/>
      <c r="AC182" s="305"/>
      <c r="AD182" s="305"/>
      <c r="AE182" s="304"/>
      <c r="AF182" s="305"/>
      <c r="AG182" s="305"/>
      <c r="AH182" s="306"/>
    </row>
    <row r="183" spans="1:34" ht="59.25" customHeight="1" outlineLevel="1" x14ac:dyDescent="0.25">
      <c r="A183" s="794"/>
      <c r="B183" s="749" t="s">
        <v>51</v>
      </c>
      <c r="C183" s="749" t="s">
        <v>101</v>
      </c>
      <c r="D183" s="909" t="s">
        <v>447</v>
      </c>
      <c r="E183" s="888" t="s">
        <v>448</v>
      </c>
      <c r="F183" s="888" t="s">
        <v>449</v>
      </c>
      <c r="G183" s="354" t="s">
        <v>450</v>
      </c>
      <c r="H183" s="795" t="s">
        <v>451</v>
      </c>
      <c r="I183" s="286" t="s">
        <v>152</v>
      </c>
      <c r="J183" s="286" t="s">
        <v>111</v>
      </c>
      <c r="K183" s="298">
        <v>44593</v>
      </c>
      <c r="L183" s="298">
        <v>44925</v>
      </c>
      <c r="M183" s="298">
        <v>44652</v>
      </c>
      <c r="N183" s="299">
        <f t="shared" si="8"/>
        <v>0.17771084337349397</v>
      </c>
      <c r="O183" s="299">
        <f t="shared" si="7"/>
        <v>0.17771084337349397</v>
      </c>
      <c r="P183" s="300">
        <v>0.09</v>
      </c>
      <c r="Q183" s="301">
        <v>0.06</v>
      </c>
      <c r="R183" s="301">
        <v>7.0000000000000007E-2</v>
      </c>
      <c r="S183" s="301">
        <v>0.08</v>
      </c>
      <c r="T183" s="301">
        <v>0.09</v>
      </c>
      <c r="U183" s="301"/>
      <c r="V183" s="301"/>
      <c r="W183" s="300"/>
      <c r="X183" s="303"/>
      <c r="Y183" s="304"/>
      <c r="Z183" s="305"/>
      <c r="AA183" s="305"/>
      <c r="AB183" s="304"/>
      <c r="AC183" s="305"/>
      <c r="AD183" s="305"/>
      <c r="AE183" s="304"/>
      <c r="AF183" s="305"/>
      <c r="AG183" s="305"/>
      <c r="AH183" s="306"/>
    </row>
    <row r="184" spans="1:34" ht="93.75" customHeight="1" outlineLevel="1" x14ac:dyDescent="0.25">
      <c r="A184" s="794"/>
      <c r="B184" s="750"/>
      <c r="C184" s="750"/>
      <c r="D184" s="910"/>
      <c r="E184" s="889"/>
      <c r="F184" s="889"/>
      <c r="G184" s="290" t="s">
        <v>452</v>
      </c>
      <c r="H184" s="796"/>
      <c r="I184" s="286" t="s">
        <v>453</v>
      </c>
      <c r="J184" s="286" t="s">
        <v>111</v>
      </c>
      <c r="K184" s="298">
        <v>44593</v>
      </c>
      <c r="L184" s="298">
        <v>44925</v>
      </c>
      <c r="M184" s="298">
        <v>44652</v>
      </c>
      <c r="N184" s="299">
        <f t="shared" si="8"/>
        <v>0.17771084337349397</v>
      </c>
      <c r="O184" s="299">
        <f t="shared" si="7"/>
        <v>0.17771084337349397</v>
      </c>
      <c r="P184" s="300">
        <v>1</v>
      </c>
      <c r="Q184" s="301">
        <v>0.25</v>
      </c>
      <c r="R184" s="301">
        <v>0.5</v>
      </c>
      <c r="S184" s="301">
        <v>0.75</v>
      </c>
      <c r="T184" s="301">
        <v>1</v>
      </c>
      <c r="U184" s="301"/>
      <c r="V184" s="301"/>
      <c r="W184" s="300"/>
      <c r="X184" s="303"/>
      <c r="Y184" s="304"/>
      <c r="Z184" s="305"/>
      <c r="AA184" s="305"/>
      <c r="AB184" s="304"/>
      <c r="AC184" s="305"/>
      <c r="AD184" s="305"/>
      <c r="AE184" s="304"/>
      <c r="AF184" s="305"/>
      <c r="AG184" s="305"/>
      <c r="AH184" s="306"/>
    </row>
    <row r="185" spans="1:34" ht="112.5" customHeight="1" outlineLevel="1" x14ac:dyDescent="0.25">
      <c r="A185" s="794"/>
      <c r="B185" s="750"/>
      <c r="C185" s="750"/>
      <c r="D185" s="910"/>
      <c r="E185" s="889"/>
      <c r="F185" s="889"/>
      <c r="G185" s="291" t="s">
        <v>454</v>
      </c>
      <c r="H185" s="796"/>
      <c r="I185" s="286" t="s">
        <v>455</v>
      </c>
      <c r="J185" s="286" t="s">
        <v>111</v>
      </c>
      <c r="K185" s="298">
        <v>44593</v>
      </c>
      <c r="L185" s="298">
        <v>44925</v>
      </c>
      <c r="M185" s="298">
        <v>44652</v>
      </c>
      <c r="N185" s="299">
        <f t="shared" si="8"/>
        <v>0.17771084337349397</v>
      </c>
      <c r="O185" s="299">
        <f t="shared" si="7"/>
        <v>0.17771084337349397</v>
      </c>
      <c r="P185" s="300">
        <v>1</v>
      </c>
      <c r="Q185" s="301">
        <v>0.25</v>
      </c>
      <c r="R185" s="301">
        <v>0.5</v>
      </c>
      <c r="S185" s="301">
        <v>0.75</v>
      </c>
      <c r="T185" s="301">
        <v>1</v>
      </c>
      <c r="U185" s="301"/>
      <c r="V185" s="301"/>
      <c r="W185" s="300"/>
      <c r="X185" s="303"/>
      <c r="Y185" s="304"/>
      <c r="Z185" s="305"/>
      <c r="AA185" s="305"/>
      <c r="AB185" s="304"/>
      <c r="AC185" s="305"/>
      <c r="AD185" s="305"/>
      <c r="AE185" s="304"/>
      <c r="AF185" s="305"/>
      <c r="AG185" s="305"/>
      <c r="AH185" s="306"/>
    </row>
    <row r="186" spans="1:34" ht="46.5" customHeight="1" outlineLevel="1" x14ac:dyDescent="0.25">
      <c r="A186" s="794"/>
      <c r="B186" s="750"/>
      <c r="C186" s="750"/>
      <c r="D186" s="910"/>
      <c r="E186" s="889"/>
      <c r="F186" s="889"/>
      <c r="G186" s="291" t="s">
        <v>456</v>
      </c>
      <c r="H186" s="796"/>
      <c r="I186" s="286" t="s">
        <v>457</v>
      </c>
      <c r="J186" s="286" t="s">
        <v>111</v>
      </c>
      <c r="K186" s="298">
        <v>44593</v>
      </c>
      <c r="L186" s="298">
        <v>44925</v>
      </c>
      <c r="M186" s="298">
        <v>44652</v>
      </c>
      <c r="N186" s="299">
        <f t="shared" si="8"/>
        <v>0.17771084337349397</v>
      </c>
      <c r="O186" s="299">
        <f t="shared" si="7"/>
        <v>0.17771084337349397</v>
      </c>
      <c r="P186" s="300">
        <v>1</v>
      </c>
      <c r="Q186" s="301">
        <v>0.25</v>
      </c>
      <c r="R186" s="301">
        <v>0.5</v>
      </c>
      <c r="S186" s="301">
        <v>0.75</v>
      </c>
      <c r="T186" s="301">
        <v>1</v>
      </c>
      <c r="U186" s="301"/>
      <c r="V186" s="301"/>
      <c r="W186" s="300"/>
      <c r="X186" s="303"/>
      <c r="Y186" s="304"/>
      <c r="Z186" s="305"/>
      <c r="AA186" s="305"/>
      <c r="AB186" s="304"/>
      <c r="AC186" s="305"/>
      <c r="AD186" s="305"/>
      <c r="AE186" s="304"/>
      <c r="AF186" s="305"/>
      <c r="AG186" s="305"/>
      <c r="AH186" s="306"/>
    </row>
    <row r="187" spans="1:34" ht="75" customHeight="1" outlineLevel="1" x14ac:dyDescent="0.25">
      <c r="A187" s="794"/>
      <c r="B187" s="751"/>
      <c r="C187" s="751"/>
      <c r="D187" s="911"/>
      <c r="E187" s="890"/>
      <c r="F187" s="890"/>
      <c r="G187" s="291" t="s">
        <v>458</v>
      </c>
      <c r="H187" s="797"/>
      <c r="I187" s="286" t="s">
        <v>459</v>
      </c>
      <c r="J187" s="286" t="s">
        <v>111</v>
      </c>
      <c r="K187" s="298">
        <v>44593</v>
      </c>
      <c r="L187" s="298">
        <v>44925</v>
      </c>
      <c r="M187" s="298">
        <v>44652</v>
      </c>
      <c r="N187" s="299">
        <f t="shared" si="8"/>
        <v>0.17771084337349397</v>
      </c>
      <c r="O187" s="299">
        <f t="shared" si="7"/>
        <v>0.17771084337349397</v>
      </c>
      <c r="P187" s="300">
        <v>1</v>
      </c>
      <c r="Q187" s="301">
        <v>0.25</v>
      </c>
      <c r="R187" s="301">
        <v>0.5</v>
      </c>
      <c r="S187" s="301">
        <v>0.75</v>
      </c>
      <c r="T187" s="301">
        <v>1</v>
      </c>
      <c r="U187" s="301"/>
      <c r="V187" s="301"/>
      <c r="W187" s="300"/>
      <c r="X187" s="303"/>
      <c r="Y187" s="304"/>
      <c r="Z187" s="305"/>
      <c r="AA187" s="305"/>
      <c r="AB187" s="304"/>
      <c r="AC187" s="305"/>
      <c r="AD187" s="305"/>
      <c r="AE187" s="304"/>
      <c r="AF187" s="305"/>
      <c r="AG187" s="305"/>
      <c r="AH187" s="306"/>
    </row>
    <row r="188" spans="1:34" ht="168.75" customHeight="1" outlineLevel="1" x14ac:dyDescent="0.25">
      <c r="A188" s="794"/>
      <c r="B188" s="749" t="s">
        <v>51</v>
      </c>
      <c r="C188" s="343" t="s">
        <v>460</v>
      </c>
      <c r="D188" s="787" t="s">
        <v>461</v>
      </c>
      <c r="E188" s="339" t="s">
        <v>54</v>
      </c>
      <c r="F188" s="4" t="s">
        <v>55</v>
      </c>
      <c r="G188" s="5" t="s">
        <v>462</v>
      </c>
      <c r="H188" s="5" t="s">
        <v>57</v>
      </c>
      <c r="I188" s="286" t="s">
        <v>463</v>
      </c>
      <c r="J188" s="286" t="s">
        <v>59</v>
      </c>
      <c r="K188" s="298">
        <v>44593</v>
      </c>
      <c r="L188" s="298">
        <v>44925</v>
      </c>
      <c r="M188" s="298">
        <v>44652</v>
      </c>
      <c r="N188" s="299">
        <f t="shared" si="8"/>
        <v>0.17771084337349397</v>
      </c>
      <c r="O188" s="299">
        <f t="shared" si="7"/>
        <v>0.17771084337349397</v>
      </c>
      <c r="P188" s="300">
        <v>1</v>
      </c>
      <c r="Q188" s="301">
        <v>0.25</v>
      </c>
      <c r="R188" s="301">
        <v>0.5</v>
      </c>
      <c r="S188" s="301">
        <v>0.75</v>
      </c>
      <c r="T188" s="301">
        <v>1</v>
      </c>
      <c r="U188" s="301"/>
      <c r="V188" s="301"/>
      <c r="W188" s="300"/>
      <c r="X188" s="303"/>
      <c r="Y188" s="304"/>
      <c r="Z188" s="305"/>
      <c r="AA188" s="305"/>
      <c r="AB188" s="304"/>
      <c r="AC188" s="305"/>
      <c r="AD188" s="305"/>
      <c r="AE188" s="304"/>
      <c r="AF188" s="305"/>
      <c r="AG188" s="305"/>
      <c r="AH188" s="306"/>
    </row>
    <row r="189" spans="1:34" ht="281.25" customHeight="1" outlineLevel="1" x14ac:dyDescent="0.25">
      <c r="A189" s="794"/>
      <c r="B189" s="751"/>
      <c r="C189" s="345" t="s">
        <v>101</v>
      </c>
      <c r="D189" s="789"/>
      <c r="E189" s="336" t="s">
        <v>448</v>
      </c>
      <c r="F189" s="332" t="s">
        <v>284</v>
      </c>
      <c r="G189" s="5" t="s">
        <v>464</v>
      </c>
      <c r="H189" s="333" t="s">
        <v>286</v>
      </c>
      <c r="I189" s="286" t="s">
        <v>465</v>
      </c>
      <c r="J189" s="286" t="s">
        <v>59</v>
      </c>
      <c r="K189" s="298">
        <v>44593</v>
      </c>
      <c r="L189" s="298">
        <v>44925</v>
      </c>
      <c r="M189" s="298">
        <v>44652</v>
      </c>
      <c r="N189" s="299">
        <f t="shared" si="8"/>
        <v>0.17771084337349397</v>
      </c>
      <c r="O189" s="299">
        <f t="shared" si="7"/>
        <v>0.17771084337349397</v>
      </c>
      <c r="P189" s="300">
        <v>1</v>
      </c>
      <c r="Q189" s="301">
        <v>0.25</v>
      </c>
      <c r="R189" s="301">
        <v>0.5</v>
      </c>
      <c r="S189" s="301">
        <v>0.75</v>
      </c>
      <c r="T189" s="301">
        <v>1</v>
      </c>
      <c r="U189" s="301"/>
      <c r="V189" s="301"/>
      <c r="W189" s="300"/>
      <c r="X189" s="303"/>
      <c r="Y189" s="304"/>
      <c r="Z189" s="305"/>
      <c r="AA189" s="305"/>
      <c r="AB189" s="304"/>
      <c r="AC189" s="305"/>
      <c r="AD189" s="305"/>
      <c r="AE189" s="304"/>
      <c r="AF189" s="305"/>
      <c r="AG189" s="305"/>
      <c r="AH189" s="306"/>
    </row>
    <row r="190" spans="1:34" ht="112.5" customHeight="1" outlineLevel="1" x14ac:dyDescent="0.25">
      <c r="A190" s="794"/>
      <c r="B190" s="749" t="s">
        <v>51</v>
      </c>
      <c r="C190" s="749" t="s">
        <v>466</v>
      </c>
      <c r="D190" s="762" t="s">
        <v>5</v>
      </c>
      <c r="E190" s="932" t="s">
        <v>132</v>
      </c>
      <c r="F190" s="363" t="s">
        <v>467</v>
      </c>
      <c r="G190" s="265" t="s">
        <v>468</v>
      </c>
      <c r="H190" s="265" t="s">
        <v>469</v>
      </c>
      <c r="I190" s="286" t="s">
        <v>470</v>
      </c>
      <c r="J190" s="286" t="s">
        <v>59</v>
      </c>
      <c r="K190" s="298">
        <v>44593</v>
      </c>
      <c r="L190" s="298">
        <v>44925</v>
      </c>
      <c r="M190" s="298">
        <v>44652</v>
      </c>
      <c r="N190" s="299">
        <f t="shared" si="8"/>
        <v>0.17771084337349397</v>
      </c>
      <c r="O190" s="299">
        <f t="shared" si="7"/>
        <v>0.17771084337349397</v>
      </c>
      <c r="P190" s="310">
        <v>7.0000000000000001E-3</v>
      </c>
      <c r="Q190" s="311">
        <v>5.0000000000000001E-3</v>
      </c>
      <c r="R190" s="311">
        <v>6.0000000000000001E-3</v>
      </c>
      <c r="S190" s="311">
        <v>6.0000000000000001E-3</v>
      </c>
      <c r="T190" s="311">
        <v>7.0000000000000001E-3</v>
      </c>
      <c r="U190" s="301"/>
      <c r="V190" s="301"/>
      <c r="W190" s="300"/>
      <c r="X190" s="303"/>
      <c r="Y190" s="304"/>
      <c r="Z190" s="305"/>
      <c r="AA190" s="305"/>
      <c r="AB190" s="304"/>
      <c r="AC190" s="305"/>
      <c r="AD190" s="305"/>
      <c r="AE190" s="304"/>
      <c r="AF190" s="305"/>
      <c r="AG190" s="305"/>
      <c r="AH190" s="306"/>
    </row>
    <row r="191" spans="1:34" ht="75" customHeight="1" outlineLevel="1" x14ac:dyDescent="0.25">
      <c r="A191" s="794"/>
      <c r="B191" s="750"/>
      <c r="C191" s="750"/>
      <c r="D191" s="762"/>
      <c r="E191" s="933"/>
      <c r="F191" s="932" t="s">
        <v>471</v>
      </c>
      <c r="G191" s="265" t="s">
        <v>472</v>
      </c>
      <c r="H191" s="844" t="s">
        <v>473</v>
      </c>
      <c r="I191" s="286" t="s">
        <v>474</v>
      </c>
      <c r="J191" s="286" t="s">
        <v>59</v>
      </c>
      <c r="K191" s="298">
        <v>44593</v>
      </c>
      <c r="L191" s="298">
        <v>44925</v>
      </c>
      <c r="M191" s="298">
        <v>44652</v>
      </c>
      <c r="N191" s="299">
        <f t="shared" si="8"/>
        <v>0.17771084337349397</v>
      </c>
      <c r="O191" s="299"/>
      <c r="P191" s="310">
        <v>7.4999999999999997E-2</v>
      </c>
      <c r="Q191" s="311">
        <v>7.4999999999999997E-2</v>
      </c>
      <c r="R191" s="311">
        <v>7.4999999999999997E-2</v>
      </c>
      <c r="S191" s="311">
        <v>7.4999999999999997E-2</v>
      </c>
      <c r="T191" s="311">
        <v>7.4999999999999997E-2</v>
      </c>
      <c r="U191" s="301"/>
      <c r="V191" s="301"/>
      <c r="W191" s="300"/>
      <c r="X191" s="303"/>
      <c r="Y191" s="304"/>
      <c r="Z191" s="305"/>
      <c r="AA191" s="305"/>
      <c r="AB191" s="304"/>
      <c r="AC191" s="305"/>
      <c r="AD191" s="305"/>
      <c r="AE191" s="304"/>
      <c r="AF191" s="305"/>
      <c r="AG191" s="305"/>
      <c r="AH191" s="306"/>
    </row>
    <row r="192" spans="1:34" ht="90" customHeight="1" outlineLevel="1" x14ac:dyDescent="0.25">
      <c r="A192" s="794"/>
      <c r="B192" s="750"/>
      <c r="C192" s="750"/>
      <c r="D192" s="762"/>
      <c r="E192" s="933"/>
      <c r="F192" s="933"/>
      <c r="G192" s="265" t="s">
        <v>475</v>
      </c>
      <c r="H192" s="845"/>
      <c r="I192" s="286" t="s">
        <v>476</v>
      </c>
      <c r="J192" s="286" t="s">
        <v>59</v>
      </c>
      <c r="K192" s="298">
        <v>44593</v>
      </c>
      <c r="L192" s="298">
        <v>44925</v>
      </c>
      <c r="M192" s="298">
        <v>44652</v>
      </c>
      <c r="N192" s="299">
        <f t="shared" si="8"/>
        <v>0.17771084337349397</v>
      </c>
      <c r="O192" s="312"/>
      <c r="P192" s="300">
        <v>1</v>
      </c>
      <c r="Q192" s="301">
        <v>0.25</v>
      </c>
      <c r="R192" s="301">
        <v>0.5</v>
      </c>
      <c r="S192" s="301">
        <v>0.75</v>
      </c>
      <c r="T192" s="301">
        <v>1</v>
      </c>
      <c r="U192" s="301"/>
      <c r="V192" s="301"/>
      <c r="W192" s="300"/>
      <c r="X192" s="303"/>
      <c r="Y192" s="304"/>
      <c r="Z192" s="305"/>
      <c r="AA192" s="305"/>
      <c r="AB192" s="304"/>
      <c r="AC192" s="305"/>
      <c r="AD192" s="305"/>
      <c r="AE192" s="304"/>
      <c r="AF192" s="305"/>
      <c r="AG192" s="305"/>
      <c r="AH192" s="306"/>
    </row>
    <row r="193" spans="1:34" ht="90" customHeight="1" outlineLevel="1" x14ac:dyDescent="0.25">
      <c r="A193" s="794"/>
      <c r="B193" s="751"/>
      <c r="C193" s="751"/>
      <c r="D193" s="762"/>
      <c r="E193" s="934"/>
      <c r="F193" s="934"/>
      <c r="G193" s="265" t="s">
        <v>477</v>
      </c>
      <c r="H193" s="846"/>
      <c r="I193" s="286" t="s">
        <v>478</v>
      </c>
      <c r="J193" s="286" t="s">
        <v>59</v>
      </c>
      <c r="K193" s="298">
        <v>44593</v>
      </c>
      <c r="L193" s="298">
        <v>44925</v>
      </c>
      <c r="M193" s="298">
        <v>44652</v>
      </c>
      <c r="N193" s="299">
        <f t="shared" si="8"/>
        <v>0.17771084337349397</v>
      </c>
      <c r="O193" s="299">
        <f t="shared" si="7"/>
        <v>0.17771084337349397</v>
      </c>
      <c r="P193" s="300">
        <v>1</v>
      </c>
      <c r="Q193" s="301">
        <v>0.25</v>
      </c>
      <c r="R193" s="301">
        <v>0.5</v>
      </c>
      <c r="S193" s="301">
        <v>0.75</v>
      </c>
      <c r="T193" s="301">
        <v>1</v>
      </c>
      <c r="U193" s="301"/>
      <c r="V193" s="301"/>
      <c r="W193" s="300"/>
      <c r="X193" s="303"/>
      <c r="Y193" s="304"/>
      <c r="Z193" s="305"/>
      <c r="AA193" s="305"/>
      <c r="AB193" s="304"/>
      <c r="AC193" s="305"/>
      <c r="AD193" s="305"/>
      <c r="AE193" s="304"/>
      <c r="AF193" s="305"/>
      <c r="AG193" s="305"/>
      <c r="AH193" s="306"/>
    </row>
    <row r="194" spans="1:34" ht="90" customHeight="1" outlineLevel="1" x14ac:dyDescent="0.25">
      <c r="A194" s="794"/>
      <c r="B194" s="749" t="s">
        <v>51</v>
      </c>
      <c r="C194" s="749" t="s">
        <v>479</v>
      </c>
      <c r="D194" s="762"/>
      <c r="E194" s="955" t="s">
        <v>480</v>
      </c>
      <c r="F194" s="361" t="s">
        <v>481</v>
      </c>
      <c r="G194" s="265" t="s">
        <v>482</v>
      </c>
      <c r="H194" s="265" t="s">
        <v>473</v>
      </c>
      <c r="I194" s="12" t="s">
        <v>483</v>
      </c>
      <c r="J194" s="286" t="s">
        <v>59</v>
      </c>
      <c r="K194" s="298">
        <v>44593</v>
      </c>
      <c r="L194" s="298">
        <v>44925</v>
      </c>
      <c r="M194" s="298">
        <v>44652</v>
      </c>
      <c r="N194" s="299">
        <f t="shared" si="8"/>
        <v>0.17771084337349397</v>
      </c>
      <c r="O194" s="299">
        <f t="shared" si="7"/>
        <v>0.17771084337349397</v>
      </c>
      <c r="P194" s="300">
        <v>1</v>
      </c>
      <c r="Q194" s="301">
        <v>1</v>
      </c>
      <c r="R194" s="301">
        <v>1</v>
      </c>
      <c r="S194" s="301">
        <v>1</v>
      </c>
      <c r="T194" s="301">
        <v>1</v>
      </c>
      <c r="U194" s="301"/>
      <c r="V194" s="301"/>
      <c r="W194" s="300"/>
      <c r="X194" s="303"/>
      <c r="Y194" s="304"/>
      <c r="Z194" s="305"/>
      <c r="AA194" s="305"/>
      <c r="AB194" s="304"/>
      <c r="AC194" s="305"/>
      <c r="AD194" s="305"/>
      <c r="AE194" s="304"/>
      <c r="AF194" s="305"/>
      <c r="AG194" s="305"/>
      <c r="AH194" s="306"/>
    </row>
    <row r="195" spans="1:34" ht="90" customHeight="1" outlineLevel="1" x14ac:dyDescent="0.25">
      <c r="A195" s="794"/>
      <c r="B195" s="750"/>
      <c r="C195" s="750"/>
      <c r="D195" s="762"/>
      <c r="E195" s="955"/>
      <c r="F195" s="363" t="s">
        <v>484</v>
      </c>
      <c r="G195" s="348" t="s">
        <v>485</v>
      </c>
      <c r="H195" s="348" t="s">
        <v>486</v>
      </c>
      <c r="I195" s="286" t="s">
        <v>429</v>
      </c>
      <c r="J195" s="286" t="s">
        <v>59</v>
      </c>
      <c r="K195" s="298">
        <v>44593</v>
      </c>
      <c r="L195" s="298">
        <v>44925</v>
      </c>
      <c r="M195" s="298">
        <v>44652</v>
      </c>
      <c r="N195" s="299">
        <f t="shared" si="8"/>
        <v>0.17771084337349397</v>
      </c>
      <c r="O195" s="299">
        <f t="shared" si="7"/>
        <v>0.17771084337349397</v>
      </c>
      <c r="P195" s="300">
        <v>1</v>
      </c>
      <c r="Q195" s="301">
        <v>1</v>
      </c>
      <c r="R195" s="301">
        <v>1</v>
      </c>
      <c r="S195" s="301">
        <v>1</v>
      </c>
      <c r="T195" s="301">
        <v>1</v>
      </c>
      <c r="U195" s="301"/>
      <c r="V195" s="301"/>
      <c r="W195" s="300"/>
      <c r="X195" s="303"/>
      <c r="Y195" s="304"/>
      <c r="Z195" s="305"/>
      <c r="AA195" s="305"/>
      <c r="AB195" s="304"/>
      <c r="AC195" s="305"/>
      <c r="AD195" s="305"/>
      <c r="AE195" s="304"/>
      <c r="AF195" s="305"/>
      <c r="AG195" s="305"/>
      <c r="AH195" s="306"/>
    </row>
    <row r="196" spans="1:34" ht="90" customHeight="1" outlineLevel="1" x14ac:dyDescent="0.25">
      <c r="A196" s="794"/>
      <c r="B196" s="750"/>
      <c r="C196" s="750"/>
      <c r="D196" s="762"/>
      <c r="E196" s="955"/>
      <c r="F196" s="363" t="s">
        <v>487</v>
      </c>
      <c r="G196" s="265" t="s">
        <v>488</v>
      </c>
      <c r="H196" s="265" t="s">
        <v>489</v>
      </c>
      <c r="I196" s="286" t="s">
        <v>490</v>
      </c>
      <c r="J196" s="286" t="s">
        <v>59</v>
      </c>
      <c r="K196" s="298">
        <v>44593</v>
      </c>
      <c r="L196" s="298">
        <v>44925</v>
      </c>
      <c r="M196" s="298">
        <v>44652</v>
      </c>
      <c r="N196" s="299">
        <f t="shared" si="8"/>
        <v>0.17771084337349397</v>
      </c>
      <c r="O196" s="299">
        <f t="shared" si="7"/>
        <v>0.17771084337349397</v>
      </c>
      <c r="P196" s="300">
        <v>1</v>
      </c>
      <c r="Q196" s="301">
        <v>1</v>
      </c>
      <c r="R196" s="301">
        <v>1</v>
      </c>
      <c r="S196" s="301">
        <v>1</v>
      </c>
      <c r="T196" s="301">
        <v>1</v>
      </c>
      <c r="U196" s="301"/>
      <c r="V196" s="301"/>
      <c r="W196" s="300"/>
      <c r="X196" s="303"/>
      <c r="Y196" s="304"/>
      <c r="Z196" s="305"/>
      <c r="AA196" s="305"/>
      <c r="AB196" s="304"/>
      <c r="AC196" s="305"/>
      <c r="AD196" s="305"/>
      <c r="AE196" s="304"/>
      <c r="AF196" s="305"/>
      <c r="AG196" s="305"/>
      <c r="AH196" s="306"/>
    </row>
    <row r="197" spans="1:34" ht="90" customHeight="1" outlineLevel="1" x14ac:dyDescent="0.25">
      <c r="A197" s="794"/>
      <c r="B197" s="751"/>
      <c r="C197" s="751"/>
      <c r="D197" s="762"/>
      <c r="E197" s="362" t="s">
        <v>491</v>
      </c>
      <c r="F197" s="361" t="s">
        <v>492</v>
      </c>
      <c r="G197" s="265" t="s">
        <v>493</v>
      </c>
      <c r="H197" s="347" t="s">
        <v>494</v>
      </c>
      <c r="I197" s="286" t="s">
        <v>495</v>
      </c>
      <c r="J197" s="286" t="s">
        <v>59</v>
      </c>
      <c r="K197" s="298">
        <v>44593</v>
      </c>
      <c r="L197" s="298">
        <v>44925</v>
      </c>
      <c r="M197" s="298">
        <v>44652</v>
      </c>
      <c r="N197" s="299">
        <f t="shared" si="8"/>
        <v>0.17771084337349397</v>
      </c>
      <c r="O197" s="299">
        <f t="shared" ref="O197" si="11">+IF(N197&gt;=100,100,IF(N197&lt;=0,0,N197))</f>
        <v>0.17771084337349397</v>
      </c>
      <c r="P197" s="300">
        <v>0.6</v>
      </c>
      <c r="Q197" s="301">
        <v>0.45</v>
      </c>
      <c r="R197" s="301">
        <v>0.5</v>
      </c>
      <c r="S197" s="301">
        <v>0.55000000000000004</v>
      </c>
      <c r="T197" s="301">
        <v>0.6</v>
      </c>
      <c r="U197" s="301"/>
      <c r="V197" s="301"/>
      <c r="W197" s="300"/>
      <c r="X197" s="303"/>
      <c r="Y197" s="304"/>
      <c r="Z197" s="305"/>
      <c r="AA197" s="305"/>
      <c r="AB197" s="304"/>
      <c r="AC197" s="305"/>
      <c r="AD197" s="305"/>
      <c r="AE197" s="304"/>
      <c r="AF197" s="305"/>
      <c r="AG197" s="305"/>
      <c r="AH197" s="306"/>
    </row>
    <row r="198" spans="1:34" ht="93.75" customHeight="1" outlineLevel="1" x14ac:dyDescent="0.25">
      <c r="A198" s="794"/>
      <c r="B198" s="749" t="s">
        <v>51</v>
      </c>
      <c r="C198" s="749" t="s">
        <v>496</v>
      </c>
      <c r="D198" s="762"/>
      <c r="E198" s="770" t="s">
        <v>93</v>
      </c>
      <c r="F198" s="770" t="s">
        <v>497</v>
      </c>
      <c r="G198" s="11" t="s">
        <v>498</v>
      </c>
      <c r="H198" s="847" t="s">
        <v>473</v>
      </c>
      <c r="I198" s="286" t="s">
        <v>499</v>
      </c>
      <c r="J198" s="387">
        <v>35002816</v>
      </c>
      <c r="K198" s="298">
        <v>44593</v>
      </c>
      <c r="L198" s="298">
        <v>44925</v>
      </c>
      <c r="M198" s="298">
        <v>44652</v>
      </c>
      <c r="N198" s="299">
        <f t="shared" si="8"/>
        <v>0.17771084337349397</v>
      </c>
      <c r="O198" s="299">
        <f t="shared" si="7"/>
        <v>0.17771084337349397</v>
      </c>
      <c r="P198" s="300">
        <v>1</v>
      </c>
      <c r="Q198" s="301">
        <v>0.25</v>
      </c>
      <c r="R198" s="301">
        <v>0.5</v>
      </c>
      <c r="S198" s="301">
        <v>0.75</v>
      </c>
      <c r="T198" s="301">
        <v>1</v>
      </c>
      <c r="U198" s="301"/>
      <c r="V198" s="301"/>
      <c r="W198" s="300"/>
      <c r="X198" s="303"/>
      <c r="Y198" s="304"/>
      <c r="Z198" s="305"/>
      <c r="AA198" s="305"/>
      <c r="AB198" s="304"/>
      <c r="AC198" s="305"/>
      <c r="AD198" s="305"/>
      <c r="AE198" s="304"/>
      <c r="AF198" s="305"/>
      <c r="AG198" s="305"/>
      <c r="AH198" s="306"/>
    </row>
    <row r="199" spans="1:34" ht="75" customHeight="1" outlineLevel="1" x14ac:dyDescent="0.25">
      <c r="A199" s="794"/>
      <c r="B199" s="750"/>
      <c r="C199" s="750"/>
      <c r="D199" s="762"/>
      <c r="E199" s="771"/>
      <c r="F199" s="771"/>
      <c r="G199" s="11" t="s">
        <v>500</v>
      </c>
      <c r="H199" s="848"/>
      <c r="I199" s="286" t="s">
        <v>501</v>
      </c>
      <c r="J199" s="387">
        <v>6000000</v>
      </c>
      <c r="K199" s="298">
        <v>44593</v>
      </c>
      <c r="L199" s="298">
        <v>44925</v>
      </c>
      <c r="M199" s="298">
        <v>44652</v>
      </c>
      <c r="N199" s="299">
        <f t="shared" si="8"/>
        <v>0.17771084337349397</v>
      </c>
      <c r="O199" s="299">
        <f t="shared" si="7"/>
        <v>0.17771084337349397</v>
      </c>
      <c r="P199" s="300">
        <v>1</v>
      </c>
      <c r="Q199" s="301">
        <v>0.25</v>
      </c>
      <c r="R199" s="301">
        <v>0.5</v>
      </c>
      <c r="S199" s="301">
        <v>0.75</v>
      </c>
      <c r="T199" s="301">
        <v>1</v>
      </c>
      <c r="U199" s="301"/>
      <c r="V199" s="301"/>
      <c r="W199" s="300"/>
      <c r="X199" s="303"/>
      <c r="Y199" s="304"/>
      <c r="Z199" s="305"/>
      <c r="AA199" s="305"/>
      <c r="AB199" s="304"/>
      <c r="AC199" s="305"/>
      <c r="AD199" s="305"/>
      <c r="AE199" s="304"/>
      <c r="AF199" s="305"/>
      <c r="AG199" s="305"/>
      <c r="AH199" s="306"/>
    </row>
    <row r="200" spans="1:34" ht="75" customHeight="1" outlineLevel="1" x14ac:dyDescent="0.25">
      <c r="A200" s="794"/>
      <c r="B200" s="750"/>
      <c r="C200" s="750"/>
      <c r="D200" s="762"/>
      <c r="E200" s="771"/>
      <c r="F200" s="771"/>
      <c r="G200" s="11" t="s">
        <v>502</v>
      </c>
      <c r="H200" s="848"/>
      <c r="I200" s="286" t="s">
        <v>503</v>
      </c>
      <c r="J200" s="387">
        <v>13751760</v>
      </c>
      <c r="K200" s="298">
        <v>44593</v>
      </c>
      <c r="L200" s="298">
        <v>44925</v>
      </c>
      <c r="M200" s="298">
        <v>44652</v>
      </c>
      <c r="N200" s="299">
        <f t="shared" si="8"/>
        <v>0.17771084337349397</v>
      </c>
      <c r="O200" s="299">
        <f t="shared" si="7"/>
        <v>0.17771084337349397</v>
      </c>
      <c r="P200" s="300">
        <v>1</v>
      </c>
      <c r="Q200" s="301">
        <v>0.25</v>
      </c>
      <c r="R200" s="301">
        <v>0.5</v>
      </c>
      <c r="S200" s="301">
        <v>0.75</v>
      </c>
      <c r="T200" s="301">
        <v>1</v>
      </c>
      <c r="U200" s="301"/>
      <c r="V200" s="301"/>
      <c r="W200" s="300"/>
      <c r="X200" s="303"/>
      <c r="Y200" s="304"/>
      <c r="Z200" s="305"/>
      <c r="AA200" s="305"/>
      <c r="AB200" s="304"/>
      <c r="AC200" s="305"/>
      <c r="AD200" s="305"/>
      <c r="AE200" s="304"/>
      <c r="AF200" s="305"/>
      <c r="AG200" s="305"/>
      <c r="AH200" s="306"/>
    </row>
    <row r="201" spans="1:34" ht="46.5" customHeight="1" outlineLevel="1" x14ac:dyDescent="0.25">
      <c r="A201" s="794"/>
      <c r="B201" s="750"/>
      <c r="C201" s="750"/>
      <c r="D201" s="762"/>
      <c r="E201" s="771"/>
      <c r="F201" s="771"/>
      <c r="G201" s="11" t="s">
        <v>504</v>
      </c>
      <c r="H201" s="848"/>
      <c r="I201" s="286" t="s">
        <v>505</v>
      </c>
      <c r="J201" s="387">
        <v>916700</v>
      </c>
      <c r="K201" s="298">
        <v>44593</v>
      </c>
      <c r="L201" s="298">
        <v>44925</v>
      </c>
      <c r="M201" s="298">
        <v>44652</v>
      </c>
      <c r="N201" s="299">
        <f t="shared" si="8"/>
        <v>0.17771084337349397</v>
      </c>
      <c r="O201" s="299">
        <f t="shared" si="7"/>
        <v>0.17771084337349397</v>
      </c>
      <c r="P201" s="300">
        <v>1</v>
      </c>
      <c r="Q201" s="301">
        <v>0.25</v>
      </c>
      <c r="R201" s="301">
        <v>0.5</v>
      </c>
      <c r="S201" s="301">
        <v>0.75</v>
      </c>
      <c r="T201" s="301">
        <v>1</v>
      </c>
      <c r="U201" s="301"/>
      <c r="V201" s="301"/>
      <c r="W201" s="300"/>
      <c r="X201" s="303"/>
      <c r="Y201" s="304"/>
      <c r="Z201" s="305"/>
      <c r="AA201" s="305"/>
      <c r="AB201" s="304"/>
      <c r="AC201" s="305"/>
      <c r="AD201" s="305"/>
      <c r="AE201" s="304"/>
      <c r="AF201" s="305"/>
      <c r="AG201" s="305"/>
      <c r="AH201" s="306"/>
    </row>
    <row r="202" spans="1:34" ht="72" customHeight="1" outlineLevel="1" x14ac:dyDescent="0.25">
      <c r="A202" s="794"/>
      <c r="B202" s="750"/>
      <c r="C202" s="750"/>
      <c r="D202" s="762"/>
      <c r="E202" s="771"/>
      <c r="F202" s="771"/>
      <c r="G202" s="11" t="s">
        <v>506</v>
      </c>
      <c r="H202" s="848"/>
      <c r="I202" s="286" t="s">
        <v>507</v>
      </c>
      <c r="J202" s="387">
        <v>1145000</v>
      </c>
      <c r="K202" s="298">
        <v>44593</v>
      </c>
      <c r="L202" s="298">
        <v>44925</v>
      </c>
      <c r="M202" s="298">
        <v>44652</v>
      </c>
      <c r="N202" s="299">
        <f t="shared" si="8"/>
        <v>0.17771084337349397</v>
      </c>
      <c r="O202" s="299">
        <f t="shared" si="7"/>
        <v>0.17771084337349397</v>
      </c>
      <c r="P202" s="300">
        <v>1</v>
      </c>
      <c r="Q202" s="301">
        <v>0.25</v>
      </c>
      <c r="R202" s="301">
        <v>0.5</v>
      </c>
      <c r="S202" s="301">
        <v>0.75</v>
      </c>
      <c r="T202" s="301">
        <v>1</v>
      </c>
      <c r="U202" s="301"/>
      <c r="V202" s="301"/>
      <c r="W202" s="300"/>
      <c r="X202" s="303"/>
      <c r="Y202" s="304"/>
      <c r="Z202" s="305"/>
      <c r="AA202" s="305"/>
      <c r="AB202" s="304"/>
      <c r="AC202" s="305"/>
      <c r="AD202" s="305"/>
      <c r="AE202" s="304"/>
      <c r="AF202" s="305"/>
      <c r="AG202" s="305"/>
      <c r="AH202" s="306"/>
    </row>
    <row r="203" spans="1:34" ht="72" customHeight="1" outlineLevel="1" x14ac:dyDescent="0.25">
      <c r="A203" s="794"/>
      <c r="B203" s="750"/>
      <c r="C203" s="750"/>
      <c r="D203" s="762"/>
      <c r="E203" s="771"/>
      <c r="F203" s="771"/>
      <c r="G203" s="11" t="s">
        <v>508</v>
      </c>
      <c r="H203" s="848"/>
      <c r="I203" s="286" t="s">
        <v>509</v>
      </c>
      <c r="J203" s="387">
        <v>7167800</v>
      </c>
      <c r="K203" s="298">
        <v>44593</v>
      </c>
      <c r="L203" s="298">
        <v>44925</v>
      </c>
      <c r="M203" s="298">
        <v>44652</v>
      </c>
      <c r="N203" s="299">
        <f t="shared" si="8"/>
        <v>0.17771084337349397</v>
      </c>
      <c r="O203" s="299">
        <f t="shared" si="7"/>
        <v>0.17771084337349397</v>
      </c>
      <c r="P203" s="300">
        <v>1</v>
      </c>
      <c r="Q203" s="301">
        <v>0.25</v>
      </c>
      <c r="R203" s="301">
        <v>0.5</v>
      </c>
      <c r="S203" s="301">
        <v>0.75</v>
      </c>
      <c r="T203" s="301">
        <v>1</v>
      </c>
      <c r="U203" s="301"/>
      <c r="V203" s="301"/>
      <c r="W203" s="300"/>
      <c r="X203" s="303"/>
      <c r="Y203" s="304"/>
      <c r="Z203" s="305"/>
      <c r="AA203" s="305"/>
      <c r="AB203" s="304"/>
      <c r="AC203" s="305"/>
      <c r="AD203" s="305"/>
      <c r="AE203" s="304"/>
      <c r="AF203" s="305"/>
      <c r="AG203" s="305"/>
      <c r="AH203" s="306"/>
    </row>
    <row r="204" spans="1:34" ht="72" customHeight="1" outlineLevel="1" x14ac:dyDescent="0.25">
      <c r="A204" s="794"/>
      <c r="B204" s="750"/>
      <c r="C204" s="750"/>
      <c r="D204" s="762"/>
      <c r="E204" s="771"/>
      <c r="F204" s="771"/>
      <c r="G204" s="11" t="s">
        <v>510</v>
      </c>
      <c r="H204" s="848"/>
      <c r="I204" s="286" t="s">
        <v>511</v>
      </c>
      <c r="J204" s="387">
        <v>8795000</v>
      </c>
      <c r="K204" s="298">
        <v>44593</v>
      </c>
      <c r="L204" s="298">
        <v>44925</v>
      </c>
      <c r="M204" s="298">
        <v>44652</v>
      </c>
      <c r="N204" s="299">
        <f t="shared" si="8"/>
        <v>0.17771084337349397</v>
      </c>
      <c r="O204" s="299">
        <f t="shared" si="7"/>
        <v>0.17771084337349397</v>
      </c>
      <c r="P204" s="300">
        <v>1</v>
      </c>
      <c r="Q204" s="301">
        <v>0.25</v>
      </c>
      <c r="R204" s="301">
        <v>0.5</v>
      </c>
      <c r="S204" s="301">
        <v>0.75</v>
      </c>
      <c r="T204" s="301">
        <v>1</v>
      </c>
      <c r="U204" s="301"/>
      <c r="V204" s="301"/>
      <c r="W204" s="300"/>
      <c r="X204" s="303"/>
      <c r="Y204" s="304"/>
      <c r="Z204" s="305"/>
      <c r="AA204" s="305"/>
      <c r="AB204" s="304"/>
      <c r="AC204" s="305"/>
      <c r="AD204" s="305"/>
      <c r="AE204" s="304"/>
      <c r="AF204" s="305"/>
      <c r="AG204" s="305"/>
      <c r="AH204" s="306"/>
    </row>
    <row r="205" spans="1:34" ht="75" customHeight="1" outlineLevel="1" x14ac:dyDescent="0.25">
      <c r="A205" s="794"/>
      <c r="B205" s="750"/>
      <c r="C205" s="750"/>
      <c r="D205" s="762"/>
      <c r="E205" s="771"/>
      <c r="F205" s="771"/>
      <c r="G205" s="11" t="s">
        <v>512</v>
      </c>
      <c r="H205" s="848"/>
      <c r="I205" s="286" t="s">
        <v>513</v>
      </c>
      <c r="J205" s="387">
        <v>8937900</v>
      </c>
      <c r="K205" s="298">
        <v>44593</v>
      </c>
      <c r="L205" s="298">
        <v>44925</v>
      </c>
      <c r="M205" s="298">
        <v>44652</v>
      </c>
      <c r="N205" s="299">
        <f t="shared" si="8"/>
        <v>0.17771084337349397</v>
      </c>
      <c r="O205" s="299">
        <f t="shared" ref="O205:O251" si="12">+IF(N205&gt;=100,100,IF(N205&lt;=0,0,N205))</f>
        <v>0.17771084337349397</v>
      </c>
      <c r="P205" s="300">
        <v>1</v>
      </c>
      <c r="Q205" s="301">
        <v>0.25</v>
      </c>
      <c r="R205" s="301">
        <v>0.5</v>
      </c>
      <c r="S205" s="301">
        <v>0.75</v>
      </c>
      <c r="T205" s="301">
        <v>1</v>
      </c>
      <c r="U205" s="301"/>
      <c r="V205" s="301"/>
      <c r="W205" s="300"/>
      <c r="X205" s="303"/>
      <c r="Y205" s="304"/>
      <c r="Z205" s="305"/>
      <c r="AA205" s="305"/>
      <c r="AB205" s="304"/>
      <c r="AC205" s="305"/>
      <c r="AD205" s="305"/>
      <c r="AE205" s="304"/>
      <c r="AF205" s="305"/>
      <c r="AG205" s="305"/>
      <c r="AH205" s="306"/>
    </row>
    <row r="206" spans="1:34" ht="46.5" customHeight="1" outlineLevel="1" x14ac:dyDescent="0.25">
      <c r="A206" s="794"/>
      <c r="B206" s="750"/>
      <c r="C206" s="750"/>
      <c r="D206" s="762"/>
      <c r="E206" s="771"/>
      <c r="F206" s="771"/>
      <c r="G206" s="11" t="s">
        <v>514</v>
      </c>
      <c r="H206" s="848"/>
      <c r="I206" s="286" t="s">
        <v>515</v>
      </c>
      <c r="J206" s="387">
        <v>6000000</v>
      </c>
      <c r="K206" s="298">
        <v>44593</v>
      </c>
      <c r="L206" s="298">
        <v>44925</v>
      </c>
      <c r="M206" s="298">
        <v>44652</v>
      </c>
      <c r="N206" s="299">
        <f t="shared" si="8"/>
        <v>0.17771084337349397</v>
      </c>
      <c r="O206" s="299">
        <f t="shared" si="12"/>
        <v>0.17771084337349397</v>
      </c>
      <c r="P206" s="300">
        <v>1</v>
      </c>
      <c r="Q206" s="301">
        <v>0.25</v>
      </c>
      <c r="R206" s="301">
        <v>0.5</v>
      </c>
      <c r="S206" s="301">
        <v>0.75</v>
      </c>
      <c r="T206" s="301">
        <v>1</v>
      </c>
      <c r="U206" s="301"/>
      <c r="V206" s="301"/>
      <c r="W206" s="300"/>
      <c r="X206" s="303"/>
      <c r="Y206" s="304"/>
      <c r="Z206" s="305"/>
      <c r="AA206" s="305"/>
      <c r="AB206" s="304"/>
      <c r="AC206" s="305"/>
      <c r="AD206" s="305"/>
      <c r="AE206" s="304"/>
      <c r="AF206" s="305"/>
      <c r="AG206" s="305"/>
      <c r="AH206" s="306"/>
    </row>
    <row r="207" spans="1:34" ht="56.25" customHeight="1" outlineLevel="1" x14ac:dyDescent="0.25">
      <c r="A207" s="794"/>
      <c r="B207" s="750"/>
      <c r="C207" s="750"/>
      <c r="D207" s="762"/>
      <c r="E207" s="771"/>
      <c r="F207" s="771"/>
      <c r="G207" s="11" t="s">
        <v>516</v>
      </c>
      <c r="H207" s="848"/>
      <c r="I207" s="286" t="s">
        <v>249</v>
      </c>
      <c r="J207" s="387">
        <v>550000</v>
      </c>
      <c r="K207" s="298">
        <v>44593</v>
      </c>
      <c r="L207" s="298">
        <v>44925</v>
      </c>
      <c r="M207" s="298">
        <v>44652</v>
      </c>
      <c r="N207" s="299">
        <f t="shared" si="8"/>
        <v>0.17771084337349397</v>
      </c>
      <c r="O207" s="299">
        <f t="shared" si="12"/>
        <v>0.17771084337349397</v>
      </c>
      <c r="P207" s="300">
        <v>1</v>
      </c>
      <c r="Q207" s="301">
        <v>0.25</v>
      </c>
      <c r="R207" s="301">
        <v>0.5</v>
      </c>
      <c r="S207" s="301">
        <v>0.75</v>
      </c>
      <c r="T207" s="301">
        <v>1</v>
      </c>
      <c r="U207" s="301"/>
      <c r="V207" s="301"/>
      <c r="W207" s="300"/>
      <c r="X207" s="303"/>
      <c r="Y207" s="304"/>
      <c r="Z207" s="305"/>
      <c r="AA207" s="305"/>
      <c r="AB207" s="304"/>
      <c r="AC207" s="305"/>
      <c r="AD207" s="305"/>
      <c r="AE207" s="304"/>
      <c r="AF207" s="305"/>
      <c r="AG207" s="305"/>
      <c r="AH207" s="306"/>
    </row>
    <row r="208" spans="1:34" ht="75" customHeight="1" outlineLevel="1" x14ac:dyDescent="0.25">
      <c r="A208" s="794"/>
      <c r="B208" s="750"/>
      <c r="C208" s="750"/>
      <c r="D208" s="762"/>
      <c r="E208" s="771"/>
      <c r="F208" s="771"/>
      <c r="G208" s="11" t="s">
        <v>517</v>
      </c>
      <c r="H208" s="848"/>
      <c r="I208" s="286" t="s">
        <v>505</v>
      </c>
      <c r="J208" s="387">
        <v>401390</v>
      </c>
      <c r="K208" s="298">
        <v>44593</v>
      </c>
      <c r="L208" s="298">
        <v>44925</v>
      </c>
      <c r="M208" s="298">
        <v>44652</v>
      </c>
      <c r="N208" s="299">
        <f t="shared" si="8"/>
        <v>0.17771084337349397</v>
      </c>
      <c r="O208" s="299">
        <f t="shared" si="12"/>
        <v>0.17771084337349397</v>
      </c>
      <c r="P208" s="300">
        <v>1</v>
      </c>
      <c r="Q208" s="301">
        <v>0.25</v>
      </c>
      <c r="R208" s="301">
        <v>0.5</v>
      </c>
      <c r="S208" s="301">
        <v>0.75</v>
      </c>
      <c r="T208" s="301">
        <v>1</v>
      </c>
      <c r="U208" s="301"/>
      <c r="V208" s="301"/>
      <c r="W208" s="300"/>
      <c r="X208" s="303"/>
      <c r="Y208" s="304"/>
      <c r="Z208" s="305"/>
      <c r="AA208" s="305"/>
      <c r="AB208" s="304"/>
      <c r="AC208" s="305"/>
      <c r="AD208" s="305"/>
      <c r="AE208" s="304"/>
      <c r="AF208" s="305"/>
      <c r="AG208" s="305"/>
      <c r="AH208" s="306"/>
    </row>
    <row r="209" spans="1:34" ht="93.75" customHeight="1" outlineLevel="1" x14ac:dyDescent="0.25">
      <c r="A209" s="794"/>
      <c r="B209" s="750"/>
      <c r="C209" s="750"/>
      <c r="D209" s="762"/>
      <c r="E209" s="771"/>
      <c r="F209" s="771"/>
      <c r="G209" s="11" t="s">
        <v>518</v>
      </c>
      <c r="H209" s="848"/>
      <c r="I209" s="286" t="s">
        <v>519</v>
      </c>
      <c r="J209" s="387">
        <v>3667136</v>
      </c>
      <c r="K209" s="298">
        <v>44593</v>
      </c>
      <c r="L209" s="298">
        <v>44925</v>
      </c>
      <c r="M209" s="298">
        <v>44652</v>
      </c>
      <c r="N209" s="299">
        <f t="shared" si="8"/>
        <v>0.17771084337349397</v>
      </c>
      <c r="O209" s="299">
        <f t="shared" si="12"/>
        <v>0.17771084337349397</v>
      </c>
      <c r="P209" s="300">
        <v>1</v>
      </c>
      <c r="Q209" s="301">
        <v>0.25</v>
      </c>
      <c r="R209" s="301">
        <v>0.5</v>
      </c>
      <c r="S209" s="301">
        <v>0.75</v>
      </c>
      <c r="T209" s="301">
        <v>1</v>
      </c>
      <c r="U209" s="301"/>
      <c r="V209" s="301"/>
      <c r="W209" s="300"/>
      <c r="X209" s="303"/>
      <c r="Y209" s="304"/>
      <c r="Z209" s="305"/>
      <c r="AA209" s="305"/>
      <c r="AB209" s="304"/>
      <c r="AC209" s="305"/>
      <c r="AD209" s="305"/>
      <c r="AE209" s="304"/>
      <c r="AF209" s="305"/>
      <c r="AG209" s="305"/>
      <c r="AH209" s="306"/>
    </row>
    <row r="210" spans="1:34" ht="56.25" customHeight="1" outlineLevel="1" x14ac:dyDescent="0.25">
      <c r="A210" s="794"/>
      <c r="B210" s="750"/>
      <c r="C210" s="750"/>
      <c r="D210" s="762"/>
      <c r="E210" s="771"/>
      <c r="F210" s="771"/>
      <c r="G210" s="11" t="s">
        <v>520</v>
      </c>
      <c r="H210" s="848"/>
      <c r="I210" s="286" t="s">
        <v>521</v>
      </c>
      <c r="J210" s="387">
        <v>25000000</v>
      </c>
      <c r="K210" s="298">
        <v>44593</v>
      </c>
      <c r="L210" s="298">
        <v>44925</v>
      </c>
      <c r="M210" s="298">
        <v>44652</v>
      </c>
      <c r="N210" s="299">
        <f t="shared" si="8"/>
        <v>0.17771084337349397</v>
      </c>
      <c r="O210" s="299">
        <f t="shared" si="12"/>
        <v>0.17771084337349397</v>
      </c>
      <c r="P210" s="300">
        <v>1</v>
      </c>
      <c r="Q210" s="301">
        <v>0.25</v>
      </c>
      <c r="R210" s="301">
        <v>0.5</v>
      </c>
      <c r="S210" s="301">
        <v>0.75</v>
      </c>
      <c r="T210" s="301">
        <v>1</v>
      </c>
      <c r="U210" s="301"/>
      <c r="V210" s="301"/>
      <c r="W210" s="300"/>
      <c r="X210" s="303"/>
      <c r="Y210" s="304"/>
      <c r="Z210" s="305"/>
      <c r="AA210" s="305"/>
      <c r="AB210" s="304"/>
      <c r="AC210" s="305"/>
      <c r="AD210" s="305"/>
      <c r="AE210" s="304"/>
      <c r="AF210" s="305"/>
      <c r="AG210" s="305"/>
      <c r="AH210" s="306"/>
    </row>
    <row r="211" spans="1:34" ht="56.25" customHeight="1" outlineLevel="1" x14ac:dyDescent="0.25">
      <c r="A211" s="794"/>
      <c r="B211" s="751"/>
      <c r="C211" s="751"/>
      <c r="D211" s="762"/>
      <c r="E211" s="772"/>
      <c r="F211" s="772"/>
      <c r="G211" s="11" t="s">
        <v>522</v>
      </c>
      <c r="H211" s="849"/>
      <c r="I211" s="286" t="s">
        <v>523</v>
      </c>
      <c r="J211" s="387">
        <v>4200000</v>
      </c>
      <c r="K211" s="298">
        <v>44593</v>
      </c>
      <c r="L211" s="298">
        <v>44925</v>
      </c>
      <c r="M211" s="298">
        <v>44652</v>
      </c>
      <c r="N211" s="299">
        <f t="shared" si="8"/>
        <v>0.17771084337349397</v>
      </c>
      <c r="O211" s="299">
        <f t="shared" si="12"/>
        <v>0.17771084337349397</v>
      </c>
      <c r="P211" s="300">
        <v>1</v>
      </c>
      <c r="Q211" s="301">
        <v>0.25</v>
      </c>
      <c r="R211" s="301">
        <v>0.5</v>
      </c>
      <c r="S211" s="301">
        <v>0.75</v>
      </c>
      <c r="T211" s="301">
        <v>1</v>
      </c>
      <c r="U211" s="301"/>
      <c r="V211" s="301"/>
      <c r="W211" s="300"/>
      <c r="X211" s="303"/>
      <c r="Y211" s="304"/>
      <c r="Z211" s="305"/>
      <c r="AA211" s="305"/>
      <c r="AB211" s="304"/>
      <c r="AC211" s="305"/>
      <c r="AD211" s="305"/>
      <c r="AE211" s="304"/>
      <c r="AF211" s="305"/>
      <c r="AG211" s="305"/>
      <c r="AH211" s="306"/>
    </row>
    <row r="212" spans="1:34" ht="131.25" customHeight="1" outlineLevel="1" x14ac:dyDescent="0.25">
      <c r="A212" s="794"/>
      <c r="B212" s="749" t="s">
        <v>524</v>
      </c>
      <c r="C212" s="749" t="s">
        <v>525</v>
      </c>
      <c r="D212" s="762"/>
      <c r="E212" s="770" t="s">
        <v>526</v>
      </c>
      <c r="F212" s="770" t="s">
        <v>527</v>
      </c>
      <c r="G212" s="11" t="s">
        <v>528</v>
      </c>
      <c r="H212" s="847" t="s">
        <v>529</v>
      </c>
      <c r="I212" s="286" t="s">
        <v>530</v>
      </c>
      <c r="J212" s="387">
        <v>7500000</v>
      </c>
      <c r="K212" s="298">
        <v>44593</v>
      </c>
      <c r="L212" s="298">
        <v>44925</v>
      </c>
      <c r="M212" s="298">
        <v>44652</v>
      </c>
      <c r="N212" s="299">
        <f t="shared" si="8"/>
        <v>0.17771084337349397</v>
      </c>
      <c r="O212" s="299">
        <f t="shared" si="12"/>
        <v>0.17771084337349397</v>
      </c>
      <c r="P212" s="300">
        <v>1</v>
      </c>
      <c r="Q212" s="301">
        <v>0.25</v>
      </c>
      <c r="R212" s="301">
        <v>0.5</v>
      </c>
      <c r="S212" s="301">
        <v>0.75</v>
      </c>
      <c r="T212" s="301">
        <v>1</v>
      </c>
      <c r="U212" s="301"/>
      <c r="V212" s="301"/>
      <c r="W212" s="300"/>
      <c r="X212" s="303"/>
      <c r="Y212" s="304"/>
      <c r="Z212" s="305"/>
      <c r="AA212" s="305"/>
      <c r="AB212" s="304"/>
      <c r="AC212" s="305"/>
      <c r="AD212" s="305"/>
      <c r="AE212" s="304"/>
      <c r="AF212" s="305"/>
      <c r="AG212" s="305"/>
      <c r="AH212" s="306"/>
    </row>
    <row r="213" spans="1:34" ht="46.5" customHeight="1" outlineLevel="1" x14ac:dyDescent="0.25">
      <c r="A213" s="794"/>
      <c r="B213" s="750"/>
      <c r="C213" s="750"/>
      <c r="D213" s="762"/>
      <c r="E213" s="771"/>
      <c r="F213" s="771"/>
      <c r="G213" s="11" t="s">
        <v>531</v>
      </c>
      <c r="H213" s="848"/>
      <c r="I213" s="286" t="s">
        <v>532</v>
      </c>
      <c r="J213" s="387">
        <v>10256910</v>
      </c>
      <c r="K213" s="298">
        <v>44593</v>
      </c>
      <c r="L213" s="298">
        <v>44925</v>
      </c>
      <c r="M213" s="298">
        <v>44652</v>
      </c>
      <c r="N213" s="299">
        <f t="shared" si="8"/>
        <v>0.17771084337349397</v>
      </c>
      <c r="O213" s="299">
        <f t="shared" si="12"/>
        <v>0.17771084337349397</v>
      </c>
      <c r="P213" s="300">
        <v>1</v>
      </c>
      <c r="Q213" s="301">
        <v>0.25</v>
      </c>
      <c r="R213" s="301">
        <v>0.5</v>
      </c>
      <c r="S213" s="301">
        <v>0.75</v>
      </c>
      <c r="T213" s="301">
        <v>1</v>
      </c>
      <c r="U213" s="301"/>
      <c r="V213" s="301"/>
      <c r="W213" s="300"/>
      <c r="X213" s="303"/>
      <c r="Y213" s="304"/>
      <c r="Z213" s="305"/>
      <c r="AA213" s="305"/>
      <c r="AB213" s="304"/>
      <c r="AC213" s="305"/>
      <c r="AD213" s="305"/>
      <c r="AE213" s="304"/>
      <c r="AF213" s="305"/>
      <c r="AG213" s="305"/>
      <c r="AH213" s="306"/>
    </row>
    <row r="214" spans="1:34" ht="56.25" customHeight="1" outlineLevel="1" x14ac:dyDescent="0.25">
      <c r="A214" s="794"/>
      <c r="B214" s="750"/>
      <c r="C214" s="750"/>
      <c r="D214" s="762"/>
      <c r="E214" s="771"/>
      <c r="F214" s="771"/>
      <c r="G214" s="11" t="s">
        <v>533</v>
      </c>
      <c r="H214" s="848"/>
      <c r="I214" s="286" t="s">
        <v>534</v>
      </c>
      <c r="J214" s="387">
        <v>1188000</v>
      </c>
      <c r="K214" s="298">
        <v>44593</v>
      </c>
      <c r="L214" s="298">
        <v>44925</v>
      </c>
      <c r="M214" s="298">
        <v>44652</v>
      </c>
      <c r="N214" s="299">
        <f t="shared" si="8"/>
        <v>0.17771084337349397</v>
      </c>
      <c r="O214" s="299">
        <f t="shared" si="12"/>
        <v>0.17771084337349397</v>
      </c>
      <c r="P214" s="300">
        <v>1</v>
      </c>
      <c r="Q214" s="301">
        <v>0.25</v>
      </c>
      <c r="R214" s="301">
        <v>0.5</v>
      </c>
      <c r="S214" s="301">
        <v>0.75</v>
      </c>
      <c r="T214" s="301">
        <v>1</v>
      </c>
      <c r="U214" s="301"/>
      <c r="V214" s="301"/>
      <c r="W214" s="300"/>
      <c r="X214" s="303"/>
      <c r="Y214" s="304"/>
      <c r="Z214" s="305"/>
      <c r="AA214" s="305"/>
      <c r="AB214" s="304"/>
      <c r="AC214" s="305"/>
      <c r="AD214" s="305"/>
      <c r="AE214" s="304"/>
      <c r="AF214" s="305"/>
      <c r="AG214" s="305"/>
      <c r="AH214" s="306"/>
    </row>
    <row r="215" spans="1:34" ht="112.5" customHeight="1" outlineLevel="1" x14ac:dyDescent="0.25">
      <c r="A215" s="794"/>
      <c r="B215" s="750"/>
      <c r="C215" s="750"/>
      <c r="D215" s="762"/>
      <c r="E215" s="771"/>
      <c r="F215" s="771"/>
      <c r="G215" s="11" t="s">
        <v>535</v>
      </c>
      <c r="H215" s="848"/>
      <c r="I215" s="286" t="s">
        <v>536</v>
      </c>
      <c r="J215" s="387">
        <v>30200000</v>
      </c>
      <c r="K215" s="298">
        <v>44593</v>
      </c>
      <c r="L215" s="298">
        <v>44925</v>
      </c>
      <c r="M215" s="298">
        <v>44652</v>
      </c>
      <c r="N215" s="299">
        <f t="shared" si="8"/>
        <v>0.17771084337349397</v>
      </c>
      <c r="O215" s="299">
        <f t="shared" si="12"/>
        <v>0.17771084337349397</v>
      </c>
      <c r="P215" s="300">
        <v>1</v>
      </c>
      <c r="Q215" s="301">
        <v>0.25</v>
      </c>
      <c r="R215" s="301">
        <v>0.5</v>
      </c>
      <c r="S215" s="301">
        <v>0.75</v>
      </c>
      <c r="T215" s="301">
        <v>1</v>
      </c>
      <c r="U215" s="301"/>
      <c r="V215" s="301"/>
      <c r="W215" s="300"/>
      <c r="X215" s="303"/>
      <c r="Y215" s="304"/>
      <c r="Z215" s="305"/>
      <c r="AA215" s="305"/>
      <c r="AB215" s="304"/>
      <c r="AC215" s="305"/>
      <c r="AD215" s="305"/>
      <c r="AE215" s="304"/>
      <c r="AF215" s="305"/>
      <c r="AG215" s="305"/>
      <c r="AH215" s="306"/>
    </row>
    <row r="216" spans="1:34" ht="56.25" customHeight="1" outlineLevel="1" x14ac:dyDescent="0.25">
      <c r="A216" s="794"/>
      <c r="B216" s="750"/>
      <c r="C216" s="750"/>
      <c r="D216" s="762"/>
      <c r="E216" s="771"/>
      <c r="F216" s="771"/>
      <c r="G216" s="11" t="s">
        <v>537</v>
      </c>
      <c r="H216" s="848"/>
      <c r="I216" s="286" t="s">
        <v>538</v>
      </c>
      <c r="J216" s="387">
        <v>94870000</v>
      </c>
      <c r="K216" s="298">
        <v>44593</v>
      </c>
      <c r="L216" s="298">
        <v>44925</v>
      </c>
      <c r="M216" s="298">
        <v>44652</v>
      </c>
      <c r="N216" s="299">
        <f t="shared" si="8"/>
        <v>0.17771084337349397</v>
      </c>
      <c r="O216" s="299">
        <f t="shared" si="12"/>
        <v>0.17771084337349397</v>
      </c>
      <c r="P216" s="300">
        <v>1</v>
      </c>
      <c r="Q216" s="301">
        <v>0.25</v>
      </c>
      <c r="R216" s="301">
        <v>0.5</v>
      </c>
      <c r="S216" s="301">
        <v>0.75</v>
      </c>
      <c r="T216" s="301">
        <v>1</v>
      </c>
      <c r="U216" s="301"/>
      <c r="V216" s="301"/>
      <c r="W216" s="300"/>
      <c r="X216" s="303"/>
      <c r="Y216" s="304"/>
      <c r="Z216" s="305"/>
      <c r="AA216" s="305"/>
      <c r="AB216" s="304"/>
      <c r="AC216" s="305"/>
      <c r="AD216" s="305"/>
      <c r="AE216" s="304"/>
      <c r="AF216" s="305"/>
      <c r="AG216" s="305"/>
      <c r="AH216" s="306"/>
    </row>
    <row r="217" spans="1:34" ht="56.25" customHeight="1" outlineLevel="1" x14ac:dyDescent="0.25">
      <c r="A217" s="794"/>
      <c r="B217" s="750"/>
      <c r="C217" s="750"/>
      <c r="D217" s="762"/>
      <c r="E217" s="771"/>
      <c r="F217" s="771"/>
      <c r="G217" s="11" t="s">
        <v>539</v>
      </c>
      <c r="H217" s="848"/>
      <c r="I217" s="286" t="s">
        <v>540</v>
      </c>
      <c r="J217" s="387">
        <v>14896000</v>
      </c>
      <c r="K217" s="298">
        <v>44593</v>
      </c>
      <c r="L217" s="298">
        <v>44925</v>
      </c>
      <c r="M217" s="298">
        <v>44652</v>
      </c>
      <c r="N217" s="299">
        <f t="shared" si="8"/>
        <v>0.17771084337349397</v>
      </c>
      <c r="O217" s="299">
        <f t="shared" si="12"/>
        <v>0.17771084337349397</v>
      </c>
      <c r="P217" s="300">
        <v>1</v>
      </c>
      <c r="Q217" s="301">
        <v>0.25</v>
      </c>
      <c r="R217" s="301">
        <v>0.5</v>
      </c>
      <c r="S217" s="301">
        <v>0.75</v>
      </c>
      <c r="T217" s="301">
        <v>1</v>
      </c>
      <c r="U217" s="301"/>
      <c r="V217" s="301"/>
      <c r="W217" s="300"/>
      <c r="X217" s="303"/>
      <c r="Y217" s="304"/>
      <c r="Z217" s="305"/>
      <c r="AA217" s="305"/>
      <c r="AB217" s="304"/>
      <c r="AC217" s="305"/>
      <c r="AD217" s="305"/>
      <c r="AE217" s="304"/>
      <c r="AF217" s="305"/>
      <c r="AG217" s="305"/>
      <c r="AH217" s="306"/>
    </row>
    <row r="218" spans="1:34" ht="56.25" customHeight="1" outlineLevel="1" x14ac:dyDescent="0.25">
      <c r="A218" s="794"/>
      <c r="B218" s="750"/>
      <c r="C218" s="750"/>
      <c r="D218" s="762"/>
      <c r="E218" s="771"/>
      <c r="F218" s="771"/>
      <c r="G218" s="11" t="s">
        <v>541</v>
      </c>
      <c r="H218" s="848"/>
      <c r="I218" s="286" t="s">
        <v>542</v>
      </c>
      <c r="J218" s="387">
        <v>45786000</v>
      </c>
      <c r="K218" s="298">
        <v>44593</v>
      </c>
      <c r="L218" s="298">
        <v>44925</v>
      </c>
      <c r="M218" s="298">
        <v>44652</v>
      </c>
      <c r="N218" s="299">
        <f t="shared" si="8"/>
        <v>0.17771084337349397</v>
      </c>
      <c r="O218" s="299">
        <f t="shared" si="12"/>
        <v>0.17771084337349397</v>
      </c>
      <c r="P218" s="300">
        <v>1</v>
      </c>
      <c r="Q218" s="301">
        <v>0.25</v>
      </c>
      <c r="R218" s="301">
        <v>0.5</v>
      </c>
      <c r="S218" s="301">
        <v>0.75</v>
      </c>
      <c r="T218" s="301">
        <v>1</v>
      </c>
      <c r="U218" s="301"/>
      <c r="V218" s="301"/>
      <c r="W218" s="300"/>
      <c r="X218" s="303"/>
      <c r="Y218" s="304"/>
      <c r="Z218" s="305"/>
      <c r="AA218" s="305"/>
      <c r="AB218" s="304"/>
      <c r="AC218" s="305"/>
      <c r="AD218" s="305"/>
      <c r="AE218" s="304"/>
      <c r="AF218" s="305"/>
      <c r="AG218" s="305"/>
      <c r="AH218" s="306"/>
    </row>
    <row r="219" spans="1:34" ht="46.5" customHeight="1" outlineLevel="1" x14ac:dyDescent="0.25">
      <c r="A219" s="794"/>
      <c r="B219" s="750"/>
      <c r="C219" s="750"/>
      <c r="D219" s="762"/>
      <c r="E219" s="771"/>
      <c r="F219" s="771"/>
      <c r="G219" s="11" t="s">
        <v>543</v>
      </c>
      <c r="H219" s="848"/>
      <c r="I219" s="286" t="s">
        <v>544</v>
      </c>
      <c r="J219" s="387">
        <v>5729900</v>
      </c>
      <c r="K219" s="298">
        <v>44593</v>
      </c>
      <c r="L219" s="298">
        <v>44925</v>
      </c>
      <c r="M219" s="298">
        <v>44652</v>
      </c>
      <c r="N219" s="299">
        <f t="shared" si="8"/>
        <v>0.17771084337349397</v>
      </c>
      <c r="O219" s="299">
        <f t="shared" si="12"/>
        <v>0.17771084337349397</v>
      </c>
      <c r="P219" s="300">
        <v>1</v>
      </c>
      <c r="Q219" s="301">
        <v>0.25</v>
      </c>
      <c r="R219" s="301">
        <v>0.5</v>
      </c>
      <c r="S219" s="301">
        <v>0.75</v>
      </c>
      <c r="T219" s="301">
        <v>1</v>
      </c>
      <c r="U219" s="301"/>
      <c r="V219" s="301"/>
      <c r="W219" s="300"/>
      <c r="X219" s="303"/>
      <c r="Y219" s="304"/>
      <c r="Z219" s="305"/>
      <c r="AA219" s="305"/>
      <c r="AB219" s="304"/>
      <c r="AC219" s="305"/>
      <c r="AD219" s="305"/>
      <c r="AE219" s="304"/>
      <c r="AF219" s="305"/>
      <c r="AG219" s="305"/>
      <c r="AH219" s="306"/>
    </row>
    <row r="220" spans="1:34" ht="46.5" customHeight="1" outlineLevel="1" x14ac:dyDescent="0.25">
      <c r="A220" s="794"/>
      <c r="B220" s="751"/>
      <c r="C220" s="751"/>
      <c r="D220" s="763"/>
      <c r="E220" s="772"/>
      <c r="F220" s="772"/>
      <c r="G220" s="11" t="s">
        <v>545</v>
      </c>
      <c r="H220" s="849"/>
      <c r="I220" s="286" t="s">
        <v>546</v>
      </c>
      <c r="J220" s="387">
        <v>1146000</v>
      </c>
      <c r="K220" s="298">
        <v>44593</v>
      </c>
      <c r="L220" s="298">
        <v>44925</v>
      </c>
      <c r="M220" s="298">
        <v>44652</v>
      </c>
      <c r="N220" s="299">
        <f t="shared" si="8"/>
        <v>0.17771084337349397</v>
      </c>
      <c r="O220" s="299">
        <f t="shared" si="12"/>
        <v>0.17771084337349397</v>
      </c>
      <c r="P220" s="300">
        <v>1</v>
      </c>
      <c r="Q220" s="301">
        <v>0.25</v>
      </c>
      <c r="R220" s="301">
        <v>0.5</v>
      </c>
      <c r="S220" s="301">
        <v>0.75</v>
      </c>
      <c r="T220" s="301">
        <v>1</v>
      </c>
      <c r="U220" s="301"/>
      <c r="V220" s="301"/>
      <c r="W220" s="300"/>
      <c r="X220" s="303"/>
      <c r="Y220" s="304"/>
      <c r="Z220" s="305"/>
      <c r="AA220" s="305"/>
      <c r="AB220" s="304"/>
      <c r="AC220" s="305"/>
      <c r="AD220" s="305"/>
      <c r="AE220" s="304"/>
      <c r="AF220" s="305"/>
      <c r="AG220" s="305"/>
      <c r="AH220" s="306"/>
    </row>
    <row r="221" spans="1:34" ht="59.25" customHeight="1" outlineLevel="1" x14ac:dyDescent="0.25">
      <c r="A221" s="794"/>
      <c r="B221" s="769" t="s">
        <v>51</v>
      </c>
      <c r="C221" s="769" t="s">
        <v>547</v>
      </c>
      <c r="D221" s="892" t="s">
        <v>2</v>
      </c>
      <c r="E221" s="799" t="s">
        <v>548</v>
      </c>
      <c r="F221" s="799" t="s">
        <v>549</v>
      </c>
      <c r="G221" s="349" t="s">
        <v>550</v>
      </c>
      <c r="H221" s="838" t="s">
        <v>551</v>
      </c>
      <c r="I221" s="292" t="s">
        <v>152</v>
      </c>
      <c r="J221" s="381">
        <v>366000000</v>
      </c>
      <c r="K221" s="298">
        <v>44593</v>
      </c>
      <c r="L221" s="298">
        <v>44925</v>
      </c>
      <c r="M221" s="298">
        <v>44652</v>
      </c>
      <c r="N221" s="299">
        <f t="shared" si="8"/>
        <v>0.17771084337349397</v>
      </c>
      <c r="O221" s="299">
        <f t="shared" si="12"/>
        <v>0.17771084337349397</v>
      </c>
      <c r="P221" s="300">
        <v>1</v>
      </c>
      <c r="Q221" s="301">
        <v>0.25</v>
      </c>
      <c r="R221" s="301">
        <v>0.5</v>
      </c>
      <c r="S221" s="301">
        <v>0.75</v>
      </c>
      <c r="T221" s="301">
        <v>1</v>
      </c>
      <c r="U221" s="301"/>
      <c r="V221" s="301"/>
      <c r="W221" s="300"/>
      <c r="X221" s="303"/>
      <c r="Y221" s="304"/>
      <c r="Z221" s="305"/>
      <c r="AA221" s="305"/>
      <c r="AB221" s="304"/>
      <c r="AC221" s="305"/>
      <c r="AD221" s="305"/>
      <c r="AE221" s="304"/>
      <c r="AF221" s="305"/>
      <c r="AG221" s="305"/>
      <c r="AH221" s="306"/>
    </row>
    <row r="222" spans="1:34" ht="72" customHeight="1" outlineLevel="1" x14ac:dyDescent="0.25">
      <c r="A222" s="794"/>
      <c r="B222" s="769"/>
      <c r="C222" s="769"/>
      <c r="D222" s="892"/>
      <c r="E222" s="800"/>
      <c r="F222" s="800"/>
      <c r="G222" s="349" t="s">
        <v>552</v>
      </c>
      <c r="H222" s="839"/>
      <c r="I222" s="286" t="s">
        <v>553</v>
      </c>
      <c r="J222" s="381">
        <v>16000000</v>
      </c>
      <c r="K222" s="298">
        <v>44593</v>
      </c>
      <c r="L222" s="298">
        <v>44925</v>
      </c>
      <c r="M222" s="298">
        <v>44652</v>
      </c>
      <c r="N222" s="299">
        <f t="shared" si="8"/>
        <v>0.17771084337349397</v>
      </c>
      <c r="O222" s="299">
        <f t="shared" si="12"/>
        <v>0.17771084337349397</v>
      </c>
      <c r="P222" s="300">
        <v>1</v>
      </c>
      <c r="Q222" s="301">
        <v>0.25</v>
      </c>
      <c r="R222" s="301">
        <v>0.5</v>
      </c>
      <c r="S222" s="301">
        <v>0.75</v>
      </c>
      <c r="T222" s="301">
        <v>1</v>
      </c>
      <c r="U222" s="301"/>
      <c r="V222" s="301"/>
      <c r="W222" s="300"/>
      <c r="X222" s="303"/>
      <c r="Y222" s="304"/>
      <c r="Z222" s="305"/>
      <c r="AA222" s="305"/>
      <c r="AB222" s="304"/>
      <c r="AC222" s="305"/>
      <c r="AD222" s="305"/>
      <c r="AE222" s="304"/>
      <c r="AF222" s="305"/>
      <c r="AG222" s="305"/>
      <c r="AH222" s="306"/>
    </row>
    <row r="223" spans="1:34" ht="56.25" customHeight="1" outlineLevel="1" x14ac:dyDescent="0.25">
      <c r="A223" s="794"/>
      <c r="B223" s="769"/>
      <c r="C223" s="769"/>
      <c r="D223" s="892"/>
      <c r="E223" s="800"/>
      <c r="F223" s="800"/>
      <c r="G223" s="349" t="s">
        <v>554</v>
      </c>
      <c r="H223" s="839"/>
      <c r="I223" s="286" t="s">
        <v>553</v>
      </c>
      <c r="J223" s="381">
        <v>19000000</v>
      </c>
      <c r="K223" s="298">
        <v>44593</v>
      </c>
      <c r="L223" s="298">
        <v>44925</v>
      </c>
      <c r="M223" s="298">
        <v>44652</v>
      </c>
      <c r="N223" s="299">
        <f t="shared" si="8"/>
        <v>0.17771084337349397</v>
      </c>
      <c r="O223" s="299">
        <f t="shared" si="12"/>
        <v>0.17771084337349397</v>
      </c>
      <c r="P223" s="300">
        <v>1</v>
      </c>
      <c r="Q223" s="301">
        <v>0.25</v>
      </c>
      <c r="R223" s="301">
        <v>0.5</v>
      </c>
      <c r="S223" s="301">
        <v>0.75</v>
      </c>
      <c r="T223" s="301">
        <v>1</v>
      </c>
      <c r="U223" s="301"/>
      <c r="V223" s="301"/>
      <c r="W223" s="300"/>
      <c r="X223" s="303"/>
      <c r="Y223" s="304"/>
      <c r="Z223" s="305"/>
      <c r="AA223" s="305"/>
      <c r="AB223" s="304"/>
      <c r="AC223" s="305"/>
      <c r="AD223" s="305"/>
      <c r="AE223" s="304"/>
      <c r="AF223" s="305"/>
      <c r="AG223" s="305"/>
      <c r="AH223" s="306"/>
    </row>
    <row r="224" spans="1:34" ht="56.25" customHeight="1" outlineLevel="1" x14ac:dyDescent="0.25">
      <c r="A224" s="794"/>
      <c r="B224" s="769"/>
      <c r="C224" s="769"/>
      <c r="D224" s="892"/>
      <c r="E224" s="800"/>
      <c r="F224" s="800"/>
      <c r="G224" s="349" t="s">
        <v>555</v>
      </c>
      <c r="H224" s="839"/>
      <c r="I224" s="286" t="s">
        <v>553</v>
      </c>
      <c r="J224" s="381">
        <v>19000000</v>
      </c>
      <c r="K224" s="298">
        <v>44593</v>
      </c>
      <c r="L224" s="298">
        <v>44925</v>
      </c>
      <c r="M224" s="298">
        <v>44652</v>
      </c>
      <c r="N224" s="299">
        <f t="shared" si="8"/>
        <v>0.17771084337349397</v>
      </c>
      <c r="O224" s="299">
        <f t="shared" si="12"/>
        <v>0.17771084337349397</v>
      </c>
      <c r="P224" s="300">
        <v>1</v>
      </c>
      <c r="Q224" s="301">
        <v>0.25</v>
      </c>
      <c r="R224" s="301">
        <v>0.5</v>
      </c>
      <c r="S224" s="301">
        <v>0.75</v>
      </c>
      <c r="T224" s="301">
        <v>1</v>
      </c>
      <c r="U224" s="301"/>
      <c r="V224" s="301"/>
      <c r="W224" s="300"/>
      <c r="X224" s="303"/>
      <c r="Y224" s="304"/>
      <c r="Z224" s="305"/>
      <c r="AA224" s="305"/>
      <c r="AB224" s="304"/>
      <c r="AC224" s="305"/>
      <c r="AD224" s="305"/>
      <c r="AE224" s="304"/>
      <c r="AF224" s="305"/>
      <c r="AG224" s="305"/>
      <c r="AH224" s="306"/>
    </row>
    <row r="225" spans="1:34" ht="46.5" customHeight="1" outlineLevel="1" x14ac:dyDescent="0.25">
      <c r="A225" s="794"/>
      <c r="B225" s="769"/>
      <c r="C225" s="769"/>
      <c r="D225" s="892"/>
      <c r="E225" s="800"/>
      <c r="F225" s="800"/>
      <c r="G225" s="349" t="s">
        <v>556</v>
      </c>
      <c r="H225" s="839"/>
      <c r="I225" s="286" t="s">
        <v>553</v>
      </c>
      <c r="J225" s="381">
        <v>21000000</v>
      </c>
      <c r="K225" s="298">
        <v>44593</v>
      </c>
      <c r="L225" s="298">
        <v>44925</v>
      </c>
      <c r="M225" s="298">
        <v>44652</v>
      </c>
      <c r="N225" s="299">
        <f t="shared" si="8"/>
        <v>0.17771084337349397</v>
      </c>
      <c r="O225" s="299">
        <f t="shared" si="12"/>
        <v>0.17771084337349397</v>
      </c>
      <c r="P225" s="300">
        <v>1</v>
      </c>
      <c r="Q225" s="301">
        <v>0.25</v>
      </c>
      <c r="R225" s="301">
        <v>0.5</v>
      </c>
      <c r="S225" s="301">
        <v>0.75</v>
      </c>
      <c r="T225" s="301">
        <v>1</v>
      </c>
      <c r="U225" s="301"/>
      <c r="V225" s="301"/>
      <c r="W225" s="300"/>
      <c r="X225" s="303"/>
      <c r="Y225" s="304"/>
      <c r="Z225" s="305"/>
      <c r="AA225" s="305"/>
      <c r="AB225" s="304"/>
      <c r="AC225" s="305"/>
      <c r="AD225" s="305"/>
      <c r="AE225" s="304"/>
      <c r="AF225" s="305"/>
      <c r="AG225" s="305"/>
      <c r="AH225" s="306"/>
    </row>
    <row r="226" spans="1:34" ht="46.5" customHeight="1" outlineLevel="1" x14ac:dyDescent="0.25">
      <c r="A226" s="794"/>
      <c r="B226" s="769"/>
      <c r="C226" s="769"/>
      <c r="D226" s="892"/>
      <c r="E226" s="800"/>
      <c r="F226" s="800"/>
      <c r="G226" s="349" t="s">
        <v>557</v>
      </c>
      <c r="H226" s="839"/>
      <c r="I226" s="286" t="s">
        <v>553</v>
      </c>
      <c r="J226" s="381">
        <v>53000000</v>
      </c>
      <c r="K226" s="298">
        <v>44593</v>
      </c>
      <c r="L226" s="298">
        <v>44925</v>
      </c>
      <c r="M226" s="298">
        <v>44652</v>
      </c>
      <c r="N226" s="299">
        <f t="shared" si="8"/>
        <v>0.17771084337349397</v>
      </c>
      <c r="O226" s="299">
        <f t="shared" si="12"/>
        <v>0.17771084337349397</v>
      </c>
      <c r="P226" s="300">
        <v>1</v>
      </c>
      <c r="Q226" s="301">
        <v>0.25</v>
      </c>
      <c r="R226" s="301">
        <v>0.5</v>
      </c>
      <c r="S226" s="301">
        <v>0.75</v>
      </c>
      <c r="T226" s="301">
        <v>1</v>
      </c>
      <c r="U226" s="301"/>
      <c r="V226" s="301"/>
      <c r="W226" s="300"/>
      <c r="X226" s="303"/>
      <c r="Y226" s="304"/>
      <c r="Z226" s="305"/>
      <c r="AA226" s="305"/>
      <c r="AB226" s="304"/>
      <c r="AC226" s="305"/>
      <c r="AD226" s="305"/>
      <c r="AE226" s="304"/>
      <c r="AF226" s="305"/>
      <c r="AG226" s="305"/>
      <c r="AH226" s="306"/>
    </row>
    <row r="227" spans="1:34" ht="46.5" customHeight="1" outlineLevel="1" x14ac:dyDescent="0.25">
      <c r="A227" s="794"/>
      <c r="B227" s="769"/>
      <c r="C227" s="769"/>
      <c r="D227" s="892"/>
      <c r="E227" s="800"/>
      <c r="F227" s="800"/>
      <c r="G227" s="349" t="s">
        <v>558</v>
      </c>
      <c r="H227" s="839"/>
      <c r="I227" s="286" t="s">
        <v>553</v>
      </c>
      <c r="J227" s="381">
        <v>35000000</v>
      </c>
      <c r="K227" s="298">
        <v>44593</v>
      </c>
      <c r="L227" s="298">
        <v>44925</v>
      </c>
      <c r="M227" s="298">
        <v>44652</v>
      </c>
      <c r="N227" s="299">
        <f t="shared" si="8"/>
        <v>0.17771084337349397</v>
      </c>
      <c r="O227" s="299">
        <f t="shared" si="12"/>
        <v>0.17771084337349397</v>
      </c>
      <c r="P227" s="300">
        <v>1</v>
      </c>
      <c r="Q227" s="301">
        <v>0.25</v>
      </c>
      <c r="R227" s="301">
        <v>0.5</v>
      </c>
      <c r="S227" s="301">
        <v>0.75</v>
      </c>
      <c r="T227" s="301">
        <v>1</v>
      </c>
      <c r="U227" s="301"/>
      <c r="V227" s="301"/>
      <c r="W227" s="300"/>
      <c r="X227" s="303"/>
      <c r="Y227" s="304"/>
      <c r="Z227" s="305"/>
      <c r="AA227" s="305"/>
      <c r="AB227" s="304"/>
      <c r="AC227" s="305"/>
      <c r="AD227" s="305"/>
      <c r="AE227" s="304"/>
      <c r="AF227" s="305"/>
      <c r="AG227" s="305"/>
      <c r="AH227" s="306"/>
    </row>
    <row r="228" spans="1:34" ht="46.5" customHeight="1" outlineLevel="1" x14ac:dyDescent="0.25">
      <c r="A228" s="794"/>
      <c r="B228" s="769"/>
      <c r="C228" s="769"/>
      <c r="D228" s="892"/>
      <c r="E228" s="800"/>
      <c r="F228" s="800"/>
      <c r="G228" s="349" t="s">
        <v>559</v>
      </c>
      <c r="H228" s="839"/>
      <c r="I228" s="286" t="s">
        <v>553</v>
      </c>
      <c r="J228" s="381">
        <v>25000000</v>
      </c>
      <c r="K228" s="298">
        <v>44593</v>
      </c>
      <c r="L228" s="298">
        <v>44925</v>
      </c>
      <c r="M228" s="298">
        <v>44652</v>
      </c>
      <c r="N228" s="299">
        <f t="shared" si="8"/>
        <v>0.17771084337349397</v>
      </c>
      <c r="O228" s="299">
        <f t="shared" si="12"/>
        <v>0.17771084337349397</v>
      </c>
      <c r="P228" s="300">
        <v>1</v>
      </c>
      <c r="Q228" s="301">
        <v>0.25</v>
      </c>
      <c r="R228" s="301">
        <v>0.5</v>
      </c>
      <c r="S228" s="301">
        <v>0.75</v>
      </c>
      <c r="T228" s="301">
        <v>1</v>
      </c>
      <c r="U228" s="301"/>
      <c r="V228" s="301"/>
      <c r="W228" s="300"/>
      <c r="X228" s="303"/>
      <c r="Y228" s="304"/>
      <c r="Z228" s="305"/>
      <c r="AA228" s="305"/>
      <c r="AB228" s="304"/>
      <c r="AC228" s="305"/>
      <c r="AD228" s="305"/>
      <c r="AE228" s="304"/>
      <c r="AF228" s="305"/>
      <c r="AG228" s="305"/>
      <c r="AH228" s="306"/>
    </row>
    <row r="229" spans="1:34" ht="56.25" customHeight="1" outlineLevel="1" x14ac:dyDescent="0.25">
      <c r="A229" s="794"/>
      <c r="B229" s="769"/>
      <c r="C229" s="769"/>
      <c r="D229" s="892"/>
      <c r="E229" s="800"/>
      <c r="F229" s="800"/>
      <c r="G229" s="349" t="s">
        <v>560</v>
      </c>
      <c r="H229" s="839"/>
      <c r="I229" s="286" t="s">
        <v>553</v>
      </c>
      <c r="J229" s="381">
        <v>149000000</v>
      </c>
      <c r="K229" s="298">
        <v>44593</v>
      </c>
      <c r="L229" s="298">
        <v>44925</v>
      </c>
      <c r="M229" s="298">
        <v>44652</v>
      </c>
      <c r="N229" s="299">
        <f t="shared" si="8"/>
        <v>0.17771084337349397</v>
      </c>
      <c r="O229" s="299">
        <f t="shared" si="12"/>
        <v>0.17771084337349397</v>
      </c>
      <c r="P229" s="300">
        <v>1</v>
      </c>
      <c r="Q229" s="301">
        <v>0.25</v>
      </c>
      <c r="R229" s="301">
        <v>0.5</v>
      </c>
      <c r="S229" s="301">
        <v>0.75</v>
      </c>
      <c r="T229" s="301">
        <v>1</v>
      </c>
      <c r="U229" s="301"/>
      <c r="V229" s="301"/>
      <c r="W229" s="300"/>
      <c r="X229" s="303"/>
      <c r="Y229" s="304"/>
      <c r="Z229" s="305"/>
      <c r="AA229" s="305"/>
      <c r="AB229" s="304"/>
      <c r="AC229" s="305"/>
      <c r="AD229" s="305"/>
      <c r="AE229" s="304"/>
      <c r="AF229" s="305"/>
      <c r="AG229" s="305"/>
      <c r="AH229" s="306"/>
    </row>
    <row r="230" spans="1:34" ht="75" customHeight="1" outlineLevel="1" x14ac:dyDescent="0.25">
      <c r="A230" s="794"/>
      <c r="B230" s="769"/>
      <c r="C230" s="769"/>
      <c r="D230" s="892"/>
      <c r="E230" s="800"/>
      <c r="F230" s="800"/>
      <c r="G230" s="349" t="s">
        <v>561</v>
      </c>
      <c r="H230" s="839"/>
      <c r="I230" s="286" t="s">
        <v>553</v>
      </c>
      <c r="J230" s="381">
        <v>58000000</v>
      </c>
      <c r="K230" s="298">
        <v>44593</v>
      </c>
      <c r="L230" s="298">
        <v>44925</v>
      </c>
      <c r="M230" s="298">
        <v>44652</v>
      </c>
      <c r="N230" s="299">
        <f t="shared" si="8"/>
        <v>0.17771084337349397</v>
      </c>
      <c r="O230" s="299">
        <f t="shared" si="12"/>
        <v>0.17771084337349397</v>
      </c>
      <c r="P230" s="300">
        <v>1</v>
      </c>
      <c r="Q230" s="301">
        <v>0.25</v>
      </c>
      <c r="R230" s="301">
        <v>0.5</v>
      </c>
      <c r="S230" s="301">
        <v>0.75</v>
      </c>
      <c r="T230" s="301">
        <v>1</v>
      </c>
      <c r="U230" s="301"/>
      <c r="V230" s="301"/>
      <c r="W230" s="300"/>
      <c r="X230" s="303"/>
      <c r="Y230" s="304"/>
      <c r="Z230" s="305"/>
      <c r="AA230" s="305"/>
      <c r="AB230" s="304"/>
      <c r="AC230" s="305"/>
      <c r="AD230" s="305"/>
      <c r="AE230" s="304"/>
      <c r="AF230" s="305"/>
      <c r="AG230" s="305"/>
      <c r="AH230" s="306"/>
    </row>
    <row r="231" spans="1:34" ht="46.5" customHeight="1" outlineLevel="1" x14ac:dyDescent="0.25">
      <c r="A231" s="794"/>
      <c r="B231" s="769"/>
      <c r="C231" s="769"/>
      <c r="D231" s="892"/>
      <c r="E231" s="800"/>
      <c r="F231" s="800"/>
      <c r="G231" s="349" t="s">
        <v>562</v>
      </c>
      <c r="H231" s="839"/>
      <c r="I231" s="286" t="s">
        <v>553</v>
      </c>
      <c r="J231" s="381">
        <v>17000000</v>
      </c>
      <c r="K231" s="298">
        <v>44593</v>
      </c>
      <c r="L231" s="298">
        <v>44925</v>
      </c>
      <c r="M231" s="298">
        <v>44652</v>
      </c>
      <c r="N231" s="299">
        <f t="shared" si="8"/>
        <v>0.17771084337349397</v>
      </c>
      <c r="O231" s="299">
        <f t="shared" si="12"/>
        <v>0.17771084337349397</v>
      </c>
      <c r="P231" s="300">
        <v>1</v>
      </c>
      <c r="Q231" s="301">
        <v>0.25</v>
      </c>
      <c r="R231" s="301">
        <v>0.5</v>
      </c>
      <c r="S231" s="301">
        <v>0.75</v>
      </c>
      <c r="T231" s="301">
        <v>1</v>
      </c>
      <c r="U231" s="301"/>
      <c r="V231" s="301"/>
      <c r="W231" s="300"/>
      <c r="X231" s="303"/>
      <c r="Y231" s="304"/>
      <c r="Z231" s="305"/>
      <c r="AA231" s="305"/>
      <c r="AB231" s="304"/>
      <c r="AC231" s="305"/>
      <c r="AD231" s="305"/>
      <c r="AE231" s="304"/>
      <c r="AF231" s="305"/>
      <c r="AG231" s="305"/>
      <c r="AH231" s="306"/>
    </row>
    <row r="232" spans="1:34" ht="56.25" customHeight="1" outlineLevel="1" x14ac:dyDescent="0.25">
      <c r="A232" s="794"/>
      <c r="B232" s="769"/>
      <c r="C232" s="769"/>
      <c r="D232" s="892"/>
      <c r="E232" s="800"/>
      <c r="F232" s="800"/>
      <c r="G232" s="349" t="s">
        <v>563</v>
      </c>
      <c r="H232" s="839"/>
      <c r="I232" s="286" t="s">
        <v>553</v>
      </c>
      <c r="J232" s="381">
        <v>29000000</v>
      </c>
      <c r="K232" s="298">
        <v>44593</v>
      </c>
      <c r="L232" s="298">
        <v>44925</v>
      </c>
      <c r="M232" s="298">
        <v>44652</v>
      </c>
      <c r="N232" s="299">
        <f t="shared" si="8"/>
        <v>0.17771084337349397</v>
      </c>
      <c r="O232" s="299">
        <f t="shared" si="12"/>
        <v>0.17771084337349397</v>
      </c>
      <c r="P232" s="300">
        <v>1</v>
      </c>
      <c r="Q232" s="301">
        <v>0.25</v>
      </c>
      <c r="R232" s="301">
        <v>0.5</v>
      </c>
      <c r="S232" s="301">
        <v>0.75</v>
      </c>
      <c r="T232" s="301">
        <v>1</v>
      </c>
      <c r="U232" s="301"/>
      <c r="V232" s="301"/>
      <c r="W232" s="300"/>
      <c r="X232" s="303"/>
      <c r="Y232" s="304"/>
      <c r="Z232" s="305"/>
      <c r="AA232" s="305"/>
      <c r="AB232" s="304"/>
      <c r="AC232" s="305"/>
      <c r="AD232" s="305"/>
      <c r="AE232" s="304"/>
      <c r="AF232" s="305"/>
      <c r="AG232" s="305"/>
      <c r="AH232" s="306"/>
    </row>
    <row r="233" spans="1:34" ht="56.25" customHeight="1" outlineLevel="1" x14ac:dyDescent="0.25">
      <c r="A233" s="794"/>
      <c r="B233" s="769"/>
      <c r="C233" s="769"/>
      <c r="D233" s="892"/>
      <c r="E233" s="800"/>
      <c r="F233" s="800"/>
      <c r="G233" s="349" t="s">
        <v>564</v>
      </c>
      <c r="H233" s="839"/>
      <c r="I233" s="286" t="s">
        <v>553</v>
      </c>
      <c r="J233" s="381">
        <v>39998000</v>
      </c>
      <c r="K233" s="298">
        <v>44593</v>
      </c>
      <c r="L233" s="298">
        <v>44925</v>
      </c>
      <c r="M233" s="298">
        <v>44652</v>
      </c>
      <c r="N233" s="299">
        <f t="shared" ref="N233:N296" si="13">+(+_xlfn.DAYS(K233,M233))/(+_xlfn.DAYS(K233,L233))</f>
        <v>0.17771084337349397</v>
      </c>
      <c r="O233" s="299">
        <f t="shared" si="12"/>
        <v>0.17771084337349397</v>
      </c>
      <c r="P233" s="300">
        <v>1</v>
      </c>
      <c r="Q233" s="301">
        <v>0.25</v>
      </c>
      <c r="R233" s="301">
        <v>0.5</v>
      </c>
      <c r="S233" s="301">
        <v>0.75</v>
      </c>
      <c r="T233" s="301">
        <v>1</v>
      </c>
      <c r="U233" s="301"/>
      <c r="V233" s="301"/>
      <c r="W233" s="300"/>
      <c r="X233" s="303"/>
      <c r="Y233" s="304"/>
      <c r="Z233" s="305"/>
      <c r="AA233" s="305"/>
      <c r="AB233" s="304"/>
      <c r="AC233" s="305"/>
      <c r="AD233" s="305"/>
      <c r="AE233" s="304"/>
      <c r="AF233" s="305"/>
      <c r="AG233" s="305"/>
      <c r="AH233" s="306"/>
    </row>
    <row r="234" spans="1:34" ht="56.25" customHeight="1" outlineLevel="1" x14ac:dyDescent="0.25">
      <c r="A234" s="794"/>
      <c r="B234" s="769"/>
      <c r="C234" s="769"/>
      <c r="D234" s="892"/>
      <c r="E234" s="800"/>
      <c r="F234" s="800"/>
      <c r="G234" s="349" t="s">
        <v>565</v>
      </c>
      <c r="H234" s="839"/>
      <c r="I234" s="286" t="s">
        <v>553</v>
      </c>
      <c r="J234" s="381">
        <v>13000000</v>
      </c>
      <c r="K234" s="298">
        <v>44593</v>
      </c>
      <c r="L234" s="298">
        <v>44925</v>
      </c>
      <c r="M234" s="298">
        <v>44652</v>
      </c>
      <c r="N234" s="299">
        <f t="shared" si="13"/>
        <v>0.17771084337349397</v>
      </c>
      <c r="O234" s="299">
        <f t="shared" si="12"/>
        <v>0.17771084337349397</v>
      </c>
      <c r="P234" s="300">
        <v>1</v>
      </c>
      <c r="Q234" s="301">
        <v>0.25</v>
      </c>
      <c r="R234" s="301">
        <v>0.5</v>
      </c>
      <c r="S234" s="301">
        <v>0.75</v>
      </c>
      <c r="T234" s="301">
        <v>1</v>
      </c>
      <c r="U234" s="301"/>
      <c r="V234" s="301"/>
      <c r="W234" s="300"/>
      <c r="X234" s="303"/>
      <c r="Y234" s="304"/>
      <c r="Z234" s="305"/>
      <c r="AA234" s="305"/>
      <c r="AB234" s="304"/>
      <c r="AC234" s="305"/>
      <c r="AD234" s="305"/>
      <c r="AE234" s="304"/>
      <c r="AF234" s="305"/>
      <c r="AG234" s="305"/>
      <c r="AH234" s="306"/>
    </row>
    <row r="235" spans="1:34" ht="112.5" customHeight="1" outlineLevel="1" x14ac:dyDescent="0.25">
      <c r="A235" s="794"/>
      <c r="B235" s="769"/>
      <c r="C235" s="769"/>
      <c r="D235" s="892"/>
      <c r="E235" s="800"/>
      <c r="F235" s="800"/>
      <c r="G235" s="349" t="s">
        <v>566</v>
      </c>
      <c r="H235" s="839"/>
      <c r="I235" s="286" t="s">
        <v>553</v>
      </c>
      <c r="J235" s="381">
        <v>3900000</v>
      </c>
      <c r="K235" s="298">
        <v>44593</v>
      </c>
      <c r="L235" s="298">
        <v>44925</v>
      </c>
      <c r="M235" s="298">
        <v>44652</v>
      </c>
      <c r="N235" s="299">
        <f t="shared" si="13"/>
        <v>0.17771084337349397</v>
      </c>
      <c r="O235" s="299">
        <f t="shared" si="12"/>
        <v>0.17771084337349397</v>
      </c>
      <c r="P235" s="300">
        <v>1</v>
      </c>
      <c r="Q235" s="301">
        <v>0.25</v>
      </c>
      <c r="R235" s="301">
        <v>0.5</v>
      </c>
      <c r="S235" s="301">
        <v>0.75</v>
      </c>
      <c r="T235" s="301">
        <v>1</v>
      </c>
      <c r="U235" s="301"/>
      <c r="V235" s="301"/>
      <c r="W235" s="300"/>
      <c r="X235" s="303"/>
      <c r="Y235" s="304"/>
      <c r="Z235" s="305"/>
      <c r="AA235" s="305"/>
      <c r="AB235" s="304"/>
      <c r="AC235" s="305"/>
      <c r="AD235" s="305"/>
      <c r="AE235" s="304"/>
      <c r="AF235" s="305"/>
      <c r="AG235" s="305"/>
      <c r="AH235" s="306"/>
    </row>
    <row r="236" spans="1:34" ht="56.25" customHeight="1" outlineLevel="1" x14ac:dyDescent="0.25">
      <c r="A236" s="794"/>
      <c r="B236" s="769"/>
      <c r="C236" s="769"/>
      <c r="D236" s="892"/>
      <c r="E236" s="800"/>
      <c r="F236" s="800"/>
      <c r="G236" s="349" t="s">
        <v>567</v>
      </c>
      <c r="H236" s="839"/>
      <c r="I236" s="286" t="s">
        <v>568</v>
      </c>
      <c r="J236" s="381">
        <v>32000000</v>
      </c>
      <c r="K236" s="298">
        <v>44593</v>
      </c>
      <c r="L236" s="298">
        <v>44925</v>
      </c>
      <c r="M236" s="298">
        <v>44652</v>
      </c>
      <c r="N236" s="299">
        <f t="shared" si="13"/>
        <v>0.17771084337349397</v>
      </c>
      <c r="O236" s="299">
        <f t="shared" si="12"/>
        <v>0.17771084337349397</v>
      </c>
      <c r="P236" s="300">
        <v>1</v>
      </c>
      <c r="Q236" s="301">
        <v>0.25</v>
      </c>
      <c r="R236" s="301">
        <v>0.5</v>
      </c>
      <c r="S236" s="301">
        <v>0.75</v>
      </c>
      <c r="T236" s="301">
        <v>1</v>
      </c>
      <c r="U236" s="301"/>
      <c r="V236" s="301"/>
      <c r="W236" s="300"/>
      <c r="X236" s="303"/>
      <c r="Y236" s="304"/>
      <c r="Z236" s="305"/>
      <c r="AA236" s="305"/>
      <c r="AB236" s="304"/>
      <c r="AC236" s="305"/>
      <c r="AD236" s="305"/>
      <c r="AE236" s="304"/>
      <c r="AF236" s="305"/>
      <c r="AG236" s="305"/>
      <c r="AH236" s="306"/>
    </row>
    <row r="237" spans="1:34" ht="75" customHeight="1" outlineLevel="1" x14ac:dyDescent="0.25">
      <c r="A237" s="794"/>
      <c r="B237" s="769"/>
      <c r="C237" s="769"/>
      <c r="D237" s="892"/>
      <c r="E237" s="800"/>
      <c r="F237" s="800"/>
      <c r="G237" s="349" t="s">
        <v>569</v>
      </c>
      <c r="H237" s="839"/>
      <c r="I237" s="286" t="s">
        <v>570</v>
      </c>
      <c r="J237" s="381">
        <v>23000000</v>
      </c>
      <c r="K237" s="298">
        <v>44593</v>
      </c>
      <c r="L237" s="298">
        <v>44925</v>
      </c>
      <c r="M237" s="298">
        <v>44652</v>
      </c>
      <c r="N237" s="299">
        <f t="shared" si="13"/>
        <v>0.17771084337349397</v>
      </c>
      <c r="O237" s="299">
        <f t="shared" si="12"/>
        <v>0.17771084337349397</v>
      </c>
      <c r="P237" s="300">
        <v>1</v>
      </c>
      <c r="Q237" s="301">
        <v>0.25</v>
      </c>
      <c r="R237" s="301">
        <v>0.5</v>
      </c>
      <c r="S237" s="301">
        <v>0.75</v>
      </c>
      <c r="T237" s="301">
        <v>1</v>
      </c>
      <c r="U237" s="301"/>
      <c r="V237" s="301"/>
      <c r="W237" s="300"/>
      <c r="X237" s="303"/>
      <c r="Y237" s="304"/>
      <c r="Z237" s="305"/>
      <c r="AA237" s="305"/>
      <c r="AB237" s="304"/>
      <c r="AC237" s="305"/>
      <c r="AD237" s="305"/>
      <c r="AE237" s="304"/>
      <c r="AF237" s="305"/>
      <c r="AG237" s="305"/>
      <c r="AH237" s="306"/>
    </row>
    <row r="238" spans="1:34" ht="46.5" customHeight="1" outlineLevel="1" x14ac:dyDescent="0.25">
      <c r="A238" s="794"/>
      <c r="B238" s="769"/>
      <c r="C238" s="769"/>
      <c r="D238" s="892"/>
      <c r="E238" s="800"/>
      <c r="F238" s="800"/>
      <c r="G238" s="349" t="s">
        <v>571</v>
      </c>
      <c r="H238" s="839"/>
      <c r="I238" s="286" t="s">
        <v>570</v>
      </c>
      <c r="J238" s="381">
        <v>30000000</v>
      </c>
      <c r="K238" s="298">
        <v>44593</v>
      </c>
      <c r="L238" s="298">
        <v>44925</v>
      </c>
      <c r="M238" s="298">
        <v>44652</v>
      </c>
      <c r="N238" s="299">
        <f t="shared" si="13"/>
        <v>0.17771084337349397</v>
      </c>
      <c r="O238" s="299">
        <f t="shared" si="12"/>
        <v>0.17771084337349397</v>
      </c>
      <c r="P238" s="300">
        <v>1</v>
      </c>
      <c r="Q238" s="301">
        <v>0.25</v>
      </c>
      <c r="R238" s="301">
        <v>0.5</v>
      </c>
      <c r="S238" s="301">
        <v>0.75</v>
      </c>
      <c r="T238" s="301">
        <v>1</v>
      </c>
      <c r="U238" s="301"/>
      <c r="V238" s="301"/>
      <c r="W238" s="300"/>
      <c r="X238" s="303"/>
      <c r="Y238" s="304"/>
      <c r="Z238" s="305"/>
      <c r="AA238" s="305"/>
      <c r="AB238" s="304"/>
      <c r="AC238" s="305"/>
      <c r="AD238" s="305"/>
      <c r="AE238" s="304"/>
      <c r="AF238" s="305"/>
      <c r="AG238" s="305"/>
      <c r="AH238" s="306"/>
    </row>
    <row r="239" spans="1:34" ht="56.25" customHeight="1" outlineLevel="1" x14ac:dyDescent="0.25">
      <c r="A239" s="794"/>
      <c r="B239" s="769"/>
      <c r="C239" s="769"/>
      <c r="D239" s="892"/>
      <c r="E239" s="800"/>
      <c r="F239" s="800"/>
      <c r="G239" s="349" t="s">
        <v>572</v>
      </c>
      <c r="H239" s="839"/>
      <c r="I239" s="286" t="s">
        <v>568</v>
      </c>
      <c r="J239" s="381">
        <v>14000000</v>
      </c>
      <c r="K239" s="298">
        <v>44593</v>
      </c>
      <c r="L239" s="298">
        <v>44925</v>
      </c>
      <c r="M239" s="298">
        <v>44652</v>
      </c>
      <c r="N239" s="299">
        <f t="shared" si="13"/>
        <v>0.17771084337349397</v>
      </c>
      <c r="O239" s="299">
        <f t="shared" si="12"/>
        <v>0.17771084337349397</v>
      </c>
      <c r="P239" s="300">
        <v>1</v>
      </c>
      <c r="Q239" s="301">
        <v>0.25</v>
      </c>
      <c r="R239" s="301">
        <v>0.5</v>
      </c>
      <c r="S239" s="301">
        <v>0.75</v>
      </c>
      <c r="T239" s="301">
        <v>1</v>
      </c>
      <c r="U239" s="301"/>
      <c r="V239" s="301"/>
      <c r="W239" s="300"/>
      <c r="X239" s="303"/>
      <c r="Y239" s="304"/>
      <c r="Z239" s="305"/>
      <c r="AA239" s="305"/>
      <c r="AB239" s="304"/>
      <c r="AC239" s="305"/>
      <c r="AD239" s="305"/>
      <c r="AE239" s="304"/>
      <c r="AF239" s="305"/>
      <c r="AG239" s="305"/>
      <c r="AH239" s="306"/>
    </row>
    <row r="240" spans="1:34" ht="46.5" customHeight="1" outlineLevel="1" x14ac:dyDescent="0.25">
      <c r="A240" s="794"/>
      <c r="B240" s="769"/>
      <c r="C240" s="769"/>
      <c r="D240" s="892"/>
      <c r="E240" s="800"/>
      <c r="F240" s="800"/>
      <c r="G240" s="349" t="s">
        <v>573</v>
      </c>
      <c r="H240" s="839"/>
      <c r="I240" s="286" t="s">
        <v>574</v>
      </c>
      <c r="J240" s="381">
        <v>86000000</v>
      </c>
      <c r="K240" s="298">
        <v>44593</v>
      </c>
      <c r="L240" s="298">
        <v>44925</v>
      </c>
      <c r="M240" s="298">
        <v>44652</v>
      </c>
      <c r="N240" s="299">
        <f t="shared" si="13"/>
        <v>0.17771084337349397</v>
      </c>
      <c r="O240" s="299">
        <f t="shared" si="12"/>
        <v>0.17771084337349397</v>
      </c>
      <c r="P240" s="300">
        <v>1</v>
      </c>
      <c r="Q240" s="301">
        <v>0.25</v>
      </c>
      <c r="R240" s="301">
        <v>0.5</v>
      </c>
      <c r="S240" s="301">
        <v>0.75</v>
      </c>
      <c r="T240" s="301">
        <v>1</v>
      </c>
      <c r="U240" s="301"/>
      <c r="V240" s="301"/>
      <c r="W240" s="300"/>
      <c r="X240" s="303"/>
      <c r="Y240" s="304"/>
      <c r="Z240" s="305"/>
      <c r="AA240" s="305"/>
      <c r="AB240" s="304"/>
      <c r="AC240" s="305"/>
      <c r="AD240" s="305"/>
      <c r="AE240" s="304"/>
      <c r="AF240" s="305"/>
      <c r="AG240" s="305"/>
      <c r="AH240" s="306"/>
    </row>
    <row r="241" spans="1:34" ht="56.25" customHeight="1" outlineLevel="1" x14ac:dyDescent="0.25">
      <c r="A241" s="794"/>
      <c r="B241" s="769"/>
      <c r="C241" s="769"/>
      <c r="D241" s="892"/>
      <c r="E241" s="800"/>
      <c r="F241" s="800"/>
      <c r="G241" s="349" t="s">
        <v>575</v>
      </c>
      <c r="H241" s="839"/>
      <c r="I241" s="286" t="s">
        <v>576</v>
      </c>
      <c r="J241" s="381">
        <v>18000000</v>
      </c>
      <c r="K241" s="298">
        <v>44593</v>
      </c>
      <c r="L241" s="298">
        <v>44925</v>
      </c>
      <c r="M241" s="298">
        <v>44652</v>
      </c>
      <c r="N241" s="299">
        <f t="shared" si="13"/>
        <v>0.17771084337349397</v>
      </c>
      <c r="O241" s="299">
        <f t="shared" si="12"/>
        <v>0.17771084337349397</v>
      </c>
      <c r="P241" s="300">
        <v>1</v>
      </c>
      <c r="Q241" s="301">
        <v>0.25</v>
      </c>
      <c r="R241" s="301">
        <v>0.5</v>
      </c>
      <c r="S241" s="301">
        <v>0.75</v>
      </c>
      <c r="T241" s="301">
        <v>1</v>
      </c>
      <c r="U241" s="301"/>
      <c r="V241" s="301"/>
      <c r="W241" s="300"/>
      <c r="X241" s="303"/>
      <c r="Y241" s="304"/>
      <c r="Z241" s="305"/>
      <c r="AA241" s="305"/>
      <c r="AB241" s="304"/>
      <c r="AC241" s="305"/>
      <c r="AD241" s="305"/>
      <c r="AE241" s="304"/>
      <c r="AF241" s="305"/>
      <c r="AG241" s="305"/>
      <c r="AH241" s="306"/>
    </row>
    <row r="242" spans="1:34" ht="46.5" customHeight="1" outlineLevel="1" x14ac:dyDescent="0.25">
      <c r="A242" s="794"/>
      <c r="B242" s="769"/>
      <c r="C242" s="769"/>
      <c r="D242" s="892"/>
      <c r="E242" s="800"/>
      <c r="F242" s="800"/>
      <c r="G242" s="349" t="s">
        <v>577</v>
      </c>
      <c r="H242" s="839"/>
      <c r="I242" s="286" t="s">
        <v>576</v>
      </c>
      <c r="J242" s="381">
        <v>7000000</v>
      </c>
      <c r="K242" s="298">
        <v>44593</v>
      </c>
      <c r="L242" s="298">
        <v>44925</v>
      </c>
      <c r="M242" s="298">
        <v>44652</v>
      </c>
      <c r="N242" s="299">
        <f t="shared" si="13"/>
        <v>0.17771084337349397</v>
      </c>
      <c r="O242" s="299">
        <f t="shared" si="12"/>
        <v>0.17771084337349397</v>
      </c>
      <c r="P242" s="300">
        <v>1</v>
      </c>
      <c r="Q242" s="301">
        <v>0.25</v>
      </c>
      <c r="R242" s="301">
        <v>0.5</v>
      </c>
      <c r="S242" s="301">
        <v>0.75</v>
      </c>
      <c r="T242" s="301">
        <v>1</v>
      </c>
      <c r="U242" s="301"/>
      <c r="V242" s="301"/>
      <c r="W242" s="300"/>
      <c r="X242" s="303"/>
      <c r="Y242" s="304"/>
      <c r="Z242" s="305"/>
      <c r="AA242" s="305"/>
      <c r="AB242" s="304"/>
      <c r="AC242" s="305"/>
      <c r="AD242" s="305"/>
      <c r="AE242" s="304"/>
      <c r="AF242" s="305"/>
      <c r="AG242" s="305"/>
      <c r="AH242" s="306"/>
    </row>
    <row r="243" spans="1:34" ht="56.25" customHeight="1" outlineLevel="1" x14ac:dyDescent="0.25">
      <c r="A243" s="794"/>
      <c r="B243" s="769"/>
      <c r="C243" s="769"/>
      <c r="D243" s="892"/>
      <c r="E243" s="800"/>
      <c r="F243" s="800"/>
      <c r="G243" s="349" t="s">
        <v>578</v>
      </c>
      <c r="H243" s="839"/>
      <c r="I243" s="286" t="s">
        <v>579</v>
      </c>
      <c r="J243" s="381">
        <v>30000000</v>
      </c>
      <c r="K243" s="298">
        <v>44593</v>
      </c>
      <c r="L243" s="298">
        <v>44925</v>
      </c>
      <c r="M243" s="298">
        <v>44652</v>
      </c>
      <c r="N243" s="299">
        <f t="shared" si="13"/>
        <v>0.17771084337349397</v>
      </c>
      <c r="O243" s="299">
        <f t="shared" si="12"/>
        <v>0.17771084337349397</v>
      </c>
      <c r="P243" s="300">
        <v>1</v>
      </c>
      <c r="Q243" s="301">
        <v>0.25</v>
      </c>
      <c r="R243" s="301">
        <v>0.5</v>
      </c>
      <c r="S243" s="301">
        <v>0.75</v>
      </c>
      <c r="T243" s="301">
        <v>1</v>
      </c>
      <c r="U243" s="301"/>
      <c r="V243" s="301"/>
      <c r="W243" s="300"/>
      <c r="X243" s="303"/>
      <c r="Y243" s="304"/>
      <c r="Z243" s="305"/>
      <c r="AA243" s="305"/>
      <c r="AB243" s="304"/>
      <c r="AC243" s="305"/>
      <c r="AD243" s="305"/>
      <c r="AE243" s="304"/>
      <c r="AF243" s="305"/>
      <c r="AG243" s="305"/>
      <c r="AH243" s="306"/>
    </row>
    <row r="244" spans="1:34" ht="75" customHeight="1" outlineLevel="1" x14ac:dyDescent="0.25">
      <c r="A244" s="794"/>
      <c r="B244" s="769"/>
      <c r="C244" s="769"/>
      <c r="D244" s="892"/>
      <c r="E244" s="800"/>
      <c r="F244" s="800"/>
      <c r="G244" s="349" t="s">
        <v>580</v>
      </c>
      <c r="H244" s="840"/>
      <c r="I244" s="286" t="s">
        <v>581</v>
      </c>
      <c r="J244" s="381">
        <v>250000000</v>
      </c>
      <c r="K244" s="298">
        <v>44593</v>
      </c>
      <c r="L244" s="298">
        <v>44925</v>
      </c>
      <c r="M244" s="298">
        <v>44652</v>
      </c>
      <c r="N244" s="299">
        <f t="shared" si="13"/>
        <v>0.17771084337349397</v>
      </c>
      <c r="O244" s="299">
        <f t="shared" si="12"/>
        <v>0.17771084337349397</v>
      </c>
      <c r="P244" s="300">
        <v>1</v>
      </c>
      <c r="Q244" s="301">
        <v>0.25</v>
      </c>
      <c r="R244" s="301">
        <v>0.5</v>
      </c>
      <c r="S244" s="301">
        <v>0.75</v>
      </c>
      <c r="T244" s="301">
        <v>1</v>
      </c>
      <c r="U244" s="301"/>
      <c r="V244" s="301"/>
      <c r="W244" s="300"/>
      <c r="X244" s="303"/>
      <c r="Y244" s="304"/>
      <c r="Z244" s="305"/>
      <c r="AA244" s="305"/>
      <c r="AB244" s="304"/>
      <c r="AC244" s="305"/>
      <c r="AD244" s="305"/>
      <c r="AE244" s="304"/>
      <c r="AF244" s="305"/>
      <c r="AG244" s="305"/>
      <c r="AH244" s="306"/>
    </row>
    <row r="245" spans="1:34" ht="56.25" customHeight="1" outlineLevel="1" x14ac:dyDescent="0.25">
      <c r="A245" s="794"/>
      <c r="B245" s="769"/>
      <c r="C245" s="769"/>
      <c r="D245" s="892"/>
      <c r="E245" s="800"/>
      <c r="F245" s="799" t="s">
        <v>582</v>
      </c>
      <c r="G245" s="349" t="s">
        <v>583</v>
      </c>
      <c r="H245" s="838" t="s">
        <v>298</v>
      </c>
      <c r="I245" s="286" t="s">
        <v>584</v>
      </c>
      <c r="J245" s="381">
        <v>1800000000</v>
      </c>
      <c r="K245" s="298">
        <v>44593</v>
      </c>
      <c r="L245" s="298">
        <v>44925</v>
      </c>
      <c r="M245" s="298">
        <v>44652</v>
      </c>
      <c r="N245" s="299">
        <f t="shared" si="13"/>
        <v>0.17771084337349397</v>
      </c>
      <c r="O245" s="299">
        <f t="shared" si="12"/>
        <v>0.17771084337349397</v>
      </c>
      <c r="P245" s="300">
        <v>1</v>
      </c>
      <c r="Q245" s="301">
        <v>0.25</v>
      </c>
      <c r="R245" s="301">
        <v>0.5</v>
      </c>
      <c r="S245" s="301">
        <v>0.75</v>
      </c>
      <c r="T245" s="301">
        <v>1</v>
      </c>
      <c r="U245" s="301"/>
      <c r="V245" s="301"/>
      <c r="W245" s="300"/>
      <c r="X245" s="303"/>
      <c r="Y245" s="304"/>
      <c r="Z245" s="305"/>
      <c r="AA245" s="305"/>
      <c r="AB245" s="304"/>
      <c r="AC245" s="305"/>
      <c r="AD245" s="305"/>
      <c r="AE245" s="304"/>
      <c r="AF245" s="305"/>
      <c r="AG245" s="305"/>
      <c r="AH245" s="306"/>
    </row>
    <row r="246" spans="1:34" ht="46.5" customHeight="1" outlineLevel="1" x14ac:dyDescent="0.25">
      <c r="A246" s="794"/>
      <c r="B246" s="769"/>
      <c r="C246" s="769"/>
      <c r="D246" s="892"/>
      <c r="E246" s="800"/>
      <c r="F246" s="800"/>
      <c r="G246" s="349" t="s">
        <v>585</v>
      </c>
      <c r="H246" s="839"/>
      <c r="I246" s="286" t="s">
        <v>586</v>
      </c>
      <c r="J246" s="381">
        <v>80000000</v>
      </c>
      <c r="K246" s="298">
        <v>44593</v>
      </c>
      <c r="L246" s="298">
        <v>44925</v>
      </c>
      <c r="M246" s="298">
        <v>44652</v>
      </c>
      <c r="N246" s="299">
        <f t="shared" si="13"/>
        <v>0.17771084337349397</v>
      </c>
      <c r="O246" s="299">
        <f t="shared" si="12"/>
        <v>0.17771084337349397</v>
      </c>
      <c r="P246" s="300">
        <v>1</v>
      </c>
      <c r="Q246" s="301">
        <v>0.25</v>
      </c>
      <c r="R246" s="301">
        <v>0.5</v>
      </c>
      <c r="S246" s="301">
        <v>0.75</v>
      </c>
      <c r="T246" s="301">
        <v>1</v>
      </c>
      <c r="U246" s="301"/>
      <c r="V246" s="301"/>
      <c r="W246" s="300"/>
      <c r="X246" s="303"/>
      <c r="Y246" s="304"/>
      <c r="Z246" s="305"/>
      <c r="AA246" s="305"/>
      <c r="AB246" s="304"/>
      <c r="AC246" s="305"/>
      <c r="AD246" s="305"/>
      <c r="AE246" s="304"/>
      <c r="AF246" s="305"/>
      <c r="AG246" s="305"/>
      <c r="AH246" s="306"/>
    </row>
    <row r="247" spans="1:34" ht="56.25" customHeight="1" outlineLevel="1" x14ac:dyDescent="0.25">
      <c r="A247" s="794"/>
      <c r="B247" s="769"/>
      <c r="C247" s="769"/>
      <c r="D247" s="892"/>
      <c r="E247" s="800"/>
      <c r="F247" s="800"/>
      <c r="G247" s="349" t="s">
        <v>587</v>
      </c>
      <c r="H247" s="840"/>
      <c r="I247" s="286" t="s">
        <v>588</v>
      </c>
      <c r="J247" s="381" t="s">
        <v>111</v>
      </c>
      <c r="K247" s="298">
        <v>44593</v>
      </c>
      <c r="L247" s="298">
        <v>44925</v>
      </c>
      <c r="M247" s="298">
        <v>44652</v>
      </c>
      <c r="N247" s="299">
        <f t="shared" si="13"/>
        <v>0.17771084337349397</v>
      </c>
      <c r="O247" s="299">
        <f t="shared" si="12"/>
        <v>0.17771084337349397</v>
      </c>
      <c r="P247" s="300">
        <v>1</v>
      </c>
      <c r="Q247" s="301">
        <v>0.25</v>
      </c>
      <c r="R247" s="301">
        <v>0.5</v>
      </c>
      <c r="S247" s="301">
        <v>0.75</v>
      </c>
      <c r="T247" s="301">
        <v>1</v>
      </c>
      <c r="U247" s="301"/>
      <c r="V247" s="301"/>
      <c r="W247" s="300"/>
      <c r="X247" s="303"/>
      <c r="Y247" s="304"/>
      <c r="Z247" s="305"/>
      <c r="AA247" s="305"/>
      <c r="AB247" s="304"/>
      <c r="AC247" s="305"/>
      <c r="AD247" s="305"/>
      <c r="AE247" s="304"/>
      <c r="AF247" s="305"/>
      <c r="AG247" s="305"/>
      <c r="AH247" s="306"/>
    </row>
    <row r="248" spans="1:34" ht="131.25" customHeight="1" outlineLevel="1" x14ac:dyDescent="0.25">
      <c r="A248" s="794"/>
      <c r="B248" s="769"/>
      <c r="C248" s="769"/>
      <c r="D248" s="892"/>
      <c r="E248" s="801"/>
      <c r="F248" s="801"/>
      <c r="G248" s="349" t="s">
        <v>593</v>
      </c>
      <c r="H248" s="349" t="s">
        <v>298</v>
      </c>
      <c r="I248" s="286" t="s">
        <v>594</v>
      </c>
      <c r="J248" s="381" t="s">
        <v>346</v>
      </c>
      <c r="K248" s="298">
        <v>44593</v>
      </c>
      <c r="L248" s="298">
        <v>44925</v>
      </c>
      <c r="M248" s="298">
        <v>44652</v>
      </c>
      <c r="N248" s="299">
        <f>+(+_xlfn.DAYS(K248,M248))/(+_xlfn.DAYS(K248,L248))</f>
        <v>0.17771084337349397</v>
      </c>
      <c r="O248" s="299">
        <f>+IF(N248&gt;=100,100,IF(N248&lt;=0,0,N248))</f>
        <v>0.17771084337349397</v>
      </c>
      <c r="P248" s="300">
        <v>0.6</v>
      </c>
      <c r="Q248" s="301">
        <v>0.52</v>
      </c>
      <c r="R248" s="301">
        <v>0.54</v>
      </c>
      <c r="S248" s="301">
        <v>0.56999999999999995</v>
      </c>
      <c r="T248" s="301">
        <v>0.6</v>
      </c>
      <c r="U248" s="301"/>
      <c r="V248" s="301"/>
      <c r="W248" s="300"/>
      <c r="X248" s="303"/>
      <c r="Y248" s="304"/>
      <c r="Z248" s="305"/>
      <c r="AA248" s="305"/>
      <c r="AB248" s="304"/>
      <c r="AC248" s="305"/>
      <c r="AD248" s="305"/>
      <c r="AE248" s="304"/>
      <c r="AF248" s="305"/>
      <c r="AG248" s="305"/>
      <c r="AH248" s="306"/>
    </row>
    <row r="249" spans="1:34" ht="168.75" customHeight="1" outlineLevel="1" x14ac:dyDescent="0.25">
      <c r="A249" s="794"/>
      <c r="B249" s="769"/>
      <c r="C249" s="769"/>
      <c r="D249" s="892"/>
      <c r="E249" s="799" t="s">
        <v>295</v>
      </c>
      <c r="F249" s="275" t="s">
        <v>589</v>
      </c>
      <c r="G249" s="349" t="s">
        <v>590</v>
      </c>
      <c r="H249" s="349" t="s">
        <v>591</v>
      </c>
      <c r="I249" s="286" t="s">
        <v>592</v>
      </c>
      <c r="J249" s="381">
        <v>40000000</v>
      </c>
      <c r="K249" s="298">
        <v>44593</v>
      </c>
      <c r="L249" s="298">
        <v>44925</v>
      </c>
      <c r="M249" s="298">
        <v>44652</v>
      </c>
      <c r="N249" s="299">
        <f t="shared" si="13"/>
        <v>0.17771084337349397</v>
      </c>
      <c r="O249" s="299">
        <f t="shared" si="12"/>
        <v>0.17771084337349397</v>
      </c>
      <c r="P249" s="300">
        <v>1</v>
      </c>
      <c r="Q249" s="301">
        <v>0.25</v>
      </c>
      <c r="R249" s="301">
        <v>0.5</v>
      </c>
      <c r="S249" s="301">
        <v>0.75</v>
      </c>
      <c r="T249" s="301">
        <v>1</v>
      </c>
      <c r="U249" s="301"/>
      <c r="V249" s="301"/>
      <c r="W249" s="300"/>
      <c r="X249" s="303"/>
      <c r="Y249" s="304"/>
      <c r="Z249" s="305"/>
      <c r="AA249" s="305"/>
      <c r="AB249" s="304"/>
      <c r="AC249" s="305"/>
      <c r="AD249" s="305"/>
      <c r="AE249" s="304"/>
      <c r="AF249" s="305"/>
      <c r="AG249" s="305"/>
      <c r="AH249" s="306"/>
    </row>
    <row r="250" spans="1:34" ht="168.75" customHeight="1" outlineLevel="1" x14ac:dyDescent="0.25">
      <c r="A250" s="782"/>
      <c r="B250" s="769"/>
      <c r="C250" s="769"/>
      <c r="D250" s="892"/>
      <c r="E250" s="800"/>
      <c r="F250" s="275" t="s">
        <v>589</v>
      </c>
      <c r="G250" s="349" t="s">
        <v>595</v>
      </c>
      <c r="H250" s="349" t="s">
        <v>591</v>
      </c>
      <c r="I250" s="286" t="s">
        <v>596</v>
      </c>
      <c r="J250" s="381" t="s">
        <v>346</v>
      </c>
      <c r="K250" s="298">
        <v>44593</v>
      </c>
      <c r="L250" s="298">
        <v>44925</v>
      </c>
      <c r="M250" s="298">
        <v>44652</v>
      </c>
      <c r="N250" s="299">
        <f t="shared" si="13"/>
        <v>0.17771084337349397</v>
      </c>
      <c r="O250" s="299">
        <f t="shared" si="12"/>
        <v>0.17771084337349397</v>
      </c>
      <c r="P250" s="300">
        <v>0.9</v>
      </c>
      <c r="Q250" s="301">
        <v>0.86</v>
      </c>
      <c r="R250" s="301">
        <v>0.87</v>
      </c>
      <c r="S250" s="301">
        <v>0.88</v>
      </c>
      <c r="T250" s="301">
        <v>0.9</v>
      </c>
      <c r="U250" s="301"/>
      <c r="V250" s="301"/>
      <c r="W250" s="300"/>
      <c r="X250" s="303"/>
      <c r="Y250" s="304"/>
      <c r="Z250" s="305"/>
      <c r="AA250" s="305"/>
      <c r="AB250" s="304"/>
      <c r="AC250" s="305"/>
      <c r="AD250" s="305"/>
      <c r="AE250" s="304"/>
      <c r="AF250" s="305"/>
      <c r="AG250" s="305"/>
      <c r="AH250" s="306"/>
    </row>
    <row r="251" spans="1:34" ht="93.75" customHeight="1" outlineLevel="1" x14ac:dyDescent="0.25">
      <c r="A251" s="783"/>
      <c r="B251" s="769"/>
      <c r="C251" s="769"/>
      <c r="D251" s="892"/>
      <c r="E251" s="801"/>
      <c r="F251" s="275" t="s">
        <v>597</v>
      </c>
      <c r="G251" s="349" t="s">
        <v>598</v>
      </c>
      <c r="H251" s="349" t="s">
        <v>599</v>
      </c>
      <c r="I251" s="286" t="s">
        <v>600</v>
      </c>
      <c r="J251" s="381" t="s">
        <v>59</v>
      </c>
      <c r="K251" s="298">
        <v>44593</v>
      </c>
      <c r="L251" s="298">
        <v>44925</v>
      </c>
      <c r="M251" s="298">
        <v>44652</v>
      </c>
      <c r="N251" s="299">
        <f t="shared" si="13"/>
        <v>0.17771084337349397</v>
      </c>
      <c r="O251" s="299">
        <f t="shared" si="12"/>
        <v>0.17771084337349397</v>
      </c>
      <c r="P251" s="300">
        <v>1</v>
      </c>
      <c r="Q251" s="301">
        <v>1</v>
      </c>
      <c r="R251" s="301">
        <v>1</v>
      </c>
      <c r="S251" s="301">
        <v>1</v>
      </c>
      <c r="T251" s="301">
        <v>1</v>
      </c>
      <c r="U251" s="301"/>
      <c r="V251" s="301"/>
      <c r="W251" s="300"/>
      <c r="X251" s="303"/>
      <c r="Y251" s="304"/>
      <c r="Z251" s="305"/>
      <c r="AA251" s="305"/>
      <c r="AB251" s="304"/>
      <c r="AC251" s="305"/>
      <c r="AD251" s="305"/>
      <c r="AE251" s="304"/>
      <c r="AF251" s="305"/>
      <c r="AG251" s="305"/>
      <c r="AH251" s="306"/>
    </row>
    <row r="252" spans="1:34" ht="67.2" customHeight="1" thickBot="1" x14ac:dyDescent="0.3">
      <c r="A252" s="927" t="s">
        <v>292</v>
      </c>
      <c r="B252" s="928"/>
      <c r="C252" s="928"/>
      <c r="D252" s="928"/>
      <c r="E252" s="928"/>
      <c r="F252" s="928"/>
      <c r="G252" s="928"/>
      <c r="H252" s="928"/>
      <c r="I252" s="928"/>
      <c r="J252" s="928"/>
      <c r="K252" s="928"/>
      <c r="L252" s="929"/>
      <c r="M252" s="388">
        <v>44652</v>
      </c>
      <c r="N252" s="299" t="e">
        <f t="shared" si="13"/>
        <v>#DIV/0!</v>
      </c>
      <c r="O252" s="313">
        <f t="array" ref="O252">+AVERAGE((O183:O251)*100)</f>
        <v>17.255980443513174</v>
      </c>
      <c r="P252" s="314">
        <v>100</v>
      </c>
      <c r="Q252" s="851"/>
      <c r="R252" s="852"/>
      <c r="S252" s="852"/>
      <c r="T252" s="853"/>
      <c r="U252" s="353"/>
      <c r="V252" s="301"/>
      <c r="W252" s="300"/>
      <c r="X252" s="303"/>
      <c r="Y252" s="304"/>
      <c r="Z252" s="305"/>
      <c r="AA252" s="305"/>
      <c r="AB252" s="304"/>
      <c r="AC252" s="305"/>
      <c r="AD252" s="305"/>
      <c r="AE252" s="304"/>
      <c r="AF252" s="305"/>
      <c r="AG252" s="305"/>
      <c r="AH252" s="306"/>
    </row>
    <row r="253" spans="1:34" ht="63" customHeight="1" outlineLevel="1" x14ac:dyDescent="0.25">
      <c r="A253" s="741" t="s">
        <v>14</v>
      </c>
      <c r="B253" s="269" t="s">
        <v>51</v>
      </c>
      <c r="C253" s="269" t="s">
        <v>92</v>
      </c>
      <c r="D253" s="761" t="s">
        <v>601</v>
      </c>
      <c r="E253" s="268" t="s">
        <v>491</v>
      </c>
      <c r="F253" s="268" t="s">
        <v>602</v>
      </c>
      <c r="G253" s="10" t="s">
        <v>603</v>
      </c>
      <c r="H253" s="10" t="s">
        <v>604</v>
      </c>
      <c r="I253" s="274" t="s">
        <v>605</v>
      </c>
      <c r="J253" s="274" t="s">
        <v>59</v>
      </c>
      <c r="K253" s="298">
        <v>44593</v>
      </c>
      <c r="L253" s="298">
        <v>44925</v>
      </c>
      <c r="M253" s="298">
        <v>44652</v>
      </c>
      <c r="N253" s="299">
        <f t="shared" si="13"/>
        <v>0.17771084337349397</v>
      </c>
      <c r="O253" s="299">
        <f t="shared" ref="O253:O323" si="14">+IF(N253&gt;=100,100,IF(N253&lt;=0,0,N253))</f>
        <v>0.17771084337349397</v>
      </c>
      <c r="P253" s="300">
        <v>0.2</v>
      </c>
      <c r="Q253" s="301">
        <v>0.12</v>
      </c>
      <c r="R253" s="301">
        <v>0.14000000000000001</v>
      </c>
      <c r="S253" s="301">
        <v>0.17</v>
      </c>
      <c r="T253" s="301">
        <v>0.2</v>
      </c>
      <c r="U253" s="301"/>
      <c r="V253" s="301"/>
      <c r="W253" s="300"/>
      <c r="X253" s="303"/>
      <c r="Y253" s="304"/>
      <c r="Z253" s="305"/>
      <c r="AA253" s="305"/>
      <c r="AB253" s="304"/>
      <c r="AC253" s="305"/>
      <c r="AD253" s="305"/>
      <c r="AE253" s="304"/>
      <c r="AF253" s="305"/>
      <c r="AG253" s="305"/>
      <c r="AH253" s="306"/>
    </row>
    <row r="254" spans="1:34" ht="75" customHeight="1" outlineLevel="1" x14ac:dyDescent="0.25">
      <c r="A254" s="742"/>
      <c r="B254" s="749" t="s">
        <v>606</v>
      </c>
      <c r="C254" s="749" t="s">
        <v>607</v>
      </c>
      <c r="D254" s="762"/>
      <c r="E254" s="767" t="s">
        <v>608</v>
      </c>
      <c r="F254" s="767" t="s">
        <v>609</v>
      </c>
      <c r="G254" s="10" t="s">
        <v>610</v>
      </c>
      <c r="H254" s="841" t="s">
        <v>611</v>
      </c>
      <c r="I254" s="274" t="s">
        <v>612</v>
      </c>
      <c r="J254" s="381">
        <v>14000000</v>
      </c>
      <c r="K254" s="298">
        <v>44593</v>
      </c>
      <c r="L254" s="298">
        <v>44925</v>
      </c>
      <c r="M254" s="298">
        <v>44652</v>
      </c>
      <c r="N254" s="299">
        <f t="shared" si="13"/>
        <v>0.17771084337349397</v>
      </c>
      <c r="O254" s="299">
        <f t="shared" si="14"/>
        <v>0.17771084337349397</v>
      </c>
      <c r="P254" s="300">
        <v>0.33</v>
      </c>
      <c r="Q254" s="851" t="s">
        <v>613</v>
      </c>
      <c r="R254" s="852"/>
      <c r="S254" s="852"/>
      <c r="T254" s="853"/>
      <c r="U254" s="353"/>
      <c r="V254" s="301"/>
      <c r="W254" s="300"/>
      <c r="X254" s="303"/>
      <c r="Y254" s="304"/>
      <c r="Z254" s="305"/>
      <c r="AA254" s="305"/>
      <c r="AB254" s="304"/>
      <c r="AC254" s="305"/>
      <c r="AD254" s="305"/>
      <c r="AE254" s="304"/>
      <c r="AF254" s="305"/>
      <c r="AG254" s="305"/>
      <c r="AH254" s="306"/>
    </row>
    <row r="255" spans="1:34" ht="56.25" customHeight="1" outlineLevel="1" x14ac:dyDescent="0.25">
      <c r="A255" s="742"/>
      <c r="B255" s="750"/>
      <c r="C255" s="750"/>
      <c r="D255" s="762"/>
      <c r="E255" s="854"/>
      <c r="F255" s="854"/>
      <c r="G255" s="10" t="s">
        <v>614</v>
      </c>
      <c r="H255" s="842"/>
      <c r="I255" s="274" t="s">
        <v>615</v>
      </c>
      <c r="J255" s="274" t="s">
        <v>59</v>
      </c>
      <c r="K255" s="298">
        <v>44593</v>
      </c>
      <c r="L255" s="298">
        <v>44925</v>
      </c>
      <c r="M255" s="298">
        <v>44652</v>
      </c>
      <c r="N255" s="299">
        <f t="shared" si="13"/>
        <v>0.17771084337349397</v>
      </c>
      <c r="O255" s="299">
        <f t="shared" si="14"/>
        <v>0.17771084337349397</v>
      </c>
      <c r="P255" s="300">
        <v>1</v>
      </c>
      <c r="Q255" s="301">
        <v>0.25</v>
      </c>
      <c r="R255" s="301">
        <v>0.5</v>
      </c>
      <c r="S255" s="301">
        <v>0.75</v>
      </c>
      <c r="T255" s="301">
        <v>1</v>
      </c>
      <c r="U255" s="301"/>
      <c r="V255" s="301"/>
      <c r="W255" s="300"/>
      <c r="X255" s="303"/>
      <c r="Y255" s="304"/>
      <c r="Z255" s="305"/>
      <c r="AA255" s="305"/>
      <c r="AB255" s="304"/>
      <c r="AC255" s="305"/>
      <c r="AD255" s="305"/>
      <c r="AE255" s="304"/>
      <c r="AF255" s="305"/>
      <c r="AG255" s="305"/>
      <c r="AH255" s="306"/>
    </row>
    <row r="256" spans="1:34" ht="75" customHeight="1" outlineLevel="1" x14ac:dyDescent="0.25">
      <c r="A256" s="742"/>
      <c r="B256" s="750"/>
      <c r="C256" s="750"/>
      <c r="D256" s="762"/>
      <c r="E256" s="854"/>
      <c r="F256" s="768"/>
      <c r="G256" s="10" t="s">
        <v>616</v>
      </c>
      <c r="H256" s="843"/>
      <c r="I256" s="274" t="s">
        <v>617</v>
      </c>
      <c r="J256" s="274" t="s">
        <v>59</v>
      </c>
      <c r="K256" s="298">
        <v>44593</v>
      </c>
      <c r="L256" s="298">
        <v>44925</v>
      </c>
      <c r="M256" s="298">
        <v>44652</v>
      </c>
      <c r="N256" s="299">
        <f t="shared" si="13"/>
        <v>0.17771084337349397</v>
      </c>
      <c r="O256" s="299">
        <f t="shared" si="14"/>
        <v>0.17771084337349397</v>
      </c>
      <c r="P256" s="300">
        <v>1</v>
      </c>
      <c r="Q256" s="301">
        <v>0.25</v>
      </c>
      <c r="R256" s="301">
        <v>0.5</v>
      </c>
      <c r="S256" s="301">
        <v>0.75</v>
      </c>
      <c r="T256" s="301">
        <v>1</v>
      </c>
      <c r="U256" s="301"/>
      <c r="V256" s="301"/>
      <c r="W256" s="300"/>
      <c r="X256" s="303"/>
      <c r="Y256" s="304"/>
      <c r="Z256" s="305"/>
      <c r="AA256" s="305"/>
      <c r="AB256" s="304"/>
      <c r="AC256" s="305"/>
      <c r="AD256" s="305"/>
      <c r="AE256" s="304"/>
      <c r="AF256" s="305"/>
      <c r="AG256" s="305"/>
      <c r="AH256" s="306"/>
    </row>
    <row r="257" spans="1:34" ht="93.75" customHeight="1" outlineLevel="1" x14ac:dyDescent="0.25">
      <c r="A257" s="742"/>
      <c r="B257" s="750"/>
      <c r="C257" s="750"/>
      <c r="D257" s="762"/>
      <c r="E257" s="854"/>
      <c r="F257" s="767" t="s">
        <v>618</v>
      </c>
      <c r="G257" s="10" t="s">
        <v>619</v>
      </c>
      <c r="H257" s="841" t="s">
        <v>620</v>
      </c>
      <c r="I257" s="274" t="s">
        <v>621</v>
      </c>
      <c r="J257" s="381">
        <v>36000000</v>
      </c>
      <c r="K257" s="298">
        <v>44593</v>
      </c>
      <c r="L257" s="298">
        <v>44925</v>
      </c>
      <c r="M257" s="298">
        <v>44652</v>
      </c>
      <c r="N257" s="299">
        <f t="shared" si="13"/>
        <v>0.17771084337349397</v>
      </c>
      <c r="O257" s="299">
        <f t="shared" si="14"/>
        <v>0.17771084337349397</v>
      </c>
      <c r="P257" s="315">
        <v>0.6</v>
      </c>
      <c r="Q257" s="309">
        <v>0.4</v>
      </c>
      <c r="R257" s="309">
        <v>0.45</v>
      </c>
      <c r="S257" s="309">
        <v>0.54</v>
      </c>
      <c r="T257" s="309">
        <v>0.6</v>
      </c>
      <c r="U257" s="309"/>
      <c r="V257" s="301"/>
      <c r="W257" s="300"/>
      <c r="X257" s="303"/>
      <c r="Y257" s="304"/>
      <c r="Z257" s="305"/>
      <c r="AA257" s="305"/>
      <c r="AB257" s="304"/>
      <c r="AC257" s="305"/>
      <c r="AD257" s="305"/>
      <c r="AE257" s="304"/>
      <c r="AF257" s="305"/>
      <c r="AG257" s="305"/>
      <c r="AH257" s="306"/>
    </row>
    <row r="258" spans="1:34" ht="168.75" customHeight="1" outlineLevel="1" x14ac:dyDescent="0.25">
      <c r="A258" s="742"/>
      <c r="B258" s="750"/>
      <c r="C258" s="750"/>
      <c r="D258" s="762"/>
      <c r="E258" s="854"/>
      <c r="F258" s="768"/>
      <c r="G258" s="10" t="s">
        <v>622</v>
      </c>
      <c r="H258" s="843"/>
      <c r="I258" s="274" t="s">
        <v>623</v>
      </c>
      <c r="J258" s="274" t="s">
        <v>59</v>
      </c>
      <c r="K258" s="298">
        <v>44593</v>
      </c>
      <c r="L258" s="298">
        <v>44925</v>
      </c>
      <c r="M258" s="298">
        <v>44652</v>
      </c>
      <c r="N258" s="299">
        <f t="shared" si="13"/>
        <v>0.17771084337349397</v>
      </c>
      <c r="O258" s="299">
        <f t="shared" si="14"/>
        <v>0.17771084337349397</v>
      </c>
      <c r="P258" s="300">
        <v>1</v>
      </c>
      <c r="Q258" s="301">
        <v>0.25</v>
      </c>
      <c r="R258" s="301">
        <v>0.5</v>
      </c>
      <c r="S258" s="301">
        <v>0.75</v>
      </c>
      <c r="T258" s="301">
        <v>1</v>
      </c>
      <c r="U258" s="301"/>
      <c r="V258" s="301"/>
      <c r="W258" s="300"/>
      <c r="X258" s="303"/>
      <c r="Y258" s="304"/>
      <c r="Z258" s="305"/>
      <c r="AA258" s="305"/>
      <c r="AB258" s="304"/>
      <c r="AC258" s="305"/>
      <c r="AD258" s="305"/>
      <c r="AE258" s="304"/>
      <c r="AF258" s="305"/>
      <c r="AG258" s="305"/>
      <c r="AH258" s="306"/>
    </row>
    <row r="259" spans="1:34" ht="150" customHeight="1" outlineLevel="1" x14ac:dyDescent="0.25">
      <c r="A259" s="742"/>
      <c r="B259" s="751"/>
      <c r="C259" s="751"/>
      <c r="D259" s="763"/>
      <c r="E259" s="768"/>
      <c r="F259" s="351" t="s">
        <v>624</v>
      </c>
      <c r="G259" s="10" t="s">
        <v>625</v>
      </c>
      <c r="H259" s="346" t="s">
        <v>626</v>
      </c>
      <c r="I259" s="274" t="s">
        <v>627</v>
      </c>
      <c r="J259" s="274" t="s">
        <v>59</v>
      </c>
      <c r="K259" s="298">
        <v>44593</v>
      </c>
      <c r="L259" s="298">
        <v>44925</v>
      </c>
      <c r="M259" s="298">
        <v>44652</v>
      </c>
      <c r="N259" s="299">
        <f t="shared" si="13"/>
        <v>0.17771084337349397</v>
      </c>
      <c r="O259" s="299">
        <f t="shared" si="14"/>
        <v>0.17771084337349397</v>
      </c>
      <c r="P259" s="300">
        <v>0.12</v>
      </c>
      <c r="Q259" s="301">
        <v>0.09</v>
      </c>
      <c r="R259" s="301">
        <v>0.1</v>
      </c>
      <c r="S259" s="301">
        <v>0.11</v>
      </c>
      <c r="T259" s="301">
        <v>0.12</v>
      </c>
      <c r="U259" s="301"/>
      <c r="V259" s="301"/>
      <c r="W259" s="300"/>
      <c r="X259" s="303"/>
      <c r="Y259" s="304"/>
      <c r="Z259" s="305"/>
      <c r="AA259" s="305"/>
      <c r="AB259" s="304"/>
      <c r="AC259" s="305"/>
      <c r="AD259" s="305"/>
      <c r="AE259" s="304"/>
      <c r="AF259" s="305"/>
      <c r="AG259" s="305"/>
      <c r="AH259" s="306"/>
    </row>
    <row r="260" spans="1:34" ht="78.45" customHeight="1" outlineLevel="1" x14ac:dyDescent="0.25">
      <c r="A260" s="742"/>
      <c r="B260" s="749" t="s">
        <v>606</v>
      </c>
      <c r="C260" s="749" t="s">
        <v>628</v>
      </c>
      <c r="D260" s="746" t="s">
        <v>6</v>
      </c>
      <c r="E260" s="835" t="s">
        <v>629</v>
      </c>
      <c r="F260" s="835" t="s">
        <v>630</v>
      </c>
      <c r="G260" s="269" t="s">
        <v>631</v>
      </c>
      <c r="H260" s="749" t="s">
        <v>632</v>
      </c>
      <c r="I260" s="274" t="s">
        <v>633</v>
      </c>
      <c r="J260" s="381">
        <v>84000000</v>
      </c>
      <c r="K260" s="298">
        <v>44593</v>
      </c>
      <c r="L260" s="298">
        <v>44925</v>
      </c>
      <c r="M260" s="298">
        <v>44652</v>
      </c>
      <c r="N260" s="299">
        <f t="shared" si="13"/>
        <v>0.17771084337349397</v>
      </c>
      <c r="O260" s="299">
        <f t="shared" si="14"/>
        <v>0.17771084337349397</v>
      </c>
      <c r="P260" s="300">
        <v>0.1</v>
      </c>
      <c r="Q260" s="301">
        <v>0.03</v>
      </c>
      <c r="R260" s="301">
        <v>0.03</v>
      </c>
      <c r="S260" s="301">
        <v>0.03</v>
      </c>
      <c r="T260" s="301">
        <v>0.03</v>
      </c>
      <c r="U260" s="301"/>
      <c r="V260" s="301"/>
      <c r="W260" s="300"/>
      <c r="X260" s="303"/>
      <c r="Y260" s="304"/>
      <c r="Z260" s="305"/>
      <c r="AA260" s="305"/>
      <c r="AB260" s="304"/>
      <c r="AC260" s="305"/>
      <c r="AD260" s="305"/>
      <c r="AE260" s="304"/>
      <c r="AF260" s="305"/>
      <c r="AG260" s="305"/>
      <c r="AH260" s="306"/>
    </row>
    <row r="261" spans="1:34" ht="75.45" customHeight="1" outlineLevel="1" x14ac:dyDescent="0.25">
      <c r="A261" s="742"/>
      <c r="B261" s="750"/>
      <c r="C261" s="750"/>
      <c r="D261" s="747"/>
      <c r="E261" s="836"/>
      <c r="F261" s="837"/>
      <c r="G261" s="269" t="s">
        <v>634</v>
      </c>
      <c r="H261" s="751"/>
      <c r="I261" s="274" t="s">
        <v>635</v>
      </c>
      <c r="J261" s="274" t="s">
        <v>59</v>
      </c>
      <c r="K261" s="298">
        <v>44593</v>
      </c>
      <c r="L261" s="298">
        <v>44925</v>
      </c>
      <c r="M261" s="298">
        <v>44652</v>
      </c>
      <c r="N261" s="299">
        <f t="shared" si="13"/>
        <v>0.17771084337349397</v>
      </c>
      <c r="O261" s="299">
        <f t="shared" si="14"/>
        <v>0.17771084337349397</v>
      </c>
      <c r="P261" s="300">
        <v>1</v>
      </c>
      <c r="Q261" s="301">
        <v>0.25</v>
      </c>
      <c r="R261" s="301">
        <v>0.5</v>
      </c>
      <c r="S261" s="301">
        <v>0.75</v>
      </c>
      <c r="T261" s="301">
        <v>1</v>
      </c>
      <c r="U261" s="301"/>
      <c r="V261" s="301"/>
      <c r="W261" s="300"/>
      <c r="X261" s="303"/>
      <c r="Y261" s="304"/>
      <c r="Z261" s="305"/>
      <c r="AA261" s="305"/>
      <c r="AB261" s="304"/>
      <c r="AC261" s="305"/>
      <c r="AD261" s="305"/>
      <c r="AE261" s="304"/>
      <c r="AF261" s="305"/>
      <c r="AG261" s="305"/>
      <c r="AH261" s="306"/>
    </row>
    <row r="262" spans="1:34" ht="93.45" customHeight="1" outlineLevel="1" x14ac:dyDescent="0.25">
      <c r="A262" s="742"/>
      <c r="B262" s="750"/>
      <c r="C262" s="750"/>
      <c r="D262" s="747"/>
      <c r="E262" s="836"/>
      <c r="F262" s="330" t="s">
        <v>636</v>
      </c>
      <c r="G262" s="269" t="s">
        <v>637</v>
      </c>
      <c r="H262" s="269" t="s">
        <v>638</v>
      </c>
      <c r="I262" s="274" t="s">
        <v>639</v>
      </c>
      <c r="J262" s="381">
        <v>49200000</v>
      </c>
      <c r="K262" s="298">
        <v>44593</v>
      </c>
      <c r="L262" s="298">
        <v>44925</v>
      </c>
      <c r="M262" s="298">
        <v>44652</v>
      </c>
      <c r="N262" s="299">
        <f t="shared" si="13"/>
        <v>0.17771084337349397</v>
      </c>
      <c r="O262" s="299">
        <f t="shared" si="14"/>
        <v>0.17771084337349397</v>
      </c>
      <c r="P262" s="300">
        <v>0.66</v>
      </c>
      <c r="Q262" s="301">
        <v>0.35</v>
      </c>
      <c r="R262" s="301">
        <v>0.45</v>
      </c>
      <c r="S262" s="301">
        <v>0.55000000000000004</v>
      </c>
      <c r="T262" s="301">
        <v>0.66</v>
      </c>
      <c r="U262" s="301"/>
      <c r="V262" s="301"/>
      <c r="W262" s="300"/>
      <c r="X262" s="303"/>
      <c r="Y262" s="304"/>
      <c r="Z262" s="305"/>
      <c r="AA262" s="305"/>
      <c r="AB262" s="304"/>
      <c r="AC262" s="305"/>
      <c r="AD262" s="305"/>
      <c r="AE262" s="304"/>
      <c r="AF262" s="305"/>
      <c r="AG262" s="305"/>
      <c r="AH262" s="306"/>
    </row>
    <row r="263" spans="1:34" ht="93.45" customHeight="1" outlineLevel="1" x14ac:dyDescent="0.25">
      <c r="A263" s="742"/>
      <c r="B263" s="750"/>
      <c r="C263" s="750"/>
      <c r="D263" s="747"/>
      <c r="E263" s="836"/>
      <c r="F263" s="835" t="s">
        <v>640</v>
      </c>
      <c r="G263" s="269" t="s">
        <v>641</v>
      </c>
      <c r="H263" s="749" t="s">
        <v>642</v>
      </c>
      <c r="I263" s="274" t="s">
        <v>643</v>
      </c>
      <c r="J263" s="381">
        <v>40000000</v>
      </c>
      <c r="K263" s="298">
        <v>44593</v>
      </c>
      <c r="L263" s="298">
        <v>44925</v>
      </c>
      <c r="M263" s="298">
        <v>44652</v>
      </c>
      <c r="N263" s="299">
        <f t="shared" si="13"/>
        <v>0.17771084337349397</v>
      </c>
      <c r="O263" s="299">
        <f t="shared" si="14"/>
        <v>0.17771084337349397</v>
      </c>
      <c r="P263" s="300">
        <v>0.33</v>
      </c>
      <c r="Q263" s="851" t="s">
        <v>644</v>
      </c>
      <c r="R263" s="852"/>
      <c r="S263" s="852"/>
      <c r="T263" s="853"/>
      <c r="U263" s="353"/>
      <c r="V263" s="301"/>
      <c r="W263" s="300"/>
      <c r="X263" s="303"/>
      <c r="Y263" s="304"/>
      <c r="Z263" s="305"/>
      <c r="AA263" s="305"/>
      <c r="AB263" s="304"/>
      <c r="AC263" s="305"/>
      <c r="AD263" s="305"/>
      <c r="AE263" s="304"/>
      <c r="AF263" s="305"/>
      <c r="AG263" s="305"/>
      <c r="AH263" s="306"/>
    </row>
    <row r="264" spans="1:34" ht="43.2" customHeight="1" outlineLevel="1" x14ac:dyDescent="0.25">
      <c r="A264" s="742"/>
      <c r="B264" s="750"/>
      <c r="C264" s="750"/>
      <c r="D264" s="747"/>
      <c r="E264" s="836"/>
      <c r="F264" s="836"/>
      <c r="G264" s="269" t="s">
        <v>645</v>
      </c>
      <c r="H264" s="750"/>
      <c r="I264" s="274" t="s">
        <v>646</v>
      </c>
      <c r="J264" s="274" t="s">
        <v>59</v>
      </c>
      <c r="K264" s="298">
        <v>44593</v>
      </c>
      <c r="L264" s="298">
        <v>44925</v>
      </c>
      <c r="M264" s="298">
        <v>44652</v>
      </c>
      <c r="N264" s="299">
        <f t="shared" si="13"/>
        <v>0.17771084337349397</v>
      </c>
      <c r="O264" s="299">
        <f t="shared" si="14"/>
        <v>0.17771084337349397</v>
      </c>
      <c r="P264" s="300">
        <v>1</v>
      </c>
      <c r="Q264" s="301">
        <v>0.25</v>
      </c>
      <c r="R264" s="301">
        <v>0.5</v>
      </c>
      <c r="S264" s="301">
        <v>0.75</v>
      </c>
      <c r="T264" s="301">
        <v>1</v>
      </c>
      <c r="U264" s="301"/>
      <c r="V264" s="301"/>
      <c r="W264" s="300"/>
      <c r="X264" s="303"/>
      <c r="Y264" s="304"/>
      <c r="Z264" s="305"/>
      <c r="AA264" s="305"/>
      <c r="AB264" s="304"/>
      <c r="AC264" s="305"/>
      <c r="AD264" s="305"/>
      <c r="AE264" s="304"/>
      <c r="AF264" s="305"/>
      <c r="AG264" s="305"/>
      <c r="AH264" s="306"/>
    </row>
    <row r="265" spans="1:34" ht="46.5" customHeight="1" outlineLevel="1" x14ac:dyDescent="0.25">
      <c r="A265" s="742"/>
      <c r="B265" s="750"/>
      <c r="C265" s="750"/>
      <c r="D265" s="747"/>
      <c r="E265" s="836"/>
      <c r="F265" s="837"/>
      <c r="G265" s="269" t="s">
        <v>647</v>
      </c>
      <c r="H265" s="751"/>
      <c r="I265" s="274" t="s">
        <v>648</v>
      </c>
      <c r="J265" s="274" t="s">
        <v>59</v>
      </c>
      <c r="K265" s="298">
        <v>44593</v>
      </c>
      <c r="L265" s="298">
        <v>44925</v>
      </c>
      <c r="M265" s="298">
        <v>44652</v>
      </c>
      <c r="N265" s="299">
        <f t="shared" si="13"/>
        <v>0.17771084337349397</v>
      </c>
      <c r="O265" s="299">
        <f t="shared" si="14"/>
        <v>0.17771084337349397</v>
      </c>
      <c r="P265" s="300">
        <v>1</v>
      </c>
      <c r="Q265" s="301">
        <v>0.25</v>
      </c>
      <c r="R265" s="301">
        <v>0.5</v>
      </c>
      <c r="S265" s="301">
        <v>0.75</v>
      </c>
      <c r="T265" s="301">
        <v>1</v>
      </c>
      <c r="U265" s="301"/>
      <c r="V265" s="301"/>
      <c r="W265" s="300"/>
      <c r="X265" s="303"/>
      <c r="Y265" s="304"/>
      <c r="Z265" s="305"/>
      <c r="AA265" s="305"/>
      <c r="AB265" s="304"/>
      <c r="AC265" s="305"/>
      <c r="AD265" s="305"/>
      <c r="AE265" s="304"/>
      <c r="AF265" s="305"/>
      <c r="AG265" s="305"/>
      <c r="AH265" s="306"/>
    </row>
    <row r="266" spans="1:34" ht="56.25" customHeight="1" outlineLevel="1" x14ac:dyDescent="0.25">
      <c r="A266" s="742"/>
      <c r="B266" s="750"/>
      <c r="C266" s="750"/>
      <c r="D266" s="747"/>
      <c r="E266" s="836"/>
      <c r="F266" s="835" t="s">
        <v>649</v>
      </c>
      <c r="G266" s="269" t="s">
        <v>650</v>
      </c>
      <c r="H266" s="344" t="s">
        <v>651</v>
      </c>
      <c r="I266" s="274" t="s">
        <v>652</v>
      </c>
      <c r="J266" s="274" t="s">
        <v>111</v>
      </c>
      <c r="K266" s="298">
        <v>44593</v>
      </c>
      <c r="L266" s="298">
        <v>44925</v>
      </c>
      <c r="M266" s="298">
        <v>44652</v>
      </c>
      <c r="N266" s="299">
        <f t="shared" si="13"/>
        <v>0.17771084337349397</v>
      </c>
      <c r="O266" s="299">
        <f t="shared" si="14"/>
        <v>0.17771084337349397</v>
      </c>
      <c r="P266" s="300">
        <v>0.1</v>
      </c>
      <c r="Q266" s="301">
        <v>0.06</v>
      </c>
      <c r="R266" s="301">
        <v>7.0000000000000007E-2</v>
      </c>
      <c r="S266" s="301">
        <v>0.08</v>
      </c>
      <c r="T266" s="301">
        <v>0.1</v>
      </c>
      <c r="U266" s="301"/>
      <c r="V266" s="301"/>
      <c r="W266" s="300"/>
      <c r="X266" s="303"/>
      <c r="Y266" s="304"/>
      <c r="Z266" s="305"/>
      <c r="AA266" s="305"/>
      <c r="AB266" s="304"/>
      <c r="AC266" s="305"/>
      <c r="AD266" s="305"/>
      <c r="AE266" s="304"/>
      <c r="AF266" s="305"/>
      <c r="AG266" s="305"/>
      <c r="AH266" s="306"/>
    </row>
    <row r="267" spans="1:34" ht="99.75" customHeight="1" outlineLevel="1" x14ac:dyDescent="0.25">
      <c r="A267" s="742"/>
      <c r="B267" s="750"/>
      <c r="C267" s="750"/>
      <c r="D267" s="747"/>
      <c r="E267" s="836"/>
      <c r="F267" s="836"/>
      <c r="G267" s="269" t="s">
        <v>653</v>
      </c>
      <c r="H267" s="749" t="s">
        <v>651</v>
      </c>
      <c r="I267" s="274" t="s">
        <v>654</v>
      </c>
      <c r="J267" s="381">
        <v>88250000</v>
      </c>
      <c r="K267" s="298">
        <v>44593</v>
      </c>
      <c r="L267" s="298">
        <v>44925</v>
      </c>
      <c r="M267" s="298">
        <v>44652</v>
      </c>
      <c r="N267" s="299">
        <f t="shared" si="13"/>
        <v>0.17771084337349397</v>
      </c>
      <c r="O267" s="299">
        <f t="shared" si="14"/>
        <v>0.17771084337349397</v>
      </c>
      <c r="P267" s="300">
        <v>1</v>
      </c>
      <c r="Q267" s="301">
        <v>0.25</v>
      </c>
      <c r="R267" s="301">
        <v>0.5</v>
      </c>
      <c r="S267" s="301">
        <v>0.75</v>
      </c>
      <c r="T267" s="301">
        <v>1</v>
      </c>
      <c r="U267" s="301"/>
      <c r="V267" s="301"/>
      <c r="W267" s="300"/>
      <c r="X267" s="303"/>
      <c r="Y267" s="304"/>
      <c r="Z267" s="305"/>
      <c r="AA267" s="305"/>
      <c r="AB267" s="304"/>
      <c r="AC267" s="305"/>
      <c r="AD267" s="305"/>
      <c r="AE267" s="304"/>
      <c r="AF267" s="305"/>
      <c r="AG267" s="305"/>
      <c r="AH267" s="306"/>
    </row>
    <row r="268" spans="1:34" ht="93.75" customHeight="1" outlineLevel="1" x14ac:dyDescent="0.25">
      <c r="A268" s="742"/>
      <c r="B268" s="750"/>
      <c r="C268" s="750"/>
      <c r="D268" s="747"/>
      <c r="E268" s="836"/>
      <c r="F268" s="836"/>
      <c r="G268" s="269" t="s">
        <v>655</v>
      </c>
      <c r="H268" s="750"/>
      <c r="I268" s="274" t="s">
        <v>654</v>
      </c>
      <c r="J268" s="274" t="s">
        <v>59</v>
      </c>
      <c r="K268" s="298">
        <v>44593</v>
      </c>
      <c r="L268" s="298">
        <v>44925</v>
      </c>
      <c r="M268" s="298">
        <v>44652</v>
      </c>
      <c r="N268" s="299">
        <f t="shared" si="13"/>
        <v>0.17771084337349397</v>
      </c>
      <c r="O268" s="299">
        <f t="shared" si="14"/>
        <v>0.17771084337349397</v>
      </c>
      <c r="P268" s="300">
        <v>1</v>
      </c>
      <c r="Q268" s="301">
        <v>0.25</v>
      </c>
      <c r="R268" s="301">
        <v>0.5</v>
      </c>
      <c r="S268" s="301">
        <v>0.75</v>
      </c>
      <c r="T268" s="301">
        <v>1</v>
      </c>
      <c r="U268" s="301"/>
      <c r="V268" s="301"/>
      <c r="W268" s="300"/>
      <c r="X268" s="303"/>
      <c r="Y268" s="304"/>
      <c r="Z268" s="305"/>
      <c r="AA268" s="305"/>
      <c r="AB268" s="304"/>
      <c r="AC268" s="305"/>
      <c r="AD268" s="305"/>
      <c r="AE268" s="304"/>
      <c r="AF268" s="305"/>
      <c r="AG268" s="305"/>
      <c r="AH268" s="306"/>
    </row>
    <row r="269" spans="1:34" ht="36.450000000000003" customHeight="1" outlineLevel="1" x14ac:dyDescent="0.25">
      <c r="A269" s="742"/>
      <c r="B269" s="750"/>
      <c r="C269" s="750"/>
      <c r="D269" s="747"/>
      <c r="E269" s="836"/>
      <c r="F269" s="836"/>
      <c r="G269" s="269" t="s">
        <v>656</v>
      </c>
      <c r="H269" s="750"/>
      <c r="I269" s="274" t="s">
        <v>657</v>
      </c>
      <c r="J269" s="381">
        <v>49000000</v>
      </c>
      <c r="K269" s="298">
        <v>44593</v>
      </c>
      <c r="L269" s="298">
        <v>44925</v>
      </c>
      <c r="M269" s="298">
        <v>44652</v>
      </c>
      <c r="N269" s="299">
        <f t="shared" si="13"/>
        <v>0.17771084337349397</v>
      </c>
      <c r="O269" s="299">
        <f t="shared" si="14"/>
        <v>0.17771084337349397</v>
      </c>
      <c r="P269" s="300">
        <v>1</v>
      </c>
      <c r="Q269" s="301">
        <v>0.25</v>
      </c>
      <c r="R269" s="301">
        <v>0.5</v>
      </c>
      <c r="S269" s="301">
        <v>0.75</v>
      </c>
      <c r="T269" s="301">
        <v>1</v>
      </c>
      <c r="U269" s="301"/>
      <c r="V269" s="301"/>
      <c r="W269" s="300"/>
      <c r="X269" s="303"/>
      <c r="Y269" s="304"/>
      <c r="Z269" s="305"/>
      <c r="AA269" s="305"/>
      <c r="AB269" s="304"/>
      <c r="AC269" s="305"/>
      <c r="AD269" s="305"/>
      <c r="AE269" s="304"/>
      <c r="AF269" s="305"/>
      <c r="AG269" s="305"/>
      <c r="AH269" s="306"/>
    </row>
    <row r="270" spans="1:34" ht="75" customHeight="1" outlineLevel="1" x14ac:dyDescent="0.25">
      <c r="A270" s="742"/>
      <c r="B270" s="750"/>
      <c r="C270" s="750"/>
      <c r="D270" s="747"/>
      <c r="E270" s="836"/>
      <c r="F270" s="836"/>
      <c r="G270" s="269" t="s">
        <v>658</v>
      </c>
      <c r="H270" s="750"/>
      <c r="I270" s="274" t="s">
        <v>659</v>
      </c>
      <c r="J270" s="274" t="s">
        <v>59</v>
      </c>
      <c r="K270" s="298">
        <v>44593</v>
      </c>
      <c r="L270" s="298">
        <v>44925</v>
      </c>
      <c r="M270" s="298">
        <v>44652</v>
      </c>
      <c r="N270" s="299">
        <f t="shared" si="13"/>
        <v>0.17771084337349397</v>
      </c>
      <c r="O270" s="299">
        <f t="shared" si="14"/>
        <v>0.17771084337349397</v>
      </c>
      <c r="P270" s="300">
        <v>1</v>
      </c>
      <c r="Q270" s="301">
        <v>0.25</v>
      </c>
      <c r="R270" s="301">
        <v>0.5</v>
      </c>
      <c r="S270" s="301">
        <v>0.75</v>
      </c>
      <c r="T270" s="301">
        <v>1</v>
      </c>
      <c r="U270" s="301"/>
      <c r="V270" s="301"/>
      <c r="W270" s="300"/>
      <c r="X270" s="303"/>
      <c r="Y270" s="304"/>
      <c r="Z270" s="305"/>
      <c r="AA270" s="305"/>
      <c r="AB270" s="304"/>
      <c r="AC270" s="305"/>
      <c r="AD270" s="305"/>
      <c r="AE270" s="304"/>
      <c r="AF270" s="305"/>
      <c r="AG270" s="305"/>
      <c r="AH270" s="306"/>
    </row>
    <row r="271" spans="1:34" ht="46.5" customHeight="1" outlineLevel="1" x14ac:dyDescent="0.25">
      <c r="A271" s="742"/>
      <c r="B271" s="750"/>
      <c r="C271" s="750"/>
      <c r="D271" s="747"/>
      <c r="E271" s="836"/>
      <c r="F271" s="836"/>
      <c r="G271" s="269" t="s">
        <v>660</v>
      </c>
      <c r="H271" s="750"/>
      <c r="I271" s="274" t="s">
        <v>661</v>
      </c>
      <c r="J271" s="381">
        <v>62300000</v>
      </c>
      <c r="K271" s="298">
        <v>44593</v>
      </c>
      <c r="L271" s="298">
        <v>44925</v>
      </c>
      <c r="M271" s="298">
        <v>44652</v>
      </c>
      <c r="N271" s="299">
        <f t="shared" si="13"/>
        <v>0.17771084337349397</v>
      </c>
      <c r="O271" s="299">
        <f t="shared" si="14"/>
        <v>0.17771084337349397</v>
      </c>
      <c r="P271" s="300">
        <v>1</v>
      </c>
      <c r="Q271" s="301">
        <v>0.25</v>
      </c>
      <c r="R271" s="301">
        <v>0.5</v>
      </c>
      <c r="S271" s="301">
        <v>0.75</v>
      </c>
      <c r="T271" s="301">
        <v>1</v>
      </c>
      <c r="U271" s="301"/>
      <c r="V271" s="301"/>
      <c r="W271" s="300"/>
      <c r="X271" s="303"/>
      <c r="Y271" s="304"/>
      <c r="Z271" s="305"/>
      <c r="AA271" s="305"/>
      <c r="AB271" s="304"/>
      <c r="AC271" s="305"/>
      <c r="AD271" s="305"/>
      <c r="AE271" s="304"/>
      <c r="AF271" s="305"/>
      <c r="AG271" s="305"/>
      <c r="AH271" s="306"/>
    </row>
    <row r="272" spans="1:34" ht="46.5" customHeight="1" outlineLevel="1" x14ac:dyDescent="0.25">
      <c r="A272" s="742"/>
      <c r="B272" s="750"/>
      <c r="C272" s="750"/>
      <c r="D272" s="747"/>
      <c r="E272" s="836"/>
      <c r="F272" s="836"/>
      <c r="G272" s="269" t="s">
        <v>662</v>
      </c>
      <c r="H272" s="750"/>
      <c r="I272" s="274" t="s">
        <v>661</v>
      </c>
      <c r="J272" s="274" t="s">
        <v>59</v>
      </c>
      <c r="K272" s="298">
        <v>44593</v>
      </c>
      <c r="L272" s="298">
        <v>44925</v>
      </c>
      <c r="M272" s="298">
        <v>44652</v>
      </c>
      <c r="N272" s="299">
        <f t="shared" si="13"/>
        <v>0.17771084337349397</v>
      </c>
      <c r="O272" s="299">
        <f t="shared" si="14"/>
        <v>0.17771084337349397</v>
      </c>
      <c r="P272" s="300">
        <v>1</v>
      </c>
      <c r="Q272" s="301">
        <v>0.25</v>
      </c>
      <c r="R272" s="301">
        <v>0.5</v>
      </c>
      <c r="S272" s="301">
        <v>0.75</v>
      </c>
      <c r="T272" s="301">
        <v>1</v>
      </c>
      <c r="U272" s="301"/>
      <c r="V272" s="301"/>
      <c r="W272" s="300"/>
      <c r="X272" s="303"/>
      <c r="Y272" s="304"/>
      <c r="Z272" s="305"/>
      <c r="AA272" s="305"/>
      <c r="AB272" s="304"/>
      <c r="AC272" s="305"/>
      <c r="AD272" s="305"/>
      <c r="AE272" s="304"/>
      <c r="AF272" s="305"/>
      <c r="AG272" s="305"/>
      <c r="AH272" s="306"/>
    </row>
    <row r="273" spans="1:34" ht="54.45" customHeight="1" outlineLevel="1" x14ac:dyDescent="0.25">
      <c r="A273" s="742"/>
      <c r="B273" s="750"/>
      <c r="C273" s="750"/>
      <c r="D273" s="747"/>
      <c r="E273" s="836"/>
      <c r="F273" s="836"/>
      <c r="G273" s="269" t="s">
        <v>663</v>
      </c>
      <c r="H273" s="750"/>
      <c r="I273" s="274" t="s">
        <v>661</v>
      </c>
      <c r="J273" s="274" t="s">
        <v>59</v>
      </c>
      <c r="K273" s="298">
        <v>44593</v>
      </c>
      <c r="L273" s="298">
        <v>44925</v>
      </c>
      <c r="M273" s="298">
        <v>44652</v>
      </c>
      <c r="N273" s="299">
        <f t="shared" si="13"/>
        <v>0.17771084337349397</v>
      </c>
      <c r="O273" s="299">
        <f t="shared" si="14"/>
        <v>0.17771084337349397</v>
      </c>
      <c r="P273" s="300">
        <v>1</v>
      </c>
      <c r="Q273" s="301">
        <v>0.25</v>
      </c>
      <c r="R273" s="301">
        <v>0.5</v>
      </c>
      <c r="S273" s="301">
        <v>0.75</v>
      </c>
      <c r="T273" s="301">
        <v>1</v>
      </c>
      <c r="U273" s="301"/>
      <c r="V273" s="301"/>
      <c r="W273" s="300"/>
      <c r="X273" s="303"/>
      <c r="Y273" s="304"/>
      <c r="Z273" s="305"/>
      <c r="AA273" s="305"/>
      <c r="AB273" s="304"/>
      <c r="AC273" s="305"/>
      <c r="AD273" s="305"/>
      <c r="AE273" s="304"/>
      <c r="AF273" s="305"/>
      <c r="AG273" s="305"/>
      <c r="AH273" s="306"/>
    </row>
    <row r="274" spans="1:34" ht="56.25" customHeight="1" outlineLevel="1" x14ac:dyDescent="0.25">
      <c r="A274" s="742"/>
      <c r="B274" s="750"/>
      <c r="C274" s="750"/>
      <c r="D274" s="747"/>
      <c r="E274" s="836"/>
      <c r="F274" s="836"/>
      <c r="G274" s="269" t="s">
        <v>664</v>
      </c>
      <c r="H274" s="750"/>
      <c r="I274" s="274"/>
      <c r="J274" s="274" t="s">
        <v>59</v>
      </c>
      <c r="K274" s="298">
        <v>44593</v>
      </c>
      <c r="L274" s="298">
        <v>44925</v>
      </c>
      <c r="M274" s="298">
        <v>44652</v>
      </c>
      <c r="N274" s="299">
        <f t="shared" si="13"/>
        <v>0.17771084337349397</v>
      </c>
      <c r="O274" s="299">
        <f t="shared" si="14"/>
        <v>0.17771084337349397</v>
      </c>
      <c r="P274" s="300">
        <v>1</v>
      </c>
      <c r="Q274" s="301">
        <v>0.25</v>
      </c>
      <c r="R274" s="301">
        <v>0.5</v>
      </c>
      <c r="S274" s="301">
        <v>0.75</v>
      </c>
      <c r="T274" s="301">
        <v>1</v>
      </c>
      <c r="U274" s="301"/>
      <c r="V274" s="301"/>
      <c r="W274" s="300"/>
      <c r="X274" s="303"/>
      <c r="Y274" s="304"/>
      <c r="Z274" s="305"/>
      <c r="AA274" s="305"/>
      <c r="AB274" s="304"/>
      <c r="AC274" s="305"/>
      <c r="AD274" s="305"/>
      <c r="AE274" s="304"/>
      <c r="AF274" s="305"/>
      <c r="AG274" s="305"/>
      <c r="AH274" s="306"/>
    </row>
    <row r="275" spans="1:34" ht="46.5" customHeight="1" outlineLevel="1" x14ac:dyDescent="0.25">
      <c r="A275" s="742"/>
      <c r="B275" s="750"/>
      <c r="C275" s="750"/>
      <c r="D275" s="747"/>
      <c r="E275" s="836"/>
      <c r="F275" s="836"/>
      <c r="G275" s="269" t="s">
        <v>665</v>
      </c>
      <c r="H275" s="750"/>
      <c r="I275" s="274" t="s">
        <v>666</v>
      </c>
      <c r="J275" s="381">
        <v>14000000</v>
      </c>
      <c r="K275" s="298">
        <v>44593</v>
      </c>
      <c r="L275" s="298">
        <v>44925</v>
      </c>
      <c r="M275" s="298">
        <v>44652</v>
      </c>
      <c r="N275" s="299">
        <f t="shared" si="13"/>
        <v>0.17771084337349397</v>
      </c>
      <c r="O275" s="299">
        <f t="shared" si="14"/>
        <v>0.17771084337349397</v>
      </c>
      <c r="P275" s="300">
        <v>1</v>
      </c>
      <c r="Q275" s="301">
        <v>0.25</v>
      </c>
      <c r="R275" s="301">
        <v>0.5</v>
      </c>
      <c r="S275" s="301">
        <v>0.75</v>
      </c>
      <c r="T275" s="301">
        <v>1</v>
      </c>
      <c r="U275" s="301"/>
      <c r="V275" s="301"/>
      <c r="W275" s="300"/>
      <c r="X275" s="303"/>
      <c r="Y275" s="304"/>
      <c r="Z275" s="305"/>
      <c r="AA275" s="305"/>
      <c r="AB275" s="304"/>
      <c r="AC275" s="305"/>
      <c r="AD275" s="305"/>
      <c r="AE275" s="304"/>
      <c r="AF275" s="305"/>
      <c r="AG275" s="305"/>
      <c r="AH275" s="306"/>
    </row>
    <row r="276" spans="1:34" ht="43.2" customHeight="1" outlineLevel="1" x14ac:dyDescent="0.25">
      <c r="A276" s="742"/>
      <c r="B276" s="750"/>
      <c r="C276" s="750"/>
      <c r="D276" s="747"/>
      <c r="E276" s="836"/>
      <c r="F276" s="836"/>
      <c r="G276" s="269" t="s">
        <v>667</v>
      </c>
      <c r="H276" s="750"/>
      <c r="I276" s="274"/>
      <c r="J276" s="381">
        <v>59000000</v>
      </c>
      <c r="K276" s="298">
        <v>44593</v>
      </c>
      <c r="L276" s="298">
        <v>44925</v>
      </c>
      <c r="M276" s="298">
        <v>44652</v>
      </c>
      <c r="N276" s="299">
        <f t="shared" si="13"/>
        <v>0.17771084337349397</v>
      </c>
      <c r="O276" s="299">
        <f t="shared" si="14"/>
        <v>0.17771084337349397</v>
      </c>
      <c r="P276" s="300">
        <v>1</v>
      </c>
      <c r="Q276" s="301">
        <v>0.25</v>
      </c>
      <c r="R276" s="301">
        <v>0.5</v>
      </c>
      <c r="S276" s="301">
        <v>0.75</v>
      </c>
      <c r="T276" s="301">
        <v>1</v>
      </c>
      <c r="U276" s="301"/>
      <c r="V276" s="301"/>
      <c r="W276" s="300"/>
      <c r="X276" s="303"/>
      <c r="Y276" s="304"/>
      <c r="Z276" s="305"/>
      <c r="AA276" s="305"/>
      <c r="AB276" s="304"/>
      <c r="AC276" s="305"/>
      <c r="AD276" s="305"/>
      <c r="AE276" s="304"/>
      <c r="AF276" s="305"/>
      <c r="AG276" s="305"/>
      <c r="AH276" s="306"/>
    </row>
    <row r="277" spans="1:34" ht="94.5" customHeight="1" outlineLevel="1" x14ac:dyDescent="0.25">
      <c r="A277" s="742"/>
      <c r="B277" s="750"/>
      <c r="C277" s="750"/>
      <c r="D277" s="747"/>
      <c r="E277" s="836"/>
      <c r="F277" s="836"/>
      <c r="G277" s="269" t="s">
        <v>668</v>
      </c>
      <c r="H277" s="750"/>
      <c r="I277" s="274"/>
      <c r="J277" s="381">
        <v>42000000</v>
      </c>
      <c r="K277" s="298">
        <v>44593</v>
      </c>
      <c r="L277" s="298">
        <v>44925</v>
      </c>
      <c r="M277" s="298">
        <v>44652</v>
      </c>
      <c r="N277" s="299">
        <f t="shared" si="13"/>
        <v>0.17771084337349397</v>
      </c>
      <c r="O277" s="299">
        <f t="shared" si="14"/>
        <v>0.17771084337349397</v>
      </c>
      <c r="P277" s="300">
        <v>1</v>
      </c>
      <c r="Q277" s="301">
        <v>0.25</v>
      </c>
      <c r="R277" s="301">
        <v>0.5</v>
      </c>
      <c r="S277" s="301">
        <v>0.75</v>
      </c>
      <c r="T277" s="301">
        <v>1</v>
      </c>
      <c r="U277" s="301"/>
      <c r="V277" s="301"/>
      <c r="W277" s="300"/>
      <c r="X277" s="303"/>
      <c r="Y277" s="304"/>
      <c r="Z277" s="305"/>
      <c r="AA277" s="305"/>
      <c r="AB277" s="304"/>
      <c r="AC277" s="305"/>
      <c r="AD277" s="305"/>
      <c r="AE277" s="304"/>
      <c r="AF277" s="305"/>
      <c r="AG277" s="305"/>
      <c r="AH277" s="306"/>
    </row>
    <row r="278" spans="1:34" ht="112.5" customHeight="1" outlineLevel="1" x14ac:dyDescent="0.25">
      <c r="A278" s="742"/>
      <c r="B278" s="750"/>
      <c r="C278" s="750"/>
      <c r="D278" s="747"/>
      <c r="E278" s="836"/>
      <c r="F278" s="836"/>
      <c r="G278" s="269" t="s">
        <v>669</v>
      </c>
      <c r="H278" s="750"/>
      <c r="I278" s="274"/>
      <c r="J278" s="381">
        <v>51500000</v>
      </c>
      <c r="K278" s="298">
        <v>44593</v>
      </c>
      <c r="L278" s="298">
        <v>44925</v>
      </c>
      <c r="M278" s="298">
        <v>44652</v>
      </c>
      <c r="N278" s="299">
        <f t="shared" si="13"/>
        <v>0.17771084337349397</v>
      </c>
      <c r="O278" s="299">
        <f t="shared" si="14"/>
        <v>0.17771084337349397</v>
      </c>
      <c r="P278" s="300">
        <v>1</v>
      </c>
      <c r="Q278" s="301">
        <v>0.25</v>
      </c>
      <c r="R278" s="301">
        <v>0.5</v>
      </c>
      <c r="S278" s="301">
        <v>0.75</v>
      </c>
      <c r="T278" s="301">
        <v>1</v>
      </c>
      <c r="U278" s="301"/>
      <c r="V278" s="301"/>
      <c r="W278" s="300"/>
      <c r="X278" s="303"/>
      <c r="Y278" s="304"/>
      <c r="Z278" s="305"/>
      <c r="AA278" s="305"/>
      <c r="AB278" s="304"/>
      <c r="AC278" s="305"/>
      <c r="AD278" s="305"/>
      <c r="AE278" s="304"/>
      <c r="AF278" s="305"/>
      <c r="AG278" s="305"/>
      <c r="AH278" s="306"/>
    </row>
    <row r="279" spans="1:34" ht="36.450000000000003" customHeight="1" outlineLevel="1" x14ac:dyDescent="0.25">
      <c r="A279" s="742"/>
      <c r="B279" s="750"/>
      <c r="C279" s="751"/>
      <c r="D279" s="747"/>
      <c r="E279" s="837"/>
      <c r="F279" s="837"/>
      <c r="G279" s="269" t="s">
        <v>670</v>
      </c>
      <c r="H279" s="751"/>
      <c r="I279" s="274"/>
      <c r="J279" s="274" t="s">
        <v>59</v>
      </c>
      <c r="K279" s="298">
        <v>44593</v>
      </c>
      <c r="L279" s="298">
        <v>44925</v>
      </c>
      <c r="M279" s="298">
        <v>44652</v>
      </c>
      <c r="N279" s="299">
        <f t="shared" si="13"/>
        <v>0.17771084337349397</v>
      </c>
      <c r="O279" s="299">
        <f t="shared" si="14"/>
        <v>0.17771084337349397</v>
      </c>
      <c r="P279" s="300">
        <v>1</v>
      </c>
      <c r="Q279" s="301">
        <v>0.25</v>
      </c>
      <c r="R279" s="301">
        <v>0.5</v>
      </c>
      <c r="S279" s="301">
        <v>0.75</v>
      </c>
      <c r="T279" s="301">
        <v>1</v>
      </c>
      <c r="U279" s="301"/>
      <c r="V279" s="301"/>
      <c r="W279" s="300"/>
      <c r="X279" s="303"/>
      <c r="Y279" s="304"/>
      <c r="Z279" s="305"/>
      <c r="AA279" s="305"/>
      <c r="AB279" s="304"/>
      <c r="AC279" s="305"/>
      <c r="AD279" s="305"/>
      <c r="AE279" s="304"/>
      <c r="AF279" s="305"/>
      <c r="AG279" s="305"/>
      <c r="AH279" s="306"/>
    </row>
    <row r="280" spans="1:34" ht="36.450000000000003" customHeight="1" outlineLevel="1" x14ac:dyDescent="0.25">
      <c r="A280" s="742"/>
      <c r="B280" s="269" t="s">
        <v>194</v>
      </c>
      <c r="C280" s="269" t="s">
        <v>202</v>
      </c>
      <c r="D280" s="748"/>
      <c r="E280" s="331" t="s">
        <v>671</v>
      </c>
      <c r="F280" s="356" t="s">
        <v>672</v>
      </c>
      <c r="G280" s="269" t="s">
        <v>673</v>
      </c>
      <c r="H280" s="269" t="s">
        <v>674</v>
      </c>
      <c r="I280" s="274" t="s">
        <v>675</v>
      </c>
      <c r="J280" s="274" t="s">
        <v>59</v>
      </c>
      <c r="K280" s="298">
        <v>44593</v>
      </c>
      <c r="L280" s="298">
        <v>44925</v>
      </c>
      <c r="M280" s="298">
        <v>44652</v>
      </c>
      <c r="N280" s="299">
        <f t="shared" si="13"/>
        <v>0.17771084337349397</v>
      </c>
      <c r="O280" s="299">
        <f>+IF(N280&gt;=100,100,IF(N280&lt;=0,0,N280))</f>
        <v>0.17771084337349397</v>
      </c>
      <c r="P280" s="300">
        <v>0.5</v>
      </c>
      <c r="Q280" s="301">
        <v>0.3</v>
      </c>
      <c r="R280" s="301">
        <v>0.35</v>
      </c>
      <c r="S280" s="301">
        <v>0.34</v>
      </c>
      <c r="T280" s="301">
        <v>0.5</v>
      </c>
      <c r="U280" s="316"/>
      <c r="V280" s="301"/>
      <c r="W280" s="300"/>
      <c r="X280" s="303"/>
      <c r="Y280" s="304"/>
      <c r="Z280" s="305"/>
      <c r="AA280" s="305"/>
      <c r="AB280" s="304"/>
      <c r="AC280" s="305"/>
      <c r="AD280" s="305"/>
      <c r="AE280" s="304"/>
      <c r="AF280" s="305"/>
      <c r="AG280" s="305"/>
      <c r="AH280" s="306"/>
    </row>
    <row r="281" spans="1:34" ht="70.2" customHeight="1" outlineLevel="1" x14ac:dyDescent="0.25">
      <c r="A281" s="742"/>
      <c r="B281" s="749" t="s">
        <v>51</v>
      </c>
      <c r="C281" s="749" t="s">
        <v>676</v>
      </c>
      <c r="D281" s="758" t="s">
        <v>7</v>
      </c>
      <c r="E281" s="267" t="s">
        <v>677</v>
      </c>
      <c r="F281" s="267" t="s">
        <v>678</v>
      </c>
      <c r="G281" s="264" t="s">
        <v>679</v>
      </c>
      <c r="H281" s="264" t="s">
        <v>680</v>
      </c>
      <c r="I281" s="12" t="s">
        <v>681</v>
      </c>
      <c r="J281" s="381">
        <v>250000000</v>
      </c>
      <c r="K281" s="298">
        <v>44593</v>
      </c>
      <c r="L281" s="298">
        <v>44925</v>
      </c>
      <c r="M281" s="298">
        <v>44652</v>
      </c>
      <c r="N281" s="299">
        <f t="shared" si="13"/>
        <v>0.17771084337349397</v>
      </c>
      <c r="O281" s="299">
        <f t="shared" si="14"/>
        <v>0.17771084337349397</v>
      </c>
      <c r="P281" s="300">
        <v>0.6</v>
      </c>
      <c r="Q281" s="301">
        <v>0.3</v>
      </c>
      <c r="R281" s="301">
        <v>0.4</v>
      </c>
      <c r="S281" s="301">
        <v>0.5</v>
      </c>
      <c r="T281" s="301">
        <v>0.6</v>
      </c>
      <c r="U281" s="301"/>
      <c r="V281" s="301"/>
      <c r="W281" s="300"/>
      <c r="X281" s="303"/>
      <c r="Y281" s="304"/>
      <c r="Z281" s="305"/>
      <c r="AA281" s="305"/>
      <c r="AB281" s="304"/>
      <c r="AC281" s="305"/>
      <c r="AD281" s="305"/>
      <c r="AE281" s="304"/>
      <c r="AF281" s="305"/>
      <c r="AG281" s="305"/>
      <c r="AH281" s="306"/>
    </row>
    <row r="282" spans="1:34" ht="70.2" customHeight="1" outlineLevel="1" x14ac:dyDescent="0.25">
      <c r="A282" s="742"/>
      <c r="B282" s="750"/>
      <c r="C282" s="750"/>
      <c r="D282" s="759"/>
      <c r="E282" s="858" t="s">
        <v>682</v>
      </c>
      <c r="F282" s="858" t="s">
        <v>147</v>
      </c>
      <c r="G282" s="264" t="s">
        <v>683</v>
      </c>
      <c r="H282" s="930" t="s">
        <v>149</v>
      </c>
      <c r="I282" s="12" t="s">
        <v>684</v>
      </c>
      <c r="J282" s="381">
        <v>190556437.5</v>
      </c>
      <c r="K282" s="298">
        <v>44593</v>
      </c>
      <c r="L282" s="298">
        <v>44925</v>
      </c>
      <c r="M282" s="298">
        <v>44652</v>
      </c>
      <c r="N282" s="299">
        <f t="shared" si="13"/>
        <v>0.17771084337349397</v>
      </c>
      <c r="O282" s="299">
        <f t="shared" ref="O282:O283" si="15">+IF(N282&gt;=100,100,IF(N282&lt;=0,0,N282))</f>
        <v>0.17771084337349397</v>
      </c>
      <c r="P282" s="300">
        <v>1</v>
      </c>
      <c r="Q282" s="301">
        <v>0.25</v>
      </c>
      <c r="R282" s="301">
        <v>0.5</v>
      </c>
      <c r="S282" s="301">
        <v>0.75</v>
      </c>
      <c r="T282" s="301">
        <v>1</v>
      </c>
      <c r="U282" s="301"/>
      <c r="V282" s="301"/>
      <c r="W282" s="300"/>
      <c r="X282" s="303"/>
      <c r="Y282" s="304"/>
      <c r="Z282" s="305"/>
      <c r="AA282" s="305"/>
      <c r="AB282" s="304"/>
      <c r="AC282" s="305"/>
      <c r="AD282" s="305"/>
      <c r="AE282" s="304"/>
      <c r="AF282" s="305"/>
      <c r="AG282" s="305"/>
      <c r="AH282" s="306"/>
    </row>
    <row r="283" spans="1:34" ht="70.2" customHeight="1" outlineLevel="1" x14ac:dyDescent="0.25">
      <c r="A283" s="742"/>
      <c r="B283" s="750"/>
      <c r="C283" s="750"/>
      <c r="D283" s="759"/>
      <c r="E283" s="859"/>
      <c r="F283" s="859"/>
      <c r="G283" s="264" t="s">
        <v>685</v>
      </c>
      <c r="H283" s="931"/>
      <c r="I283" s="12" t="s">
        <v>686</v>
      </c>
      <c r="J283" s="381">
        <v>76222575</v>
      </c>
      <c r="K283" s="298">
        <v>44593</v>
      </c>
      <c r="L283" s="298">
        <v>44925</v>
      </c>
      <c r="M283" s="298">
        <v>44652</v>
      </c>
      <c r="N283" s="299">
        <f t="shared" si="13"/>
        <v>0.17771084337349397</v>
      </c>
      <c r="O283" s="299">
        <f t="shared" si="15"/>
        <v>0.17771084337349397</v>
      </c>
      <c r="P283" s="300">
        <v>1</v>
      </c>
      <c r="Q283" s="301">
        <v>0.25</v>
      </c>
      <c r="R283" s="301">
        <v>0.5</v>
      </c>
      <c r="S283" s="301">
        <v>0.75</v>
      </c>
      <c r="T283" s="301">
        <v>1</v>
      </c>
      <c r="U283" s="301"/>
      <c r="V283" s="301"/>
      <c r="W283" s="300"/>
      <c r="X283" s="303"/>
      <c r="Y283" s="304"/>
      <c r="Z283" s="305"/>
      <c r="AA283" s="305"/>
      <c r="AB283" s="304"/>
      <c r="AC283" s="305"/>
      <c r="AD283" s="305"/>
      <c r="AE283" s="304"/>
      <c r="AF283" s="305"/>
      <c r="AG283" s="305"/>
      <c r="AH283" s="306"/>
    </row>
    <row r="284" spans="1:34" ht="90" customHeight="1" outlineLevel="1" x14ac:dyDescent="0.25">
      <c r="A284" s="742"/>
      <c r="B284" s="750"/>
      <c r="C284" s="750"/>
      <c r="D284" s="759"/>
      <c r="E284" s="858" t="s">
        <v>687</v>
      </c>
      <c r="F284" s="858" t="s">
        <v>688</v>
      </c>
      <c r="G284" s="264" t="s">
        <v>689</v>
      </c>
      <c r="H284" s="264" t="s">
        <v>690</v>
      </c>
      <c r="I284" s="12" t="s">
        <v>337</v>
      </c>
      <c r="J284" s="12" t="s">
        <v>337</v>
      </c>
      <c r="K284" s="298">
        <v>44593</v>
      </c>
      <c r="L284" s="298">
        <v>44925</v>
      </c>
      <c r="M284" s="298">
        <v>44652</v>
      </c>
      <c r="N284" s="299">
        <f t="shared" si="13"/>
        <v>0.17771084337349397</v>
      </c>
      <c r="O284" s="299">
        <f t="shared" si="14"/>
        <v>0.17771084337349397</v>
      </c>
      <c r="P284" s="300">
        <v>1</v>
      </c>
      <c r="Q284" s="301">
        <v>0.35</v>
      </c>
      <c r="R284" s="301">
        <v>0.45</v>
      </c>
      <c r="S284" s="301">
        <v>0.55000000000000004</v>
      </c>
      <c r="T284" s="301">
        <v>0.6</v>
      </c>
      <c r="U284" s="301">
        <v>0.4</v>
      </c>
      <c r="V284" s="301"/>
      <c r="W284" s="300"/>
      <c r="X284" s="303"/>
      <c r="Y284" s="304"/>
      <c r="Z284" s="305"/>
      <c r="AA284" s="305"/>
      <c r="AB284" s="304"/>
      <c r="AC284" s="305"/>
      <c r="AD284" s="305"/>
      <c r="AE284" s="304"/>
      <c r="AF284" s="305"/>
      <c r="AG284" s="305"/>
      <c r="AH284" s="306"/>
    </row>
    <row r="285" spans="1:34" ht="90" customHeight="1" outlineLevel="1" x14ac:dyDescent="0.25">
      <c r="A285" s="742"/>
      <c r="B285" s="750"/>
      <c r="C285" s="751"/>
      <c r="D285" s="759"/>
      <c r="E285" s="859"/>
      <c r="F285" s="859"/>
      <c r="G285" s="264" t="s">
        <v>691</v>
      </c>
      <c r="H285" s="264" t="s">
        <v>692</v>
      </c>
      <c r="I285" s="12" t="s">
        <v>693</v>
      </c>
      <c r="J285" s="12" t="s">
        <v>337</v>
      </c>
      <c r="K285" s="298">
        <v>44593</v>
      </c>
      <c r="L285" s="298">
        <v>44925</v>
      </c>
      <c r="M285" s="298">
        <v>44652</v>
      </c>
      <c r="N285" s="299">
        <f t="shared" si="13"/>
        <v>0.17771084337349397</v>
      </c>
      <c r="O285" s="299">
        <f t="shared" ref="O285" si="16">+IF(N285&gt;=100,100,IF(N285&lt;=0,0,N285))</f>
        <v>0.17771084337349397</v>
      </c>
      <c r="P285" s="300">
        <v>0.6</v>
      </c>
      <c r="Q285" s="301">
        <v>0.35</v>
      </c>
      <c r="R285" s="301">
        <v>0.45</v>
      </c>
      <c r="S285" s="301">
        <v>0.55000000000000004</v>
      </c>
      <c r="T285" s="301">
        <v>0.6</v>
      </c>
      <c r="U285" s="301"/>
      <c r="V285" s="301"/>
      <c r="W285" s="300"/>
      <c r="X285" s="303"/>
      <c r="Y285" s="304"/>
      <c r="Z285" s="305"/>
      <c r="AA285" s="305"/>
      <c r="AB285" s="304"/>
      <c r="AC285" s="305"/>
      <c r="AD285" s="305"/>
      <c r="AE285" s="304"/>
      <c r="AF285" s="305"/>
      <c r="AG285" s="305"/>
      <c r="AH285" s="306"/>
    </row>
    <row r="286" spans="1:34" ht="77.55" customHeight="1" outlineLevel="1" x14ac:dyDescent="0.25">
      <c r="A286" s="742"/>
      <c r="B286" s="750"/>
      <c r="C286" s="749" t="s">
        <v>607</v>
      </c>
      <c r="D286" s="759"/>
      <c r="E286" s="858" t="s">
        <v>186</v>
      </c>
      <c r="F286" s="267" t="s">
        <v>694</v>
      </c>
      <c r="G286" s="264" t="s">
        <v>337</v>
      </c>
      <c r="H286" s="264" t="s">
        <v>189</v>
      </c>
      <c r="I286" s="274" t="s">
        <v>695</v>
      </c>
      <c r="J286" s="12" t="s">
        <v>337</v>
      </c>
      <c r="K286" s="298">
        <v>44593</v>
      </c>
      <c r="L286" s="298">
        <v>44925</v>
      </c>
      <c r="M286" s="298">
        <v>44652</v>
      </c>
      <c r="N286" s="299">
        <f t="shared" si="13"/>
        <v>0.17771084337349397</v>
      </c>
      <c r="O286" s="299">
        <f t="shared" si="14"/>
        <v>0.17771084337349397</v>
      </c>
      <c r="P286" s="317">
        <v>0.25</v>
      </c>
      <c r="Q286" s="301">
        <v>0.12</v>
      </c>
      <c r="R286" s="301">
        <v>0.18</v>
      </c>
      <c r="S286" s="301">
        <v>0.21</v>
      </c>
      <c r="T286" s="301">
        <v>0.25</v>
      </c>
      <c r="U286" s="301"/>
      <c r="V286" s="301"/>
      <c r="W286" s="300"/>
      <c r="X286" s="303"/>
      <c r="Y286" s="304"/>
      <c r="Z286" s="305"/>
      <c r="AA286" s="305"/>
      <c r="AB286" s="304"/>
      <c r="AC286" s="305"/>
      <c r="AD286" s="305"/>
      <c r="AE286" s="304"/>
      <c r="AF286" s="305"/>
      <c r="AG286" s="305"/>
      <c r="AH286" s="306"/>
    </row>
    <row r="287" spans="1:34" ht="77.55" customHeight="1" outlineLevel="1" x14ac:dyDescent="0.25">
      <c r="A287" s="742"/>
      <c r="B287" s="751"/>
      <c r="C287" s="751"/>
      <c r="D287" s="759"/>
      <c r="E287" s="859"/>
      <c r="F287" s="267" t="s">
        <v>696</v>
      </c>
      <c r="G287" s="264" t="s">
        <v>337</v>
      </c>
      <c r="H287" s="264" t="s">
        <v>199</v>
      </c>
      <c r="I287" s="274" t="s">
        <v>337</v>
      </c>
      <c r="J287" s="12" t="s">
        <v>337</v>
      </c>
      <c r="K287" s="298">
        <v>44593</v>
      </c>
      <c r="L287" s="298">
        <v>44925</v>
      </c>
      <c r="M287" s="298">
        <v>44652</v>
      </c>
      <c r="N287" s="299">
        <f t="shared" si="13"/>
        <v>0.17771084337349397</v>
      </c>
      <c r="O287" s="299">
        <f t="shared" si="14"/>
        <v>0.17771084337349397</v>
      </c>
      <c r="P287" s="300">
        <v>0.15</v>
      </c>
      <c r="Q287" s="301">
        <v>0.03</v>
      </c>
      <c r="R287" s="301">
        <v>0.06</v>
      </c>
      <c r="S287" s="301">
        <v>0.1</v>
      </c>
      <c r="T287" s="301">
        <v>0.15</v>
      </c>
      <c r="U287" s="301"/>
      <c r="V287" s="301"/>
      <c r="W287" s="300"/>
      <c r="X287" s="303"/>
      <c r="Y287" s="304"/>
      <c r="Z287" s="305"/>
      <c r="AA287" s="305"/>
      <c r="AB287" s="304"/>
      <c r="AC287" s="305"/>
      <c r="AD287" s="305"/>
      <c r="AE287" s="304"/>
      <c r="AF287" s="305"/>
      <c r="AG287" s="305"/>
      <c r="AH287" s="306"/>
    </row>
    <row r="288" spans="1:34" ht="46.95" customHeight="1" outlineLevel="1" x14ac:dyDescent="0.25">
      <c r="A288" s="742"/>
      <c r="B288" s="749" t="s">
        <v>51</v>
      </c>
      <c r="C288" s="749" t="s">
        <v>697</v>
      </c>
      <c r="D288" s="912" t="s">
        <v>698</v>
      </c>
      <c r="E288" s="764" t="s">
        <v>548</v>
      </c>
      <c r="F288" s="764" t="s">
        <v>549</v>
      </c>
      <c r="G288" s="270" t="s">
        <v>699</v>
      </c>
      <c r="H288" s="855" t="s">
        <v>551</v>
      </c>
      <c r="I288" s="833" t="s">
        <v>700</v>
      </c>
      <c r="J288" s="12" t="s">
        <v>337</v>
      </c>
      <c r="K288" s="298">
        <v>44593</v>
      </c>
      <c r="L288" s="298">
        <v>44925</v>
      </c>
      <c r="M288" s="298">
        <v>44652</v>
      </c>
      <c r="N288" s="299">
        <f t="shared" si="13"/>
        <v>0.17771084337349397</v>
      </c>
      <c r="O288" s="299">
        <f t="shared" si="14"/>
        <v>0.17771084337349397</v>
      </c>
      <c r="P288" s="300">
        <v>0.5</v>
      </c>
      <c r="Q288" s="301">
        <v>0.35</v>
      </c>
      <c r="R288" s="301">
        <v>0.4</v>
      </c>
      <c r="S288" s="301">
        <v>0.45</v>
      </c>
      <c r="T288" s="301">
        <v>0.5</v>
      </c>
      <c r="U288" s="301"/>
      <c r="V288" s="301"/>
      <c r="W288" s="300"/>
      <c r="X288" s="303"/>
      <c r="Y288" s="304"/>
      <c r="Z288" s="305"/>
      <c r="AA288" s="305"/>
      <c r="AB288" s="304"/>
      <c r="AC288" s="305"/>
      <c r="AD288" s="305"/>
      <c r="AE288" s="304"/>
      <c r="AF288" s="305"/>
      <c r="AG288" s="305"/>
      <c r="AH288" s="306"/>
    </row>
    <row r="289" spans="1:34" ht="46.5" customHeight="1" outlineLevel="1" x14ac:dyDescent="0.25">
      <c r="A289" s="742"/>
      <c r="B289" s="750"/>
      <c r="C289" s="750"/>
      <c r="D289" s="913"/>
      <c r="E289" s="765"/>
      <c r="F289" s="765"/>
      <c r="G289" s="270" t="s">
        <v>701</v>
      </c>
      <c r="H289" s="856"/>
      <c r="I289" s="850"/>
      <c r="J289" s="274" t="s">
        <v>111</v>
      </c>
      <c r="K289" s="298">
        <v>44593</v>
      </c>
      <c r="L289" s="298">
        <v>44925</v>
      </c>
      <c r="M289" s="298">
        <v>44652</v>
      </c>
      <c r="N289" s="299">
        <f t="shared" si="13"/>
        <v>0.17771084337349397</v>
      </c>
      <c r="O289" s="299">
        <f t="shared" si="14"/>
        <v>0.17771084337349397</v>
      </c>
      <c r="P289" s="300">
        <v>1</v>
      </c>
      <c r="Q289" s="301">
        <v>0.25</v>
      </c>
      <c r="R289" s="301">
        <v>0.5</v>
      </c>
      <c r="S289" s="301">
        <v>0.75</v>
      </c>
      <c r="T289" s="301">
        <v>1</v>
      </c>
      <c r="U289" s="301"/>
      <c r="V289" s="301"/>
      <c r="W289" s="300"/>
      <c r="X289" s="303"/>
      <c r="Y289" s="304"/>
      <c r="Z289" s="305"/>
      <c r="AA289" s="305"/>
      <c r="AB289" s="304"/>
      <c r="AC289" s="305"/>
      <c r="AD289" s="305"/>
      <c r="AE289" s="304"/>
      <c r="AF289" s="305"/>
      <c r="AG289" s="305"/>
      <c r="AH289" s="306"/>
    </row>
    <row r="290" spans="1:34" ht="92.25" customHeight="1" outlineLevel="1" x14ac:dyDescent="0.25">
      <c r="A290" s="742"/>
      <c r="B290" s="750"/>
      <c r="C290" s="750"/>
      <c r="D290" s="913"/>
      <c r="E290" s="765"/>
      <c r="F290" s="766"/>
      <c r="G290" s="270" t="s">
        <v>702</v>
      </c>
      <c r="H290" s="857"/>
      <c r="I290" s="834"/>
      <c r="J290" s="274" t="s">
        <v>111</v>
      </c>
      <c r="K290" s="298">
        <v>44593</v>
      </c>
      <c r="L290" s="298">
        <v>44925</v>
      </c>
      <c r="M290" s="298">
        <v>44652</v>
      </c>
      <c r="N290" s="299">
        <f t="shared" si="13"/>
        <v>0.17771084337349397</v>
      </c>
      <c r="O290" s="299">
        <f t="shared" si="14"/>
        <v>0.17771084337349397</v>
      </c>
      <c r="P290" s="300">
        <v>1</v>
      </c>
      <c r="Q290" s="301">
        <v>0.25</v>
      </c>
      <c r="R290" s="301">
        <v>0.5</v>
      </c>
      <c r="S290" s="301">
        <v>0.75</v>
      </c>
      <c r="T290" s="301">
        <v>1</v>
      </c>
      <c r="U290" s="301"/>
      <c r="V290" s="301"/>
      <c r="W290" s="300"/>
      <c r="X290" s="303"/>
      <c r="Y290" s="304"/>
      <c r="Z290" s="305"/>
      <c r="AA290" s="305"/>
      <c r="AB290" s="304"/>
      <c r="AC290" s="305"/>
      <c r="AD290" s="305"/>
      <c r="AE290" s="304"/>
      <c r="AF290" s="305"/>
      <c r="AG290" s="305"/>
      <c r="AH290" s="306"/>
    </row>
    <row r="291" spans="1:34" ht="107.25" customHeight="1" outlineLevel="1" x14ac:dyDescent="0.25">
      <c r="A291" s="742"/>
      <c r="B291" s="751"/>
      <c r="C291" s="751"/>
      <c r="D291" s="913"/>
      <c r="E291" s="766"/>
      <c r="F291" s="276" t="s">
        <v>1254</v>
      </c>
      <c r="G291" s="270" t="s">
        <v>703</v>
      </c>
      <c r="H291" s="270" t="s">
        <v>298</v>
      </c>
      <c r="I291" s="274" t="s">
        <v>704</v>
      </c>
      <c r="J291" s="274" t="s">
        <v>111</v>
      </c>
      <c r="K291" s="298">
        <v>44593</v>
      </c>
      <c r="L291" s="298">
        <v>44925</v>
      </c>
      <c r="M291" s="298">
        <v>44652</v>
      </c>
      <c r="N291" s="299">
        <f t="shared" si="13"/>
        <v>0.17771084337349397</v>
      </c>
      <c r="O291" s="299">
        <f t="shared" si="14"/>
        <v>0.17771084337349397</v>
      </c>
      <c r="P291" s="300">
        <v>1</v>
      </c>
      <c r="Q291" s="301">
        <v>0.25</v>
      </c>
      <c r="R291" s="301">
        <v>0.5</v>
      </c>
      <c r="S291" s="301">
        <v>0.75</v>
      </c>
      <c r="T291" s="301">
        <v>1</v>
      </c>
      <c r="U291" s="301"/>
      <c r="V291" s="301"/>
      <c r="W291" s="300"/>
      <c r="X291" s="303"/>
      <c r="Y291" s="304"/>
      <c r="Z291" s="305"/>
      <c r="AA291" s="305"/>
      <c r="AB291" s="304"/>
      <c r="AC291" s="305"/>
      <c r="AD291" s="305"/>
      <c r="AE291" s="304"/>
      <c r="AF291" s="305"/>
      <c r="AG291" s="305"/>
      <c r="AH291" s="306"/>
    </row>
    <row r="292" spans="1:34" ht="54" customHeight="1" outlineLevel="1" x14ac:dyDescent="0.25">
      <c r="A292" s="742"/>
      <c r="B292" s="269" t="s">
        <v>194</v>
      </c>
      <c r="C292" s="269" t="s">
        <v>705</v>
      </c>
      <c r="D292" s="913"/>
      <c r="E292" s="276" t="s">
        <v>706</v>
      </c>
      <c r="F292" s="276" t="s">
        <v>707</v>
      </c>
      <c r="G292" s="270" t="s">
        <v>708</v>
      </c>
      <c r="H292" s="270" t="s">
        <v>709</v>
      </c>
      <c r="I292" s="274" t="s">
        <v>710</v>
      </c>
      <c r="J292" s="274" t="s">
        <v>111</v>
      </c>
      <c r="K292" s="298">
        <v>44593</v>
      </c>
      <c r="L292" s="298">
        <v>44925</v>
      </c>
      <c r="M292" s="298">
        <v>44652</v>
      </c>
      <c r="N292" s="299">
        <f t="shared" si="13"/>
        <v>0.17771084337349397</v>
      </c>
      <c r="O292" s="299">
        <f t="shared" si="14"/>
        <v>0.17771084337349397</v>
      </c>
      <c r="P292" s="300">
        <v>1</v>
      </c>
      <c r="Q292" s="301">
        <v>0.25</v>
      </c>
      <c r="R292" s="301">
        <v>0.5</v>
      </c>
      <c r="S292" s="301">
        <v>0.75</v>
      </c>
      <c r="T292" s="301">
        <v>1</v>
      </c>
      <c r="U292" s="301"/>
      <c r="V292" s="301"/>
      <c r="W292" s="300"/>
      <c r="X292" s="303"/>
      <c r="Y292" s="304"/>
      <c r="Z292" s="305"/>
      <c r="AA292" s="305"/>
      <c r="AB292" s="304"/>
      <c r="AC292" s="305"/>
      <c r="AD292" s="305"/>
      <c r="AE292" s="304"/>
      <c r="AF292" s="305"/>
      <c r="AG292" s="305"/>
      <c r="AH292" s="306"/>
    </row>
    <row r="293" spans="1:34" ht="54" customHeight="1" outlineLevel="1" x14ac:dyDescent="0.25">
      <c r="A293" s="742"/>
      <c r="B293" s="749" t="s">
        <v>51</v>
      </c>
      <c r="C293" s="749" t="s">
        <v>676</v>
      </c>
      <c r="D293" s="913"/>
      <c r="E293" s="276" t="s">
        <v>711</v>
      </c>
      <c r="F293" s="276" t="s">
        <v>147</v>
      </c>
      <c r="G293" s="270" t="s">
        <v>712</v>
      </c>
      <c r="H293" s="270" t="s">
        <v>149</v>
      </c>
      <c r="I293" s="274" t="s">
        <v>713</v>
      </c>
      <c r="J293" s="274" t="s">
        <v>111</v>
      </c>
      <c r="K293" s="298">
        <v>44593</v>
      </c>
      <c r="L293" s="298">
        <v>44925</v>
      </c>
      <c r="M293" s="298">
        <v>44652</v>
      </c>
      <c r="N293" s="299">
        <f t="shared" si="13"/>
        <v>0.17771084337349397</v>
      </c>
      <c r="O293" s="299">
        <f t="shared" ref="O293:O295" si="17">+IF(N293&gt;=100,100,IF(N293&lt;=0,0,N293))</f>
        <v>0.17771084337349397</v>
      </c>
      <c r="P293" s="300">
        <v>1</v>
      </c>
      <c r="Q293" s="301">
        <v>0.25</v>
      </c>
      <c r="R293" s="301">
        <v>0.5</v>
      </c>
      <c r="S293" s="301">
        <v>0.75</v>
      </c>
      <c r="T293" s="301">
        <v>1</v>
      </c>
      <c r="U293" s="301"/>
      <c r="V293" s="301"/>
      <c r="W293" s="300"/>
      <c r="X293" s="303"/>
      <c r="Y293" s="304"/>
      <c r="Z293" s="305"/>
      <c r="AA293" s="305"/>
      <c r="AB293" s="304"/>
      <c r="AC293" s="305"/>
      <c r="AD293" s="305"/>
      <c r="AE293" s="304"/>
      <c r="AF293" s="305"/>
      <c r="AG293" s="305"/>
      <c r="AH293" s="306"/>
    </row>
    <row r="294" spans="1:34" ht="112.5" customHeight="1" outlineLevel="1" x14ac:dyDescent="0.25">
      <c r="A294" s="742"/>
      <c r="B294" s="750"/>
      <c r="C294" s="750"/>
      <c r="D294" s="913"/>
      <c r="E294" s="276" t="s">
        <v>714</v>
      </c>
      <c r="F294" s="276" t="s">
        <v>55</v>
      </c>
      <c r="G294" s="270" t="s">
        <v>715</v>
      </c>
      <c r="H294" s="270" t="s">
        <v>716</v>
      </c>
      <c r="I294" s="274" t="s">
        <v>299</v>
      </c>
      <c r="J294" s="274" t="s">
        <v>111</v>
      </c>
      <c r="K294" s="298">
        <v>44593</v>
      </c>
      <c r="L294" s="298">
        <v>44925</v>
      </c>
      <c r="M294" s="298">
        <v>44652</v>
      </c>
      <c r="N294" s="299">
        <f t="shared" si="13"/>
        <v>0.17771084337349397</v>
      </c>
      <c r="O294" s="299">
        <f t="shared" si="17"/>
        <v>0.17771084337349397</v>
      </c>
      <c r="P294" s="300">
        <v>1</v>
      </c>
      <c r="Q294" s="301">
        <v>0.25</v>
      </c>
      <c r="R294" s="301">
        <v>0.5</v>
      </c>
      <c r="S294" s="301">
        <v>0.75</v>
      </c>
      <c r="T294" s="301">
        <v>1</v>
      </c>
      <c r="U294" s="301"/>
      <c r="V294" s="301"/>
      <c r="W294" s="300"/>
      <c r="X294" s="303"/>
      <c r="Y294" s="304"/>
      <c r="Z294" s="305"/>
      <c r="AA294" s="305"/>
      <c r="AB294" s="304"/>
      <c r="AC294" s="305"/>
      <c r="AD294" s="305"/>
      <c r="AE294" s="304"/>
      <c r="AF294" s="305"/>
      <c r="AG294" s="305"/>
      <c r="AH294" s="306"/>
    </row>
    <row r="295" spans="1:34" ht="54" customHeight="1" outlineLevel="1" x14ac:dyDescent="0.25">
      <c r="A295" s="742"/>
      <c r="B295" s="750"/>
      <c r="C295" s="750"/>
      <c r="D295" s="913"/>
      <c r="E295" s="276" t="s">
        <v>687</v>
      </c>
      <c r="F295" s="276" t="s">
        <v>688</v>
      </c>
      <c r="G295" s="270" t="s">
        <v>718</v>
      </c>
      <c r="H295" s="270" t="s">
        <v>719</v>
      </c>
      <c r="I295" s="274" t="s">
        <v>720</v>
      </c>
      <c r="J295" s="274" t="s">
        <v>111</v>
      </c>
      <c r="K295" s="298">
        <v>44593</v>
      </c>
      <c r="L295" s="298">
        <v>44925</v>
      </c>
      <c r="M295" s="298">
        <v>44652</v>
      </c>
      <c r="N295" s="299">
        <f t="shared" si="13"/>
        <v>0.17771084337349397</v>
      </c>
      <c r="O295" s="299">
        <f t="shared" si="17"/>
        <v>0.17771084337349397</v>
      </c>
      <c r="P295" s="300">
        <v>1</v>
      </c>
      <c r="Q295" s="301">
        <v>0.25</v>
      </c>
      <c r="R295" s="301">
        <v>0.5</v>
      </c>
      <c r="S295" s="301">
        <v>0.75</v>
      </c>
      <c r="T295" s="301">
        <v>1</v>
      </c>
      <c r="U295" s="301"/>
      <c r="V295" s="301"/>
      <c r="W295" s="300"/>
      <c r="X295" s="303"/>
      <c r="Y295" s="304"/>
      <c r="Z295" s="305"/>
      <c r="AA295" s="305"/>
      <c r="AB295" s="304"/>
      <c r="AC295" s="305"/>
      <c r="AD295" s="305"/>
      <c r="AE295" s="304"/>
      <c r="AF295" s="305"/>
      <c r="AG295" s="305"/>
      <c r="AH295" s="306"/>
    </row>
    <row r="296" spans="1:34" ht="168.75" customHeight="1" outlineLevel="1" x14ac:dyDescent="0.25">
      <c r="A296" s="742"/>
      <c r="B296" s="750"/>
      <c r="C296" s="751"/>
      <c r="D296" s="913"/>
      <c r="E296" s="276" t="s">
        <v>721</v>
      </c>
      <c r="F296" s="276" t="s">
        <v>1255</v>
      </c>
      <c r="G296" s="270" t="s">
        <v>722</v>
      </c>
      <c r="H296" s="270" t="s">
        <v>723</v>
      </c>
      <c r="I296" s="274" t="s">
        <v>724</v>
      </c>
      <c r="J296" s="274" t="s">
        <v>111</v>
      </c>
      <c r="K296" s="298">
        <v>44593</v>
      </c>
      <c r="L296" s="298">
        <v>44925</v>
      </c>
      <c r="M296" s="298">
        <v>44652</v>
      </c>
      <c r="N296" s="299">
        <f t="shared" si="13"/>
        <v>0.17771084337349397</v>
      </c>
      <c r="O296" s="299">
        <f t="shared" si="14"/>
        <v>0.17771084337349397</v>
      </c>
      <c r="P296" s="300">
        <v>1</v>
      </c>
      <c r="Q296" s="301">
        <v>0.25</v>
      </c>
      <c r="R296" s="301">
        <v>0.5</v>
      </c>
      <c r="S296" s="301">
        <v>0.75</v>
      </c>
      <c r="T296" s="301">
        <v>1</v>
      </c>
      <c r="U296" s="301"/>
      <c r="V296" s="301"/>
      <c r="W296" s="300"/>
      <c r="X296" s="303"/>
      <c r="Y296" s="304"/>
      <c r="Z296" s="305"/>
      <c r="AA296" s="305"/>
      <c r="AB296" s="304"/>
      <c r="AC296" s="305"/>
      <c r="AD296" s="305"/>
      <c r="AE296" s="304"/>
      <c r="AF296" s="305"/>
      <c r="AG296" s="305"/>
      <c r="AH296" s="306"/>
    </row>
    <row r="297" spans="1:34" ht="93.75" customHeight="1" outlineLevel="1" x14ac:dyDescent="0.25">
      <c r="A297" s="742"/>
      <c r="B297" s="750"/>
      <c r="C297" s="749" t="s">
        <v>725</v>
      </c>
      <c r="D297" s="913"/>
      <c r="E297" s="764" t="s">
        <v>726</v>
      </c>
      <c r="F297" s="764" t="s">
        <v>103</v>
      </c>
      <c r="G297" s="270" t="s">
        <v>727</v>
      </c>
      <c r="H297" s="270" t="s">
        <v>105</v>
      </c>
      <c r="I297" s="274" t="s">
        <v>728</v>
      </c>
      <c r="J297" s="274" t="s">
        <v>111</v>
      </c>
      <c r="K297" s="298">
        <v>44593</v>
      </c>
      <c r="L297" s="298">
        <v>44925</v>
      </c>
      <c r="M297" s="298">
        <v>44652</v>
      </c>
      <c r="N297" s="299">
        <f t="shared" ref="N297:N360" si="18">+(+_xlfn.DAYS(K297,M297))/(+_xlfn.DAYS(K297,L297))</f>
        <v>0.17771084337349397</v>
      </c>
      <c r="O297" s="299">
        <f t="shared" ref="O297:O303" si="19">+IF(N297&gt;=100,100,IF(N297&lt;=0,0,N297))</f>
        <v>0.17771084337349397</v>
      </c>
      <c r="P297" s="300">
        <v>1</v>
      </c>
      <c r="Q297" s="301">
        <v>0.25</v>
      </c>
      <c r="R297" s="301">
        <v>0.5</v>
      </c>
      <c r="S297" s="301">
        <v>0.75</v>
      </c>
      <c r="T297" s="301">
        <v>1</v>
      </c>
      <c r="U297" s="301"/>
      <c r="V297" s="301"/>
      <c r="W297" s="300"/>
      <c r="X297" s="303"/>
      <c r="Y297" s="304"/>
      <c r="Z297" s="305"/>
      <c r="AA297" s="305"/>
      <c r="AB297" s="304"/>
      <c r="AC297" s="305"/>
      <c r="AD297" s="305"/>
      <c r="AE297" s="304"/>
      <c r="AF297" s="305"/>
      <c r="AG297" s="305"/>
      <c r="AH297" s="306"/>
    </row>
    <row r="298" spans="1:34" ht="56.25" customHeight="1" outlineLevel="1" x14ac:dyDescent="0.25">
      <c r="A298" s="742"/>
      <c r="B298" s="751"/>
      <c r="C298" s="751"/>
      <c r="D298" s="913"/>
      <c r="E298" s="766"/>
      <c r="F298" s="766"/>
      <c r="G298" s="270" t="s">
        <v>729</v>
      </c>
      <c r="H298" s="270" t="s">
        <v>730</v>
      </c>
      <c r="I298" s="274" t="s">
        <v>731</v>
      </c>
      <c r="J298" s="274" t="s">
        <v>111</v>
      </c>
      <c r="K298" s="298">
        <v>44593</v>
      </c>
      <c r="L298" s="298">
        <v>44925</v>
      </c>
      <c r="M298" s="298">
        <v>44652</v>
      </c>
      <c r="N298" s="299">
        <f t="shared" si="18"/>
        <v>0.17771084337349397</v>
      </c>
      <c r="O298" s="299">
        <f t="shared" ref="O298" si="20">+IF(N298&gt;=100,100,IF(N298&lt;=0,0,N298))</f>
        <v>0.17771084337349397</v>
      </c>
      <c r="P298" s="300">
        <v>1</v>
      </c>
      <c r="Q298" s="301">
        <v>0.25</v>
      </c>
      <c r="R298" s="301">
        <v>0.5</v>
      </c>
      <c r="S298" s="301">
        <v>0.75</v>
      </c>
      <c r="T298" s="301">
        <v>1</v>
      </c>
      <c r="U298" s="301"/>
      <c r="V298" s="301"/>
      <c r="W298" s="300"/>
      <c r="X298" s="303"/>
      <c r="Y298" s="304"/>
      <c r="Z298" s="305"/>
      <c r="AA298" s="305"/>
      <c r="AB298" s="304"/>
      <c r="AC298" s="305"/>
      <c r="AD298" s="305"/>
      <c r="AE298" s="304"/>
      <c r="AF298" s="305"/>
      <c r="AG298" s="305"/>
      <c r="AH298" s="306"/>
    </row>
    <row r="299" spans="1:34" ht="131.25" customHeight="1" outlineLevel="1" x14ac:dyDescent="0.25">
      <c r="A299" s="742"/>
      <c r="B299" s="749" t="s">
        <v>606</v>
      </c>
      <c r="C299" s="269" t="s">
        <v>732</v>
      </c>
      <c r="D299" s="913"/>
      <c r="E299" s="276" t="s">
        <v>629</v>
      </c>
      <c r="F299" s="276" t="s">
        <v>649</v>
      </c>
      <c r="G299" s="270" t="s">
        <v>733</v>
      </c>
      <c r="H299" s="270" t="s">
        <v>717</v>
      </c>
      <c r="I299" s="274" t="s">
        <v>734</v>
      </c>
      <c r="J299" s="274" t="s">
        <v>111</v>
      </c>
      <c r="K299" s="298">
        <v>44593</v>
      </c>
      <c r="L299" s="298">
        <v>44925</v>
      </c>
      <c r="M299" s="298">
        <v>44652</v>
      </c>
      <c r="N299" s="299">
        <f t="shared" si="18"/>
        <v>0.17771084337349397</v>
      </c>
      <c r="O299" s="299">
        <f t="shared" si="19"/>
        <v>0.17771084337349397</v>
      </c>
      <c r="P299" s="300">
        <v>1</v>
      </c>
      <c r="Q299" s="301">
        <v>0.25</v>
      </c>
      <c r="R299" s="301">
        <v>0.5</v>
      </c>
      <c r="S299" s="301">
        <v>0.75</v>
      </c>
      <c r="T299" s="301">
        <v>1</v>
      </c>
      <c r="U299" s="301"/>
      <c r="V299" s="301"/>
      <c r="W299" s="300"/>
      <c r="X299" s="303"/>
      <c r="Y299" s="304"/>
      <c r="Z299" s="305"/>
      <c r="AA299" s="305"/>
      <c r="AB299" s="304"/>
      <c r="AC299" s="305"/>
      <c r="AD299" s="305"/>
      <c r="AE299" s="304"/>
      <c r="AF299" s="305"/>
      <c r="AG299" s="305"/>
      <c r="AH299" s="306"/>
    </row>
    <row r="300" spans="1:34" ht="90.75" customHeight="1" outlineLevel="1" x14ac:dyDescent="0.25">
      <c r="A300" s="742"/>
      <c r="B300" s="750"/>
      <c r="C300" s="749" t="s">
        <v>735</v>
      </c>
      <c r="D300" s="913"/>
      <c r="E300" s="764" t="s">
        <v>736</v>
      </c>
      <c r="F300" s="764" t="s">
        <v>737</v>
      </c>
      <c r="G300" s="270" t="s">
        <v>738</v>
      </c>
      <c r="H300" s="270" t="s">
        <v>739</v>
      </c>
      <c r="I300" s="274" t="s">
        <v>740</v>
      </c>
      <c r="J300" s="274" t="s">
        <v>111</v>
      </c>
      <c r="K300" s="298">
        <v>44593</v>
      </c>
      <c r="L300" s="298">
        <v>44925</v>
      </c>
      <c r="M300" s="298">
        <v>44652</v>
      </c>
      <c r="N300" s="299">
        <f t="shared" si="18"/>
        <v>0.17771084337349397</v>
      </c>
      <c r="O300" s="299">
        <f t="shared" si="19"/>
        <v>0.17771084337349397</v>
      </c>
      <c r="P300" s="300">
        <v>1</v>
      </c>
      <c r="Q300" s="301">
        <v>0.25</v>
      </c>
      <c r="R300" s="301">
        <v>0.5</v>
      </c>
      <c r="S300" s="301">
        <v>0.75</v>
      </c>
      <c r="T300" s="301">
        <v>1</v>
      </c>
      <c r="U300" s="301"/>
      <c r="V300" s="301"/>
      <c r="W300" s="300"/>
      <c r="X300" s="303"/>
      <c r="Y300" s="304"/>
      <c r="Z300" s="305"/>
      <c r="AA300" s="305"/>
      <c r="AB300" s="304"/>
      <c r="AC300" s="305"/>
      <c r="AD300" s="305"/>
      <c r="AE300" s="304"/>
      <c r="AF300" s="305"/>
      <c r="AG300" s="305"/>
      <c r="AH300" s="306"/>
    </row>
    <row r="301" spans="1:34" ht="56.25" customHeight="1" outlineLevel="1" x14ac:dyDescent="0.25">
      <c r="A301" s="742"/>
      <c r="B301" s="750"/>
      <c r="C301" s="750"/>
      <c r="D301" s="913"/>
      <c r="E301" s="765"/>
      <c r="F301" s="765"/>
      <c r="G301" s="270" t="s">
        <v>741</v>
      </c>
      <c r="H301" s="270" t="s">
        <v>739</v>
      </c>
      <c r="I301" s="274" t="s">
        <v>742</v>
      </c>
      <c r="J301" s="274" t="s">
        <v>111</v>
      </c>
      <c r="K301" s="298">
        <v>44593</v>
      </c>
      <c r="L301" s="298">
        <v>44925</v>
      </c>
      <c r="M301" s="298">
        <v>44652</v>
      </c>
      <c r="N301" s="299">
        <f t="shared" si="18"/>
        <v>0.17771084337349397</v>
      </c>
      <c r="O301" s="299">
        <f t="shared" si="19"/>
        <v>0.17771084337349397</v>
      </c>
      <c r="P301" s="300">
        <v>1</v>
      </c>
      <c r="Q301" s="301">
        <v>0.25</v>
      </c>
      <c r="R301" s="301">
        <v>0.5</v>
      </c>
      <c r="S301" s="301">
        <v>0.75</v>
      </c>
      <c r="T301" s="301">
        <v>1</v>
      </c>
      <c r="U301" s="301"/>
      <c r="V301" s="301"/>
      <c r="W301" s="300"/>
      <c r="X301" s="303"/>
      <c r="Y301" s="304"/>
      <c r="Z301" s="305"/>
      <c r="AA301" s="305"/>
      <c r="AB301" s="304"/>
      <c r="AC301" s="305"/>
      <c r="AD301" s="305"/>
      <c r="AE301" s="304"/>
      <c r="AF301" s="305"/>
      <c r="AG301" s="305"/>
      <c r="AH301" s="306"/>
    </row>
    <row r="302" spans="1:34" ht="56.25" customHeight="1" outlineLevel="1" x14ac:dyDescent="0.25">
      <c r="A302" s="742"/>
      <c r="B302" s="750"/>
      <c r="C302" s="751"/>
      <c r="D302" s="913"/>
      <c r="E302" s="766"/>
      <c r="F302" s="766"/>
      <c r="G302" s="270" t="s">
        <v>743</v>
      </c>
      <c r="H302" s="270" t="s">
        <v>739</v>
      </c>
      <c r="I302" s="274" t="s">
        <v>742</v>
      </c>
      <c r="J302" s="274" t="s">
        <v>111</v>
      </c>
      <c r="K302" s="298">
        <v>44593</v>
      </c>
      <c r="L302" s="298">
        <v>44925</v>
      </c>
      <c r="M302" s="298">
        <v>44652</v>
      </c>
      <c r="N302" s="299">
        <f t="shared" si="18"/>
        <v>0.17771084337349397</v>
      </c>
      <c r="O302" s="299">
        <f t="shared" si="19"/>
        <v>0.17771084337349397</v>
      </c>
      <c r="P302" s="300">
        <v>1</v>
      </c>
      <c r="Q302" s="301">
        <v>0.25</v>
      </c>
      <c r="R302" s="301">
        <v>0.5</v>
      </c>
      <c r="S302" s="301">
        <v>0.75</v>
      </c>
      <c r="T302" s="301">
        <v>1</v>
      </c>
      <c r="U302" s="301"/>
      <c r="V302" s="301"/>
      <c r="W302" s="300"/>
      <c r="X302" s="303"/>
      <c r="Y302" s="304"/>
      <c r="Z302" s="305"/>
      <c r="AA302" s="305"/>
      <c r="AB302" s="304"/>
      <c r="AC302" s="305"/>
      <c r="AD302" s="305"/>
      <c r="AE302" s="304"/>
      <c r="AF302" s="305"/>
      <c r="AG302" s="305"/>
      <c r="AH302" s="306"/>
    </row>
    <row r="303" spans="1:34" ht="97.95" customHeight="1" outlineLevel="1" x14ac:dyDescent="0.25">
      <c r="A303" s="742"/>
      <c r="B303" s="751"/>
      <c r="C303" s="269" t="s">
        <v>744</v>
      </c>
      <c r="D303" s="914"/>
      <c r="E303" s="276" t="s">
        <v>745</v>
      </c>
      <c r="F303" s="276" t="s">
        <v>746</v>
      </c>
      <c r="G303" s="270" t="s">
        <v>747</v>
      </c>
      <c r="H303" s="270" t="s">
        <v>748</v>
      </c>
      <c r="I303" s="274" t="s">
        <v>749</v>
      </c>
      <c r="J303" s="274" t="s">
        <v>111</v>
      </c>
      <c r="K303" s="298">
        <v>44593</v>
      </c>
      <c r="L303" s="298">
        <v>44925</v>
      </c>
      <c r="M303" s="298">
        <v>44652</v>
      </c>
      <c r="N303" s="299">
        <f t="shared" si="18"/>
        <v>0.17771084337349397</v>
      </c>
      <c r="O303" s="299">
        <f t="shared" si="19"/>
        <v>0.17771084337349397</v>
      </c>
      <c r="P303" s="300">
        <v>1</v>
      </c>
      <c r="Q303" s="301">
        <v>0.25</v>
      </c>
      <c r="R303" s="301">
        <v>0.5</v>
      </c>
      <c r="S303" s="301">
        <v>0.75</v>
      </c>
      <c r="T303" s="301">
        <v>1</v>
      </c>
      <c r="U303" s="301"/>
      <c r="V303" s="301"/>
      <c r="W303" s="300"/>
      <c r="X303" s="303"/>
      <c r="Y303" s="304"/>
      <c r="Z303" s="305"/>
      <c r="AA303" s="305"/>
      <c r="AB303" s="304"/>
      <c r="AC303" s="305"/>
      <c r="AD303" s="305"/>
      <c r="AE303" s="304"/>
      <c r="AF303" s="305"/>
      <c r="AG303" s="305"/>
      <c r="AH303" s="306"/>
    </row>
    <row r="304" spans="1:34" ht="72" customHeight="1" outlineLevel="1" x14ac:dyDescent="0.25">
      <c r="A304" s="742"/>
      <c r="B304" s="769" t="s">
        <v>51</v>
      </c>
      <c r="C304" s="749" t="s">
        <v>725</v>
      </c>
      <c r="D304" s="959" t="s">
        <v>750</v>
      </c>
      <c r="E304" s="767" t="s">
        <v>726</v>
      </c>
      <c r="F304" s="767" t="s">
        <v>103</v>
      </c>
      <c r="G304" s="10" t="s">
        <v>730</v>
      </c>
      <c r="H304" s="841" t="s">
        <v>105</v>
      </c>
      <c r="I304" s="833" t="s">
        <v>751</v>
      </c>
      <c r="J304" s="274" t="s">
        <v>111</v>
      </c>
      <c r="K304" s="298">
        <v>44593</v>
      </c>
      <c r="L304" s="298">
        <v>44925</v>
      </c>
      <c r="M304" s="298">
        <v>44652</v>
      </c>
      <c r="N304" s="299">
        <f t="shared" si="18"/>
        <v>0.17771084337349397</v>
      </c>
      <c r="O304" s="299">
        <f t="shared" si="14"/>
        <v>0.17771084337349397</v>
      </c>
      <c r="P304" s="300">
        <v>1</v>
      </c>
      <c r="Q304" s="301">
        <v>0.25</v>
      </c>
      <c r="R304" s="301">
        <v>0.5</v>
      </c>
      <c r="S304" s="301">
        <v>0.75</v>
      </c>
      <c r="T304" s="301">
        <v>1</v>
      </c>
      <c r="U304" s="301"/>
      <c r="V304" s="301"/>
      <c r="W304" s="300"/>
      <c r="X304" s="303"/>
      <c r="Y304" s="304"/>
      <c r="Z304" s="305"/>
      <c r="AA304" s="305"/>
      <c r="AB304" s="304"/>
      <c r="AC304" s="305"/>
      <c r="AD304" s="305"/>
      <c r="AE304" s="304"/>
      <c r="AF304" s="305"/>
      <c r="AG304" s="305"/>
      <c r="AH304" s="306"/>
    </row>
    <row r="305" spans="1:34" ht="36.450000000000003" customHeight="1" outlineLevel="1" x14ac:dyDescent="0.25">
      <c r="A305" s="742"/>
      <c r="B305" s="769"/>
      <c r="C305" s="750"/>
      <c r="D305" s="959"/>
      <c r="E305" s="854"/>
      <c r="F305" s="854"/>
      <c r="G305" s="10" t="s">
        <v>752</v>
      </c>
      <c r="H305" s="842"/>
      <c r="I305" s="850"/>
      <c r="J305" s="274" t="s">
        <v>111</v>
      </c>
      <c r="K305" s="298">
        <v>44593</v>
      </c>
      <c r="L305" s="298">
        <v>44925</v>
      </c>
      <c r="M305" s="298">
        <v>44652</v>
      </c>
      <c r="N305" s="299">
        <f t="shared" si="18"/>
        <v>0.17771084337349397</v>
      </c>
      <c r="O305" s="299">
        <f t="shared" si="14"/>
        <v>0.17771084337349397</v>
      </c>
      <c r="P305" s="300">
        <v>1</v>
      </c>
      <c r="Q305" s="301">
        <v>0.25</v>
      </c>
      <c r="R305" s="301">
        <v>0.5</v>
      </c>
      <c r="S305" s="301">
        <v>0.75</v>
      </c>
      <c r="T305" s="301">
        <v>1</v>
      </c>
      <c r="U305" s="301"/>
      <c r="V305" s="301"/>
      <c r="W305" s="300"/>
      <c r="X305" s="303"/>
      <c r="Y305" s="304"/>
      <c r="Z305" s="305"/>
      <c r="AA305" s="305"/>
      <c r="AB305" s="304"/>
      <c r="AC305" s="305"/>
      <c r="AD305" s="305"/>
      <c r="AE305" s="304"/>
      <c r="AF305" s="305"/>
      <c r="AG305" s="305"/>
      <c r="AH305" s="306"/>
    </row>
    <row r="306" spans="1:34" ht="57.45" customHeight="1" outlineLevel="1" x14ac:dyDescent="0.25">
      <c r="A306" s="742"/>
      <c r="B306" s="769"/>
      <c r="C306" s="750"/>
      <c r="D306" s="959"/>
      <c r="E306" s="854"/>
      <c r="F306" s="854"/>
      <c r="G306" s="10" t="s">
        <v>753</v>
      </c>
      <c r="H306" s="842"/>
      <c r="I306" s="850"/>
      <c r="J306" s="274" t="s">
        <v>111</v>
      </c>
      <c r="K306" s="298">
        <v>44593</v>
      </c>
      <c r="L306" s="298">
        <v>44925</v>
      </c>
      <c r="M306" s="298">
        <v>44652</v>
      </c>
      <c r="N306" s="299">
        <f t="shared" si="18"/>
        <v>0.17771084337349397</v>
      </c>
      <c r="O306" s="299">
        <f t="shared" si="14"/>
        <v>0.17771084337349397</v>
      </c>
      <c r="P306" s="300">
        <v>1</v>
      </c>
      <c r="Q306" s="301">
        <v>0.25</v>
      </c>
      <c r="R306" s="301">
        <v>0.5</v>
      </c>
      <c r="S306" s="301">
        <v>0.75</v>
      </c>
      <c r="T306" s="301">
        <v>1</v>
      </c>
      <c r="U306" s="301"/>
      <c r="V306" s="301"/>
      <c r="W306" s="300"/>
      <c r="X306" s="303"/>
      <c r="Y306" s="304"/>
      <c r="Z306" s="305"/>
      <c r="AA306" s="305"/>
      <c r="AB306" s="304"/>
      <c r="AC306" s="305"/>
      <c r="AD306" s="305"/>
      <c r="AE306" s="304"/>
      <c r="AF306" s="305"/>
      <c r="AG306" s="305"/>
      <c r="AH306" s="306"/>
    </row>
    <row r="307" spans="1:34" ht="46.5" customHeight="1" outlineLevel="1" x14ac:dyDescent="0.25">
      <c r="A307" s="742"/>
      <c r="B307" s="769"/>
      <c r="C307" s="750"/>
      <c r="D307" s="959"/>
      <c r="E307" s="854"/>
      <c r="F307" s="854"/>
      <c r="G307" s="10" t="s">
        <v>754</v>
      </c>
      <c r="H307" s="842"/>
      <c r="I307" s="850"/>
      <c r="J307" s="274" t="s">
        <v>111</v>
      </c>
      <c r="K307" s="298">
        <v>44593</v>
      </c>
      <c r="L307" s="298">
        <v>44925</v>
      </c>
      <c r="M307" s="298">
        <v>44652</v>
      </c>
      <c r="N307" s="299">
        <f t="shared" si="18"/>
        <v>0.17771084337349397</v>
      </c>
      <c r="O307" s="299">
        <f t="shared" si="14"/>
        <v>0.17771084337349397</v>
      </c>
      <c r="P307" s="300">
        <v>1</v>
      </c>
      <c r="Q307" s="301">
        <v>0.25</v>
      </c>
      <c r="R307" s="301">
        <v>0.5</v>
      </c>
      <c r="S307" s="301">
        <v>0.75</v>
      </c>
      <c r="T307" s="301">
        <v>1</v>
      </c>
      <c r="U307" s="301"/>
      <c r="V307" s="301"/>
      <c r="W307" s="300"/>
      <c r="X307" s="303"/>
      <c r="Y307" s="304"/>
      <c r="Z307" s="305"/>
      <c r="AA307" s="305"/>
      <c r="AB307" s="304"/>
      <c r="AC307" s="305"/>
      <c r="AD307" s="305"/>
      <c r="AE307" s="304"/>
      <c r="AF307" s="305"/>
      <c r="AG307" s="305"/>
      <c r="AH307" s="306"/>
    </row>
    <row r="308" spans="1:34" ht="112.5" customHeight="1" outlineLevel="1" x14ac:dyDescent="0.25">
      <c r="A308" s="742"/>
      <c r="B308" s="769"/>
      <c r="C308" s="750"/>
      <c r="D308" s="959"/>
      <c r="E308" s="854"/>
      <c r="F308" s="854"/>
      <c r="G308" s="10" t="s">
        <v>755</v>
      </c>
      <c r="H308" s="842"/>
      <c r="I308" s="850"/>
      <c r="J308" s="274" t="s">
        <v>111</v>
      </c>
      <c r="K308" s="298">
        <v>44593</v>
      </c>
      <c r="L308" s="298">
        <v>44925</v>
      </c>
      <c r="M308" s="298">
        <v>44652</v>
      </c>
      <c r="N308" s="299">
        <f t="shared" si="18"/>
        <v>0.17771084337349397</v>
      </c>
      <c r="O308" s="299">
        <f t="shared" si="14"/>
        <v>0.17771084337349397</v>
      </c>
      <c r="P308" s="300">
        <v>1</v>
      </c>
      <c r="Q308" s="301">
        <v>0.25</v>
      </c>
      <c r="R308" s="301">
        <v>0.5</v>
      </c>
      <c r="S308" s="301">
        <v>0.75</v>
      </c>
      <c r="T308" s="301">
        <v>1</v>
      </c>
      <c r="U308" s="301"/>
      <c r="V308" s="301"/>
      <c r="W308" s="300"/>
      <c r="X308" s="303"/>
      <c r="Y308" s="304"/>
      <c r="Z308" s="305"/>
      <c r="AA308" s="305"/>
      <c r="AB308" s="304"/>
      <c r="AC308" s="305"/>
      <c r="AD308" s="305"/>
      <c r="AE308" s="304"/>
      <c r="AF308" s="305"/>
      <c r="AG308" s="305"/>
      <c r="AH308" s="306"/>
    </row>
    <row r="309" spans="1:34" ht="57.45" customHeight="1" outlineLevel="1" x14ac:dyDescent="0.25">
      <c r="A309" s="742"/>
      <c r="B309" s="769"/>
      <c r="C309" s="750"/>
      <c r="D309" s="959"/>
      <c r="E309" s="854"/>
      <c r="F309" s="854"/>
      <c r="G309" s="10" t="s">
        <v>756</v>
      </c>
      <c r="H309" s="842"/>
      <c r="I309" s="850"/>
      <c r="J309" s="274" t="s">
        <v>111</v>
      </c>
      <c r="K309" s="298">
        <v>44593</v>
      </c>
      <c r="L309" s="298">
        <v>44925</v>
      </c>
      <c r="M309" s="298">
        <v>44652</v>
      </c>
      <c r="N309" s="299">
        <f t="shared" si="18"/>
        <v>0.17771084337349397</v>
      </c>
      <c r="O309" s="299">
        <f t="shared" si="14"/>
        <v>0.17771084337349397</v>
      </c>
      <c r="P309" s="300">
        <v>1</v>
      </c>
      <c r="Q309" s="301">
        <v>0.25</v>
      </c>
      <c r="R309" s="301">
        <v>0.5</v>
      </c>
      <c r="S309" s="301">
        <v>0.75</v>
      </c>
      <c r="T309" s="301">
        <v>1</v>
      </c>
      <c r="U309" s="301"/>
      <c r="V309" s="301"/>
      <c r="W309" s="300"/>
      <c r="X309" s="303"/>
      <c r="Y309" s="304"/>
      <c r="Z309" s="305"/>
      <c r="AA309" s="305"/>
      <c r="AB309" s="304"/>
      <c r="AC309" s="305"/>
      <c r="AD309" s="305"/>
      <c r="AE309" s="304"/>
      <c r="AF309" s="305"/>
      <c r="AG309" s="305"/>
      <c r="AH309" s="306"/>
    </row>
    <row r="310" spans="1:34" ht="57.45" customHeight="1" outlineLevel="1" x14ac:dyDescent="0.25">
      <c r="A310" s="742"/>
      <c r="B310" s="769"/>
      <c r="C310" s="750"/>
      <c r="D310" s="959"/>
      <c r="E310" s="854"/>
      <c r="F310" s="854"/>
      <c r="G310" s="10" t="s">
        <v>757</v>
      </c>
      <c r="H310" s="842"/>
      <c r="I310" s="850"/>
      <c r="J310" s="274" t="s">
        <v>111</v>
      </c>
      <c r="K310" s="298">
        <v>44593</v>
      </c>
      <c r="L310" s="298">
        <v>44925</v>
      </c>
      <c r="M310" s="298">
        <v>44652</v>
      </c>
      <c r="N310" s="299">
        <f t="shared" si="18"/>
        <v>0.17771084337349397</v>
      </c>
      <c r="O310" s="299">
        <f t="shared" ref="O310:O315" si="21">+IF(N310&gt;=100,100,IF(N310&lt;=0,0,N310))</f>
        <v>0.17771084337349397</v>
      </c>
      <c r="P310" s="300">
        <v>1</v>
      </c>
      <c r="Q310" s="301">
        <v>0.25</v>
      </c>
      <c r="R310" s="301">
        <v>0.5</v>
      </c>
      <c r="S310" s="301">
        <v>0.75</v>
      </c>
      <c r="T310" s="301">
        <v>1</v>
      </c>
      <c r="U310" s="301"/>
      <c r="V310" s="301"/>
      <c r="W310" s="300"/>
      <c r="X310" s="303"/>
      <c r="Y310" s="304"/>
      <c r="Z310" s="305"/>
      <c r="AA310" s="305"/>
      <c r="AB310" s="304"/>
      <c r="AC310" s="305"/>
      <c r="AD310" s="305"/>
      <c r="AE310" s="304"/>
      <c r="AF310" s="305"/>
      <c r="AG310" s="305"/>
      <c r="AH310" s="306"/>
    </row>
    <row r="311" spans="1:34" ht="57.45" customHeight="1" outlineLevel="1" x14ac:dyDescent="0.25">
      <c r="A311" s="742"/>
      <c r="B311" s="769"/>
      <c r="C311" s="750"/>
      <c r="D311" s="959"/>
      <c r="E311" s="854"/>
      <c r="F311" s="854"/>
      <c r="G311" s="10" t="s">
        <v>758</v>
      </c>
      <c r="H311" s="842"/>
      <c r="I311" s="850"/>
      <c r="J311" s="274" t="s">
        <v>111</v>
      </c>
      <c r="K311" s="298">
        <v>44593</v>
      </c>
      <c r="L311" s="298">
        <v>44925</v>
      </c>
      <c r="M311" s="298">
        <v>44652</v>
      </c>
      <c r="N311" s="299">
        <f t="shared" si="18"/>
        <v>0.17771084337349397</v>
      </c>
      <c r="O311" s="299">
        <f t="shared" si="21"/>
        <v>0.17771084337349397</v>
      </c>
      <c r="P311" s="300">
        <v>1</v>
      </c>
      <c r="Q311" s="301">
        <v>0.25</v>
      </c>
      <c r="R311" s="301">
        <v>0.5</v>
      </c>
      <c r="S311" s="301">
        <v>0.75</v>
      </c>
      <c r="T311" s="301">
        <v>1</v>
      </c>
      <c r="U311" s="301"/>
      <c r="V311" s="301"/>
      <c r="W311" s="300"/>
      <c r="X311" s="303"/>
      <c r="Y311" s="304"/>
      <c r="Z311" s="305"/>
      <c r="AA311" s="305"/>
      <c r="AB311" s="304"/>
      <c r="AC311" s="305"/>
      <c r="AD311" s="305"/>
      <c r="AE311" s="304"/>
      <c r="AF311" s="305"/>
      <c r="AG311" s="305"/>
      <c r="AH311" s="306"/>
    </row>
    <row r="312" spans="1:34" ht="57.45" customHeight="1" outlineLevel="1" x14ac:dyDescent="0.25">
      <c r="A312" s="742"/>
      <c r="B312" s="769"/>
      <c r="C312" s="750"/>
      <c r="D312" s="959"/>
      <c r="E312" s="854"/>
      <c r="F312" s="854"/>
      <c r="G312" s="10" t="s">
        <v>759</v>
      </c>
      <c r="H312" s="842"/>
      <c r="I312" s="850"/>
      <c r="J312" s="274" t="s">
        <v>111</v>
      </c>
      <c r="K312" s="298">
        <v>44593</v>
      </c>
      <c r="L312" s="298">
        <v>44925</v>
      </c>
      <c r="M312" s="298">
        <v>44652</v>
      </c>
      <c r="N312" s="299">
        <f t="shared" si="18"/>
        <v>0.17771084337349397</v>
      </c>
      <c r="O312" s="299">
        <f t="shared" si="21"/>
        <v>0.17771084337349397</v>
      </c>
      <c r="P312" s="300">
        <v>1</v>
      </c>
      <c r="Q312" s="301">
        <v>0.25</v>
      </c>
      <c r="R312" s="301">
        <v>0.5</v>
      </c>
      <c r="S312" s="301">
        <v>0.75</v>
      </c>
      <c r="T312" s="301">
        <v>1</v>
      </c>
      <c r="U312" s="301"/>
      <c r="V312" s="301"/>
      <c r="W312" s="300"/>
      <c r="X312" s="303"/>
      <c r="Y312" s="304"/>
      <c r="Z312" s="305"/>
      <c r="AA312" s="305"/>
      <c r="AB312" s="304"/>
      <c r="AC312" s="305"/>
      <c r="AD312" s="305"/>
      <c r="AE312" s="304"/>
      <c r="AF312" s="305"/>
      <c r="AG312" s="305"/>
      <c r="AH312" s="306"/>
    </row>
    <row r="313" spans="1:34" ht="57.45" customHeight="1" outlineLevel="1" x14ac:dyDescent="0.25">
      <c r="A313" s="742"/>
      <c r="B313" s="769"/>
      <c r="C313" s="750"/>
      <c r="D313" s="959"/>
      <c r="E313" s="854"/>
      <c r="F313" s="854"/>
      <c r="G313" s="10" t="s">
        <v>760</v>
      </c>
      <c r="H313" s="842"/>
      <c r="I313" s="850"/>
      <c r="J313" s="274" t="s">
        <v>111</v>
      </c>
      <c r="K313" s="298">
        <v>44593</v>
      </c>
      <c r="L313" s="298">
        <v>44925</v>
      </c>
      <c r="M313" s="298">
        <v>44652</v>
      </c>
      <c r="N313" s="299">
        <f t="shared" si="18"/>
        <v>0.17771084337349397</v>
      </c>
      <c r="O313" s="299">
        <f t="shared" si="21"/>
        <v>0.17771084337349397</v>
      </c>
      <c r="P313" s="300">
        <v>1</v>
      </c>
      <c r="Q313" s="301">
        <v>0.25</v>
      </c>
      <c r="R313" s="301">
        <v>0.5</v>
      </c>
      <c r="S313" s="301">
        <v>0.75</v>
      </c>
      <c r="T313" s="301">
        <v>1</v>
      </c>
      <c r="U313" s="301"/>
      <c r="V313" s="301"/>
      <c r="W313" s="300"/>
      <c r="X313" s="303"/>
      <c r="Y313" s="304"/>
      <c r="Z313" s="305"/>
      <c r="AA313" s="305"/>
      <c r="AB313" s="304"/>
      <c r="AC313" s="305"/>
      <c r="AD313" s="305"/>
      <c r="AE313" s="304"/>
      <c r="AF313" s="305"/>
      <c r="AG313" s="305"/>
      <c r="AH313" s="306"/>
    </row>
    <row r="314" spans="1:34" ht="57.45" customHeight="1" outlineLevel="1" x14ac:dyDescent="0.25">
      <c r="A314" s="742"/>
      <c r="B314" s="769"/>
      <c r="C314" s="751"/>
      <c r="D314" s="959"/>
      <c r="E314" s="768"/>
      <c r="F314" s="768"/>
      <c r="G314" s="10" t="s">
        <v>761</v>
      </c>
      <c r="H314" s="843"/>
      <c r="I314" s="834"/>
      <c r="J314" s="274" t="s">
        <v>111</v>
      </c>
      <c r="K314" s="298">
        <v>44593</v>
      </c>
      <c r="L314" s="298">
        <v>44925</v>
      </c>
      <c r="M314" s="298">
        <v>44652</v>
      </c>
      <c r="N314" s="299">
        <f t="shared" si="18"/>
        <v>0.17771084337349397</v>
      </c>
      <c r="O314" s="299">
        <f t="shared" si="21"/>
        <v>0.17771084337349397</v>
      </c>
      <c r="P314" s="300">
        <v>1</v>
      </c>
      <c r="Q314" s="301">
        <v>0.25</v>
      </c>
      <c r="R314" s="301">
        <v>0.5</v>
      </c>
      <c r="S314" s="301">
        <v>0.75</v>
      </c>
      <c r="T314" s="301">
        <v>1</v>
      </c>
      <c r="U314" s="301"/>
      <c r="V314" s="301"/>
      <c r="W314" s="300"/>
      <c r="X314" s="303"/>
      <c r="Y314" s="304"/>
      <c r="Z314" s="305"/>
      <c r="AA314" s="305"/>
      <c r="AB314" s="304"/>
      <c r="AC314" s="305"/>
      <c r="AD314" s="305"/>
      <c r="AE314" s="304"/>
      <c r="AF314" s="305"/>
      <c r="AG314" s="305"/>
      <c r="AH314" s="306"/>
    </row>
    <row r="315" spans="1:34" ht="337.5" customHeight="1" outlineLevel="1" x14ac:dyDescent="0.25">
      <c r="A315" s="742"/>
      <c r="B315" s="269" t="s">
        <v>606</v>
      </c>
      <c r="C315" s="269" t="s">
        <v>735</v>
      </c>
      <c r="D315" s="959"/>
      <c r="E315" s="268" t="s">
        <v>762</v>
      </c>
      <c r="F315" s="268" t="s">
        <v>763</v>
      </c>
      <c r="G315" s="10" t="s">
        <v>764</v>
      </c>
      <c r="H315" s="10" t="s">
        <v>765</v>
      </c>
      <c r="I315" s="274" t="s">
        <v>766</v>
      </c>
      <c r="J315" s="274" t="s">
        <v>111</v>
      </c>
      <c r="K315" s="298">
        <v>44593</v>
      </c>
      <c r="L315" s="298">
        <v>44925</v>
      </c>
      <c r="M315" s="298">
        <v>44652</v>
      </c>
      <c r="N315" s="299">
        <f t="shared" si="18"/>
        <v>0.17771084337349397</v>
      </c>
      <c r="O315" s="299">
        <f t="shared" si="21"/>
        <v>0.17771084337349397</v>
      </c>
      <c r="P315" s="300">
        <v>1</v>
      </c>
      <c r="Q315" s="301">
        <v>0.25</v>
      </c>
      <c r="R315" s="301">
        <v>0.5</v>
      </c>
      <c r="S315" s="301">
        <v>0.75</v>
      </c>
      <c r="T315" s="301">
        <v>1</v>
      </c>
      <c r="U315" s="301"/>
      <c r="V315" s="301"/>
      <c r="W315" s="300"/>
      <c r="X315" s="303"/>
      <c r="Y315" s="304"/>
      <c r="Z315" s="305"/>
      <c r="AA315" s="305"/>
      <c r="AB315" s="304"/>
      <c r="AC315" s="305"/>
      <c r="AD315" s="305"/>
      <c r="AE315" s="304"/>
      <c r="AF315" s="305"/>
      <c r="AG315" s="305"/>
      <c r="AH315" s="306"/>
    </row>
    <row r="316" spans="1:34" ht="46.5" customHeight="1" outlineLevel="1" x14ac:dyDescent="0.25">
      <c r="A316" s="742"/>
      <c r="B316" s="749" t="s">
        <v>51</v>
      </c>
      <c r="C316" s="749" t="s">
        <v>676</v>
      </c>
      <c r="D316" s="959"/>
      <c r="E316" s="767" t="s">
        <v>721</v>
      </c>
      <c r="F316" s="767" t="s">
        <v>767</v>
      </c>
      <c r="G316" s="10" t="s">
        <v>768</v>
      </c>
      <c r="H316" s="841" t="s">
        <v>723</v>
      </c>
      <c r="I316" s="833" t="s">
        <v>769</v>
      </c>
      <c r="J316" s="274" t="s">
        <v>111</v>
      </c>
      <c r="K316" s="298">
        <v>44593</v>
      </c>
      <c r="L316" s="298">
        <v>44925</v>
      </c>
      <c r="M316" s="298">
        <v>44652</v>
      </c>
      <c r="N316" s="299">
        <f t="shared" si="18"/>
        <v>0.17771084337349397</v>
      </c>
      <c r="O316" s="299">
        <f t="shared" si="14"/>
        <v>0.17771084337349397</v>
      </c>
      <c r="P316" s="300">
        <v>1</v>
      </c>
      <c r="Q316" s="301">
        <v>0.25</v>
      </c>
      <c r="R316" s="301">
        <v>0.5</v>
      </c>
      <c r="S316" s="301">
        <v>0.75</v>
      </c>
      <c r="T316" s="301">
        <v>1</v>
      </c>
      <c r="U316" s="301"/>
      <c r="V316" s="301"/>
      <c r="W316" s="300"/>
      <c r="X316" s="303"/>
      <c r="Y316" s="304"/>
      <c r="Z316" s="305"/>
      <c r="AA316" s="305"/>
      <c r="AB316" s="304"/>
      <c r="AC316" s="305"/>
      <c r="AD316" s="305"/>
      <c r="AE316" s="304"/>
      <c r="AF316" s="305"/>
      <c r="AG316" s="305"/>
      <c r="AH316" s="306"/>
    </row>
    <row r="317" spans="1:34" ht="56.25" customHeight="1" outlineLevel="1" x14ac:dyDescent="0.25">
      <c r="A317" s="742"/>
      <c r="B317" s="750"/>
      <c r="C317" s="750"/>
      <c r="D317" s="959"/>
      <c r="E317" s="768"/>
      <c r="F317" s="768"/>
      <c r="G317" s="10" t="s">
        <v>769</v>
      </c>
      <c r="H317" s="843"/>
      <c r="I317" s="834"/>
      <c r="J317" s="274" t="s">
        <v>111</v>
      </c>
      <c r="K317" s="298">
        <v>44593</v>
      </c>
      <c r="L317" s="298">
        <v>44925</v>
      </c>
      <c r="M317" s="298">
        <v>44652</v>
      </c>
      <c r="N317" s="299">
        <f t="shared" si="18"/>
        <v>0.17771084337349397</v>
      </c>
      <c r="O317" s="299">
        <f t="shared" ref="O317:O319" si="22">+IF(N317&gt;=100,100,IF(N317&lt;=0,0,N317))</f>
        <v>0.17771084337349397</v>
      </c>
      <c r="P317" s="300">
        <v>1</v>
      </c>
      <c r="Q317" s="301">
        <v>0.25</v>
      </c>
      <c r="R317" s="301">
        <v>0.5</v>
      </c>
      <c r="S317" s="301">
        <v>0.75</v>
      </c>
      <c r="T317" s="301">
        <v>1</v>
      </c>
      <c r="U317" s="301"/>
      <c r="V317" s="301"/>
      <c r="W317" s="300"/>
      <c r="X317" s="303"/>
      <c r="Y317" s="304"/>
      <c r="Z317" s="305"/>
      <c r="AA317" s="305"/>
      <c r="AB317" s="304"/>
      <c r="AC317" s="305"/>
      <c r="AD317" s="305"/>
      <c r="AE317" s="304"/>
      <c r="AF317" s="305"/>
      <c r="AG317" s="305"/>
      <c r="AH317" s="306"/>
    </row>
    <row r="318" spans="1:34" ht="46.95" customHeight="1" outlineLevel="1" x14ac:dyDescent="0.25">
      <c r="A318" s="742"/>
      <c r="B318" s="750"/>
      <c r="C318" s="750"/>
      <c r="D318" s="959"/>
      <c r="E318" s="767" t="s">
        <v>770</v>
      </c>
      <c r="F318" s="268" t="s">
        <v>55</v>
      </c>
      <c r="G318" s="10" t="s">
        <v>715</v>
      </c>
      <c r="H318" s="10" t="s">
        <v>57</v>
      </c>
      <c r="I318" s="274" t="s">
        <v>152</v>
      </c>
      <c r="J318" s="274" t="s">
        <v>111</v>
      </c>
      <c r="K318" s="298">
        <v>44593</v>
      </c>
      <c r="L318" s="298">
        <v>44925</v>
      </c>
      <c r="M318" s="298">
        <v>44652</v>
      </c>
      <c r="N318" s="299">
        <f t="shared" si="18"/>
        <v>0.17771084337349397</v>
      </c>
      <c r="O318" s="299">
        <f t="shared" si="22"/>
        <v>0.17771084337349397</v>
      </c>
      <c r="P318" s="300">
        <v>1</v>
      </c>
      <c r="Q318" s="301">
        <v>0.25</v>
      </c>
      <c r="R318" s="301">
        <v>0.5</v>
      </c>
      <c r="S318" s="301">
        <v>0.75</v>
      </c>
      <c r="T318" s="301">
        <v>1</v>
      </c>
      <c r="U318" s="301"/>
      <c r="V318" s="301"/>
      <c r="W318" s="300"/>
      <c r="X318" s="303"/>
      <c r="Y318" s="304"/>
      <c r="Z318" s="305"/>
      <c r="AA318" s="305"/>
      <c r="AB318" s="304"/>
      <c r="AC318" s="305"/>
      <c r="AD318" s="305"/>
      <c r="AE318" s="304"/>
      <c r="AF318" s="305"/>
      <c r="AG318" s="305"/>
      <c r="AH318" s="306"/>
    </row>
    <row r="319" spans="1:34" ht="62.55" customHeight="1" outlineLevel="1" x14ac:dyDescent="0.25">
      <c r="A319" s="742"/>
      <c r="B319" s="750"/>
      <c r="C319" s="750"/>
      <c r="D319" s="959"/>
      <c r="E319" s="768"/>
      <c r="F319" s="268" t="s">
        <v>273</v>
      </c>
      <c r="G319" s="10" t="s">
        <v>771</v>
      </c>
      <c r="H319" s="10" t="s">
        <v>275</v>
      </c>
      <c r="I319" s="274" t="s">
        <v>152</v>
      </c>
      <c r="J319" s="274" t="s">
        <v>111</v>
      </c>
      <c r="K319" s="298">
        <v>44593</v>
      </c>
      <c r="L319" s="298">
        <v>44925</v>
      </c>
      <c r="M319" s="298">
        <v>44652</v>
      </c>
      <c r="N319" s="299">
        <f t="shared" si="18"/>
        <v>0.17771084337349397</v>
      </c>
      <c r="O319" s="299">
        <f t="shared" si="22"/>
        <v>0.17771084337349397</v>
      </c>
      <c r="P319" s="300">
        <v>1</v>
      </c>
      <c r="Q319" s="301">
        <v>0.25</v>
      </c>
      <c r="R319" s="301">
        <v>0.5</v>
      </c>
      <c r="S319" s="301">
        <v>0.75</v>
      </c>
      <c r="T319" s="301">
        <v>1</v>
      </c>
      <c r="U319" s="301"/>
      <c r="V319" s="301"/>
      <c r="W319" s="300"/>
      <c r="X319" s="303"/>
      <c r="Y319" s="304"/>
      <c r="Z319" s="305"/>
      <c r="AA319" s="305"/>
      <c r="AB319" s="304"/>
      <c r="AC319" s="305"/>
      <c r="AD319" s="305"/>
      <c r="AE319" s="304"/>
      <c r="AF319" s="305"/>
      <c r="AG319" s="305"/>
      <c r="AH319" s="306"/>
    </row>
    <row r="320" spans="1:34" ht="93.75" customHeight="1" outlineLevel="1" x14ac:dyDescent="0.25">
      <c r="A320" s="742"/>
      <c r="B320" s="751"/>
      <c r="C320" s="751"/>
      <c r="D320" s="959"/>
      <c r="E320" s="268" t="s">
        <v>711</v>
      </c>
      <c r="F320" s="268" t="s">
        <v>147</v>
      </c>
      <c r="G320" s="10" t="s">
        <v>772</v>
      </c>
      <c r="H320" s="10" t="s">
        <v>149</v>
      </c>
      <c r="I320" s="274" t="s">
        <v>773</v>
      </c>
      <c r="J320" s="274" t="s">
        <v>111</v>
      </c>
      <c r="K320" s="298">
        <v>44593</v>
      </c>
      <c r="L320" s="298">
        <v>44925</v>
      </c>
      <c r="M320" s="298">
        <v>44652</v>
      </c>
      <c r="N320" s="299">
        <f t="shared" si="18"/>
        <v>0.17771084337349397</v>
      </c>
      <c r="O320" s="299">
        <f t="shared" ref="O320" si="23">+IF(N320&gt;=100,100,IF(N320&lt;=0,0,N320))</f>
        <v>0.17771084337349397</v>
      </c>
      <c r="P320" s="300">
        <v>1</v>
      </c>
      <c r="Q320" s="301">
        <v>0.25</v>
      </c>
      <c r="R320" s="301">
        <v>0.5</v>
      </c>
      <c r="S320" s="301">
        <v>0.75</v>
      </c>
      <c r="T320" s="301">
        <v>1</v>
      </c>
      <c r="U320" s="301"/>
      <c r="V320" s="301"/>
      <c r="W320" s="300"/>
      <c r="X320" s="303"/>
      <c r="Y320" s="304"/>
      <c r="Z320" s="305"/>
      <c r="AA320" s="305"/>
      <c r="AB320" s="304"/>
      <c r="AC320" s="305"/>
      <c r="AD320" s="305"/>
      <c r="AE320" s="304"/>
      <c r="AF320" s="305"/>
      <c r="AG320" s="305"/>
      <c r="AH320" s="306"/>
    </row>
    <row r="321" spans="1:34" ht="88.95" customHeight="1" outlineLevel="1" x14ac:dyDescent="0.25">
      <c r="A321" s="742"/>
      <c r="B321" s="749" t="s">
        <v>51</v>
      </c>
      <c r="C321" s="749" t="s">
        <v>725</v>
      </c>
      <c r="D321" s="746" t="s">
        <v>774</v>
      </c>
      <c r="E321" s="743" t="s">
        <v>726</v>
      </c>
      <c r="F321" s="743" t="s">
        <v>103</v>
      </c>
      <c r="G321" s="364" t="s">
        <v>730</v>
      </c>
      <c r="H321" s="821" t="s">
        <v>105</v>
      </c>
      <c r="I321" s="12" t="s">
        <v>730</v>
      </c>
      <c r="J321" s="389">
        <v>40000000</v>
      </c>
      <c r="K321" s="298">
        <v>44593</v>
      </c>
      <c r="L321" s="298">
        <v>44925</v>
      </c>
      <c r="M321" s="298">
        <v>44652</v>
      </c>
      <c r="N321" s="299">
        <f t="shared" si="18"/>
        <v>0.17771084337349397</v>
      </c>
      <c r="O321" s="299">
        <f t="shared" si="14"/>
        <v>0.17771084337349397</v>
      </c>
      <c r="P321" s="300">
        <v>1</v>
      </c>
      <c r="Q321" s="301">
        <v>0.25</v>
      </c>
      <c r="R321" s="301">
        <v>0.5</v>
      </c>
      <c r="S321" s="301">
        <v>0.75</v>
      </c>
      <c r="T321" s="301">
        <v>1</v>
      </c>
      <c r="U321" s="301"/>
      <c r="V321" s="301"/>
      <c r="W321" s="300"/>
      <c r="X321" s="303"/>
      <c r="Y321" s="304"/>
      <c r="Z321" s="305"/>
      <c r="AA321" s="305"/>
      <c r="AB321" s="304"/>
      <c r="AC321" s="305"/>
      <c r="AD321" s="305"/>
      <c r="AE321" s="304"/>
      <c r="AF321" s="305"/>
      <c r="AG321" s="305"/>
      <c r="AH321" s="306"/>
    </row>
    <row r="322" spans="1:34" ht="57.75" customHeight="1" outlineLevel="1" x14ac:dyDescent="0.25">
      <c r="A322" s="742"/>
      <c r="B322" s="750"/>
      <c r="C322" s="750"/>
      <c r="D322" s="747"/>
      <c r="E322" s="744"/>
      <c r="F322" s="744"/>
      <c r="G322" s="364" t="s">
        <v>752</v>
      </c>
      <c r="H322" s="822"/>
      <c r="I322" s="12" t="s">
        <v>752</v>
      </c>
      <c r="J322" s="389">
        <v>20000000</v>
      </c>
      <c r="K322" s="298">
        <v>44593</v>
      </c>
      <c r="L322" s="298">
        <v>44925</v>
      </c>
      <c r="M322" s="298">
        <v>44652</v>
      </c>
      <c r="N322" s="299">
        <f t="shared" si="18"/>
        <v>0.17771084337349397</v>
      </c>
      <c r="O322" s="299">
        <f t="shared" si="14"/>
        <v>0.17771084337349397</v>
      </c>
      <c r="P322" s="300">
        <v>1</v>
      </c>
      <c r="Q322" s="301">
        <v>0.25</v>
      </c>
      <c r="R322" s="301">
        <v>0.5</v>
      </c>
      <c r="S322" s="301">
        <v>0.75</v>
      </c>
      <c r="T322" s="301">
        <v>1</v>
      </c>
      <c r="U322" s="301"/>
      <c r="V322" s="301"/>
      <c r="W322" s="300"/>
      <c r="X322" s="303"/>
      <c r="Y322" s="304"/>
      <c r="Z322" s="305"/>
      <c r="AA322" s="305"/>
      <c r="AB322" s="304"/>
      <c r="AC322" s="305"/>
      <c r="AD322" s="305"/>
      <c r="AE322" s="304"/>
      <c r="AF322" s="305"/>
      <c r="AG322" s="305"/>
      <c r="AH322" s="306"/>
    </row>
    <row r="323" spans="1:34" ht="43.2" customHeight="1" outlineLevel="1" x14ac:dyDescent="0.25">
      <c r="A323" s="742"/>
      <c r="B323" s="750"/>
      <c r="C323" s="750"/>
      <c r="D323" s="747"/>
      <c r="E323" s="744"/>
      <c r="F323" s="744"/>
      <c r="G323" s="364" t="s">
        <v>753</v>
      </c>
      <c r="H323" s="822"/>
      <c r="I323" s="12" t="s">
        <v>753</v>
      </c>
      <c r="J323" s="389">
        <v>80000000</v>
      </c>
      <c r="K323" s="298">
        <v>44593</v>
      </c>
      <c r="L323" s="298">
        <v>44925</v>
      </c>
      <c r="M323" s="298">
        <v>44652</v>
      </c>
      <c r="N323" s="299">
        <f t="shared" si="18"/>
        <v>0.17771084337349397</v>
      </c>
      <c r="O323" s="299">
        <f t="shared" si="14"/>
        <v>0.17771084337349397</v>
      </c>
      <c r="P323" s="300">
        <v>1</v>
      </c>
      <c r="Q323" s="301">
        <v>0.25</v>
      </c>
      <c r="R323" s="301">
        <v>0.5</v>
      </c>
      <c r="S323" s="301">
        <v>0.75</v>
      </c>
      <c r="T323" s="301">
        <v>1</v>
      </c>
      <c r="U323" s="301"/>
      <c r="V323" s="301"/>
      <c r="W323" s="300"/>
      <c r="X323" s="303"/>
      <c r="Y323" s="304"/>
      <c r="Z323" s="305"/>
      <c r="AA323" s="305"/>
      <c r="AB323" s="304"/>
      <c r="AC323" s="305"/>
      <c r="AD323" s="305"/>
      <c r="AE323" s="304"/>
      <c r="AF323" s="305"/>
      <c r="AG323" s="305"/>
      <c r="AH323" s="306"/>
    </row>
    <row r="324" spans="1:34" ht="56.25" customHeight="1" outlineLevel="1" x14ac:dyDescent="0.25">
      <c r="A324" s="742"/>
      <c r="B324" s="750"/>
      <c r="C324" s="750"/>
      <c r="D324" s="747"/>
      <c r="E324" s="744"/>
      <c r="F324" s="744"/>
      <c r="G324" s="364" t="s">
        <v>754</v>
      </c>
      <c r="H324" s="822"/>
      <c r="I324" s="12" t="s">
        <v>754</v>
      </c>
      <c r="J324" s="389">
        <v>40000000</v>
      </c>
      <c r="K324" s="298">
        <v>44593</v>
      </c>
      <c r="L324" s="298">
        <v>44925</v>
      </c>
      <c r="M324" s="298">
        <v>44652</v>
      </c>
      <c r="N324" s="299">
        <f t="shared" si="18"/>
        <v>0.17771084337349397</v>
      </c>
      <c r="O324" s="299">
        <f t="shared" ref="O324:O400" si="24">+IF(N324&gt;=100,100,IF(N324&lt;=0,0,N324))</f>
        <v>0.17771084337349397</v>
      </c>
      <c r="P324" s="300">
        <v>1</v>
      </c>
      <c r="Q324" s="301">
        <v>0.25</v>
      </c>
      <c r="R324" s="301">
        <v>0.5</v>
      </c>
      <c r="S324" s="301">
        <v>0.75</v>
      </c>
      <c r="T324" s="301">
        <v>1</v>
      </c>
      <c r="U324" s="301"/>
      <c r="V324" s="301"/>
      <c r="W324" s="300"/>
      <c r="X324" s="303"/>
      <c r="Y324" s="304"/>
      <c r="Z324" s="305"/>
      <c r="AA324" s="305"/>
      <c r="AB324" s="304"/>
      <c r="AC324" s="305"/>
      <c r="AD324" s="305"/>
      <c r="AE324" s="304"/>
      <c r="AF324" s="305"/>
      <c r="AG324" s="305"/>
      <c r="AH324" s="306"/>
    </row>
    <row r="325" spans="1:34" ht="225" customHeight="1" outlineLevel="1" x14ac:dyDescent="0.25">
      <c r="A325" s="742"/>
      <c r="B325" s="750"/>
      <c r="C325" s="750"/>
      <c r="D325" s="747"/>
      <c r="E325" s="744"/>
      <c r="F325" s="744"/>
      <c r="G325" s="364" t="s">
        <v>755</v>
      </c>
      <c r="H325" s="822"/>
      <c r="I325" s="12" t="s">
        <v>755</v>
      </c>
      <c r="J325" s="389">
        <v>50000000</v>
      </c>
      <c r="K325" s="298">
        <v>44593</v>
      </c>
      <c r="L325" s="298">
        <v>44925</v>
      </c>
      <c r="M325" s="298">
        <v>44652</v>
      </c>
      <c r="N325" s="299">
        <f t="shared" si="18"/>
        <v>0.17771084337349397</v>
      </c>
      <c r="O325" s="299">
        <f t="shared" si="24"/>
        <v>0.17771084337349397</v>
      </c>
      <c r="P325" s="300">
        <v>1</v>
      </c>
      <c r="Q325" s="301">
        <v>0.25</v>
      </c>
      <c r="R325" s="301">
        <v>0.5</v>
      </c>
      <c r="S325" s="301">
        <v>0.75</v>
      </c>
      <c r="T325" s="301">
        <v>1</v>
      </c>
      <c r="U325" s="301"/>
      <c r="V325" s="301"/>
      <c r="W325" s="300"/>
      <c r="X325" s="303"/>
      <c r="Y325" s="304"/>
      <c r="Z325" s="305"/>
      <c r="AA325" s="305"/>
      <c r="AB325" s="304"/>
      <c r="AC325" s="305"/>
      <c r="AD325" s="305"/>
      <c r="AE325" s="304"/>
      <c r="AF325" s="305"/>
      <c r="AG325" s="305"/>
      <c r="AH325" s="306"/>
    </row>
    <row r="326" spans="1:34" ht="46.5" customHeight="1" outlineLevel="1" x14ac:dyDescent="0.25">
      <c r="A326" s="742"/>
      <c r="B326" s="750"/>
      <c r="C326" s="750"/>
      <c r="D326" s="747"/>
      <c r="E326" s="744"/>
      <c r="F326" s="744"/>
      <c r="G326" s="364" t="s">
        <v>756</v>
      </c>
      <c r="H326" s="822"/>
      <c r="I326" s="12" t="s">
        <v>756</v>
      </c>
      <c r="J326" s="389">
        <v>15000000</v>
      </c>
      <c r="K326" s="298">
        <v>44593</v>
      </c>
      <c r="L326" s="298">
        <v>44925</v>
      </c>
      <c r="M326" s="298">
        <v>44652</v>
      </c>
      <c r="N326" s="299">
        <f t="shared" si="18"/>
        <v>0.17771084337349397</v>
      </c>
      <c r="O326" s="299">
        <f t="shared" si="24"/>
        <v>0.17771084337349397</v>
      </c>
      <c r="P326" s="300">
        <v>1</v>
      </c>
      <c r="Q326" s="301">
        <v>0.25</v>
      </c>
      <c r="R326" s="301">
        <v>0.5</v>
      </c>
      <c r="S326" s="301">
        <v>0.75</v>
      </c>
      <c r="T326" s="301">
        <v>1</v>
      </c>
      <c r="U326" s="301"/>
      <c r="V326" s="301"/>
      <c r="W326" s="300"/>
      <c r="X326" s="303"/>
      <c r="Y326" s="304"/>
      <c r="Z326" s="305"/>
      <c r="AA326" s="305"/>
      <c r="AB326" s="304"/>
      <c r="AC326" s="305"/>
      <c r="AD326" s="305"/>
      <c r="AE326" s="304"/>
      <c r="AF326" s="305"/>
      <c r="AG326" s="305"/>
      <c r="AH326" s="306"/>
    </row>
    <row r="327" spans="1:34" ht="150" customHeight="1" outlineLevel="1" x14ac:dyDescent="0.25">
      <c r="A327" s="742"/>
      <c r="B327" s="750"/>
      <c r="C327" s="750"/>
      <c r="D327" s="747"/>
      <c r="E327" s="744"/>
      <c r="F327" s="744"/>
      <c r="G327" s="364" t="s">
        <v>775</v>
      </c>
      <c r="H327" s="822"/>
      <c r="I327" s="12" t="s">
        <v>775</v>
      </c>
      <c r="J327" s="390">
        <v>4000000</v>
      </c>
      <c r="K327" s="298">
        <v>44593</v>
      </c>
      <c r="L327" s="298">
        <v>44925</v>
      </c>
      <c r="M327" s="298">
        <v>44652</v>
      </c>
      <c r="N327" s="299">
        <f t="shared" si="18"/>
        <v>0.17771084337349397</v>
      </c>
      <c r="O327" s="299">
        <f t="shared" ref="O327:O330" si="25">+IF(N327&gt;=100,100,IF(N327&lt;=0,0,N327))</f>
        <v>0.17771084337349397</v>
      </c>
      <c r="P327" s="300">
        <v>1</v>
      </c>
      <c r="Q327" s="301">
        <v>0.25</v>
      </c>
      <c r="R327" s="301">
        <v>0.5</v>
      </c>
      <c r="S327" s="301">
        <v>0.75</v>
      </c>
      <c r="T327" s="301">
        <v>1</v>
      </c>
      <c r="U327" s="301"/>
      <c r="V327" s="301"/>
      <c r="W327" s="300"/>
      <c r="X327" s="303"/>
      <c r="Y327" s="304"/>
      <c r="Z327" s="305"/>
      <c r="AA327" s="305"/>
      <c r="AB327" s="304"/>
      <c r="AC327" s="305"/>
      <c r="AD327" s="305"/>
      <c r="AE327" s="304"/>
      <c r="AF327" s="305"/>
      <c r="AG327" s="305"/>
      <c r="AH327" s="306"/>
    </row>
    <row r="328" spans="1:34" ht="150" customHeight="1" outlineLevel="1" x14ac:dyDescent="0.25">
      <c r="A328" s="742"/>
      <c r="B328" s="750"/>
      <c r="C328" s="750"/>
      <c r="D328" s="747"/>
      <c r="E328" s="744"/>
      <c r="F328" s="744"/>
      <c r="G328" s="364" t="s">
        <v>776</v>
      </c>
      <c r="H328" s="822"/>
      <c r="I328" s="12" t="s">
        <v>776</v>
      </c>
      <c r="J328" s="390">
        <v>1000000</v>
      </c>
      <c r="K328" s="298">
        <v>44593</v>
      </c>
      <c r="L328" s="298">
        <v>44925</v>
      </c>
      <c r="M328" s="298">
        <v>44652</v>
      </c>
      <c r="N328" s="299">
        <f t="shared" si="18"/>
        <v>0.17771084337349397</v>
      </c>
      <c r="O328" s="299">
        <f t="shared" si="25"/>
        <v>0.17771084337349397</v>
      </c>
      <c r="P328" s="300">
        <v>1</v>
      </c>
      <c r="Q328" s="301">
        <v>0.25</v>
      </c>
      <c r="R328" s="301">
        <v>0.5</v>
      </c>
      <c r="S328" s="301">
        <v>0.75</v>
      </c>
      <c r="T328" s="301">
        <v>1</v>
      </c>
      <c r="U328" s="301"/>
      <c r="V328" s="301"/>
      <c r="W328" s="300"/>
      <c r="X328" s="303"/>
      <c r="Y328" s="304"/>
      <c r="Z328" s="305"/>
      <c r="AA328" s="305"/>
      <c r="AB328" s="304"/>
      <c r="AC328" s="305"/>
      <c r="AD328" s="305"/>
      <c r="AE328" s="304"/>
      <c r="AF328" s="305"/>
      <c r="AG328" s="305"/>
      <c r="AH328" s="306"/>
    </row>
    <row r="329" spans="1:34" ht="56.25" customHeight="1" outlineLevel="1" x14ac:dyDescent="0.25">
      <c r="A329" s="742"/>
      <c r="B329" s="751"/>
      <c r="C329" s="751"/>
      <c r="D329" s="747"/>
      <c r="E329" s="745"/>
      <c r="F329" s="745"/>
      <c r="G329" s="364" t="s">
        <v>777</v>
      </c>
      <c r="H329" s="823"/>
      <c r="I329" s="12" t="s">
        <v>777</v>
      </c>
      <c r="J329" s="389">
        <v>2000000</v>
      </c>
      <c r="K329" s="298">
        <v>44593</v>
      </c>
      <c r="L329" s="298">
        <v>44925</v>
      </c>
      <c r="M329" s="298">
        <v>44652</v>
      </c>
      <c r="N329" s="299">
        <f t="shared" si="18"/>
        <v>0.17771084337349397</v>
      </c>
      <c r="O329" s="299">
        <f t="shared" si="25"/>
        <v>0.17771084337349397</v>
      </c>
      <c r="P329" s="300">
        <v>1</v>
      </c>
      <c r="Q329" s="301">
        <v>0.25</v>
      </c>
      <c r="R329" s="301">
        <v>0.5</v>
      </c>
      <c r="S329" s="301">
        <v>0.75</v>
      </c>
      <c r="T329" s="301">
        <v>1</v>
      </c>
      <c r="U329" s="301"/>
      <c r="V329" s="301"/>
      <c r="W329" s="300"/>
      <c r="X329" s="303"/>
      <c r="Y329" s="304"/>
      <c r="Z329" s="305"/>
      <c r="AA329" s="305"/>
      <c r="AB329" s="304"/>
      <c r="AC329" s="305"/>
      <c r="AD329" s="305"/>
      <c r="AE329" s="304"/>
      <c r="AF329" s="305"/>
      <c r="AG329" s="305"/>
      <c r="AH329" s="306"/>
    </row>
    <row r="330" spans="1:34" ht="168.75" customHeight="1" outlineLevel="1" x14ac:dyDescent="0.25">
      <c r="A330" s="742"/>
      <c r="B330" s="749" t="s">
        <v>51</v>
      </c>
      <c r="C330" s="749" t="s">
        <v>676</v>
      </c>
      <c r="D330" s="747"/>
      <c r="E330" s="260" t="s">
        <v>721</v>
      </c>
      <c r="F330" s="260" t="s">
        <v>767</v>
      </c>
      <c r="G330" s="364" t="s">
        <v>778</v>
      </c>
      <c r="H330" s="364" t="s">
        <v>723</v>
      </c>
      <c r="I330" s="12" t="s">
        <v>779</v>
      </c>
      <c r="J330" s="389">
        <v>60000000</v>
      </c>
      <c r="K330" s="298">
        <v>44593</v>
      </c>
      <c r="L330" s="298">
        <v>44925</v>
      </c>
      <c r="M330" s="298">
        <v>44652</v>
      </c>
      <c r="N330" s="299">
        <f t="shared" si="18"/>
        <v>0.17771084337349397</v>
      </c>
      <c r="O330" s="299">
        <f t="shared" si="25"/>
        <v>0.17771084337349397</v>
      </c>
      <c r="P330" s="300">
        <v>1</v>
      </c>
      <c r="Q330" s="301">
        <v>0.25</v>
      </c>
      <c r="R330" s="301">
        <v>0.5</v>
      </c>
      <c r="S330" s="301">
        <v>0.75</v>
      </c>
      <c r="T330" s="301">
        <v>1</v>
      </c>
      <c r="U330" s="301"/>
      <c r="V330" s="301"/>
      <c r="W330" s="300"/>
      <c r="X330" s="303"/>
      <c r="Y330" s="304"/>
      <c r="Z330" s="305"/>
      <c r="AA330" s="305"/>
      <c r="AB330" s="304"/>
      <c r="AC330" s="305"/>
      <c r="AD330" s="305"/>
      <c r="AE330" s="304"/>
      <c r="AF330" s="305"/>
      <c r="AG330" s="305"/>
      <c r="AH330" s="306"/>
    </row>
    <row r="331" spans="1:34" ht="36.450000000000003" customHeight="1" outlineLevel="1" x14ac:dyDescent="0.25">
      <c r="A331" s="742"/>
      <c r="B331" s="750"/>
      <c r="C331" s="750"/>
      <c r="D331" s="747"/>
      <c r="E331" s="260" t="s">
        <v>780</v>
      </c>
      <c r="F331" s="260" t="s">
        <v>688</v>
      </c>
      <c r="G331" s="364" t="s">
        <v>781</v>
      </c>
      <c r="H331" s="364" t="s">
        <v>719</v>
      </c>
      <c r="I331" s="12" t="s">
        <v>781</v>
      </c>
      <c r="J331" s="391" t="s">
        <v>59</v>
      </c>
      <c r="K331" s="298">
        <v>44593</v>
      </c>
      <c r="L331" s="298">
        <v>44925</v>
      </c>
      <c r="M331" s="298">
        <v>44652</v>
      </c>
      <c r="N331" s="299">
        <f t="shared" si="18"/>
        <v>0.17771084337349397</v>
      </c>
      <c r="O331" s="299">
        <f t="shared" si="24"/>
        <v>0.17771084337349397</v>
      </c>
      <c r="P331" s="300">
        <v>1</v>
      </c>
      <c r="Q331" s="301">
        <v>0.25</v>
      </c>
      <c r="R331" s="301">
        <v>0.5</v>
      </c>
      <c r="S331" s="301">
        <v>0.75</v>
      </c>
      <c r="T331" s="301">
        <v>1</v>
      </c>
      <c r="U331" s="301"/>
      <c r="V331" s="301"/>
      <c r="W331" s="300"/>
      <c r="X331" s="303"/>
      <c r="Y331" s="304"/>
      <c r="Z331" s="305"/>
      <c r="AA331" s="305"/>
      <c r="AB331" s="304"/>
      <c r="AC331" s="305"/>
      <c r="AD331" s="305"/>
      <c r="AE331" s="304"/>
      <c r="AF331" s="305"/>
      <c r="AG331" s="305"/>
      <c r="AH331" s="306"/>
    </row>
    <row r="332" spans="1:34" ht="62.55" customHeight="1" outlineLevel="1" x14ac:dyDescent="0.25">
      <c r="A332" s="742"/>
      <c r="B332" s="750"/>
      <c r="C332" s="750"/>
      <c r="D332" s="747"/>
      <c r="E332" s="743" t="s">
        <v>711</v>
      </c>
      <c r="F332" s="743" t="s">
        <v>147</v>
      </c>
      <c r="G332" s="364" t="s">
        <v>782</v>
      </c>
      <c r="H332" s="364" t="s">
        <v>149</v>
      </c>
      <c r="I332" s="12" t="s">
        <v>783</v>
      </c>
      <c r="J332" s="391" t="s">
        <v>59</v>
      </c>
      <c r="K332" s="298">
        <v>44593</v>
      </c>
      <c r="L332" s="298">
        <v>44925</v>
      </c>
      <c r="M332" s="298">
        <v>44652</v>
      </c>
      <c r="N332" s="299">
        <f t="shared" si="18"/>
        <v>0.17771084337349397</v>
      </c>
      <c r="O332" s="299">
        <f t="shared" si="24"/>
        <v>0.17771084337349397</v>
      </c>
      <c r="P332" s="300">
        <v>1</v>
      </c>
      <c r="Q332" s="301">
        <v>0.25</v>
      </c>
      <c r="R332" s="301">
        <v>0.5</v>
      </c>
      <c r="S332" s="301">
        <v>0.75</v>
      </c>
      <c r="T332" s="301">
        <v>1</v>
      </c>
      <c r="U332" s="301"/>
      <c r="V332" s="301"/>
      <c r="W332" s="300"/>
      <c r="X332" s="303"/>
      <c r="Y332" s="304"/>
      <c r="Z332" s="305"/>
      <c r="AA332" s="305"/>
      <c r="AB332" s="304"/>
      <c r="AC332" s="305"/>
      <c r="AD332" s="305"/>
      <c r="AE332" s="304"/>
      <c r="AF332" s="305"/>
      <c r="AG332" s="305"/>
      <c r="AH332" s="306"/>
    </row>
    <row r="333" spans="1:34" ht="62.55" customHeight="1" outlineLevel="1" x14ac:dyDescent="0.25">
      <c r="A333" s="742"/>
      <c r="B333" s="750"/>
      <c r="C333" s="751"/>
      <c r="D333" s="747"/>
      <c r="E333" s="745"/>
      <c r="F333" s="745"/>
      <c r="G333" s="364" t="s">
        <v>784</v>
      </c>
      <c r="H333" s="364" t="s">
        <v>149</v>
      </c>
      <c r="I333" s="12" t="s">
        <v>785</v>
      </c>
      <c r="J333" s="389">
        <v>38111287.5</v>
      </c>
      <c r="K333" s="298">
        <v>44593</v>
      </c>
      <c r="L333" s="298">
        <v>44925</v>
      </c>
      <c r="M333" s="298">
        <v>44652</v>
      </c>
      <c r="N333" s="299">
        <f t="shared" si="18"/>
        <v>0.17771084337349397</v>
      </c>
      <c r="O333" s="299">
        <f t="shared" si="24"/>
        <v>0.17771084337349397</v>
      </c>
      <c r="P333" s="300">
        <v>1</v>
      </c>
      <c r="Q333" s="301">
        <v>0.25</v>
      </c>
      <c r="R333" s="301">
        <v>0.5</v>
      </c>
      <c r="S333" s="301">
        <v>0.75</v>
      </c>
      <c r="T333" s="301">
        <v>1</v>
      </c>
      <c r="U333" s="301"/>
      <c r="V333" s="301"/>
      <c r="W333" s="300"/>
      <c r="X333" s="303"/>
      <c r="Y333" s="304"/>
      <c r="Z333" s="305"/>
      <c r="AA333" s="305"/>
      <c r="AB333" s="304"/>
      <c r="AC333" s="305"/>
      <c r="AD333" s="305"/>
      <c r="AE333" s="304"/>
      <c r="AF333" s="305"/>
      <c r="AG333" s="305"/>
      <c r="AH333" s="306"/>
    </row>
    <row r="334" spans="1:34" ht="62.55" customHeight="1" outlineLevel="1" x14ac:dyDescent="0.25">
      <c r="A334" s="742"/>
      <c r="B334" s="750"/>
      <c r="C334" s="749" t="s">
        <v>697</v>
      </c>
      <c r="D334" s="747"/>
      <c r="E334" s="743" t="s">
        <v>786</v>
      </c>
      <c r="F334" s="743" t="s">
        <v>549</v>
      </c>
      <c r="G334" s="337" t="s">
        <v>787</v>
      </c>
      <c r="H334" s="823" t="s">
        <v>551</v>
      </c>
      <c r="I334" s="12" t="s">
        <v>787</v>
      </c>
      <c r="J334" s="391" t="s">
        <v>788</v>
      </c>
      <c r="K334" s="298">
        <v>44593</v>
      </c>
      <c r="L334" s="298">
        <v>44925</v>
      </c>
      <c r="M334" s="298">
        <v>44652</v>
      </c>
      <c r="N334" s="299">
        <f t="shared" si="18"/>
        <v>0.17771084337349397</v>
      </c>
      <c r="O334" s="299">
        <f t="shared" ref="O334:O335" si="26">+IF(N334&gt;=100,100,IF(N334&lt;=0,0,N334))</f>
        <v>0.17771084337349397</v>
      </c>
      <c r="P334" s="300">
        <v>1</v>
      </c>
      <c r="Q334" s="301">
        <v>0.25</v>
      </c>
      <c r="R334" s="301">
        <v>0.5</v>
      </c>
      <c r="S334" s="301">
        <v>0.75</v>
      </c>
      <c r="T334" s="301">
        <v>1</v>
      </c>
      <c r="U334" s="301"/>
      <c r="V334" s="301"/>
      <c r="W334" s="300"/>
      <c r="X334" s="303"/>
      <c r="Y334" s="304"/>
      <c r="Z334" s="305"/>
      <c r="AA334" s="305"/>
      <c r="AB334" s="304"/>
      <c r="AC334" s="305"/>
      <c r="AD334" s="305"/>
      <c r="AE334" s="304"/>
      <c r="AF334" s="305"/>
      <c r="AG334" s="305"/>
      <c r="AH334" s="306"/>
    </row>
    <row r="335" spans="1:34" ht="112.5" customHeight="1" outlineLevel="1" x14ac:dyDescent="0.25">
      <c r="A335" s="742"/>
      <c r="B335" s="751"/>
      <c r="C335" s="751"/>
      <c r="D335" s="747"/>
      <c r="E335" s="745"/>
      <c r="F335" s="745"/>
      <c r="G335" s="364" t="s">
        <v>789</v>
      </c>
      <c r="H335" s="956"/>
      <c r="I335" s="12" t="s">
        <v>790</v>
      </c>
      <c r="J335" s="391" t="s">
        <v>59</v>
      </c>
      <c r="K335" s="298">
        <v>44593</v>
      </c>
      <c r="L335" s="298">
        <v>44925</v>
      </c>
      <c r="M335" s="298">
        <v>44652</v>
      </c>
      <c r="N335" s="299">
        <f t="shared" si="18"/>
        <v>0.17771084337349397</v>
      </c>
      <c r="O335" s="299">
        <f t="shared" si="26"/>
        <v>0.17771084337349397</v>
      </c>
      <c r="P335" s="300">
        <v>1</v>
      </c>
      <c r="Q335" s="301">
        <v>0.25</v>
      </c>
      <c r="R335" s="301">
        <v>0.5</v>
      </c>
      <c r="S335" s="301">
        <v>0.75</v>
      </c>
      <c r="T335" s="301">
        <v>1</v>
      </c>
      <c r="U335" s="301"/>
      <c r="V335" s="301"/>
      <c r="W335" s="300"/>
      <c r="X335" s="303"/>
      <c r="Y335" s="304"/>
      <c r="Z335" s="305"/>
      <c r="AA335" s="305"/>
      <c r="AB335" s="304"/>
      <c r="AC335" s="305"/>
      <c r="AD335" s="305"/>
      <c r="AE335" s="304"/>
      <c r="AF335" s="305"/>
      <c r="AG335" s="305"/>
      <c r="AH335" s="306"/>
    </row>
    <row r="336" spans="1:34" ht="91.5" customHeight="1" outlineLevel="1" x14ac:dyDescent="0.25">
      <c r="A336" s="742"/>
      <c r="B336" s="749" t="s">
        <v>606</v>
      </c>
      <c r="C336" s="269" t="s">
        <v>735</v>
      </c>
      <c r="D336" s="747"/>
      <c r="E336" s="260" t="s">
        <v>791</v>
      </c>
      <c r="F336" s="260" t="s">
        <v>792</v>
      </c>
      <c r="G336" s="364" t="s">
        <v>739</v>
      </c>
      <c r="H336" s="364" t="s">
        <v>793</v>
      </c>
      <c r="I336" s="12" t="s">
        <v>794</v>
      </c>
      <c r="J336" s="391" t="s">
        <v>59</v>
      </c>
      <c r="K336" s="298">
        <v>44593</v>
      </c>
      <c r="L336" s="298">
        <v>44925</v>
      </c>
      <c r="M336" s="298">
        <v>44652</v>
      </c>
      <c r="N336" s="299">
        <f t="shared" si="18"/>
        <v>0.17771084337349397</v>
      </c>
      <c r="O336" s="299">
        <f t="shared" si="24"/>
        <v>0.17771084337349397</v>
      </c>
      <c r="P336" s="300">
        <v>1</v>
      </c>
      <c r="Q336" s="301">
        <v>0.25</v>
      </c>
      <c r="R336" s="301">
        <v>0.5</v>
      </c>
      <c r="S336" s="301">
        <v>0.75</v>
      </c>
      <c r="T336" s="301">
        <v>1</v>
      </c>
      <c r="U336" s="301"/>
      <c r="V336" s="301"/>
      <c r="W336" s="300"/>
      <c r="X336" s="303"/>
      <c r="Y336" s="304"/>
      <c r="Z336" s="305"/>
      <c r="AA336" s="305"/>
      <c r="AB336" s="304"/>
      <c r="AC336" s="305"/>
      <c r="AD336" s="305"/>
      <c r="AE336" s="304"/>
      <c r="AF336" s="305"/>
      <c r="AG336" s="305"/>
      <c r="AH336" s="306"/>
    </row>
    <row r="337" spans="1:34" ht="75.75" customHeight="1" outlineLevel="1" x14ac:dyDescent="0.25">
      <c r="A337" s="742"/>
      <c r="B337" s="751"/>
      <c r="C337" s="269" t="s">
        <v>744</v>
      </c>
      <c r="D337" s="747"/>
      <c r="E337" s="260" t="s">
        <v>795</v>
      </c>
      <c r="F337" s="260" t="s">
        <v>1256</v>
      </c>
      <c r="G337" s="364" t="s">
        <v>796</v>
      </c>
      <c r="H337" s="364" t="s">
        <v>797</v>
      </c>
      <c r="I337" s="12" t="s">
        <v>796</v>
      </c>
      <c r="J337" s="391" t="s">
        <v>59</v>
      </c>
      <c r="K337" s="298">
        <v>44593</v>
      </c>
      <c r="L337" s="298">
        <v>44925</v>
      </c>
      <c r="M337" s="298">
        <v>44652</v>
      </c>
      <c r="N337" s="299">
        <f t="shared" si="18"/>
        <v>0.17771084337349397</v>
      </c>
      <c r="O337" s="299">
        <f t="shared" ref="O337" si="27">+IF(N337&gt;=100,100,IF(N337&lt;=0,0,N337))</f>
        <v>0.17771084337349397</v>
      </c>
      <c r="P337" s="300">
        <v>1</v>
      </c>
      <c r="Q337" s="301">
        <v>0.25</v>
      </c>
      <c r="R337" s="301">
        <v>0.5</v>
      </c>
      <c r="S337" s="301">
        <v>0.75</v>
      </c>
      <c r="T337" s="301">
        <v>1</v>
      </c>
      <c r="U337" s="301"/>
      <c r="V337" s="301"/>
      <c r="W337" s="300"/>
      <c r="X337" s="303"/>
      <c r="Y337" s="304"/>
      <c r="Z337" s="305"/>
      <c r="AA337" s="305"/>
      <c r="AB337" s="304"/>
      <c r="AC337" s="305"/>
      <c r="AD337" s="305"/>
      <c r="AE337" s="304"/>
      <c r="AF337" s="305"/>
      <c r="AG337" s="305"/>
      <c r="AH337" s="306"/>
    </row>
    <row r="338" spans="1:34" ht="90" customHeight="1" outlineLevel="1" x14ac:dyDescent="0.25">
      <c r="A338" s="742"/>
      <c r="B338" s="749" t="s">
        <v>194</v>
      </c>
      <c r="C338" s="749" t="s">
        <v>705</v>
      </c>
      <c r="D338" s="747"/>
      <c r="E338" s="743" t="s">
        <v>706</v>
      </c>
      <c r="F338" s="260" t="s">
        <v>798</v>
      </c>
      <c r="G338" s="364" t="s">
        <v>799</v>
      </c>
      <c r="H338" s="364" t="s">
        <v>800</v>
      </c>
      <c r="I338" s="12" t="s">
        <v>801</v>
      </c>
      <c r="J338" s="391" t="s">
        <v>788</v>
      </c>
      <c r="K338" s="298">
        <v>44593</v>
      </c>
      <c r="L338" s="298">
        <v>44925</v>
      </c>
      <c r="M338" s="298">
        <v>44652</v>
      </c>
      <c r="N338" s="299">
        <f t="shared" si="18"/>
        <v>0.17771084337349397</v>
      </c>
      <c r="O338" s="299">
        <f t="shared" si="24"/>
        <v>0.17771084337349397</v>
      </c>
      <c r="P338" s="300">
        <v>0.5</v>
      </c>
      <c r="Q338" s="301">
        <v>0.3</v>
      </c>
      <c r="R338" s="301">
        <v>0.4</v>
      </c>
      <c r="S338" s="301">
        <v>0.45</v>
      </c>
      <c r="T338" s="301">
        <v>0.5</v>
      </c>
      <c r="U338" s="301"/>
      <c r="V338" s="301"/>
      <c r="W338" s="300"/>
      <c r="X338" s="303"/>
      <c r="Y338" s="304"/>
      <c r="Z338" s="305"/>
      <c r="AA338" s="305"/>
      <c r="AB338" s="304"/>
      <c r="AC338" s="305"/>
      <c r="AD338" s="305"/>
      <c r="AE338" s="304"/>
      <c r="AF338" s="305"/>
      <c r="AG338" s="305"/>
      <c r="AH338" s="306"/>
    </row>
    <row r="339" spans="1:34" ht="45.75" customHeight="1" outlineLevel="1" x14ac:dyDescent="0.25">
      <c r="A339" s="742"/>
      <c r="B339" s="751"/>
      <c r="C339" s="751"/>
      <c r="D339" s="747"/>
      <c r="E339" s="745"/>
      <c r="F339" s="260" t="s">
        <v>707</v>
      </c>
      <c r="G339" s="364" t="s">
        <v>708</v>
      </c>
      <c r="H339" s="364" t="s">
        <v>709</v>
      </c>
      <c r="I339" s="12" t="s">
        <v>801</v>
      </c>
      <c r="J339" s="391" t="s">
        <v>788</v>
      </c>
      <c r="K339" s="298">
        <v>44593</v>
      </c>
      <c r="L339" s="298">
        <v>44925</v>
      </c>
      <c r="M339" s="298">
        <v>44652</v>
      </c>
      <c r="N339" s="299">
        <f t="shared" si="18"/>
        <v>0.17771084337349397</v>
      </c>
      <c r="O339" s="299">
        <f t="shared" si="24"/>
        <v>0.17771084337349397</v>
      </c>
      <c r="P339" s="300">
        <v>0.5</v>
      </c>
      <c r="Q339" s="301">
        <v>0.3</v>
      </c>
      <c r="R339" s="301">
        <v>0.4</v>
      </c>
      <c r="S339" s="301">
        <v>0.45</v>
      </c>
      <c r="T339" s="301">
        <v>0.5</v>
      </c>
      <c r="U339" s="301"/>
      <c r="V339" s="301"/>
      <c r="W339" s="300"/>
      <c r="X339" s="303"/>
      <c r="Y339" s="304"/>
      <c r="Z339" s="305"/>
      <c r="AA339" s="305"/>
      <c r="AB339" s="304"/>
      <c r="AC339" s="305"/>
      <c r="AD339" s="305"/>
      <c r="AE339" s="304"/>
      <c r="AF339" s="305"/>
      <c r="AG339" s="305"/>
      <c r="AH339" s="306"/>
    </row>
    <row r="340" spans="1:34" ht="46.95" customHeight="1" outlineLevel="1" x14ac:dyDescent="0.25">
      <c r="A340" s="742"/>
      <c r="B340" s="749" t="s">
        <v>51</v>
      </c>
      <c r="C340" s="749" t="s">
        <v>725</v>
      </c>
      <c r="D340" s="787" t="s">
        <v>802</v>
      </c>
      <c r="E340" s="818" t="s">
        <v>803</v>
      </c>
      <c r="F340" s="818" t="s">
        <v>103</v>
      </c>
      <c r="G340" s="340" t="s">
        <v>804</v>
      </c>
      <c r="H340" s="773" t="s">
        <v>805</v>
      </c>
      <c r="I340" s="833" t="s">
        <v>806</v>
      </c>
      <c r="J340" s="274" t="s">
        <v>337</v>
      </c>
      <c r="K340" s="298">
        <v>44593</v>
      </c>
      <c r="L340" s="298">
        <v>44925</v>
      </c>
      <c r="M340" s="298">
        <v>44652</v>
      </c>
      <c r="N340" s="299">
        <f t="shared" si="18"/>
        <v>0.17771084337349397</v>
      </c>
      <c r="O340" s="299">
        <f t="shared" si="24"/>
        <v>0.17771084337349397</v>
      </c>
      <c r="P340" s="300">
        <v>1</v>
      </c>
      <c r="Q340" s="301">
        <v>0.25</v>
      </c>
      <c r="R340" s="301">
        <v>0.5</v>
      </c>
      <c r="S340" s="301">
        <v>0.75</v>
      </c>
      <c r="T340" s="301">
        <v>1</v>
      </c>
      <c r="U340" s="301"/>
      <c r="V340" s="301"/>
      <c r="W340" s="300"/>
      <c r="X340" s="303"/>
      <c r="Y340" s="304"/>
      <c r="Z340" s="305"/>
      <c r="AA340" s="305"/>
      <c r="AB340" s="304"/>
      <c r="AC340" s="305"/>
      <c r="AD340" s="305"/>
      <c r="AE340" s="304"/>
      <c r="AF340" s="305"/>
      <c r="AG340" s="305"/>
      <c r="AH340" s="306"/>
    </row>
    <row r="341" spans="1:34" ht="112.5" customHeight="1" outlineLevel="1" x14ac:dyDescent="0.25">
      <c r="A341" s="742"/>
      <c r="B341" s="750"/>
      <c r="C341" s="750"/>
      <c r="D341" s="788"/>
      <c r="E341" s="819"/>
      <c r="F341" s="819"/>
      <c r="G341" s="340" t="s">
        <v>807</v>
      </c>
      <c r="H341" s="774"/>
      <c r="I341" s="850"/>
      <c r="J341" s="274" t="s">
        <v>337</v>
      </c>
      <c r="K341" s="298">
        <v>44593</v>
      </c>
      <c r="L341" s="298">
        <v>44925</v>
      </c>
      <c r="M341" s="298">
        <v>44652</v>
      </c>
      <c r="N341" s="299">
        <f t="shared" si="18"/>
        <v>0.17771084337349397</v>
      </c>
      <c r="O341" s="299">
        <f t="shared" si="24"/>
        <v>0.17771084337349397</v>
      </c>
      <c r="P341" s="300">
        <v>1</v>
      </c>
      <c r="Q341" s="301">
        <v>0.25</v>
      </c>
      <c r="R341" s="301">
        <v>0.5</v>
      </c>
      <c r="S341" s="301">
        <v>0.75</v>
      </c>
      <c r="T341" s="301">
        <v>1</v>
      </c>
      <c r="U341" s="301"/>
      <c r="V341" s="301"/>
      <c r="W341" s="300"/>
      <c r="X341" s="303"/>
      <c r="Y341" s="304"/>
      <c r="Z341" s="305"/>
      <c r="AA341" s="305"/>
      <c r="AB341" s="304"/>
      <c r="AC341" s="305"/>
      <c r="AD341" s="305"/>
      <c r="AE341" s="304"/>
      <c r="AF341" s="305"/>
      <c r="AG341" s="305"/>
      <c r="AH341" s="306"/>
    </row>
    <row r="342" spans="1:34" ht="116.55" customHeight="1" outlineLevel="1" x14ac:dyDescent="0.25">
      <c r="A342" s="742"/>
      <c r="B342" s="750"/>
      <c r="C342" s="750"/>
      <c r="D342" s="788"/>
      <c r="E342" s="819"/>
      <c r="F342" s="819"/>
      <c r="G342" s="340" t="s">
        <v>808</v>
      </c>
      <c r="H342" s="774"/>
      <c r="I342" s="850"/>
      <c r="J342" s="274" t="s">
        <v>337</v>
      </c>
      <c r="K342" s="298">
        <v>44593</v>
      </c>
      <c r="L342" s="298">
        <v>44925</v>
      </c>
      <c r="M342" s="298">
        <v>44652</v>
      </c>
      <c r="N342" s="299">
        <f t="shared" si="18"/>
        <v>0.17771084337349397</v>
      </c>
      <c r="O342" s="299">
        <f t="shared" si="24"/>
        <v>0.17771084337349397</v>
      </c>
      <c r="P342" s="300">
        <v>1</v>
      </c>
      <c r="Q342" s="301">
        <v>0.25</v>
      </c>
      <c r="R342" s="301">
        <v>0.5</v>
      </c>
      <c r="S342" s="301">
        <v>0.75</v>
      </c>
      <c r="T342" s="301">
        <v>1</v>
      </c>
      <c r="U342" s="301"/>
      <c r="V342" s="301"/>
      <c r="W342" s="300"/>
      <c r="X342" s="303"/>
      <c r="Y342" s="304"/>
      <c r="Z342" s="305"/>
      <c r="AA342" s="305"/>
      <c r="AB342" s="304"/>
      <c r="AC342" s="305"/>
      <c r="AD342" s="305"/>
      <c r="AE342" s="304"/>
      <c r="AF342" s="305"/>
      <c r="AG342" s="305"/>
      <c r="AH342" s="306"/>
    </row>
    <row r="343" spans="1:34" ht="116.55" customHeight="1" outlineLevel="1" x14ac:dyDescent="0.25">
      <c r="A343" s="742"/>
      <c r="B343" s="750"/>
      <c r="C343" s="750"/>
      <c r="D343" s="788"/>
      <c r="E343" s="819"/>
      <c r="F343" s="819"/>
      <c r="G343" s="340" t="s">
        <v>809</v>
      </c>
      <c r="H343" s="774"/>
      <c r="I343" s="850"/>
      <c r="J343" s="274" t="s">
        <v>337</v>
      </c>
      <c r="K343" s="298">
        <v>44593</v>
      </c>
      <c r="L343" s="298">
        <v>44925</v>
      </c>
      <c r="M343" s="298">
        <v>44652</v>
      </c>
      <c r="N343" s="299">
        <f t="shared" si="18"/>
        <v>0.17771084337349397</v>
      </c>
      <c r="O343" s="299">
        <f t="shared" ref="O343:O345" si="28">+IF(N343&gt;=100,100,IF(N343&lt;=0,0,N343))</f>
        <v>0.17771084337349397</v>
      </c>
      <c r="P343" s="300">
        <v>1</v>
      </c>
      <c r="Q343" s="301">
        <v>0.25</v>
      </c>
      <c r="R343" s="301">
        <v>0.5</v>
      </c>
      <c r="S343" s="301">
        <v>0.75</v>
      </c>
      <c r="T343" s="301">
        <v>1</v>
      </c>
      <c r="U343" s="301"/>
      <c r="V343" s="301"/>
      <c r="W343" s="300"/>
      <c r="X343" s="303"/>
      <c r="Y343" s="304"/>
      <c r="Z343" s="305"/>
      <c r="AA343" s="305"/>
      <c r="AB343" s="304"/>
      <c r="AC343" s="305"/>
      <c r="AD343" s="305"/>
      <c r="AE343" s="304"/>
      <c r="AF343" s="305"/>
      <c r="AG343" s="305"/>
      <c r="AH343" s="306"/>
    </row>
    <row r="344" spans="1:34" ht="116.55" customHeight="1" outlineLevel="1" x14ac:dyDescent="0.25">
      <c r="A344" s="742"/>
      <c r="B344" s="751"/>
      <c r="C344" s="751"/>
      <c r="D344" s="788"/>
      <c r="E344" s="820"/>
      <c r="F344" s="820"/>
      <c r="G344" s="340" t="s">
        <v>810</v>
      </c>
      <c r="H344" s="775"/>
      <c r="I344" s="834"/>
      <c r="J344" s="274" t="s">
        <v>337</v>
      </c>
      <c r="K344" s="298">
        <v>44593</v>
      </c>
      <c r="L344" s="298">
        <v>44925</v>
      </c>
      <c r="M344" s="298">
        <v>44652</v>
      </c>
      <c r="N344" s="299">
        <f t="shared" si="18"/>
        <v>0.17771084337349397</v>
      </c>
      <c r="O344" s="299">
        <f t="shared" si="28"/>
        <v>0.17771084337349397</v>
      </c>
      <c r="P344" s="300">
        <v>1</v>
      </c>
      <c r="Q344" s="301">
        <v>0.25</v>
      </c>
      <c r="R344" s="301">
        <v>0.5</v>
      </c>
      <c r="S344" s="301">
        <v>0.75</v>
      </c>
      <c r="T344" s="301">
        <v>1</v>
      </c>
      <c r="U344" s="301"/>
      <c r="V344" s="301"/>
      <c r="W344" s="300"/>
      <c r="X344" s="303"/>
      <c r="Y344" s="304"/>
      <c r="Z344" s="305"/>
      <c r="AA344" s="305"/>
      <c r="AB344" s="304"/>
      <c r="AC344" s="305"/>
      <c r="AD344" s="305"/>
      <c r="AE344" s="304"/>
      <c r="AF344" s="305"/>
      <c r="AG344" s="305"/>
      <c r="AH344" s="306"/>
    </row>
    <row r="345" spans="1:34" ht="116.55" customHeight="1" outlineLevel="1" x14ac:dyDescent="0.25">
      <c r="A345" s="742"/>
      <c r="B345" s="269" t="s">
        <v>194</v>
      </c>
      <c r="C345" s="269" t="s">
        <v>705</v>
      </c>
      <c r="D345" s="788"/>
      <c r="E345" s="339" t="s">
        <v>706</v>
      </c>
      <c r="F345" s="339" t="s">
        <v>811</v>
      </c>
      <c r="G345" s="335" t="s">
        <v>812</v>
      </c>
      <c r="H345" s="335" t="s">
        <v>813</v>
      </c>
      <c r="I345" s="274" t="s">
        <v>814</v>
      </c>
      <c r="J345" s="274" t="s">
        <v>337</v>
      </c>
      <c r="K345" s="298">
        <v>44593</v>
      </c>
      <c r="L345" s="298">
        <v>44925</v>
      </c>
      <c r="M345" s="298">
        <v>44652</v>
      </c>
      <c r="N345" s="299">
        <f t="shared" si="18"/>
        <v>0.17771084337349397</v>
      </c>
      <c r="O345" s="299">
        <f t="shared" si="28"/>
        <v>0.17771084337349397</v>
      </c>
      <c r="P345" s="300">
        <v>0.5</v>
      </c>
      <c r="Q345" s="301">
        <v>0.35</v>
      </c>
      <c r="R345" s="301">
        <v>0.4</v>
      </c>
      <c r="S345" s="301">
        <v>0.45</v>
      </c>
      <c r="T345" s="301">
        <v>0.5</v>
      </c>
      <c r="U345" s="301"/>
      <c r="V345" s="301"/>
      <c r="W345" s="300"/>
      <c r="X345" s="303"/>
      <c r="Y345" s="304"/>
      <c r="Z345" s="305"/>
      <c r="AA345" s="305"/>
      <c r="AB345" s="304"/>
      <c r="AC345" s="305"/>
      <c r="AD345" s="305"/>
      <c r="AE345" s="304"/>
      <c r="AF345" s="305"/>
      <c r="AG345" s="305"/>
      <c r="AH345" s="306"/>
    </row>
    <row r="346" spans="1:34" ht="46.95" customHeight="1" outlineLevel="1" x14ac:dyDescent="0.25">
      <c r="A346" s="742"/>
      <c r="B346" s="749" t="s">
        <v>51</v>
      </c>
      <c r="C346" s="749" t="s">
        <v>676</v>
      </c>
      <c r="D346" s="761" t="s">
        <v>815</v>
      </c>
      <c r="E346" s="268" t="s">
        <v>714</v>
      </c>
      <c r="F346" s="268" t="s">
        <v>55</v>
      </c>
      <c r="G346" s="10" t="s">
        <v>715</v>
      </c>
      <c r="H346" s="10" t="s">
        <v>57</v>
      </c>
      <c r="I346" s="274" t="s">
        <v>299</v>
      </c>
      <c r="J346" s="274" t="s">
        <v>337</v>
      </c>
      <c r="K346" s="298">
        <v>44593</v>
      </c>
      <c r="L346" s="298">
        <v>44925</v>
      </c>
      <c r="M346" s="298">
        <v>44652</v>
      </c>
      <c r="N346" s="299">
        <f t="shared" si="18"/>
        <v>0.17771084337349397</v>
      </c>
      <c r="O346" s="299">
        <f t="shared" si="24"/>
        <v>0.17771084337349397</v>
      </c>
      <c r="P346" s="300">
        <v>1</v>
      </c>
      <c r="Q346" s="301">
        <v>0.25</v>
      </c>
      <c r="R346" s="301">
        <v>0.5</v>
      </c>
      <c r="S346" s="301">
        <v>0.75</v>
      </c>
      <c r="T346" s="301">
        <v>1</v>
      </c>
      <c r="U346" s="301"/>
      <c r="V346" s="301"/>
      <c r="W346" s="300"/>
      <c r="X346" s="303"/>
      <c r="Y346" s="304"/>
      <c r="Z346" s="305"/>
      <c r="AA346" s="305"/>
      <c r="AB346" s="304"/>
      <c r="AC346" s="305"/>
      <c r="AD346" s="305"/>
      <c r="AE346" s="304"/>
      <c r="AF346" s="305"/>
      <c r="AG346" s="305"/>
      <c r="AH346" s="306"/>
    </row>
    <row r="347" spans="1:34" ht="75" customHeight="1" outlineLevel="1" x14ac:dyDescent="0.25">
      <c r="A347" s="742"/>
      <c r="B347" s="750"/>
      <c r="C347" s="750"/>
      <c r="D347" s="762"/>
      <c r="E347" s="767" t="s">
        <v>687</v>
      </c>
      <c r="F347" s="767" t="s">
        <v>688</v>
      </c>
      <c r="G347" s="10" t="s">
        <v>816</v>
      </c>
      <c r="H347" s="10" t="s">
        <v>719</v>
      </c>
      <c r="I347" s="308" t="s">
        <v>817</v>
      </c>
      <c r="J347" s="274" t="s">
        <v>337</v>
      </c>
      <c r="K347" s="298">
        <v>44593</v>
      </c>
      <c r="L347" s="298">
        <v>44925</v>
      </c>
      <c r="M347" s="298">
        <v>44652</v>
      </c>
      <c r="N347" s="299">
        <f t="shared" si="18"/>
        <v>0.17771084337349397</v>
      </c>
      <c r="O347" s="299">
        <f t="shared" ref="O347:O353" si="29">+IF(N347&gt;=100,100,IF(N347&lt;=0,0,N347))</f>
        <v>0.17771084337349397</v>
      </c>
      <c r="P347" s="300">
        <v>1</v>
      </c>
      <c r="Q347" s="301">
        <v>0.25</v>
      </c>
      <c r="R347" s="301">
        <v>0.5</v>
      </c>
      <c r="S347" s="301">
        <v>0.75</v>
      </c>
      <c r="T347" s="301">
        <v>1</v>
      </c>
      <c r="U347" s="301"/>
      <c r="V347" s="301"/>
      <c r="W347" s="300"/>
      <c r="X347" s="303"/>
      <c r="Y347" s="304"/>
      <c r="Z347" s="305"/>
      <c r="AA347" s="305"/>
      <c r="AB347" s="304"/>
      <c r="AC347" s="305"/>
      <c r="AD347" s="305"/>
      <c r="AE347" s="304"/>
      <c r="AF347" s="305"/>
      <c r="AG347" s="305"/>
      <c r="AH347" s="306"/>
    </row>
    <row r="348" spans="1:34" ht="75" customHeight="1" outlineLevel="1" x14ac:dyDescent="0.25">
      <c r="A348" s="742"/>
      <c r="B348" s="750"/>
      <c r="C348" s="750"/>
      <c r="D348" s="762"/>
      <c r="E348" s="768"/>
      <c r="F348" s="768"/>
      <c r="G348" s="10" t="s">
        <v>818</v>
      </c>
      <c r="H348" s="10" t="s">
        <v>719</v>
      </c>
      <c r="I348" s="274" t="s">
        <v>819</v>
      </c>
      <c r="J348" s="274" t="s">
        <v>337</v>
      </c>
      <c r="K348" s="298">
        <v>44593</v>
      </c>
      <c r="L348" s="298">
        <v>44925</v>
      </c>
      <c r="M348" s="298">
        <v>44652</v>
      </c>
      <c r="N348" s="299">
        <f t="shared" si="18"/>
        <v>0.17771084337349397</v>
      </c>
      <c r="O348" s="299">
        <f t="shared" si="29"/>
        <v>0.17771084337349397</v>
      </c>
      <c r="P348" s="300">
        <v>1</v>
      </c>
      <c r="Q348" s="301">
        <v>0.25</v>
      </c>
      <c r="R348" s="301">
        <v>0.5</v>
      </c>
      <c r="S348" s="301">
        <v>0.75</v>
      </c>
      <c r="T348" s="301">
        <v>1</v>
      </c>
      <c r="U348" s="301"/>
      <c r="V348" s="301"/>
      <c r="W348" s="300"/>
      <c r="X348" s="303"/>
      <c r="Y348" s="304"/>
      <c r="Z348" s="305"/>
      <c r="AA348" s="305"/>
      <c r="AB348" s="304"/>
      <c r="AC348" s="305"/>
      <c r="AD348" s="305"/>
      <c r="AE348" s="304"/>
      <c r="AF348" s="305"/>
      <c r="AG348" s="305"/>
      <c r="AH348" s="306"/>
    </row>
    <row r="349" spans="1:34" ht="108" customHeight="1" outlineLevel="1" x14ac:dyDescent="0.25">
      <c r="A349" s="742"/>
      <c r="B349" s="750"/>
      <c r="C349" s="750"/>
      <c r="D349" s="762"/>
      <c r="E349" s="767" t="s">
        <v>711</v>
      </c>
      <c r="F349" s="767" t="s">
        <v>147</v>
      </c>
      <c r="G349" s="10" t="s">
        <v>772</v>
      </c>
      <c r="H349" s="841" t="s">
        <v>149</v>
      </c>
      <c r="I349" s="274" t="s">
        <v>820</v>
      </c>
      <c r="J349" s="274" t="s">
        <v>337</v>
      </c>
      <c r="K349" s="298">
        <v>44593</v>
      </c>
      <c r="L349" s="298">
        <v>44925</v>
      </c>
      <c r="M349" s="298">
        <v>44652</v>
      </c>
      <c r="N349" s="299">
        <f t="shared" si="18"/>
        <v>0.17771084337349397</v>
      </c>
      <c r="O349" s="299">
        <f t="shared" si="29"/>
        <v>0.17771084337349397</v>
      </c>
      <c r="P349" s="300">
        <v>1</v>
      </c>
      <c r="Q349" s="301">
        <v>0.25</v>
      </c>
      <c r="R349" s="301">
        <v>0.5</v>
      </c>
      <c r="S349" s="301">
        <v>0.75</v>
      </c>
      <c r="T349" s="301">
        <v>1</v>
      </c>
      <c r="U349" s="301"/>
      <c r="V349" s="301"/>
      <c r="W349" s="300"/>
      <c r="X349" s="303"/>
      <c r="Y349" s="304"/>
      <c r="Z349" s="305"/>
      <c r="AA349" s="305"/>
      <c r="AB349" s="304"/>
      <c r="AC349" s="305"/>
      <c r="AD349" s="305"/>
      <c r="AE349" s="304"/>
      <c r="AF349" s="305"/>
      <c r="AG349" s="305"/>
      <c r="AH349" s="306"/>
    </row>
    <row r="350" spans="1:34" ht="135.44999999999999" customHeight="1" outlineLevel="1" x14ac:dyDescent="0.25">
      <c r="A350" s="742"/>
      <c r="B350" s="750"/>
      <c r="C350" s="750"/>
      <c r="D350" s="762"/>
      <c r="E350" s="854"/>
      <c r="F350" s="854"/>
      <c r="G350" s="10" t="s">
        <v>821</v>
      </c>
      <c r="H350" s="842"/>
      <c r="I350" s="274" t="s">
        <v>822</v>
      </c>
      <c r="J350" s="274" t="s">
        <v>337</v>
      </c>
      <c r="K350" s="298">
        <v>44593</v>
      </c>
      <c r="L350" s="298">
        <v>44925</v>
      </c>
      <c r="M350" s="298">
        <v>44652</v>
      </c>
      <c r="N350" s="299">
        <f t="shared" si="18"/>
        <v>0.17771084337349397</v>
      </c>
      <c r="O350" s="299">
        <f t="shared" si="29"/>
        <v>0.17771084337349397</v>
      </c>
      <c r="P350" s="300">
        <v>1</v>
      </c>
      <c r="Q350" s="301">
        <v>0.25</v>
      </c>
      <c r="R350" s="301">
        <v>0.5</v>
      </c>
      <c r="S350" s="301">
        <v>0.75</v>
      </c>
      <c r="T350" s="301">
        <v>1</v>
      </c>
      <c r="U350" s="301"/>
      <c r="V350" s="301"/>
      <c r="W350" s="300"/>
      <c r="X350" s="303"/>
      <c r="Y350" s="304"/>
      <c r="Z350" s="305"/>
      <c r="AA350" s="305"/>
      <c r="AB350" s="304"/>
      <c r="AC350" s="305"/>
      <c r="AD350" s="305"/>
      <c r="AE350" s="304"/>
      <c r="AF350" s="305"/>
      <c r="AG350" s="305"/>
      <c r="AH350" s="306"/>
    </row>
    <row r="351" spans="1:34" ht="135.44999999999999" customHeight="1" outlineLevel="1" x14ac:dyDescent="0.25">
      <c r="A351" s="742"/>
      <c r="B351" s="750"/>
      <c r="C351" s="750"/>
      <c r="D351" s="762"/>
      <c r="E351" s="854"/>
      <c r="F351" s="854"/>
      <c r="G351" s="10" t="s">
        <v>823</v>
      </c>
      <c r="H351" s="842"/>
      <c r="I351" s="274" t="s">
        <v>824</v>
      </c>
      <c r="J351" s="274" t="s">
        <v>337</v>
      </c>
      <c r="K351" s="298">
        <v>44593</v>
      </c>
      <c r="L351" s="298">
        <v>44925</v>
      </c>
      <c r="M351" s="298">
        <v>44652</v>
      </c>
      <c r="N351" s="299">
        <f t="shared" si="18"/>
        <v>0.17771084337349397</v>
      </c>
      <c r="O351" s="299">
        <f t="shared" si="29"/>
        <v>0.17771084337349397</v>
      </c>
      <c r="P351" s="300">
        <v>1</v>
      </c>
      <c r="Q351" s="301">
        <v>0.25</v>
      </c>
      <c r="R351" s="301">
        <v>0.5</v>
      </c>
      <c r="S351" s="301">
        <v>0.75</v>
      </c>
      <c r="T351" s="301">
        <v>1</v>
      </c>
      <c r="U351" s="301"/>
      <c r="V351" s="301"/>
      <c r="W351" s="300"/>
      <c r="X351" s="303"/>
      <c r="Y351" s="304"/>
      <c r="Z351" s="305"/>
      <c r="AA351" s="305"/>
      <c r="AB351" s="304"/>
      <c r="AC351" s="305"/>
      <c r="AD351" s="305"/>
      <c r="AE351" s="304"/>
      <c r="AF351" s="305"/>
      <c r="AG351" s="305"/>
      <c r="AH351" s="306"/>
    </row>
    <row r="352" spans="1:34" ht="36.450000000000003" customHeight="1" outlineLevel="1" x14ac:dyDescent="0.25">
      <c r="A352" s="742"/>
      <c r="B352" s="750"/>
      <c r="C352" s="750"/>
      <c r="D352" s="762"/>
      <c r="E352" s="768"/>
      <c r="F352" s="768"/>
      <c r="G352" s="10" t="s">
        <v>825</v>
      </c>
      <c r="H352" s="843"/>
      <c r="I352" s="12" t="s">
        <v>826</v>
      </c>
      <c r="J352" s="274" t="s">
        <v>337</v>
      </c>
      <c r="K352" s="298">
        <v>44593</v>
      </c>
      <c r="L352" s="298">
        <v>44925</v>
      </c>
      <c r="M352" s="298">
        <v>44652</v>
      </c>
      <c r="N352" s="299">
        <f t="shared" si="18"/>
        <v>0.17771084337349397</v>
      </c>
      <c r="O352" s="299">
        <f t="shared" si="29"/>
        <v>0.17771084337349397</v>
      </c>
      <c r="P352" s="300">
        <v>1</v>
      </c>
      <c r="Q352" s="301">
        <v>0.25</v>
      </c>
      <c r="R352" s="301">
        <v>0.5</v>
      </c>
      <c r="S352" s="301">
        <v>0.75</v>
      </c>
      <c r="T352" s="301">
        <v>1</v>
      </c>
      <c r="U352" s="301"/>
      <c r="V352" s="301"/>
      <c r="W352" s="300"/>
      <c r="X352" s="303"/>
      <c r="Y352" s="304"/>
      <c r="Z352" s="305"/>
      <c r="AA352" s="305"/>
      <c r="AB352" s="304"/>
      <c r="AC352" s="305"/>
      <c r="AD352" s="305"/>
      <c r="AE352" s="304"/>
      <c r="AF352" s="305"/>
      <c r="AG352" s="305"/>
      <c r="AH352" s="306"/>
    </row>
    <row r="353" spans="1:34" ht="135.44999999999999" customHeight="1" outlineLevel="1" x14ac:dyDescent="0.25">
      <c r="A353" s="742"/>
      <c r="B353" s="750"/>
      <c r="C353" s="751"/>
      <c r="D353" s="762"/>
      <c r="E353" s="268" t="s">
        <v>721</v>
      </c>
      <c r="F353" s="268" t="s">
        <v>767</v>
      </c>
      <c r="G353" s="10" t="s">
        <v>827</v>
      </c>
      <c r="H353" s="10" t="s">
        <v>723</v>
      </c>
      <c r="I353" s="12" t="s">
        <v>828</v>
      </c>
      <c r="J353" s="274" t="s">
        <v>337</v>
      </c>
      <c r="K353" s="298">
        <v>44593</v>
      </c>
      <c r="L353" s="298">
        <v>44925</v>
      </c>
      <c r="M353" s="298">
        <v>44652</v>
      </c>
      <c r="N353" s="299">
        <f t="shared" si="18"/>
        <v>0.17771084337349397</v>
      </c>
      <c r="O353" s="299">
        <f t="shared" si="29"/>
        <v>0.17771084337349397</v>
      </c>
      <c r="P353" s="300">
        <v>1</v>
      </c>
      <c r="Q353" s="301">
        <v>0.25</v>
      </c>
      <c r="R353" s="301">
        <v>0.5</v>
      </c>
      <c r="S353" s="301">
        <v>0.75</v>
      </c>
      <c r="T353" s="301">
        <v>1</v>
      </c>
      <c r="U353" s="301"/>
      <c r="V353" s="301"/>
      <c r="W353" s="300"/>
      <c r="X353" s="303"/>
      <c r="Y353" s="304"/>
      <c r="Z353" s="305"/>
      <c r="AA353" s="305"/>
      <c r="AB353" s="304"/>
      <c r="AC353" s="305"/>
      <c r="AD353" s="305"/>
      <c r="AE353" s="304"/>
      <c r="AF353" s="305"/>
      <c r="AG353" s="305"/>
      <c r="AH353" s="306"/>
    </row>
    <row r="354" spans="1:34" ht="75" customHeight="1" outlineLevel="1" x14ac:dyDescent="0.25">
      <c r="A354" s="742"/>
      <c r="B354" s="750"/>
      <c r="C354" s="749" t="s">
        <v>725</v>
      </c>
      <c r="D354" s="762"/>
      <c r="E354" s="767" t="s">
        <v>829</v>
      </c>
      <c r="F354" s="767" t="s">
        <v>103</v>
      </c>
      <c r="G354" s="10" t="s">
        <v>830</v>
      </c>
      <c r="H354" s="10" t="s">
        <v>105</v>
      </c>
      <c r="I354" s="833" t="s">
        <v>831</v>
      </c>
      <c r="J354" s="274" t="s">
        <v>337</v>
      </c>
      <c r="K354" s="298">
        <v>44593</v>
      </c>
      <c r="L354" s="298">
        <v>44925</v>
      </c>
      <c r="M354" s="298">
        <v>44652</v>
      </c>
      <c r="N354" s="299">
        <f t="shared" si="18"/>
        <v>0.17771084337349397</v>
      </c>
      <c r="O354" s="299">
        <f t="shared" si="24"/>
        <v>0.17771084337349397</v>
      </c>
      <c r="P354" s="300">
        <v>1</v>
      </c>
      <c r="Q354" s="301">
        <v>0.25</v>
      </c>
      <c r="R354" s="301">
        <v>0.5</v>
      </c>
      <c r="S354" s="301">
        <v>0.75</v>
      </c>
      <c r="T354" s="301">
        <v>1</v>
      </c>
      <c r="U354" s="301"/>
      <c r="V354" s="301"/>
      <c r="W354" s="300"/>
      <c r="X354" s="303"/>
      <c r="Y354" s="304"/>
      <c r="Z354" s="305"/>
      <c r="AA354" s="305"/>
      <c r="AB354" s="304"/>
      <c r="AC354" s="305"/>
      <c r="AD354" s="305"/>
      <c r="AE354" s="304"/>
      <c r="AF354" s="305"/>
      <c r="AG354" s="305"/>
      <c r="AH354" s="306"/>
    </row>
    <row r="355" spans="1:34" ht="36.450000000000003" customHeight="1" outlineLevel="1" x14ac:dyDescent="0.25">
      <c r="A355" s="742"/>
      <c r="B355" s="750"/>
      <c r="C355" s="750"/>
      <c r="D355" s="762"/>
      <c r="E355" s="854"/>
      <c r="F355" s="854"/>
      <c r="G355" s="10" t="s">
        <v>758</v>
      </c>
      <c r="H355" s="10" t="s">
        <v>105</v>
      </c>
      <c r="I355" s="850"/>
      <c r="J355" s="274" t="s">
        <v>337</v>
      </c>
      <c r="K355" s="298">
        <v>44593</v>
      </c>
      <c r="L355" s="298">
        <v>44925</v>
      </c>
      <c r="M355" s="298">
        <v>44652</v>
      </c>
      <c r="N355" s="299">
        <f t="shared" si="18"/>
        <v>0.17771084337349397</v>
      </c>
      <c r="O355" s="299">
        <f t="shared" ref="O355:O363" si="30">+IF(N355&gt;=100,100,IF(N355&lt;=0,0,N355))</f>
        <v>0.17771084337349397</v>
      </c>
      <c r="P355" s="300">
        <v>1</v>
      </c>
      <c r="Q355" s="301">
        <v>0.25</v>
      </c>
      <c r="R355" s="301">
        <v>0.5</v>
      </c>
      <c r="S355" s="301">
        <v>0.75</v>
      </c>
      <c r="T355" s="301">
        <v>1</v>
      </c>
      <c r="U355" s="301"/>
      <c r="V355" s="301"/>
      <c r="W355" s="300"/>
      <c r="X355" s="303"/>
      <c r="Y355" s="304"/>
      <c r="Z355" s="305"/>
      <c r="AA355" s="305"/>
      <c r="AB355" s="304"/>
      <c r="AC355" s="305"/>
      <c r="AD355" s="305"/>
      <c r="AE355" s="304"/>
      <c r="AF355" s="305"/>
      <c r="AG355" s="305"/>
      <c r="AH355" s="306"/>
    </row>
    <row r="356" spans="1:34" ht="36.450000000000003" customHeight="1" outlineLevel="1" x14ac:dyDescent="0.25">
      <c r="A356" s="742"/>
      <c r="B356" s="750"/>
      <c r="C356" s="750"/>
      <c r="D356" s="762"/>
      <c r="E356" s="854"/>
      <c r="F356" s="854"/>
      <c r="G356" s="10" t="s">
        <v>832</v>
      </c>
      <c r="H356" s="10" t="s">
        <v>105</v>
      </c>
      <c r="I356" s="850"/>
      <c r="J356" s="274" t="s">
        <v>337</v>
      </c>
      <c r="K356" s="298">
        <v>44593</v>
      </c>
      <c r="L356" s="298">
        <v>44925</v>
      </c>
      <c r="M356" s="298">
        <v>44652</v>
      </c>
      <c r="N356" s="299">
        <f t="shared" si="18"/>
        <v>0.17771084337349397</v>
      </c>
      <c r="O356" s="299">
        <f t="shared" si="30"/>
        <v>0.17771084337349397</v>
      </c>
      <c r="P356" s="300">
        <v>1</v>
      </c>
      <c r="Q356" s="301">
        <v>0.25</v>
      </c>
      <c r="R356" s="301">
        <v>0.5</v>
      </c>
      <c r="S356" s="301">
        <v>0.75</v>
      </c>
      <c r="T356" s="301">
        <v>1</v>
      </c>
      <c r="U356" s="301"/>
      <c r="V356" s="301"/>
      <c r="W356" s="300"/>
      <c r="X356" s="303"/>
      <c r="Y356" s="304"/>
      <c r="Z356" s="305"/>
      <c r="AA356" s="305"/>
      <c r="AB356" s="304"/>
      <c r="AC356" s="305"/>
      <c r="AD356" s="305"/>
      <c r="AE356" s="304"/>
      <c r="AF356" s="305"/>
      <c r="AG356" s="305"/>
      <c r="AH356" s="306"/>
    </row>
    <row r="357" spans="1:34" ht="75" customHeight="1" outlineLevel="1" x14ac:dyDescent="0.25">
      <c r="A357" s="742"/>
      <c r="B357" s="750"/>
      <c r="C357" s="750"/>
      <c r="D357" s="762"/>
      <c r="E357" s="854"/>
      <c r="F357" s="854"/>
      <c r="G357" s="10" t="s">
        <v>833</v>
      </c>
      <c r="H357" s="10" t="s">
        <v>105</v>
      </c>
      <c r="I357" s="850"/>
      <c r="J357" s="274" t="s">
        <v>337</v>
      </c>
      <c r="K357" s="298">
        <v>44593</v>
      </c>
      <c r="L357" s="298">
        <v>44925</v>
      </c>
      <c r="M357" s="298">
        <v>44652</v>
      </c>
      <c r="N357" s="299">
        <f t="shared" si="18"/>
        <v>0.17771084337349397</v>
      </c>
      <c r="O357" s="299">
        <f t="shared" si="30"/>
        <v>0.17771084337349397</v>
      </c>
      <c r="P357" s="300">
        <v>1</v>
      </c>
      <c r="Q357" s="301">
        <v>0.25</v>
      </c>
      <c r="R357" s="301">
        <v>0.5</v>
      </c>
      <c r="S357" s="301">
        <v>0.75</v>
      </c>
      <c r="T357" s="301">
        <v>1</v>
      </c>
      <c r="U357" s="301"/>
      <c r="V357" s="301"/>
      <c r="W357" s="300"/>
      <c r="X357" s="303"/>
      <c r="Y357" s="304"/>
      <c r="Z357" s="305"/>
      <c r="AA357" s="305"/>
      <c r="AB357" s="304"/>
      <c r="AC357" s="305"/>
      <c r="AD357" s="305"/>
      <c r="AE357" s="304"/>
      <c r="AF357" s="305"/>
      <c r="AG357" s="305"/>
      <c r="AH357" s="306"/>
    </row>
    <row r="358" spans="1:34" ht="36" customHeight="1" outlineLevel="1" x14ac:dyDescent="0.25">
      <c r="A358" s="742"/>
      <c r="B358" s="750"/>
      <c r="C358" s="750"/>
      <c r="D358" s="762"/>
      <c r="E358" s="854"/>
      <c r="F358" s="854"/>
      <c r="G358" s="10" t="s">
        <v>834</v>
      </c>
      <c r="H358" s="10" t="s">
        <v>105</v>
      </c>
      <c r="I358" s="850"/>
      <c r="J358" s="274" t="s">
        <v>337</v>
      </c>
      <c r="K358" s="298">
        <v>44593</v>
      </c>
      <c r="L358" s="298">
        <v>44925</v>
      </c>
      <c r="M358" s="298">
        <v>44652</v>
      </c>
      <c r="N358" s="299">
        <f t="shared" si="18"/>
        <v>0.17771084337349397</v>
      </c>
      <c r="O358" s="299">
        <f t="shared" si="30"/>
        <v>0.17771084337349397</v>
      </c>
      <c r="P358" s="300">
        <v>1</v>
      </c>
      <c r="Q358" s="301">
        <v>0.25</v>
      </c>
      <c r="R358" s="301">
        <v>0.5</v>
      </c>
      <c r="S358" s="301">
        <v>0.75</v>
      </c>
      <c r="T358" s="301">
        <v>1</v>
      </c>
      <c r="U358" s="301"/>
      <c r="V358" s="301"/>
      <c r="W358" s="300"/>
      <c r="X358" s="303"/>
      <c r="Y358" s="304"/>
      <c r="Z358" s="305"/>
      <c r="AA358" s="305"/>
      <c r="AB358" s="304"/>
      <c r="AC358" s="305"/>
      <c r="AD358" s="305"/>
      <c r="AE358" s="304"/>
      <c r="AF358" s="305"/>
      <c r="AG358" s="305"/>
      <c r="AH358" s="306"/>
    </row>
    <row r="359" spans="1:34" ht="53.55" customHeight="1" outlineLevel="1" x14ac:dyDescent="0.25">
      <c r="A359" s="742"/>
      <c r="B359" s="750"/>
      <c r="C359" s="750"/>
      <c r="D359" s="762"/>
      <c r="E359" s="854"/>
      <c r="F359" s="854"/>
      <c r="G359" s="10" t="s">
        <v>730</v>
      </c>
      <c r="H359" s="10" t="s">
        <v>105</v>
      </c>
      <c r="I359" s="850"/>
      <c r="J359" s="274" t="s">
        <v>337</v>
      </c>
      <c r="K359" s="298">
        <v>44593</v>
      </c>
      <c r="L359" s="298">
        <v>44925</v>
      </c>
      <c r="M359" s="298">
        <v>44652</v>
      </c>
      <c r="N359" s="299">
        <f t="shared" si="18"/>
        <v>0.17771084337349397</v>
      </c>
      <c r="O359" s="299">
        <f t="shared" si="30"/>
        <v>0.17771084337349397</v>
      </c>
      <c r="P359" s="300">
        <v>1</v>
      </c>
      <c r="Q359" s="301">
        <v>0.25</v>
      </c>
      <c r="R359" s="301">
        <v>0.5</v>
      </c>
      <c r="S359" s="301">
        <v>0.75</v>
      </c>
      <c r="T359" s="301">
        <v>1</v>
      </c>
      <c r="U359" s="301"/>
      <c r="V359" s="301"/>
      <c r="W359" s="300"/>
      <c r="X359" s="303"/>
      <c r="Y359" s="304"/>
      <c r="Z359" s="305"/>
      <c r="AA359" s="305"/>
      <c r="AB359" s="304"/>
      <c r="AC359" s="305"/>
      <c r="AD359" s="305"/>
      <c r="AE359" s="304"/>
      <c r="AF359" s="305"/>
      <c r="AG359" s="305"/>
      <c r="AH359" s="306"/>
    </row>
    <row r="360" spans="1:34" ht="22.95" customHeight="1" outlineLevel="1" x14ac:dyDescent="0.25">
      <c r="A360" s="742"/>
      <c r="B360" s="750"/>
      <c r="C360" s="750"/>
      <c r="D360" s="762"/>
      <c r="E360" s="854"/>
      <c r="F360" s="854"/>
      <c r="G360" s="10" t="s">
        <v>752</v>
      </c>
      <c r="H360" s="10" t="s">
        <v>105</v>
      </c>
      <c r="I360" s="850"/>
      <c r="J360" s="274" t="s">
        <v>337</v>
      </c>
      <c r="K360" s="298">
        <v>44593</v>
      </c>
      <c r="L360" s="298">
        <v>44925</v>
      </c>
      <c r="M360" s="298">
        <v>44652</v>
      </c>
      <c r="N360" s="299">
        <f t="shared" si="18"/>
        <v>0.17771084337349397</v>
      </c>
      <c r="O360" s="299">
        <f t="shared" si="30"/>
        <v>0.17771084337349397</v>
      </c>
      <c r="P360" s="300">
        <v>1</v>
      </c>
      <c r="Q360" s="301">
        <v>0.25</v>
      </c>
      <c r="R360" s="301">
        <v>0.5</v>
      </c>
      <c r="S360" s="301">
        <v>0.75</v>
      </c>
      <c r="T360" s="301">
        <v>1</v>
      </c>
      <c r="U360" s="301"/>
      <c r="V360" s="301"/>
      <c r="W360" s="300"/>
      <c r="X360" s="303"/>
      <c r="Y360" s="304"/>
      <c r="Z360" s="305"/>
      <c r="AA360" s="305"/>
      <c r="AB360" s="304"/>
      <c r="AC360" s="305"/>
      <c r="AD360" s="305"/>
      <c r="AE360" s="304"/>
      <c r="AF360" s="305"/>
      <c r="AG360" s="305"/>
      <c r="AH360" s="306"/>
    </row>
    <row r="361" spans="1:34" ht="75" customHeight="1" outlineLevel="1" x14ac:dyDescent="0.25">
      <c r="A361" s="742"/>
      <c r="B361" s="750"/>
      <c r="C361" s="750"/>
      <c r="D361" s="762"/>
      <c r="E361" s="854"/>
      <c r="F361" s="854"/>
      <c r="G361" s="10" t="s">
        <v>753</v>
      </c>
      <c r="H361" s="10" t="s">
        <v>105</v>
      </c>
      <c r="I361" s="850"/>
      <c r="J361" s="274" t="s">
        <v>337</v>
      </c>
      <c r="K361" s="298">
        <v>44593</v>
      </c>
      <c r="L361" s="298">
        <v>44925</v>
      </c>
      <c r="M361" s="298">
        <v>44652</v>
      </c>
      <c r="N361" s="299">
        <f t="shared" ref="N361:N424" si="31">+(+_xlfn.DAYS(K361,M361))/(+_xlfn.DAYS(K361,L361))</f>
        <v>0.17771084337349397</v>
      </c>
      <c r="O361" s="299">
        <f t="shared" si="30"/>
        <v>0.17771084337349397</v>
      </c>
      <c r="P361" s="300">
        <v>1</v>
      </c>
      <c r="Q361" s="301">
        <v>0.25</v>
      </c>
      <c r="R361" s="301">
        <v>0.5</v>
      </c>
      <c r="S361" s="301">
        <v>0.75</v>
      </c>
      <c r="T361" s="301">
        <v>1</v>
      </c>
      <c r="U361" s="301"/>
      <c r="V361" s="301"/>
      <c r="W361" s="300"/>
      <c r="X361" s="303"/>
      <c r="Y361" s="304"/>
      <c r="Z361" s="305"/>
      <c r="AA361" s="305"/>
      <c r="AB361" s="304"/>
      <c r="AC361" s="305"/>
      <c r="AD361" s="305"/>
      <c r="AE361" s="304"/>
      <c r="AF361" s="305"/>
      <c r="AG361" s="305"/>
      <c r="AH361" s="306"/>
    </row>
    <row r="362" spans="1:34" ht="108" customHeight="1" outlineLevel="1" x14ac:dyDescent="0.25">
      <c r="A362" s="742"/>
      <c r="B362" s="750"/>
      <c r="C362" s="750"/>
      <c r="D362" s="762"/>
      <c r="E362" s="854"/>
      <c r="F362" s="854"/>
      <c r="G362" s="10" t="s">
        <v>754</v>
      </c>
      <c r="H362" s="10" t="s">
        <v>105</v>
      </c>
      <c r="I362" s="850"/>
      <c r="J362" s="274" t="s">
        <v>337</v>
      </c>
      <c r="K362" s="298">
        <v>44593</v>
      </c>
      <c r="L362" s="298">
        <v>44925</v>
      </c>
      <c r="M362" s="298">
        <v>44652</v>
      </c>
      <c r="N362" s="299">
        <f t="shared" si="31"/>
        <v>0.17771084337349397</v>
      </c>
      <c r="O362" s="299">
        <f t="shared" si="30"/>
        <v>0.17771084337349397</v>
      </c>
      <c r="P362" s="300">
        <v>1</v>
      </c>
      <c r="Q362" s="301">
        <v>0.25</v>
      </c>
      <c r="R362" s="301">
        <v>0.5</v>
      </c>
      <c r="S362" s="301">
        <v>0.75</v>
      </c>
      <c r="T362" s="301">
        <v>1</v>
      </c>
      <c r="U362" s="301"/>
      <c r="V362" s="301"/>
      <c r="W362" s="300"/>
      <c r="X362" s="303"/>
      <c r="Y362" s="304"/>
      <c r="Z362" s="305"/>
      <c r="AA362" s="305"/>
      <c r="AB362" s="304"/>
      <c r="AC362" s="305"/>
      <c r="AD362" s="305"/>
      <c r="AE362" s="304"/>
      <c r="AF362" s="305"/>
      <c r="AG362" s="305"/>
      <c r="AH362" s="306"/>
    </row>
    <row r="363" spans="1:34" ht="135.44999999999999" customHeight="1" outlineLevel="1" x14ac:dyDescent="0.25">
      <c r="A363" s="742"/>
      <c r="B363" s="750"/>
      <c r="C363" s="751"/>
      <c r="D363" s="762"/>
      <c r="E363" s="768"/>
      <c r="F363" s="768"/>
      <c r="G363" s="10" t="s">
        <v>755</v>
      </c>
      <c r="H363" s="10" t="s">
        <v>105</v>
      </c>
      <c r="I363" s="834"/>
      <c r="J363" s="274" t="s">
        <v>337</v>
      </c>
      <c r="K363" s="298">
        <v>44593</v>
      </c>
      <c r="L363" s="298">
        <v>44925</v>
      </c>
      <c r="M363" s="298">
        <v>44652</v>
      </c>
      <c r="N363" s="299">
        <f t="shared" si="31"/>
        <v>0.17771084337349397</v>
      </c>
      <c r="O363" s="299">
        <f t="shared" si="30"/>
        <v>0.17771084337349397</v>
      </c>
      <c r="P363" s="300">
        <v>1</v>
      </c>
      <c r="Q363" s="301">
        <v>0.25</v>
      </c>
      <c r="R363" s="301">
        <v>0.5</v>
      </c>
      <c r="S363" s="301">
        <v>0.75</v>
      </c>
      <c r="T363" s="301">
        <v>1</v>
      </c>
      <c r="U363" s="301"/>
      <c r="V363" s="301"/>
      <c r="W363" s="300"/>
      <c r="X363" s="303"/>
      <c r="Y363" s="304"/>
      <c r="Z363" s="305"/>
      <c r="AA363" s="305"/>
      <c r="AB363" s="304"/>
      <c r="AC363" s="305"/>
      <c r="AD363" s="305"/>
      <c r="AE363" s="304"/>
      <c r="AF363" s="305"/>
      <c r="AG363" s="305"/>
      <c r="AH363" s="306"/>
    </row>
    <row r="364" spans="1:34" ht="46.2" customHeight="1" outlineLevel="1" x14ac:dyDescent="0.25">
      <c r="A364" s="742"/>
      <c r="B364" s="750"/>
      <c r="C364" s="749" t="s">
        <v>697</v>
      </c>
      <c r="D364" s="762"/>
      <c r="E364" s="767" t="s">
        <v>548</v>
      </c>
      <c r="F364" s="767" t="s">
        <v>296</v>
      </c>
      <c r="G364" s="10" t="s">
        <v>835</v>
      </c>
      <c r="H364" s="841" t="s">
        <v>298</v>
      </c>
      <c r="I364" s="12" t="s">
        <v>836</v>
      </c>
      <c r="J364" s="274" t="s">
        <v>337</v>
      </c>
      <c r="K364" s="298">
        <v>44593</v>
      </c>
      <c r="L364" s="298">
        <v>44925</v>
      </c>
      <c r="M364" s="298">
        <v>44652</v>
      </c>
      <c r="N364" s="299">
        <f t="shared" si="31"/>
        <v>0.17771084337349397</v>
      </c>
      <c r="O364" s="299">
        <f t="shared" si="24"/>
        <v>0.17771084337349397</v>
      </c>
      <c r="P364" s="300">
        <v>1</v>
      </c>
      <c r="Q364" s="301">
        <v>0.25</v>
      </c>
      <c r="R364" s="301">
        <v>0.5</v>
      </c>
      <c r="S364" s="301">
        <v>0.75</v>
      </c>
      <c r="T364" s="301">
        <v>1</v>
      </c>
      <c r="U364" s="301"/>
      <c r="V364" s="301"/>
      <c r="W364" s="300"/>
      <c r="X364" s="303"/>
      <c r="Y364" s="304"/>
      <c r="Z364" s="305"/>
      <c r="AA364" s="305"/>
      <c r="AB364" s="304"/>
      <c r="AC364" s="305"/>
      <c r="AD364" s="305"/>
      <c r="AE364" s="304"/>
      <c r="AF364" s="305"/>
      <c r="AG364" s="305"/>
      <c r="AH364" s="306"/>
    </row>
    <row r="365" spans="1:34" ht="46.5" customHeight="1" outlineLevel="1" x14ac:dyDescent="0.25">
      <c r="A365" s="742"/>
      <c r="B365" s="750"/>
      <c r="C365" s="750"/>
      <c r="D365" s="762"/>
      <c r="E365" s="854"/>
      <c r="F365" s="854"/>
      <c r="G365" s="10" t="s">
        <v>837</v>
      </c>
      <c r="H365" s="842"/>
      <c r="I365" s="274" t="s">
        <v>838</v>
      </c>
      <c r="J365" s="274" t="s">
        <v>337</v>
      </c>
      <c r="K365" s="298">
        <v>44593</v>
      </c>
      <c r="L365" s="298">
        <v>44925</v>
      </c>
      <c r="M365" s="298">
        <v>44652</v>
      </c>
      <c r="N365" s="299">
        <f t="shared" si="31"/>
        <v>0.17771084337349397</v>
      </c>
      <c r="O365" s="299">
        <f t="shared" si="24"/>
        <v>0.17771084337349397</v>
      </c>
      <c r="P365" s="300">
        <v>1</v>
      </c>
      <c r="Q365" s="301">
        <v>0.25</v>
      </c>
      <c r="R365" s="301">
        <v>0.5</v>
      </c>
      <c r="S365" s="301">
        <v>0.75</v>
      </c>
      <c r="T365" s="301">
        <v>1</v>
      </c>
      <c r="U365" s="301"/>
      <c r="V365" s="301"/>
      <c r="W365" s="300"/>
      <c r="X365" s="303"/>
      <c r="Y365" s="304"/>
      <c r="Z365" s="305"/>
      <c r="AA365" s="305"/>
      <c r="AB365" s="304"/>
      <c r="AC365" s="305"/>
      <c r="AD365" s="305"/>
      <c r="AE365" s="304"/>
      <c r="AF365" s="305"/>
      <c r="AG365" s="305"/>
      <c r="AH365" s="306"/>
    </row>
    <row r="366" spans="1:34" ht="46.2" customHeight="1" outlineLevel="1" x14ac:dyDescent="0.25">
      <c r="A366" s="742"/>
      <c r="B366" s="751"/>
      <c r="C366" s="751"/>
      <c r="D366" s="762"/>
      <c r="E366" s="768"/>
      <c r="F366" s="768"/>
      <c r="G366" s="10" t="s">
        <v>839</v>
      </c>
      <c r="H366" s="843"/>
      <c r="I366" s="274" t="s">
        <v>840</v>
      </c>
      <c r="J366" s="274" t="s">
        <v>337</v>
      </c>
      <c r="K366" s="298">
        <v>44593</v>
      </c>
      <c r="L366" s="298">
        <v>44925</v>
      </c>
      <c r="M366" s="298">
        <v>44652</v>
      </c>
      <c r="N366" s="299">
        <f t="shared" si="31"/>
        <v>0.17771084337349397</v>
      </c>
      <c r="O366" s="299">
        <f t="shared" si="24"/>
        <v>0.17771084337349397</v>
      </c>
      <c r="P366" s="300">
        <v>1</v>
      </c>
      <c r="Q366" s="301">
        <v>0.25</v>
      </c>
      <c r="R366" s="301">
        <v>0.5</v>
      </c>
      <c r="S366" s="301">
        <v>0.75</v>
      </c>
      <c r="T366" s="301">
        <v>1</v>
      </c>
      <c r="U366" s="301"/>
      <c r="V366" s="301"/>
      <c r="W366" s="300"/>
      <c r="X366" s="303"/>
      <c r="Y366" s="304"/>
      <c r="Z366" s="305"/>
      <c r="AA366" s="305"/>
      <c r="AB366" s="304"/>
      <c r="AC366" s="305"/>
      <c r="AD366" s="305"/>
      <c r="AE366" s="304"/>
      <c r="AF366" s="305"/>
      <c r="AG366" s="305"/>
      <c r="AH366" s="306"/>
    </row>
    <row r="367" spans="1:34" ht="53.55" customHeight="1" outlineLevel="1" x14ac:dyDescent="0.25">
      <c r="A367" s="742"/>
      <c r="B367" s="749" t="s">
        <v>606</v>
      </c>
      <c r="C367" s="749" t="s">
        <v>607</v>
      </c>
      <c r="D367" s="762"/>
      <c r="E367" s="767" t="s">
        <v>841</v>
      </c>
      <c r="F367" s="767" t="s">
        <v>842</v>
      </c>
      <c r="G367" s="10" t="s">
        <v>843</v>
      </c>
      <c r="H367" s="10" t="s">
        <v>189</v>
      </c>
      <c r="I367" s="274" t="s">
        <v>844</v>
      </c>
      <c r="J367" s="274" t="s">
        <v>337</v>
      </c>
      <c r="K367" s="298">
        <v>44593</v>
      </c>
      <c r="L367" s="298">
        <v>44925</v>
      </c>
      <c r="M367" s="298">
        <v>44652</v>
      </c>
      <c r="N367" s="299">
        <f t="shared" si="31"/>
        <v>0.17771084337349397</v>
      </c>
      <c r="O367" s="299">
        <f t="shared" si="24"/>
        <v>0.17771084337349397</v>
      </c>
      <c r="P367" s="300">
        <v>1</v>
      </c>
      <c r="Q367" s="301">
        <v>0.25</v>
      </c>
      <c r="R367" s="301">
        <v>0.5</v>
      </c>
      <c r="S367" s="301">
        <v>0.75</v>
      </c>
      <c r="T367" s="301">
        <v>1</v>
      </c>
      <c r="U367" s="301"/>
      <c r="V367" s="301"/>
      <c r="W367" s="300"/>
      <c r="X367" s="303"/>
      <c r="Y367" s="304"/>
      <c r="Z367" s="305"/>
      <c r="AA367" s="305"/>
      <c r="AB367" s="304"/>
      <c r="AC367" s="305"/>
      <c r="AD367" s="305"/>
      <c r="AE367" s="304"/>
      <c r="AF367" s="305"/>
      <c r="AG367" s="305"/>
      <c r="AH367" s="306"/>
    </row>
    <row r="368" spans="1:34" ht="22.95" customHeight="1" outlineLevel="1" x14ac:dyDescent="0.25">
      <c r="A368" s="742"/>
      <c r="B368" s="751"/>
      <c r="C368" s="751"/>
      <c r="D368" s="762"/>
      <c r="E368" s="768"/>
      <c r="F368" s="768"/>
      <c r="G368" s="10" t="s">
        <v>845</v>
      </c>
      <c r="H368" s="10" t="s">
        <v>189</v>
      </c>
      <c r="I368" s="274" t="s">
        <v>844</v>
      </c>
      <c r="J368" s="274" t="s">
        <v>337</v>
      </c>
      <c r="K368" s="298">
        <v>44593</v>
      </c>
      <c r="L368" s="298">
        <v>44925</v>
      </c>
      <c r="M368" s="298">
        <v>44652</v>
      </c>
      <c r="N368" s="299">
        <f t="shared" si="31"/>
        <v>0.17771084337349397</v>
      </c>
      <c r="O368" s="299">
        <f t="shared" si="24"/>
        <v>0.17771084337349397</v>
      </c>
      <c r="P368" s="300">
        <v>1</v>
      </c>
      <c r="Q368" s="301">
        <v>0.25</v>
      </c>
      <c r="R368" s="301">
        <v>0.5</v>
      </c>
      <c r="S368" s="301">
        <v>0.75</v>
      </c>
      <c r="T368" s="301">
        <v>1</v>
      </c>
      <c r="U368" s="301"/>
      <c r="V368" s="301"/>
      <c r="W368" s="300"/>
      <c r="X368" s="303"/>
      <c r="Y368" s="304"/>
      <c r="Z368" s="305"/>
      <c r="AA368" s="305"/>
      <c r="AB368" s="304"/>
      <c r="AC368" s="305"/>
      <c r="AD368" s="305"/>
      <c r="AE368" s="304"/>
      <c r="AF368" s="305"/>
      <c r="AG368" s="305"/>
      <c r="AH368" s="306"/>
    </row>
    <row r="369" spans="1:34" ht="109.2" customHeight="1" outlineLevel="1" x14ac:dyDescent="0.25">
      <c r="A369" s="742"/>
      <c r="B369" s="269" t="s">
        <v>606</v>
      </c>
      <c r="C369" s="269" t="s">
        <v>607</v>
      </c>
      <c r="D369" s="912" t="s">
        <v>846</v>
      </c>
      <c r="E369" s="276" t="s">
        <v>841</v>
      </c>
      <c r="F369" s="377" t="s">
        <v>842</v>
      </c>
      <c r="G369" s="277" t="s">
        <v>847</v>
      </c>
      <c r="H369" s="277" t="s">
        <v>189</v>
      </c>
      <c r="I369" s="274" t="s">
        <v>848</v>
      </c>
      <c r="J369" s="274" t="s">
        <v>337</v>
      </c>
      <c r="K369" s="298">
        <v>44593</v>
      </c>
      <c r="L369" s="298">
        <v>44925</v>
      </c>
      <c r="M369" s="298">
        <v>44652</v>
      </c>
      <c r="N369" s="299">
        <f t="shared" si="31"/>
        <v>0.17771084337349397</v>
      </c>
      <c r="O369" s="299">
        <f t="shared" si="24"/>
        <v>0.17771084337349397</v>
      </c>
      <c r="P369" s="300">
        <v>1</v>
      </c>
      <c r="Q369" s="301">
        <v>0.25</v>
      </c>
      <c r="R369" s="301">
        <v>0.5</v>
      </c>
      <c r="S369" s="301">
        <v>0.75</v>
      </c>
      <c r="T369" s="301">
        <v>1</v>
      </c>
      <c r="U369" s="301"/>
      <c r="V369" s="301"/>
      <c r="W369" s="300"/>
      <c r="X369" s="303"/>
      <c r="Y369" s="304"/>
      <c r="Z369" s="305"/>
      <c r="AA369" s="305"/>
      <c r="AB369" s="304"/>
      <c r="AC369" s="305"/>
      <c r="AD369" s="305"/>
      <c r="AE369" s="304"/>
      <c r="AF369" s="305"/>
      <c r="AG369" s="305"/>
      <c r="AH369" s="306"/>
    </row>
    <row r="370" spans="1:34" ht="109.2" customHeight="1" outlineLevel="1" x14ac:dyDescent="0.25">
      <c r="A370" s="742"/>
      <c r="B370" s="269" t="s">
        <v>194</v>
      </c>
      <c r="C370" s="269" t="s">
        <v>849</v>
      </c>
      <c r="D370" s="914"/>
      <c r="E370" s="350" t="s">
        <v>850</v>
      </c>
      <c r="F370" s="359" t="s">
        <v>851</v>
      </c>
      <c r="G370" s="277" t="s">
        <v>852</v>
      </c>
      <c r="H370" s="278" t="s">
        <v>853</v>
      </c>
      <c r="I370" s="274" t="s">
        <v>852</v>
      </c>
      <c r="J370" s="274" t="s">
        <v>337</v>
      </c>
      <c r="K370" s="298">
        <v>44593</v>
      </c>
      <c r="L370" s="298">
        <v>44925</v>
      </c>
      <c r="M370" s="298">
        <v>44652</v>
      </c>
      <c r="N370" s="299">
        <f t="shared" si="31"/>
        <v>0.17771084337349397</v>
      </c>
      <c r="O370" s="299">
        <f t="shared" ref="O370" si="32">+IF(N370&gt;=100,100,IF(N370&lt;=0,0,N370))</f>
        <v>0.17771084337349397</v>
      </c>
      <c r="P370" s="300">
        <v>1</v>
      </c>
      <c r="Q370" s="301">
        <v>0.25</v>
      </c>
      <c r="R370" s="301">
        <v>0.5</v>
      </c>
      <c r="S370" s="301">
        <v>0.75</v>
      </c>
      <c r="T370" s="301">
        <v>1</v>
      </c>
      <c r="U370" s="301"/>
      <c r="V370" s="301"/>
      <c r="W370" s="300"/>
      <c r="X370" s="303"/>
      <c r="Y370" s="304"/>
      <c r="Z370" s="305"/>
      <c r="AA370" s="305"/>
      <c r="AB370" s="304"/>
      <c r="AC370" s="305"/>
      <c r="AD370" s="305"/>
      <c r="AE370" s="304"/>
      <c r="AF370" s="305"/>
      <c r="AG370" s="305"/>
      <c r="AH370" s="306"/>
    </row>
    <row r="371" spans="1:34" ht="52.95" customHeight="1" outlineLevel="1" x14ac:dyDescent="0.25">
      <c r="A371" s="742"/>
      <c r="B371" s="749" t="s">
        <v>51</v>
      </c>
      <c r="C371" s="749" t="s">
        <v>547</v>
      </c>
      <c r="D371" s="787" t="s">
        <v>854</v>
      </c>
      <c r="E371" s="818" t="s">
        <v>295</v>
      </c>
      <c r="F371" s="776" t="s">
        <v>597</v>
      </c>
      <c r="G371" s="262" t="s">
        <v>855</v>
      </c>
      <c r="H371" s="952" t="s">
        <v>599</v>
      </c>
      <c r="I371" s="274" t="s">
        <v>152</v>
      </c>
      <c r="J371" s="382">
        <v>79000000</v>
      </c>
      <c r="K371" s="298">
        <v>44593</v>
      </c>
      <c r="L371" s="298">
        <v>44925</v>
      </c>
      <c r="M371" s="298">
        <v>44652</v>
      </c>
      <c r="N371" s="299">
        <f t="shared" si="31"/>
        <v>0.17771084337349397</v>
      </c>
      <c r="O371" s="299">
        <f t="shared" si="24"/>
        <v>0.17771084337349397</v>
      </c>
      <c r="P371" s="300">
        <v>1</v>
      </c>
      <c r="Q371" s="301">
        <v>0.25</v>
      </c>
      <c r="R371" s="301">
        <v>0.5</v>
      </c>
      <c r="S371" s="301">
        <v>0.75</v>
      </c>
      <c r="T371" s="301">
        <v>1</v>
      </c>
      <c r="U371" s="301"/>
      <c r="V371" s="301"/>
      <c r="W371" s="300"/>
      <c r="X371" s="303"/>
      <c r="Y371" s="304"/>
      <c r="Z371" s="305"/>
      <c r="AA371" s="305"/>
      <c r="AB371" s="304"/>
      <c r="AC371" s="305"/>
      <c r="AD371" s="305"/>
      <c r="AE371" s="304"/>
      <c r="AF371" s="305"/>
      <c r="AG371" s="305"/>
      <c r="AH371" s="306"/>
    </row>
    <row r="372" spans="1:34" ht="112.5" customHeight="1" outlineLevel="1" x14ac:dyDescent="0.25">
      <c r="A372" s="742"/>
      <c r="B372" s="750"/>
      <c r="C372" s="750"/>
      <c r="D372" s="788"/>
      <c r="E372" s="819"/>
      <c r="F372" s="778"/>
      <c r="G372" s="340" t="s">
        <v>856</v>
      </c>
      <c r="H372" s="953"/>
      <c r="I372" s="274" t="s">
        <v>857</v>
      </c>
      <c r="J372" s="382">
        <v>60000000</v>
      </c>
      <c r="K372" s="298">
        <v>44593</v>
      </c>
      <c r="L372" s="298">
        <v>44925</v>
      </c>
      <c r="M372" s="298">
        <v>44652</v>
      </c>
      <c r="N372" s="299">
        <f t="shared" si="31"/>
        <v>0.17771084337349397</v>
      </c>
      <c r="O372" s="299">
        <f t="shared" si="24"/>
        <v>0.17771084337349397</v>
      </c>
      <c r="P372" s="300">
        <v>1</v>
      </c>
      <c r="Q372" s="301">
        <v>0.25</v>
      </c>
      <c r="R372" s="301">
        <v>0.5</v>
      </c>
      <c r="S372" s="301">
        <v>0.75</v>
      </c>
      <c r="T372" s="301">
        <v>1</v>
      </c>
      <c r="U372" s="301"/>
      <c r="V372" s="301"/>
      <c r="W372" s="300"/>
      <c r="X372" s="303"/>
      <c r="Y372" s="304"/>
      <c r="Z372" s="305"/>
      <c r="AA372" s="305"/>
      <c r="AB372" s="304"/>
      <c r="AC372" s="305"/>
      <c r="AD372" s="305"/>
      <c r="AE372" s="304"/>
      <c r="AF372" s="305"/>
      <c r="AG372" s="305"/>
      <c r="AH372" s="306"/>
    </row>
    <row r="373" spans="1:34" ht="88.2" customHeight="1" outlineLevel="1" x14ac:dyDescent="0.25">
      <c r="A373" s="742"/>
      <c r="B373" s="750"/>
      <c r="C373" s="750"/>
      <c r="D373" s="788"/>
      <c r="E373" s="819"/>
      <c r="F373" s="778"/>
      <c r="G373" s="340" t="s">
        <v>858</v>
      </c>
      <c r="H373" s="953"/>
      <c r="I373" s="274" t="s">
        <v>857</v>
      </c>
      <c r="J373" s="382">
        <v>35000000</v>
      </c>
      <c r="K373" s="298">
        <v>44593</v>
      </c>
      <c r="L373" s="298">
        <v>44925</v>
      </c>
      <c r="M373" s="298">
        <v>44652</v>
      </c>
      <c r="N373" s="299">
        <f t="shared" si="31"/>
        <v>0.17771084337349397</v>
      </c>
      <c r="O373" s="299">
        <f t="shared" si="24"/>
        <v>0.17771084337349397</v>
      </c>
      <c r="P373" s="300">
        <v>1</v>
      </c>
      <c r="Q373" s="301">
        <v>0.25</v>
      </c>
      <c r="R373" s="301">
        <v>0.5</v>
      </c>
      <c r="S373" s="301">
        <v>0.75</v>
      </c>
      <c r="T373" s="301">
        <v>1</v>
      </c>
      <c r="U373" s="301"/>
      <c r="V373" s="301"/>
      <c r="W373" s="300"/>
      <c r="X373" s="303"/>
      <c r="Y373" s="304"/>
      <c r="Z373" s="305"/>
      <c r="AA373" s="305"/>
      <c r="AB373" s="304"/>
      <c r="AC373" s="305"/>
      <c r="AD373" s="305"/>
      <c r="AE373" s="304"/>
      <c r="AF373" s="305"/>
      <c r="AG373" s="305"/>
      <c r="AH373" s="306"/>
    </row>
    <row r="374" spans="1:34" ht="71.55" customHeight="1" outlineLevel="1" x14ac:dyDescent="0.25">
      <c r="A374" s="742"/>
      <c r="B374" s="750"/>
      <c r="C374" s="750"/>
      <c r="D374" s="788"/>
      <c r="E374" s="819"/>
      <c r="F374" s="778"/>
      <c r="G374" s="340" t="s">
        <v>859</v>
      </c>
      <c r="H374" s="953"/>
      <c r="I374" s="274" t="s">
        <v>857</v>
      </c>
      <c r="J374" s="382">
        <v>15000000</v>
      </c>
      <c r="K374" s="298">
        <v>44593</v>
      </c>
      <c r="L374" s="298">
        <v>44925</v>
      </c>
      <c r="M374" s="298">
        <v>44652</v>
      </c>
      <c r="N374" s="299">
        <f t="shared" si="31"/>
        <v>0.17771084337349397</v>
      </c>
      <c r="O374" s="299">
        <f t="shared" si="24"/>
        <v>0.17771084337349397</v>
      </c>
      <c r="P374" s="300">
        <v>1</v>
      </c>
      <c r="Q374" s="301">
        <v>0.25</v>
      </c>
      <c r="R374" s="301">
        <v>0.5</v>
      </c>
      <c r="S374" s="301">
        <v>0.75</v>
      </c>
      <c r="T374" s="301">
        <v>1</v>
      </c>
      <c r="U374" s="301"/>
      <c r="V374" s="301"/>
      <c r="W374" s="300"/>
      <c r="X374" s="303"/>
      <c r="Y374" s="304"/>
      <c r="Z374" s="305"/>
      <c r="AA374" s="305"/>
      <c r="AB374" s="304"/>
      <c r="AC374" s="305"/>
      <c r="AD374" s="305"/>
      <c r="AE374" s="304"/>
      <c r="AF374" s="305"/>
      <c r="AG374" s="305"/>
      <c r="AH374" s="306"/>
    </row>
    <row r="375" spans="1:34" ht="162.44999999999999" customHeight="1" outlineLevel="1" x14ac:dyDescent="0.25">
      <c r="A375" s="742"/>
      <c r="B375" s="750"/>
      <c r="C375" s="750"/>
      <c r="D375" s="788"/>
      <c r="E375" s="819"/>
      <c r="F375" s="778"/>
      <c r="G375" s="340" t="s">
        <v>860</v>
      </c>
      <c r="H375" s="953"/>
      <c r="I375" s="274" t="s">
        <v>857</v>
      </c>
      <c r="J375" s="382">
        <v>2000000</v>
      </c>
      <c r="K375" s="298">
        <v>44593</v>
      </c>
      <c r="L375" s="298">
        <v>44925</v>
      </c>
      <c r="M375" s="298">
        <v>44652</v>
      </c>
      <c r="N375" s="299">
        <f t="shared" si="31"/>
        <v>0.17771084337349397</v>
      </c>
      <c r="O375" s="299">
        <f t="shared" si="24"/>
        <v>0.17771084337349397</v>
      </c>
      <c r="P375" s="300">
        <v>1</v>
      </c>
      <c r="Q375" s="301">
        <v>0.25</v>
      </c>
      <c r="R375" s="301">
        <v>0.5</v>
      </c>
      <c r="S375" s="301">
        <v>0.75</v>
      </c>
      <c r="T375" s="301">
        <v>1</v>
      </c>
      <c r="U375" s="301"/>
      <c r="V375" s="301"/>
      <c r="W375" s="300"/>
      <c r="X375" s="303"/>
      <c r="Y375" s="304"/>
      <c r="Z375" s="305"/>
      <c r="AA375" s="305"/>
      <c r="AB375" s="304"/>
      <c r="AC375" s="305"/>
      <c r="AD375" s="305"/>
      <c r="AE375" s="304"/>
      <c r="AF375" s="305"/>
      <c r="AG375" s="305"/>
      <c r="AH375" s="306"/>
    </row>
    <row r="376" spans="1:34" ht="162.44999999999999" customHeight="1" outlineLevel="1" x14ac:dyDescent="0.25">
      <c r="A376" s="742"/>
      <c r="B376" s="750"/>
      <c r="C376" s="750"/>
      <c r="D376" s="788"/>
      <c r="E376" s="819"/>
      <c r="F376" s="778"/>
      <c r="G376" s="340" t="s">
        <v>861</v>
      </c>
      <c r="H376" s="953"/>
      <c r="I376" s="274" t="s">
        <v>862</v>
      </c>
      <c r="J376" s="382">
        <v>30000000</v>
      </c>
      <c r="K376" s="298">
        <v>44593</v>
      </c>
      <c r="L376" s="298">
        <v>44925</v>
      </c>
      <c r="M376" s="298">
        <v>44652</v>
      </c>
      <c r="N376" s="299">
        <f t="shared" si="31"/>
        <v>0.17771084337349397</v>
      </c>
      <c r="O376" s="299">
        <f t="shared" si="24"/>
        <v>0.17771084337349397</v>
      </c>
      <c r="P376" s="300">
        <v>1</v>
      </c>
      <c r="Q376" s="301">
        <v>0.25</v>
      </c>
      <c r="R376" s="301">
        <v>0.5</v>
      </c>
      <c r="S376" s="301">
        <v>0.75</v>
      </c>
      <c r="T376" s="301">
        <v>1</v>
      </c>
      <c r="U376" s="301"/>
      <c r="V376" s="301"/>
      <c r="W376" s="300"/>
      <c r="X376" s="303"/>
      <c r="Y376" s="304"/>
      <c r="Z376" s="305"/>
      <c r="AA376" s="305"/>
      <c r="AB376" s="304"/>
      <c r="AC376" s="305"/>
      <c r="AD376" s="305"/>
      <c r="AE376" s="304"/>
      <c r="AF376" s="305"/>
      <c r="AG376" s="305"/>
      <c r="AH376" s="306"/>
    </row>
    <row r="377" spans="1:34" ht="94.2" customHeight="1" outlineLevel="1" x14ac:dyDescent="0.25">
      <c r="A377" s="742"/>
      <c r="B377" s="750"/>
      <c r="C377" s="750"/>
      <c r="D377" s="788"/>
      <c r="E377" s="819"/>
      <c r="F377" s="778"/>
      <c r="G377" s="340" t="s">
        <v>863</v>
      </c>
      <c r="H377" s="953"/>
      <c r="I377" s="274" t="s">
        <v>864</v>
      </c>
      <c r="J377" s="382">
        <v>25000000</v>
      </c>
      <c r="K377" s="298">
        <v>44593</v>
      </c>
      <c r="L377" s="298">
        <v>44925</v>
      </c>
      <c r="M377" s="298">
        <v>44652</v>
      </c>
      <c r="N377" s="299">
        <f t="shared" si="31"/>
        <v>0.17771084337349397</v>
      </c>
      <c r="O377" s="299">
        <f t="shared" si="24"/>
        <v>0.17771084337349397</v>
      </c>
      <c r="P377" s="300">
        <v>1</v>
      </c>
      <c r="Q377" s="301">
        <v>0.25</v>
      </c>
      <c r="R377" s="301">
        <v>0.5</v>
      </c>
      <c r="S377" s="301">
        <v>0.75</v>
      </c>
      <c r="T377" s="301">
        <v>1</v>
      </c>
      <c r="U377" s="301"/>
      <c r="V377" s="301"/>
      <c r="W377" s="300"/>
      <c r="X377" s="303"/>
      <c r="Y377" s="304"/>
      <c r="Z377" s="305"/>
      <c r="AA377" s="305"/>
      <c r="AB377" s="304"/>
      <c r="AC377" s="305"/>
      <c r="AD377" s="305"/>
      <c r="AE377" s="304"/>
      <c r="AF377" s="305"/>
      <c r="AG377" s="305"/>
      <c r="AH377" s="306"/>
    </row>
    <row r="378" spans="1:34" ht="94.2" customHeight="1" outlineLevel="1" x14ac:dyDescent="0.25">
      <c r="A378" s="742"/>
      <c r="B378" s="750"/>
      <c r="C378" s="750"/>
      <c r="D378" s="788"/>
      <c r="E378" s="819"/>
      <c r="F378" s="778"/>
      <c r="G378" s="340" t="s">
        <v>865</v>
      </c>
      <c r="H378" s="953"/>
      <c r="I378" s="341" t="s">
        <v>214</v>
      </c>
      <c r="J378" s="382">
        <v>50859900</v>
      </c>
      <c r="K378" s="298">
        <v>44593</v>
      </c>
      <c r="L378" s="298">
        <v>44925</v>
      </c>
      <c r="M378" s="298">
        <v>44652</v>
      </c>
      <c r="N378" s="299">
        <f t="shared" si="31"/>
        <v>0.17771084337349397</v>
      </c>
      <c r="O378" s="299">
        <f t="shared" si="24"/>
        <v>0.17771084337349397</v>
      </c>
      <c r="P378" s="300">
        <v>1</v>
      </c>
      <c r="Q378" s="301">
        <v>0.25</v>
      </c>
      <c r="R378" s="301">
        <v>0.5</v>
      </c>
      <c r="S378" s="301">
        <v>0.75</v>
      </c>
      <c r="T378" s="301">
        <v>1</v>
      </c>
      <c r="U378" s="301"/>
      <c r="V378" s="301"/>
      <c r="W378" s="300"/>
      <c r="X378" s="303"/>
      <c r="Y378" s="304"/>
      <c r="Z378" s="305"/>
      <c r="AA378" s="305"/>
      <c r="AB378" s="304"/>
      <c r="AC378" s="305"/>
      <c r="AD378" s="305"/>
      <c r="AE378" s="304"/>
      <c r="AF378" s="305"/>
      <c r="AG378" s="305"/>
      <c r="AH378" s="306"/>
    </row>
    <row r="379" spans="1:34" ht="94.2" customHeight="1" outlineLevel="1" x14ac:dyDescent="0.25">
      <c r="A379" s="742"/>
      <c r="B379" s="750"/>
      <c r="C379" s="750"/>
      <c r="D379" s="789"/>
      <c r="E379" s="819"/>
      <c r="F379" s="778"/>
      <c r="G379" s="340" t="s">
        <v>866</v>
      </c>
      <c r="H379" s="953"/>
      <c r="I379" s="341" t="s">
        <v>867</v>
      </c>
      <c r="J379" s="382">
        <v>3040000</v>
      </c>
      <c r="K379" s="298">
        <v>44593</v>
      </c>
      <c r="L379" s="298">
        <v>44925</v>
      </c>
      <c r="M379" s="298">
        <v>44652</v>
      </c>
      <c r="N379" s="299">
        <f t="shared" si="31"/>
        <v>0.17771084337349397</v>
      </c>
      <c r="O379" s="299">
        <f t="shared" si="24"/>
        <v>0.17771084337349397</v>
      </c>
      <c r="P379" s="300">
        <v>1</v>
      </c>
      <c r="Q379" s="301">
        <v>0.25</v>
      </c>
      <c r="R379" s="301">
        <v>0.5</v>
      </c>
      <c r="S379" s="301">
        <v>0.75</v>
      </c>
      <c r="T379" s="301">
        <v>1</v>
      </c>
      <c r="U379" s="301"/>
      <c r="V379" s="301"/>
      <c r="W379" s="300"/>
      <c r="X379" s="303"/>
      <c r="Y379" s="304"/>
      <c r="Z379" s="305"/>
      <c r="AA379" s="305"/>
      <c r="AB379" s="304"/>
      <c r="AC379" s="305"/>
      <c r="AD379" s="305"/>
      <c r="AE379" s="304"/>
      <c r="AF379" s="305"/>
      <c r="AG379" s="305"/>
      <c r="AH379" s="306"/>
    </row>
    <row r="380" spans="1:34" ht="53.55" customHeight="1" outlineLevel="1" x14ac:dyDescent="0.25">
      <c r="A380" s="742"/>
      <c r="B380" s="749" t="s">
        <v>868</v>
      </c>
      <c r="C380" s="749" t="s">
        <v>547</v>
      </c>
      <c r="D380" s="957" t="s">
        <v>8</v>
      </c>
      <c r="E380" s="764" t="s">
        <v>869</v>
      </c>
      <c r="F380" s="764" t="s">
        <v>870</v>
      </c>
      <c r="G380" s="270" t="s">
        <v>871</v>
      </c>
      <c r="H380" s="855" t="s">
        <v>298</v>
      </c>
      <c r="I380" s="833" t="s">
        <v>872</v>
      </c>
      <c r="J380" s="382">
        <v>23000000</v>
      </c>
      <c r="K380" s="298">
        <v>44593</v>
      </c>
      <c r="L380" s="298">
        <v>44925</v>
      </c>
      <c r="M380" s="298">
        <v>44652</v>
      </c>
      <c r="N380" s="299">
        <f t="shared" si="31"/>
        <v>0.17771084337349397</v>
      </c>
      <c r="O380" s="299">
        <f t="shared" si="24"/>
        <v>0.17771084337349397</v>
      </c>
      <c r="P380" s="300">
        <v>1</v>
      </c>
      <c r="Q380" s="301">
        <v>0.25</v>
      </c>
      <c r="R380" s="301">
        <v>0.5</v>
      </c>
      <c r="S380" s="301">
        <v>0.75</v>
      </c>
      <c r="T380" s="301">
        <v>1</v>
      </c>
      <c r="U380" s="301"/>
      <c r="V380" s="301"/>
      <c r="W380" s="300"/>
      <c r="X380" s="303"/>
      <c r="Y380" s="304"/>
      <c r="Z380" s="305"/>
      <c r="AA380" s="305"/>
      <c r="AB380" s="304"/>
      <c r="AC380" s="305"/>
      <c r="AD380" s="305"/>
      <c r="AE380" s="304"/>
      <c r="AF380" s="305"/>
      <c r="AG380" s="305"/>
      <c r="AH380" s="306"/>
    </row>
    <row r="381" spans="1:34" ht="109.2" customHeight="1" outlineLevel="1" x14ac:dyDescent="0.25">
      <c r="A381" s="742"/>
      <c r="B381" s="750"/>
      <c r="C381" s="750"/>
      <c r="D381" s="958"/>
      <c r="E381" s="765"/>
      <c r="F381" s="765"/>
      <c r="G381" s="270" t="s">
        <v>873</v>
      </c>
      <c r="H381" s="856"/>
      <c r="I381" s="850"/>
      <c r="J381" s="382">
        <v>4500000</v>
      </c>
      <c r="K381" s="298">
        <v>44593</v>
      </c>
      <c r="L381" s="298">
        <v>44925</v>
      </c>
      <c r="M381" s="298">
        <v>44652</v>
      </c>
      <c r="N381" s="299">
        <f t="shared" si="31"/>
        <v>0.17771084337349397</v>
      </c>
      <c r="O381" s="299">
        <f t="shared" si="24"/>
        <v>0.17771084337349397</v>
      </c>
      <c r="P381" s="300">
        <v>1</v>
      </c>
      <c r="Q381" s="301">
        <v>0.25</v>
      </c>
      <c r="R381" s="301">
        <v>0.5</v>
      </c>
      <c r="S381" s="301">
        <v>0.75</v>
      </c>
      <c r="T381" s="301">
        <v>1</v>
      </c>
      <c r="U381" s="301"/>
      <c r="V381" s="301"/>
      <c r="W381" s="300"/>
      <c r="X381" s="303"/>
      <c r="Y381" s="304"/>
      <c r="Z381" s="305"/>
      <c r="AA381" s="305"/>
      <c r="AB381" s="304"/>
      <c r="AC381" s="305"/>
      <c r="AD381" s="305"/>
      <c r="AE381" s="304"/>
      <c r="AF381" s="305"/>
      <c r="AG381" s="305"/>
      <c r="AH381" s="306"/>
    </row>
    <row r="382" spans="1:34" ht="46.5" customHeight="1" outlineLevel="1" x14ac:dyDescent="0.25">
      <c r="A382" s="742"/>
      <c r="B382" s="750"/>
      <c r="C382" s="750"/>
      <c r="D382" s="958"/>
      <c r="E382" s="765"/>
      <c r="F382" s="765"/>
      <c r="G382" s="270" t="s">
        <v>874</v>
      </c>
      <c r="H382" s="856"/>
      <c r="I382" s="850"/>
      <c r="J382" s="382">
        <v>7200000</v>
      </c>
      <c r="K382" s="298">
        <v>44593</v>
      </c>
      <c r="L382" s="298">
        <v>44925</v>
      </c>
      <c r="M382" s="298">
        <v>44652</v>
      </c>
      <c r="N382" s="299">
        <f t="shared" si="31"/>
        <v>0.17771084337349397</v>
      </c>
      <c r="O382" s="299">
        <f t="shared" si="24"/>
        <v>0.17771084337349397</v>
      </c>
      <c r="P382" s="300">
        <v>1</v>
      </c>
      <c r="Q382" s="301">
        <v>0.25</v>
      </c>
      <c r="R382" s="301">
        <v>0.5</v>
      </c>
      <c r="S382" s="301">
        <v>0.75</v>
      </c>
      <c r="T382" s="301">
        <v>1</v>
      </c>
      <c r="U382" s="301"/>
      <c r="V382" s="301"/>
      <c r="W382" s="300"/>
      <c r="X382" s="303"/>
      <c r="Y382" s="304"/>
      <c r="Z382" s="305"/>
      <c r="AA382" s="305"/>
      <c r="AB382" s="304"/>
      <c r="AC382" s="305"/>
      <c r="AD382" s="305"/>
      <c r="AE382" s="304"/>
      <c r="AF382" s="305"/>
      <c r="AG382" s="305"/>
      <c r="AH382" s="306"/>
    </row>
    <row r="383" spans="1:34" ht="56.25" customHeight="1" outlineLevel="1" x14ac:dyDescent="0.25">
      <c r="A383" s="742"/>
      <c r="B383" s="750"/>
      <c r="C383" s="750"/>
      <c r="D383" s="958"/>
      <c r="E383" s="765"/>
      <c r="F383" s="765"/>
      <c r="G383" s="270" t="s">
        <v>875</v>
      </c>
      <c r="H383" s="856"/>
      <c r="I383" s="850"/>
      <c r="J383" s="382">
        <v>158000000</v>
      </c>
      <c r="K383" s="298">
        <v>44593</v>
      </c>
      <c r="L383" s="298">
        <v>44925</v>
      </c>
      <c r="M383" s="298">
        <v>44652</v>
      </c>
      <c r="N383" s="299">
        <f t="shared" si="31"/>
        <v>0.17771084337349397</v>
      </c>
      <c r="O383" s="299">
        <f t="shared" si="24"/>
        <v>0.17771084337349397</v>
      </c>
      <c r="P383" s="300">
        <v>1</v>
      </c>
      <c r="Q383" s="301">
        <v>0.25</v>
      </c>
      <c r="R383" s="301">
        <v>0.5</v>
      </c>
      <c r="S383" s="301">
        <v>0.75</v>
      </c>
      <c r="T383" s="301">
        <v>1</v>
      </c>
      <c r="U383" s="301"/>
      <c r="V383" s="301"/>
      <c r="W383" s="300"/>
      <c r="X383" s="303"/>
      <c r="Y383" s="304"/>
      <c r="Z383" s="305"/>
      <c r="AA383" s="305"/>
      <c r="AB383" s="304"/>
      <c r="AC383" s="305"/>
      <c r="AD383" s="305"/>
      <c r="AE383" s="304"/>
      <c r="AF383" s="305"/>
      <c r="AG383" s="305"/>
      <c r="AH383" s="306"/>
    </row>
    <row r="384" spans="1:34" ht="56.25" customHeight="1" outlineLevel="1" x14ac:dyDescent="0.25">
      <c r="A384" s="742"/>
      <c r="B384" s="750"/>
      <c r="C384" s="750"/>
      <c r="D384" s="958"/>
      <c r="E384" s="765"/>
      <c r="F384" s="765"/>
      <c r="G384" s="270" t="s">
        <v>876</v>
      </c>
      <c r="H384" s="856"/>
      <c r="I384" s="850"/>
      <c r="J384" s="382">
        <v>18000000</v>
      </c>
      <c r="K384" s="298">
        <v>44593</v>
      </c>
      <c r="L384" s="298">
        <v>44925</v>
      </c>
      <c r="M384" s="298">
        <v>44652</v>
      </c>
      <c r="N384" s="299">
        <f t="shared" si="31"/>
        <v>0.17771084337349397</v>
      </c>
      <c r="O384" s="299">
        <f t="shared" si="24"/>
        <v>0.17771084337349397</v>
      </c>
      <c r="P384" s="300">
        <v>1</v>
      </c>
      <c r="Q384" s="301">
        <v>0.25</v>
      </c>
      <c r="R384" s="301">
        <v>0.5</v>
      </c>
      <c r="S384" s="301">
        <v>0.75</v>
      </c>
      <c r="T384" s="301">
        <v>1</v>
      </c>
      <c r="U384" s="301"/>
      <c r="V384" s="301"/>
      <c r="W384" s="300"/>
      <c r="X384" s="303"/>
      <c r="Y384" s="304"/>
      <c r="Z384" s="305"/>
      <c r="AA384" s="305"/>
      <c r="AB384" s="304"/>
      <c r="AC384" s="305"/>
      <c r="AD384" s="305"/>
      <c r="AE384" s="304"/>
      <c r="AF384" s="305"/>
      <c r="AG384" s="305"/>
      <c r="AH384" s="306"/>
    </row>
    <row r="385" spans="1:34" ht="59.25" customHeight="1" outlineLevel="1" x14ac:dyDescent="0.25">
      <c r="A385" s="742"/>
      <c r="B385" s="750"/>
      <c r="C385" s="750"/>
      <c r="D385" s="958"/>
      <c r="E385" s="765"/>
      <c r="F385" s="765"/>
      <c r="G385" s="270" t="s">
        <v>877</v>
      </c>
      <c r="H385" s="856"/>
      <c r="I385" s="850"/>
      <c r="J385" s="382">
        <v>8676000</v>
      </c>
      <c r="K385" s="298">
        <v>44593</v>
      </c>
      <c r="L385" s="298">
        <v>44925</v>
      </c>
      <c r="M385" s="298">
        <v>44652</v>
      </c>
      <c r="N385" s="299">
        <f t="shared" si="31"/>
        <v>0.17771084337349397</v>
      </c>
      <c r="O385" s="299">
        <f t="shared" si="24"/>
        <v>0.17771084337349397</v>
      </c>
      <c r="P385" s="300">
        <v>1</v>
      </c>
      <c r="Q385" s="301">
        <v>0.25</v>
      </c>
      <c r="R385" s="301">
        <v>0.5</v>
      </c>
      <c r="S385" s="301">
        <v>0.75</v>
      </c>
      <c r="T385" s="301">
        <v>1</v>
      </c>
      <c r="U385" s="301"/>
      <c r="V385" s="301"/>
      <c r="W385" s="300"/>
      <c r="X385" s="303"/>
      <c r="Y385" s="304"/>
      <c r="Z385" s="305"/>
      <c r="AA385" s="305"/>
      <c r="AB385" s="304"/>
      <c r="AC385" s="305"/>
      <c r="AD385" s="305"/>
      <c r="AE385" s="304"/>
      <c r="AF385" s="305"/>
      <c r="AG385" s="305"/>
      <c r="AH385" s="306"/>
    </row>
    <row r="386" spans="1:34" ht="168.75" customHeight="1" outlineLevel="1" x14ac:dyDescent="0.25">
      <c r="A386" s="742"/>
      <c r="B386" s="750"/>
      <c r="C386" s="750"/>
      <c r="D386" s="958"/>
      <c r="E386" s="765"/>
      <c r="F386" s="765"/>
      <c r="G386" s="270" t="s">
        <v>878</v>
      </c>
      <c r="H386" s="856"/>
      <c r="I386" s="850"/>
      <c r="J386" s="382">
        <v>150000000</v>
      </c>
      <c r="K386" s="298">
        <v>44593</v>
      </c>
      <c r="L386" s="298">
        <v>44925</v>
      </c>
      <c r="M386" s="298">
        <v>44652</v>
      </c>
      <c r="N386" s="299">
        <f t="shared" si="31"/>
        <v>0.17771084337349397</v>
      </c>
      <c r="O386" s="299">
        <f t="shared" si="24"/>
        <v>0.17771084337349397</v>
      </c>
      <c r="P386" s="300">
        <v>1</v>
      </c>
      <c r="Q386" s="301">
        <v>0.25</v>
      </c>
      <c r="R386" s="301">
        <v>0.5</v>
      </c>
      <c r="S386" s="301">
        <v>0.75</v>
      </c>
      <c r="T386" s="301">
        <v>1</v>
      </c>
      <c r="U386" s="301"/>
      <c r="V386" s="301"/>
      <c r="W386" s="300"/>
      <c r="X386" s="303"/>
      <c r="Y386" s="304"/>
      <c r="Z386" s="305"/>
      <c r="AA386" s="305"/>
      <c r="AB386" s="304"/>
      <c r="AC386" s="305"/>
      <c r="AD386" s="305"/>
      <c r="AE386" s="304"/>
      <c r="AF386" s="305"/>
      <c r="AG386" s="305"/>
      <c r="AH386" s="306"/>
    </row>
    <row r="387" spans="1:34" ht="206.25" customHeight="1" outlineLevel="1" x14ac:dyDescent="0.25">
      <c r="A387" s="742"/>
      <c r="B387" s="750"/>
      <c r="C387" s="750"/>
      <c r="D387" s="958"/>
      <c r="E387" s="765"/>
      <c r="F387" s="765"/>
      <c r="G387" s="270" t="s">
        <v>879</v>
      </c>
      <c r="H387" s="856"/>
      <c r="I387" s="834"/>
      <c r="J387" s="382">
        <v>228000000</v>
      </c>
      <c r="K387" s="298">
        <v>44593</v>
      </c>
      <c r="L387" s="298">
        <v>44925</v>
      </c>
      <c r="M387" s="298">
        <v>44652</v>
      </c>
      <c r="N387" s="299">
        <f t="shared" si="31"/>
        <v>0.17771084337349397</v>
      </c>
      <c r="O387" s="299">
        <f t="shared" si="24"/>
        <v>0.17771084337349397</v>
      </c>
      <c r="P387" s="300">
        <v>1</v>
      </c>
      <c r="Q387" s="301">
        <v>0.25</v>
      </c>
      <c r="R387" s="301">
        <v>0.5</v>
      </c>
      <c r="S387" s="301">
        <v>0.75</v>
      </c>
      <c r="T387" s="301">
        <v>1</v>
      </c>
      <c r="U387" s="301"/>
      <c r="V387" s="301"/>
      <c r="W387" s="300"/>
      <c r="X387" s="303"/>
      <c r="Y387" s="304"/>
      <c r="Z387" s="305"/>
      <c r="AA387" s="305"/>
      <c r="AB387" s="304"/>
      <c r="AC387" s="305"/>
      <c r="AD387" s="305"/>
      <c r="AE387" s="304"/>
      <c r="AF387" s="305"/>
      <c r="AG387" s="305"/>
      <c r="AH387" s="306"/>
    </row>
    <row r="388" spans="1:34" ht="104.55" customHeight="1" outlineLevel="1" x14ac:dyDescent="0.25">
      <c r="A388" s="742"/>
      <c r="B388" s="750"/>
      <c r="C388" s="750"/>
      <c r="D388" s="958"/>
      <c r="E388" s="765"/>
      <c r="F388" s="765"/>
      <c r="G388" s="270" t="s">
        <v>880</v>
      </c>
      <c r="H388" s="856"/>
      <c r="I388" s="833" t="s">
        <v>214</v>
      </c>
      <c r="J388" s="382">
        <v>91000000</v>
      </c>
      <c r="K388" s="298">
        <v>44593</v>
      </c>
      <c r="L388" s="298">
        <v>44925</v>
      </c>
      <c r="M388" s="298">
        <v>44652</v>
      </c>
      <c r="N388" s="299">
        <f t="shared" si="31"/>
        <v>0.17771084337349397</v>
      </c>
      <c r="O388" s="299">
        <f t="shared" si="24"/>
        <v>0.17771084337349397</v>
      </c>
      <c r="P388" s="300">
        <v>1</v>
      </c>
      <c r="Q388" s="301">
        <v>0.25</v>
      </c>
      <c r="R388" s="301">
        <v>0.5</v>
      </c>
      <c r="S388" s="301">
        <v>0.75</v>
      </c>
      <c r="T388" s="301">
        <v>1</v>
      </c>
      <c r="U388" s="301"/>
      <c r="V388" s="301"/>
      <c r="W388" s="300"/>
      <c r="X388" s="303"/>
      <c r="Y388" s="304"/>
      <c r="Z388" s="305"/>
      <c r="AA388" s="305"/>
      <c r="AB388" s="304"/>
      <c r="AC388" s="305"/>
      <c r="AD388" s="305"/>
      <c r="AE388" s="304"/>
      <c r="AF388" s="305"/>
      <c r="AG388" s="305"/>
      <c r="AH388" s="306"/>
    </row>
    <row r="389" spans="1:34" ht="104.55" customHeight="1" outlineLevel="1" x14ac:dyDescent="0.25">
      <c r="A389" s="742"/>
      <c r="B389" s="750"/>
      <c r="C389" s="750"/>
      <c r="D389" s="958"/>
      <c r="E389" s="765"/>
      <c r="F389" s="765"/>
      <c r="G389" s="270" t="s">
        <v>881</v>
      </c>
      <c r="H389" s="856"/>
      <c r="I389" s="850"/>
      <c r="J389" s="382">
        <v>433510000</v>
      </c>
      <c r="K389" s="298">
        <v>44593</v>
      </c>
      <c r="L389" s="298">
        <v>44925</v>
      </c>
      <c r="M389" s="298">
        <v>44652</v>
      </c>
      <c r="N389" s="299">
        <f t="shared" si="31"/>
        <v>0.17771084337349397</v>
      </c>
      <c r="O389" s="299">
        <f t="shared" si="24"/>
        <v>0.17771084337349397</v>
      </c>
      <c r="P389" s="300">
        <v>1</v>
      </c>
      <c r="Q389" s="301">
        <v>0.25</v>
      </c>
      <c r="R389" s="301">
        <v>0.5</v>
      </c>
      <c r="S389" s="301">
        <v>0.75</v>
      </c>
      <c r="T389" s="301">
        <v>1</v>
      </c>
      <c r="U389" s="301"/>
      <c r="V389" s="301"/>
      <c r="W389" s="300"/>
      <c r="X389" s="303"/>
      <c r="Y389" s="304"/>
      <c r="Z389" s="305"/>
      <c r="AA389" s="305"/>
      <c r="AB389" s="304"/>
      <c r="AC389" s="305"/>
      <c r="AD389" s="305"/>
      <c r="AE389" s="304"/>
      <c r="AF389" s="305"/>
      <c r="AG389" s="305"/>
      <c r="AH389" s="306"/>
    </row>
    <row r="390" spans="1:34" ht="46.5" customHeight="1" outlineLevel="1" x14ac:dyDescent="0.25">
      <c r="A390" s="742"/>
      <c r="B390" s="750"/>
      <c r="C390" s="750"/>
      <c r="D390" s="958"/>
      <c r="E390" s="765"/>
      <c r="F390" s="765"/>
      <c r="G390" s="270" t="s">
        <v>882</v>
      </c>
      <c r="H390" s="856"/>
      <c r="I390" s="850"/>
      <c r="J390" s="382">
        <v>30300000</v>
      </c>
      <c r="K390" s="298">
        <v>44593</v>
      </c>
      <c r="L390" s="298">
        <v>44925</v>
      </c>
      <c r="M390" s="298">
        <v>44652</v>
      </c>
      <c r="N390" s="299">
        <f t="shared" si="31"/>
        <v>0.17771084337349397</v>
      </c>
      <c r="O390" s="299">
        <f t="shared" si="24"/>
        <v>0.17771084337349397</v>
      </c>
      <c r="P390" s="300">
        <v>1</v>
      </c>
      <c r="Q390" s="301">
        <v>0.25</v>
      </c>
      <c r="R390" s="301">
        <v>0.5</v>
      </c>
      <c r="S390" s="301">
        <v>0.75</v>
      </c>
      <c r="T390" s="301">
        <v>1</v>
      </c>
      <c r="U390" s="301"/>
      <c r="V390" s="301"/>
      <c r="W390" s="300"/>
      <c r="X390" s="303"/>
      <c r="Y390" s="304"/>
      <c r="Z390" s="305"/>
      <c r="AA390" s="305"/>
      <c r="AB390" s="304"/>
      <c r="AC390" s="305"/>
      <c r="AD390" s="305"/>
      <c r="AE390" s="304"/>
      <c r="AF390" s="305"/>
      <c r="AG390" s="305"/>
      <c r="AH390" s="306"/>
    </row>
    <row r="391" spans="1:34" ht="104.55" customHeight="1" outlineLevel="1" x14ac:dyDescent="0.25">
      <c r="A391" s="742"/>
      <c r="B391" s="750"/>
      <c r="C391" s="750"/>
      <c r="D391" s="958"/>
      <c r="E391" s="765"/>
      <c r="F391" s="765"/>
      <c r="G391" s="270" t="s">
        <v>883</v>
      </c>
      <c r="H391" s="856"/>
      <c r="I391" s="850"/>
      <c r="J391" s="382">
        <v>210000000</v>
      </c>
      <c r="K391" s="298">
        <v>44593</v>
      </c>
      <c r="L391" s="298">
        <v>44925</v>
      </c>
      <c r="M391" s="298">
        <v>44652</v>
      </c>
      <c r="N391" s="299">
        <f t="shared" si="31"/>
        <v>0.17771084337349397</v>
      </c>
      <c r="O391" s="299">
        <f t="shared" si="24"/>
        <v>0.17771084337349397</v>
      </c>
      <c r="P391" s="300">
        <v>1</v>
      </c>
      <c r="Q391" s="301">
        <v>0.25</v>
      </c>
      <c r="R391" s="301">
        <v>0.5</v>
      </c>
      <c r="S391" s="301">
        <v>0.75</v>
      </c>
      <c r="T391" s="301">
        <v>1</v>
      </c>
      <c r="U391" s="301"/>
      <c r="V391" s="301"/>
      <c r="W391" s="300"/>
      <c r="X391" s="303"/>
      <c r="Y391" s="304"/>
      <c r="Z391" s="305"/>
      <c r="AA391" s="305"/>
      <c r="AB391" s="304"/>
      <c r="AC391" s="305"/>
      <c r="AD391" s="305"/>
      <c r="AE391" s="304"/>
      <c r="AF391" s="305"/>
      <c r="AG391" s="305"/>
      <c r="AH391" s="306"/>
    </row>
    <row r="392" spans="1:34" ht="104.55" customHeight="1" outlineLevel="1" x14ac:dyDescent="0.25">
      <c r="A392" s="742"/>
      <c r="B392" s="750"/>
      <c r="C392" s="750"/>
      <c r="D392" s="958"/>
      <c r="E392" s="765"/>
      <c r="F392" s="765"/>
      <c r="G392" s="270" t="s">
        <v>884</v>
      </c>
      <c r="H392" s="856"/>
      <c r="I392" s="834"/>
      <c r="J392" s="382">
        <v>45000000</v>
      </c>
      <c r="K392" s="298">
        <v>44593</v>
      </c>
      <c r="L392" s="298">
        <v>44925</v>
      </c>
      <c r="M392" s="298">
        <v>44652</v>
      </c>
      <c r="N392" s="299">
        <f t="shared" si="31"/>
        <v>0.17771084337349397</v>
      </c>
      <c r="O392" s="299">
        <f t="shared" si="24"/>
        <v>0.17771084337349397</v>
      </c>
      <c r="P392" s="300">
        <v>1</v>
      </c>
      <c r="Q392" s="301">
        <v>0.25</v>
      </c>
      <c r="R392" s="301">
        <v>0.5</v>
      </c>
      <c r="S392" s="301">
        <v>0.75</v>
      </c>
      <c r="T392" s="301">
        <v>1</v>
      </c>
      <c r="U392" s="301"/>
      <c r="V392" s="301"/>
      <c r="W392" s="300"/>
      <c r="X392" s="303"/>
      <c r="Y392" s="304"/>
      <c r="Z392" s="305"/>
      <c r="AA392" s="305"/>
      <c r="AB392" s="304"/>
      <c r="AC392" s="305"/>
      <c r="AD392" s="305"/>
      <c r="AE392" s="304"/>
      <c r="AF392" s="305"/>
      <c r="AG392" s="305"/>
      <c r="AH392" s="306"/>
    </row>
    <row r="393" spans="1:34" ht="93.75" customHeight="1" outlineLevel="1" x14ac:dyDescent="0.25">
      <c r="A393" s="742"/>
      <c r="B393" s="750"/>
      <c r="C393" s="750"/>
      <c r="D393" s="958"/>
      <c r="E393" s="765"/>
      <c r="F393" s="765"/>
      <c r="G393" s="270" t="s">
        <v>885</v>
      </c>
      <c r="H393" s="856"/>
      <c r="I393" s="274" t="s">
        <v>886</v>
      </c>
      <c r="J393" s="382">
        <v>3502396394</v>
      </c>
      <c r="K393" s="298">
        <v>44593</v>
      </c>
      <c r="L393" s="298">
        <v>44925</v>
      </c>
      <c r="M393" s="298">
        <v>44652</v>
      </c>
      <c r="N393" s="299">
        <f t="shared" si="31"/>
        <v>0.17771084337349397</v>
      </c>
      <c r="O393" s="299">
        <f t="shared" si="24"/>
        <v>0.17771084337349397</v>
      </c>
      <c r="P393" s="300">
        <v>1</v>
      </c>
      <c r="Q393" s="301">
        <v>0.25</v>
      </c>
      <c r="R393" s="301">
        <v>0.5</v>
      </c>
      <c r="S393" s="301">
        <v>0.75</v>
      </c>
      <c r="T393" s="301">
        <v>1</v>
      </c>
      <c r="U393" s="301"/>
      <c r="V393" s="301"/>
      <c r="W393" s="300"/>
      <c r="X393" s="303"/>
      <c r="Y393" s="304"/>
      <c r="Z393" s="305"/>
      <c r="AA393" s="305"/>
      <c r="AB393" s="304"/>
      <c r="AC393" s="305"/>
      <c r="AD393" s="305"/>
      <c r="AE393" s="304"/>
      <c r="AF393" s="305"/>
      <c r="AG393" s="305"/>
      <c r="AH393" s="306"/>
    </row>
    <row r="394" spans="1:34" ht="93.75" customHeight="1" outlineLevel="1" x14ac:dyDescent="0.25">
      <c r="A394" s="742"/>
      <c r="B394" s="750"/>
      <c r="C394" s="750"/>
      <c r="D394" s="958"/>
      <c r="E394" s="765"/>
      <c r="F394" s="765"/>
      <c r="G394" s="270" t="s">
        <v>887</v>
      </c>
      <c r="H394" s="856"/>
      <c r="I394" s="274" t="s">
        <v>888</v>
      </c>
      <c r="J394" s="382">
        <v>720000000</v>
      </c>
      <c r="K394" s="298">
        <v>44593</v>
      </c>
      <c r="L394" s="298">
        <v>44925</v>
      </c>
      <c r="M394" s="298">
        <v>44652</v>
      </c>
      <c r="N394" s="299">
        <f t="shared" si="31"/>
        <v>0.17771084337349397</v>
      </c>
      <c r="O394" s="299">
        <f t="shared" si="24"/>
        <v>0.17771084337349397</v>
      </c>
      <c r="P394" s="300">
        <v>1</v>
      </c>
      <c r="Q394" s="301">
        <v>0.25</v>
      </c>
      <c r="R394" s="301">
        <v>0.5</v>
      </c>
      <c r="S394" s="301">
        <v>0.75</v>
      </c>
      <c r="T394" s="301">
        <v>1</v>
      </c>
      <c r="U394" s="301"/>
      <c r="V394" s="301"/>
      <c r="W394" s="300"/>
      <c r="X394" s="303"/>
      <c r="Y394" s="304"/>
      <c r="Z394" s="305"/>
      <c r="AA394" s="305"/>
      <c r="AB394" s="304"/>
      <c r="AC394" s="305"/>
      <c r="AD394" s="305"/>
      <c r="AE394" s="304"/>
      <c r="AF394" s="305"/>
      <c r="AG394" s="305"/>
      <c r="AH394" s="306"/>
    </row>
    <row r="395" spans="1:34" ht="56.25" customHeight="1" outlineLevel="1" x14ac:dyDescent="0.25">
      <c r="A395" s="742"/>
      <c r="B395" s="750"/>
      <c r="C395" s="750"/>
      <c r="D395" s="958"/>
      <c r="E395" s="765"/>
      <c r="F395" s="765"/>
      <c r="G395" s="270" t="s">
        <v>889</v>
      </c>
      <c r="H395" s="856"/>
      <c r="I395" s="833" t="s">
        <v>890</v>
      </c>
      <c r="J395" s="382">
        <v>120000000</v>
      </c>
      <c r="K395" s="298">
        <v>44593</v>
      </c>
      <c r="L395" s="298">
        <v>44925</v>
      </c>
      <c r="M395" s="298">
        <v>44652</v>
      </c>
      <c r="N395" s="299">
        <f t="shared" si="31"/>
        <v>0.17771084337349397</v>
      </c>
      <c r="O395" s="299">
        <f t="shared" si="24"/>
        <v>0.17771084337349397</v>
      </c>
      <c r="P395" s="300">
        <v>1</v>
      </c>
      <c r="Q395" s="301">
        <v>0.25</v>
      </c>
      <c r="R395" s="301">
        <v>0.5</v>
      </c>
      <c r="S395" s="301">
        <v>0.75</v>
      </c>
      <c r="T395" s="301">
        <v>1</v>
      </c>
      <c r="U395" s="301"/>
      <c r="V395" s="301"/>
      <c r="W395" s="300"/>
      <c r="X395" s="303"/>
      <c r="Y395" s="304"/>
      <c r="Z395" s="305"/>
      <c r="AA395" s="305"/>
      <c r="AB395" s="304"/>
      <c r="AC395" s="305"/>
      <c r="AD395" s="305"/>
      <c r="AE395" s="304"/>
      <c r="AF395" s="305"/>
      <c r="AG395" s="305"/>
      <c r="AH395" s="306"/>
    </row>
    <row r="396" spans="1:34" ht="46.5" customHeight="1" outlineLevel="1" x14ac:dyDescent="0.25">
      <c r="A396" s="742"/>
      <c r="B396" s="750"/>
      <c r="C396" s="750"/>
      <c r="D396" s="958"/>
      <c r="E396" s="765"/>
      <c r="F396" s="765"/>
      <c r="G396" s="270" t="s">
        <v>891</v>
      </c>
      <c r="H396" s="856"/>
      <c r="I396" s="834"/>
      <c r="J396" s="382" t="s">
        <v>59</v>
      </c>
      <c r="K396" s="298">
        <v>44593</v>
      </c>
      <c r="L396" s="298">
        <v>44925</v>
      </c>
      <c r="M396" s="298">
        <v>44652</v>
      </c>
      <c r="N396" s="299">
        <f t="shared" si="31"/>
        <v>0.17771084337349397</v>
      </c>
      <c r="O396" s="299">
        <f t="shared" si="24"/>
        <v>0.17771084337349397</v>
      </c>
      <c r="P396" s="300">
        <v>1</v>
      </c>
      <c r="Q396" s="301">
        <v>0.25</v>
      </c>
      <c r="R396" s="301">
        <v>0.5</v>
      </c>
      <c r="S396" s="301">
        <v>0.75</v>
      </c>
      <c r="T396" s="301">
        <v>1</v>
      </c>
      <c r="U396" s="301"/>
      <c r="V396" s="301"/>
      <c r="W396" s="300"/>
      <c r="X396" s="303"/>
      <c r="Y396" s="304"/>
      <c r="Z396" s="305"/>
      <c r="AA396" s="305"/>
      <c r="AB396" s="304"/>
      <c r="AC396" s="305"/>
      <c r="AD396" s="305"/>
      <c r="AE396" s="304"/>
      <c r="AF396" s="305"/>
      <c r="AG396" s="305"/>
      <c r="AH396" s="306"/>
    </row>
    <row r="397" spans="1:34" ht="104.55" customHeight="1" outlineLevel="1" x14ac:dyDescent="0.25">
      <c r="A397" s="742"/>
      <c r="B397" s="750"/>
      <c r="C397" s="750"/>
      <c r="D397" s="958"/>
      <c r="E397" s="765"/>
      <c r="F397" s="765"/>
      <c r="G397" s="270" t="s">
        <v>892</v>
      </c>
      <c r="H397" s="856"/>
      <c r="I397" s="274" t="s">
        <v>886</v>
      </c>
      <c r="J397" s="382">
        <v>3797603606</v>
      </c>
      <c r="K397" s="298">
        <v>44593</v>
      </c>
      <c r="L397" s="298">
        <v>44925</v>
      </c>
      <c r="M397" s="298">
        <v>44652</v>
      </c>
      <c r="N397" s="299">
        <f t="shared" si="31"/>
        <v>0.17771084337349397</v>
      </c>
      <c r="O397" s="299">
        <f t="shared" si="24"/>
        <v>0.17771084337349397</v>
      </c>
      <c r="P397" s="300">
        <v>1</v>
      </c>
      <c r="Q397" s="301">
        <v>0.25</v>
      </c>
      <c r="R397" s="301">
        <v>0.5</v>
      </c>
      <c r="S397" s="301">
        <v>0.75</v>
      </c>
      <c r="T397" s="301">
        <v>1</v>
      </c>
      <c r="U397" s="301"/>
      <c r="V397" s="301"/>
      <c r="W397" s="300"/>
      <c r="X397" s="303"/>
      <c r="Y397" s="304"/>
      <c r="Z397" s="305"/>
      <c r="AA397" s="305"/>
      <c r="AB397" s="304"/>
      <c r="AC397" s="305"/>
      <c r="AD397" s="305"/>
      <c r="AE397" s="304"/>
      <c r="AF397" s="305"/>
      <c r="AG397" s="305"/>
      <c r="AH397" s="306"/>
    </row>
    <row r="398" spans="1:34" ht="93.75" customHeight="1" outlineLevel="1" x14ac:dyDescent="0.25">
      <c r="A398" s="742"/>
      <c r="B398" s="750"/>
      <c r="C398" s="750"/>
      <c r="D398" s="958"/>
      <c r="E398" s="765"/>
      <c r="F398" s="765"/>
      <c r="G398" s="270" t="s">
        <v>893</v>
      </c>
      <c r="H398" s="856"/>
      <c r="I398" s="274" t="s">
        <v>894</v>
      </c>
      <c r="J398" s="382">
        <v>1500000000</v>
      </c>
      <c r="K398" s="298">
        <v>44593</v>
      </c>
      <c r="L398" s="298">
        <v>44925</v>
      </c>
      <c r="M398" s="298">
        <v>44652</v>
      </c>
      <c r="N398" s="299">
        <f t="shared" si="31"/>
        <v>0.17771084337349397</v>
      </c>
      <c r="O398" s="299">
        <f t="shared" si="24"/>
        <v>0.17771084337349397</v>
      </c>
      <c r="P398" s="300">
        <v>1</v>
      </c>
      <c r="Q398" s="301">
        <v>0.25</v>
      </c>
      <c r="R398" s="301">
        <v>0.5</v>
      </c>
      <c r="S398" s="301">
        <v>0.75</v>
      </c>
      <c r="T398" s="301">
        <v>1</v>
      </c>
      <c r="U398" s="301"/>
      <c r="V398" s="301"/>
      <c r="W398" s="300"/>
      <c r="X398" s="303"/>
      <c r="Y398" s="304"/>
      <c r="Z398" s="305"/>
      <c r="AA398" s="305"/>
      <c r="AB398" s="304"/>
      <c r="AC398" s="305"/>
      <c r="AD398" s="305"/>
      <c r="AE398" s="304"/>
      <c r="AF398" s="305"/>
      <c r="AG398" s="305"/>
      <c r="AH398" s="306"/>
    </row>
    <row r="399" spans="1:34" ht="104.55" customHeight="1" outlineLevel="1" x14ac:dyDescent="0.25">
      <c r="A399" s="742"/>
      <c r="B399" s="750"/>
      <c r="C399" s="750"/>
      <c r="D399" s="958"/>
      <c r="E399" s="765"/>
      <c r="F399" s="765"/>
      <c r="G399" s="270" t="s">
        <v>895</v>
      </c>
      <c r="H399" s="856"/>
      <c r="I399" s="833" t="s">
        <v>299</v>
      </c>
      <c r="J399" s="382">
        <v>250000000</v>
      </c>
      <c r="K399" s="298">
        <v>44593</v>
      </c>
      <c r="L399" s="298">
        <v>44925</v>
      </c>
      <c r="M399" s="298">
        <v>44652</v>
      </c>
      <c r="N399" s="299">
        <f t="shared" si="31"/>
        <v>0.17771084337349397</v>
      </c>
      <c r="O399" s="299">
        <f t="shared" si="24"/>
        <v>0.17771084337349397</v>
      </c>
      <c r="P399" s="300">
        <v>1</v>
      </c>
      <c r="Q399" s="301">
        <v>0.25</v>
      </c>
      <c r="R399" s="301">
        <v>0.5</v>
      </c>
      <c r="S399" s="301">
        <v>0.75</v>
      </c>
      <c r="T399" s="301">
        <v>1</v>
      </c>
      <c r="U399" s="301"/>
      <c r="V399" s="301"/>
      <c r="W399" s="300"/>
      <c r="X399" s="303"/>
      <c r="Y399" s="304"/>
      <c r="Z399" s="305"/>
      <c r="AA399" s="305"/>
      <c r="AB399" s="304"/>
      <c r="AC399" s="305"/>
      <c r="AD399" s="305"/>
      <c r="AE399" s="304"/>
      <c r="AF399" s="305"/>
      <c r="AG399" s="305"/>
      <c r="AH399" s="306"/>
    </row>
    <row r="400" spans="1:34" ht="104.55" customHeight="1" outlineLevel="1" x14ac:dyDescent="0.25">
      <c r="A400" s="742"/>
      <c r="B400" s="751"/>
      <c r="C400" s="751"/>
      <c r="D400" s="958"/>
      <c r="E400" s="766"/>
      <c r="F400" s="766"/>
      <c r="G400" s="270" t="s">
        <v>896</v>
      </c>
      <c r="H400" s="857"/>
      <c r="I400" s="834"/>
      <c r="J400" s="382">
        <v>411600000</v>
      </c>
      <c r="K400" s="298">
        <v>44593</v>
      </c>
      <c r="L400" s="298">
        <v>44925</v>
      </c>
      <c r="M400" s="298">
        <v>44652</v>
      </c>
      <c r="N400" s="299">
        <f t="shared" si="31"/>
        <v>0.17771084337349397</v>
      </c>
      <c r="O400" s="299">
        <f t="shared" si="24"/>
        <v>0.17771084337349397</v>
      </c>
      <c r="P400" s="300">
        <v>1</v>
      </c>
      <c r="Q400" s="301">
        <v>0.25</v>
      </c>
      <c r="R400" s="301">
        <v>0.5</v>
      </c>
      <c r="S400" s="301">
        <v>0.75</v>
      </c>
      <c r="T400" s="301">
        <v>1</v>
      </c>
      <c r="U400" s="301"/>
      <c r="V400" s="301"/>
      <c r="W400" s="300"/>
      <c r="X400" s="303"/>
      <c r="Y400" s="304"/>
      <c r="Z400" s="305"/>
      <c r="AA400" s="305"/>
      <c r="AB400" s="304"/>
      <c r="AC400" s="305"/>
      <c r="AD400" s="305"/>
      <c r="AE400" s="304"/>
      <c r="AF400" s="305"/>
      <c r="AG400" s="305"/>
      <c r="AH400" s="306"/>
    </row>
    <row r="401" spans="1:34" ht="104.55" customHeight="1" outlineLevel="1" x14ac:dyDescent="0.25">
      <c r="A401" s="334"/>
      <c r="B401" s="749" t="s">
        <v>868</v>
      </c>
      <c r="C401" s="749" t="s">
        <v>897</v>
      </c>
      <c r="D401" s="948" t="s">
        <v>898</v>
      </c>
      <c r="E401" s="909" t="s">
        <v>899</v>
      </c>
      <c r="F401" s="909" t="s">
        <v>900</v>
      </c>
      <c r="G401" s="355" t="s">
        <v>901</v>
      </c>
      <c r="H401" s="949" t="s">
        <v>902</v>
      </c>
      <c r="I401" s="342" t="s">
        <v>903</v>
      </c>
      <c r="J401" s="382" t="s">
        <v>59</v>
      </c>
      <c r="K401" s="298">
        <v>44593</v>
      </c>
      <c r="L401" s="298">
        <v>44925</v>
      </c>
      <c r="M401" s="298">
        <v>44652</v>
      </c>
      <c r="N401" s="299">
        <f t="shared" si="31"/>
        <v>0.17771084337349397</v>
      </c>
      <c r="O401" s="299">
        <f t="shared" ref="O401:O406" si="33">+IF(N401&gt;=100,100,IF(N401&lt;=0,0,N401))</f>
        <v>0.17771084337349397</v>
      </c>
      <c r="P401" s="300">
        <v>1</v>
      </c>
      <c r="Q401" s="301">
        <v>0.25</v>
      </c>
      <c r="R401" s="301">
        <v>0.5</v>
      </c>
      <c r="S401" s="301">
        <v>0.75</v>
      </c>
      <c r="T401" s="301">
        <v>1</v>
      </c>
      <c r="U401" s="316"/>
      <c r="V401" s="301"/>
      <c r="W401" s="300"/>
      <c r="X401" s="303"/>
      <c r="Y401" s="304"/>
      <c r="Z401" s="305"/>
      <c r="AA401" s="305"/>
      <c r="AB401" s="304"/>
      <c r="AC401" s="305"/>
      <c r="AD401" s="305"/>
      <c r="AE401" s="304"/>
      <c r="AF401" s="305"/>
      <c r="AG401" s="305"/>
      <c r="AH401" s="306"/>
    </row>
    <row r="402" spans="1:34" ht="104.55" customHeight="1" outlineLevel="1" x14ac:dyDescent="0.25">
      <c r="A402" s="334"/>
      <c r="B402" s="750"/>
      <c r="C402" s="750"/>
      <c r="D402" s="948"/>
      <c r="E402" s="910"/>
      <c r="F402" s="910"/>
      <c r="G402" s="355" t="s">
        <v>904</v>
      </c>
      <c r="H402" s="950"/>
      <c r="I402" s="342" t="s">
        <v>872</v>
      </c>
      <c r="J402" s="382">
        <v>25000000</v>
      </c>
      <c r="K402" s="298">
        <v>44593</v>
      </c>
      <c r="L402" s="298">
        <v>44925</v>
      </c>
      <c r="M402" s="298">
        <v>44652</v>
      </c>
      <c r="N402" s="299">
        <f t="shared" si="31"/>
        <v>0.17771084337349397</v>
      </c>
      <c r="O402" s="299">
        <f t="shared" si="33"/>
        <v>0.17771084337349397</v>
      </c>
      <c r="P402" s="300">
        <v>1</v>
      </c>
      <c r="Q402" s="301">
        <v>0.25</v>
      </c>
      <c r="R402" s="301">
        <v>0.5</v>
      </c>
      <c r="S402" s="301">
        <v>0.75</v>
      </c>
      <c r="T402" s="301">
        <v>1</v>
      </c>
      <c r="U402" s="316"/>
      <c r="V402" s="301"/>
      <c r="W402" s="300"/>
      <c r="X402" s="303"/>
      <c r="Y402" s="304"/>
      <c r="Z402" s="305"/>
      <c r="AA402" s="305"/>
      <c r="AB402" s="304"/>
      <c r="AC402" s="305"/>
      <c r="AD402" s="305"/>
      <c r="AE402" s="304"/>
      <c r="AF402" s="305"/>
      <c r="AG402" s="305"/>
      <c r="AH402" s="306"/>
    </row>
    <row r="403" spans="1:34" ht="104.55" customHeight="1" outlineLevel="1" x14ac:dyDescent="0.25">
      <c r="A403" s="334"/>
      <c r="B403" s="750"/>
      <c r="C403" s="750"/>
      <c r="D403" s="948"/>
      <c r="E403" s="910"/>
      <c r="F403" s="910"/>
      <c r="G403" s="355" t="s">
        <v>905</v>
      </c>
      <c r="H403" s="951"/>
      <c r="I403" s="342" t="s">
        <v>299</v>
      </c>
      <c r="J403" s="382">
        <v>125000000</v>
      </c>
      <c r="K403" s="298">
        <v>44593</v>
      </c>
      <c r="L403" s="298">
        <v>44925</v>
      </c>
      <c r="M403" s="298">
        <v>44652</v>
      </c>
      <c r="N403" s="299">
        <f t="shared" si="31"/>
        <v>0.17771084337349397</v>
      </c>
      <c r="O403" s="299">
        <f t="shared" si="33"/>
        <v>0.17771084337349397</v>
      </c>
      <c r="P403" s="300">
        <v>1</v>
      </c>
      <c r="Q403" s="301">
        <v>0.25</v>
      </c>
      <c r="R403" s="301">
        <v>0.5</v>
      </c>
      <c r="S403" s="301">
        <v>0.75</v>
      </c>
      <c r="T403" s="301">
        <v>1</v>
      </c>
      <c r="U403" s="316"/>
      <c r="V403" s="301"/>
      <c r="W403" s="300"/>
      <c r="X403" s="303"/>
      <c r="Y403" s="304"/>
      <c r="Z403" s="305"/>
      <c r="AA403" s="305"/>
      <c r="AB403" s="304"/>
      <c r="AC403" s="305"/>
      <c r="AD403" s="305"/>
      <c r="AE403" s="304"/>
      <c r="AF403" s="305"/>
      <c r="AG403" s="305"/>
      <c r="AH403" s="306"/>
    </row>
    <row r="404" spans="1:34" ht="104.55" customHeight="1" outlineLevel="1" x14ac:dyDescent="0.25">
      <c r="A404" s="334"/>
      <c r="B404" s="750"/>
      <c r="C404" s="750"/>
      <c r="D404" s="948"/>
      <c r="E404" s="910"/>
      <c r="F404" s="910"/>
      <c r="G404" s="355" t="s">
        <v>906</v>
      </c>
      <c r="H404" s="949" t="s">
        <v>907</v>
      </c>
      <c r="I404" s="342" t="s">
        <v>872</v>
      </c>
      <c r="J404" s="382">
        <v>25000000</v>
      </c>
      <c r="K404" s="298">
        <v>44593</v>
      </c>
      <c r="L404" s="298">
        <v>44925</v>
      </c>
      <c r="M404" s="298">
        <v>44652</v>
      </c>
      <c r="N404" s="299">
        <f t="shared" si="31"/>
        <v>0.17771084337349397</v>
      </c>
      <c r="O404" s="299">
        <f t="shared" si="33"/>
        <v>0.17771084337349397</v>
      </c>
      <c r="P404" s="300">
        <v>1</v>
      </c>
      <c r="Q404" s="301">
        <v>0.25</v>
      </c>
      <c r="R404" s="301">
        <v>0.5</v>
      </c>
      <c r="S404" s="301">
        <v>0.75</v>
      </c>
      <c r="T404" s="301">
        <v>1</v>
      </c>
      <c r="U404" s="316"/>
      <c r="V404" s="301"/>
      <c r="W404" s="300"/>
      <c r="X404" s="303"/>
      <c r="Y404" s="304"/>
      <c r="Z404" s="305"/>
      <c r="AA404" s="305"/>
      <c r="AB404" s="304"/>
      <c r="AC404" s="305"/>
      <c r="AD404" s="305"/>
      <c r="AE404" s="304"/>
      <c r="AF404" s="305"/>
      <c r="AG404" s="305"/>
      <c r="AH404" s="306"/>
    </row>
    <row r="405" spans="1:34" ht="104.55" customHeight="1" outlineLevel="1" x14ac:dyDescent="0.25">
      <c r="A405" s="334"/>
      <c r="B405" s="750"/>
      <c r="C405" s="750"/>
      <c r="D405" s="948"/>
      <c r="E405" s="910"/>
      <c r="F405" s="910"/>
      <c r="G405" s="355" t="s">
        <v>908</v>
      </c>
      <c r="H405" s="950"/>
      <c r="I405" s="342" t="s">
        <v>214</v>
      </c>
      <c r="J405" s="382">
        <v>272097792</v>
      </c>
      <c r="K405" s="298">
        <v>44593</v>
      </c>
      <c r="L405" s="298">
        <v>44925</v>
      </c>
      <c r="M405" s="298">
        <v>44652</v>
      </c>
      <c r="N405" s="299">
        <f t="shared" si="31"/>
        <v>0.17771084337349397</v>
      </c>
      <c r="O405" s="299">
        <f t="shared" si="33"/>
        <v>0.17771084337349397</v>
      </c>
      <c r="P405" s="300">
        <v>1</v>
      </c>
      <c r="Q405" s="301">
        <v>0.25</v>
      </c>
      <c r="R405" s="301">
        <v>0.5</v>
      </c>
      <c r="S405" s="301">
        <v>0.75</v>
      </c>
      <c r="T405" s="301">
        <v>1</v>
      </c>
      <c r="U405" s="316"/>
      <c r="V405" s="301"/>
      <c r="W405" s="300"/>
      <c r="X405" s="303"/>
      <c r="Y405" s="304"/>
      <c r="Z405" s="305"/>
      <c r="AA405" s="305"/>
      <c r="AB405" s="304"/>
      <c r="AC405" s="305"/>
      <c r="AD405" s="305"/>
      <c r="AE405" s="304"/>
      <c r="AF405" s="305"/>
      <c r="AG405" s="305"/>
      <c r="AH405" s="306"/>
    </row>
    <row r="406" spans="1:34" ht="104.55" customHeight="1" outlineLevel="1" x14ac:dyDescent="0.25">
      <c r="A406" s="334"/>
      <c r="B406" s="751"/>
      <c r="C406" s="751"/>
      <c r="D406" s="948"/>
      <c r="E406" s="911"/>
      <c r="F406" s="911"/>
      <c r="G406" s="355" t="s">
        <v>909</v>
      </c>
      <c r="H406" s="951"/>
      <c r="I406" s="342" t="s">
        <v>299</v>
      </c>
      <c r="J406" s="381">
        <v>250000004</v>
      </c>
      <c r="K406" s="298">
        <v>44593</v>
      </c>
      <c r="L406" s="298">
        <v>44925</v>
      </c>
      <c r="M406" s="298">
        <v>44652</v>
      </c>
      <c r="N406" s="299">
        <f t="shared" si="31"/>
        <v>0.17771084337349397</v>
      </c>
      <c r="O406" s="299">
        <f t="shared" si="33"/>
        <v>0.17771084337349397</v>
      </c>
      <c r="P406" s="300">
        <v>1</v>
      </c>
      <c r="Q406" s="301">
        <v>0.25</v>
      </c>
      <c r="R406" s="301">
        <v>0.5</v>
      </c>
      <c r="S406" s="301">
        <v>0.75</v>
      </c>
      <c r="T406" s="301">
        <v>1</v>
      </c>
      <c r="U406" s="316"/>
      <c r="V406" s="301"/>
      <c r="W406" s="300"/>
      <c r="X406" s="303"/>
      <c r="Y406" s="304"/>
      <c r="Z406" s="305"/>
      <c r="AA406" s="305"/>
      <c r="AB406" s="304"/>
      <c r="AC406" s="305"/>
      <c r="AD406" s="305"/>
      <c r="AE406" s="304"/>
      <c r="AF406" s="305"/>
      <c r="AG406" s="305"/>
      <c r="AH406" s="306"/>
    </row>
    <row r="407" spans="1:34" ht="55.2" customHeight="1" thickBot="1" x14ac:dyDescent="0.3">
      <c r="A407" s="915" t="s">
        <v>910</v>
      </c>
      <c r="B407" s="915"/>
      <c r="C407" s="915"/>
      <c r="D407" s="915"/>
      <c r="E407" s="915"/>
      <c r="F407" s="915"/>
      <c r="G407" s="915"/>
      <c r="H407" s="915"/>
      <c r="I407" s="915"/>
      <c r="J407" s="915"/>
      <c r="K407" s="915"/>
      <c r="L407" s="915"/>
      <c r="M407" s="388">
        <v>44652</v>
      </c>
      <c r="N407" s="299"/>
      <c r="O407" s="313">
        <f t="array" ref="O407">+AVERAGE((O322:O406)*100)</f>
        <v>17.771084337349368</v>
      </c>
      <c r="P407" s="314">
        <v>100</v>
      </c>
      <c r="Q407" s="301"/>
      <c r="R407" s="301"/>
      <c r="S407" s="301"/>
      <c r="T407" s="301"/>
      <c r="U407" s="316"/>
      <c r="V407" s="301"/>
      <c r="W407" s="300"/>
      <c r="X407" s="303"/>
      <c r="Y407" s="304"/>
      <c r="Z407" s="305"/>
      <c r="AA407" s="305"/>
      <c r="AB407" s="304"/>
      <c r="AC407" s="305"/>
      <c r="AD407" s="305"/>
      <c r="AE407" s="304"/>
      <c r="AF407" s="305"/>
      <c r="AG407" s="305"/>
      <c r="AH407" s="318" t="e">
        <f>+SUM(#REF!)</f>
        <v>#REF!</v>
      </c>
    </row>
    <row r="408" spans="1:34" ht="318.75" customHeight="1" outlineLevel="1" x14ac:dyDescent="0.25">
      <c r="A408" s="741" t="s">
        <v>911</v>
      </c>
      <c r="B408" s="749" t="s">
        <v>912</v>
      </c>
      <c r="C408" s="749" t="s">
        <v>1258</v>
      </c>
      <c r="D408" s="761" t="s">
        <v>9</v>
      </c>
      <c r="E408" s="940" t="s">
        <v>913</v>
      </c>
      <c r="F408" s="378" t="s">
        <v>914</v>
      </c>
      <c r="G408" s="272" t="s">
        <v>915</v>
      </c>
      <c r="H408" s="272" t="s">
        <v>916</v>
      </c>
      <c r="I408" s="293" t="s">
        <v>917</v>
      </c>
      <c r="J408" s="392">
        <v>200000000</v>
      </c>
      <c r="K408" s="319">
        <v>44593</v>
      </c>
      <c r="L408" s="319">
        <v>44925</v>
      </c>
      <c r="M408" s="298">
        <v>44652</v>
      </c>
      <c r="N408" s="299">
        <f t="shared" si="31"/>
        <v>0.17771084337349397</v>
      </c>
      <c r="O408" s="299">
        <f t="shared" ref="O408:O444" si="34">+IF(N408&gt;=100,100,IF(N408&lt;=0,0,N408))</f>
        <v>0.17771084337349397</v>
      </c>
      <c r="P408" s="300">
        <v>1</v>
      </c>
      <c r="Q408" s="301">
        <v>0.65</v>
      </c>
      <c r="R408" s="301">
        <v>0.75</v>
      </c>
      <c r="S408" s="301">
        <v>0.85</v>
      </c>
      <c r="T408" s="301">
        <v>0.1</v>
      </c>
      <c r="U408" s="301"/>
      <c r="V408" s="301"/>
      <c r="W408" s="300"/>
      <c r="X408" s="303"/>
      <c r="Y408" s="304"/>
      <c r="Z408" s="305"/>
      <c r="AA408" s="305"/>
      <c r="AB408" s="304"/>
      <c r="AC408" s="305"/>
      <c r="AD408" s="305"/>
      <c r="AE408" s="304"/>
      <c r="AF408" s="305"/>
      <c r="AG408" s="305"/>
      <c r="AH408" s="306"/>
    </row>
    <row r="409" spans="1:34" ht="46.5" customHeight="1" outlineLevel="1" x14ac:dyDescent="0.25">
      <c r="A409" s="742"/>
      <c r="B409" s="750"/>
      <c r="C409" s="750"/>
      <c r="D409" s="762"/>
      <c r="E409" s="941"/>
      <c r="F409" s="940" t="s">
        <v>918</v>
      </c>
      <c r="G409" s="272" t="s">
        <v>919</v>
      </c>
      <c r="H409" s="937" t="s">
        <v>920</v>
      </c>
      <c r="I409" s="293" t="s">
        <v>917</v>
      </c>
      <c r="J409" s="393" t="s">
        <v>111</v>
      </c>
      <c r="K409" s="319">
        <v>44593</v>
      </c>
      <c r="L409" s="319">
        <v>44925</v>
      </c>
      <c r="M409" s="298">
        <v>44652</v>
      </c>
      <c r="N409" s="299">
        <f t="shared" si="31"/>
        <v>0.17771084337349397</v>
      </c>
      <c r="O409" s="299">
        <f t="shared" si="34"/>
        <v>0.17771084337349397</v>
      </c>
      <c r="P409" s="300">
        <v>0.6</v>
      </c>
      <c r="Q409" s="301">
        <v>0.35</v>
      </c>
      <c r="R409" s="301">
        <v>0.45</v>
      </c>
      <c r="S409" s="301">
        <v>0.55000000000000004</v>
      </c>
      <c r="T409" s="301">
        <v>0.6</v>
      </c>
      <c r="U409" s="301"/>
      <c r="V409" s="301"/>
      <c r="W409" s="300"/>
      <c r="X409" s="303"/>
      <c r="Y409" s="304"/>
      <c r="Z409" s="305"/>
      <c r="AA409" s="305"/>
      <c r="AB409" s="304"/>
      <c r="AC409" s="305"/>
      <c r="AD409" s="305"/>
      <c r="AE409" s="304"/>
      <c r="AF409" s="305"/>
      <c r="AG409" s="305"/>
      <c r="AH409" s="306"/>
    </row>
    <row r="410" spans="1:34" ht="56.25" customHeight="1" outlineLevel="1" x14ac:dyDescent="0.25">
      <c r="A410" s="742"/>
      <c r="B410" s="750"/>
      <c r="C410" s="750"/>
      <c r="D410" s="762"/>
      <c r="E410" s="941"/>
      <c r="F410" s="941"/>
      <c r="G410" s="272" t="s">
        <v>921</v>
      </c>
      <c r="H410" s="938"/>
      <c r="I410" s="293" t="s">
        <v>917</v>
      </c>
      <c r="J410" s="392">
        <v>55000000</v>
      </c>
      <c r="K410" s="319">
        <v>44593</v>
      </c>
      <c r="L410" s="319">
        <v>44925</v>
      </c>
      <c r="M410" s="298">
        <v>44652</v>
      </c>
      <c r="N410" s="299">
        <f t="shared" si="31"/>
        <v>0.17771084337349397</v>
      </c>
      <c r="O410" s="299">
        <f t="shared" si="34"/>
        <v>0.17771084337349397</v>
      </c>
      <c r="P410" s="300">
        <v>1</v>
      </c>
      <c r="Q410" s="301">
        <v>0.25</v>
      </c>
      <c r="R410" s="301">
        <v>0.5</v>
      </c>
      <c r="S410" s="301">
        <v>0.75</v>
      </c>
      <c r="T410" s="301">
        <v>1</v>
      </c>
      <c r="U410" s="301"/>
      <c r="V410" s="301"/>
      <c r="W410" s="300"/>
      <c r="X410" s="303"/>
      <c r="Y410" s="304"/>
      <c r="Z410" s="305"/>
      <c r="AA410" s="305"/>
      <c r="AB410" s="304"/>
      <c r="AC410" s="305"/>
      <c r="AD410" s="305"/>
      <c r="AE410" s="304"/>
      <c r="AF410" s="305"/>
      <c r="AG410" s="305"/>
      <c r="AH410" s="306"/>
    </row>
    <row r="411" spans="1:34" ht="56.25" customHeight="1" outlineLevel="1" x14ac:dyDescent="0.25">
      <c r="A411" s="742"/>
      <c r="B411" s="750"/>
      <c r="C411" s="750"/>
      <c r="D411" s="762"/>
      <c r="E411" s="942"/>
      <c r="F411" s="942"/>
      <c r="G411" s="272" t="s">
        <v>922</v>
      </c>
      <c r="H411" s="939"/>
      <c r="I411" s="293" t="s">
        <v>917</v>
      </c>
      <c r="J411" s="394">
        <v>40000000</v>
      </c>
      <c r="K411" s="319">
        <v>44593</v>
      </c>
      <c r="L411" s="319">
        <v>44925</v>
      </c>
      <c r="M411" s="298">
        <v>44652</v>
      </c>
      <c r="N411" s="299">
        <f t="shared" si="31"/>
        <v>0.17771084337349397</v>
      </c>
      <c r="O411" s="299">
        <f t="shared" si="34"/>
        <v>0.17771084337349397</v>
      </c>
      <c r="P411" s="300">
        <v>1</v>
      </c>
      <c r="Q411" s="301">
        <v>0.25</v>
      </c>
      <c r="R411" s="301">
        <v>0.5</v>
      </c>
      <c r="S411" s="301">
        <v>0.75</v>
      </c>
      <c r="T411" s="301">
        <v>1</v>
      </c>
      <c r="U411" s="301"/>
      <c r="V411" s="301"/>
      <c r="W411" s="300"/>
      <c r="X411" s="303"/>
      <c r="Y411" s="304"/>
      <c r="Z411" s="305"/>
      <c r="AA411" s="305"/>
      <c r="AB411" s="304"/>
      <c r="AC411" s="305"/>
      <c r="AD411" s="305"/>
      <c r="AE411" s="304"/>
      <c r="AF411" s="305"/>
      <c r="AG411" s="305"/>
      <c r="AH411" s="306"/>
    </row>
    <row r="412" spans="1:34" ht="59.25" customHeight="1" outlineLevel="1" x14ac:dyDescent="0.25">
      <c r="A412" s="742"/>
      <c r="B412" s="750"/>
      <c r="C412" s="750"/>
      <c r="D412" s="762"/>
      <c r="E412" s="940" t="s">
        <v>923</v>
      </c>
      <c r="F412" s="940" t="s">
        <v>924</v>
      </c>
      <c r="G412" s="272" t="s">
        <v>925</v>
      </c>
      <c r="H412" s="937" t="s">
        <v>926</v>
      </c>
      <c r="I412" s="293" t="s">
        <v>927</v>
      </c>
      <c r="J412" s="394">
        <v>12000000</v>
      </c>
      <c r="K412" s="319">
        <v>44593</v>
      </c>
      <c r="L412" s="319">
        <v>44925</v>
      </c>
      <c r="M412" s="298">
        <v>44652</v>
      </c>
      <c r="N412" s="299">
        <f t="shared" si="31"/>
        <v>0.17771084337349397</v>
      </c>
      <c r="O412" s="299">
        <f t="shared" si="34"/>
        <v>0.17771084337349397</v>
      </c>
      <c r="P412" s="300">
        <v>1</v>
      </c>
      <c r="Q412" s="301">
        <v>0.25</v>
      </c>
      <c r="R412" s="301">
        <v>0.5</v>
      </c>
      <c r="S412" s="301">
        <v>0.75</v>
      </c>
      <c r="T412" s="301">
        <v>1</v>
      </c>
      <c r="U412" s="301"/>
      <c r="V412" s="301"/>
      <c r="W412" s="300"/>
      <c r="X412" s="303"/>
      <c r="Y412" s="304"/>
      <c r="Z412" s="305"/>
      <c r="AA412" s="305"/>
      <c r="AB412" s="304"/>
      <c r="AC412" s="305"/>
      <c r="AD412" s="305"/>
      <c r="AE412" s="304"/>
      <c r="AF412" s="305"/>
      <c r="AG412" s="305"/>
      <c r="AH412" s="306"/>
    </row>
    <row r="413" spans="1:34" ht="46.5" customHeight="1" outlineLevel="1" x14ac:dyDescent="0.25">
      <c r="A413" s="742"/>
      <c r="B413" s="750"/>
      <c r="C413" s="750"/>
      <c r="D413" s="762"/>
      <c r="E413" s="941"/>
      <c r="F413" s="941"/>
      <c r="G413" s="272" t="s">
        <v>928</v>
      </c>
      <c r="H413" s="938"/>
      <c r="I413" s="293" t="s">
        <v>927</v>
      </c>
      <c r="J413" s="394">
        <v>15000000</v>
      </c>
      <c r="K413" s="319">
        <v>44593</v>
      </c>
      <c r="L413" s="319">
        <v>44925</v>
      </c>
      <c r="M413" s="298">
        <v>44652</v>
      </c>
      <c r="N413" s="299">
        <f t="shared" si="31"/>
        <v>0.17771084337349397</v>
      </c>
      <c r="O413" s="299">
        <f t="shared" si="34"/>
        <v>0.17771084337349397</v>
      </c>
      <c r="P413" s="300">
        <v>1</v>
      </c>
      <c r="Q413" s="301">
        <v>0.25</v>
      </c>
      <c r="R413" s="301">
        <v>0.5</v>
      </c>
      <c r="S413" s="301">
        <v>0.75</v>
      </c>
      <c r="T413" s="301">
        <v>1</v>
      </c>
      <c r="U413" s="301"/>
      <c r="V413" s="301"/>
      <c r="W413" s="300"/>
      <c r="X413" s="303"/>
      <c r="Y413" s="304"/>
      <c r="Z413" s="305"/>
      <c r="AA413" s="305"/>
      <c r="AB413" s="304"/>
      <c r="AC413" s="305"/>
      <c r="AD413" s="305"/>
      <c r="AE413" s="304"/>
      <c r="AF413" s="305"/>
      <c r="AG413" s="305"/>
      <c r="AH413" s="306"/>
    </row>
    <row r="414" spans="1:34" ht="46.5" customHeight="1" outlineLevel="1" x14ac:dyDescent="0.25">
      <c r="A414" s="742"/>
      <c r="B414" s="750"/>
      <c r="C414" s="750"/>
      <c r="D414" s="762"/>
      <c r="E414" s="941"/>
      <c r="F414" s="941"/>
      <c r="G414" s="272" t="s">
        <v>929</v>
      </c>
      <c r="H414" s="938"/>
      <c r="I414" s="293" t="s">
        <v>927</v>
      </c>
      <c r="J414" s="394" t="s">
        <v>111</v>
      </c>
      <c r="K414" s="319">
        <v>44593</v>
      </c>
      <c r="L414" s="319">
        <v>44925</v>
      </c>
      <c r="M414" s="298">
        <v>44652</v>
      </c>
      <c r="N414" s="299">
        <f t="shared" si="31"/>
        <v>0.17771084337349397</v>
      </c>
      <c r="O414" s="299">
        <f t="shared" si="34"/>
        <v>0.17771084337349397</v>
      </c>
      <c r="P414" s="300">
        <v>1</v>
      </c>
      <c r="Q414" s="301">
        <v>0.25</v>
      </c>
      <c r="R414" s="301">
        <v>0.5</v>
      </c>
      <c r="S414" s="301">
        <v>0.75</v>
      </c>
      <c r="T414" s="301">
        <v>1</v>
      </c>
      <c r="U414" s="301"/>
      <c r="V414" s="301"/>
      <c r="W414" s="300"/>
      <c r="X414" s="303"/>
      <c r="Y414" s="304"/>
      <c r="Z414" s="305"/>
      <c r="AA414" s="305"/>
      <c r="AB414" s="304"/>
      <c r="AC414" s="305"/>
      <c r="AD414" s="305"/>
      <c r="AE414" s="304"/>
      <c r="AF414" s="305"/>
      <c r="AG414" s="305"/>
      <c r="AH414" s="306"/>
    </row>
    <row r="415" spans="1:34" ht="72" customHeight="1" outlineLevel="1" x14ac:dyDescent="0.25">
      <c r="A415" s="742"/>
      <c r="B415" s="750"/>
      <c r="C415" s="750"/>
      <c r="D415" s="762"/>
      <c r="E415" s="941"/>
      <c r="F415" s="941"/>
      <c r="G415" s="272" t="s">
        <v>930</v>
      </c>
      <c r="H415" s="938"/>
      <c r="I415" s="293" t="s">
        <v>931</v>
      </c>
      <c r="J415" s="394">
        <v>80000000</v>
      </c>
      <c r="K415" s="319">
        <v>44593</v>
      </c>
      <c r="L415" s="319">
        <v>44925</v>
      </c>
      <c r="M415" s="298">
        <v>44652</v>
      </c>
      <c r="N415" s="299">
        <f t="shared" si="31"/>
        <v>0.17771084337349397</v>
      </c>
      <c r="O415" s="299">
        <f t="shared" si="34"/>
        <v>0.17771084337349397</v>
      </c>
      <c r="P415" s="300">
        <v>1</v>
      </c>
      <c r="Q415" s="301">
        <v>0.25</v>
      </c>
      <c r="R415" s="301">
        <v>0.5</v>
      </c>
      <c r="S415" s="301">
        <v>0.75</v>
      </c>
      <c r="T415" s="301">
        <v>1</v>
      </c>
      <c r="U415" s="301"/>
      <c r="V415" s="301"/>
      <c r="W415" s="300"/>
      <c r="X415" s="303"/>
      <c r="Y415" s="304"/>
      <c r="Z415" s="305"/>
      <c r="AA415" s="305"/>
      <c r="AB415" s="304"/>
      <c r="AC415" s="305"/>
      <c r="AD415" s="305"/>
      <c r="AE415" s="304"/>
      <c r="AF415" s="305"/>
      <c r="AG415" s="305"/>
      <c r="AH415" s="306"/>
    </row>
    <row r="416" spans="1:34" ht="72" customHeight="1" outlineLevel="1" x14ac:dyDescent="0.25">
      <c r="A416" s="742"/>
      <c r="B416" s="750"/>
      <c r="C416" s="750"/>
      <c r="D416" s="762"/>
      <c r="E416" s="941"/>
      <c r="F416" s="941"/>
      <c r="G416" s="272" t="s">
        <v>932</v>
      </c>
      <c r="H416" s="938"/>
      <c r="I416" s="293" t="s">
        <v>933</v>
      </c>
      <c r="J416" s="394">
        <v>10000000</v>
      </c>
      <c r="K416" s="319">
        <v>44593</v>
      </c>
      <c r="L416" s="319">
        <v>44925</v>
      </c>
      <c r="M416" s="298">
        <v>44652</v>
      </c>
      <c r="N416" s="299">
        <f t="shared" si="31"/>
        <v>0.17771084337349397</v>
      </c>
      <c r="O416" s="299">
        <f t="shared" si="34"/>
        <v>0.17771084337349397</v>
      </c>
      <c r="P416" s="300">
        <v>1</v>
      </c>
      <c r="Q416" s="301">
        <v>0.25</v>
      </c>
      <c r="R416" s="301">
        <v>0.5</v>
      </c>
      <c r="S416" s="301">
        <v>0.75</v>
      </c>
      <c r="T416" s="301">
        <v>1</v>
      </c>
      <c r="U416" s="301"/>
      <c r="V416" s="301"/>
      <c r="W416" s="300"/>
      <c r="X416" s="303"/>
      <c r="Y416" s="304"/>
      <c r="Z416" s="305"/>
      <c r="AA416" s="305"/>
      <c r="AB416" s="304"/>
      <c r="AC416" s="305"/>
      <c r="AD416" s="305"/>
      <c r="AE416" s="304"/>
      <c r="AF416" s="305"/>
      <c r="AG416" s="305"/>
      <c r="AH416" s="306"/>
    </row>
    <row r="417" spans="1:34" ht="46.5" customHeight="1" outlineLevel="1" x14ac:dyDescent="0.25">
      <c r="A417" s="742"/>
      <c r="B417" s="750"/>
      <c r="C417" s="750"/>
      <c r="D417" s="762"/>
      <c r="E417" s="941"/>
      <c r="F417" s="942"/>
      <c r="G417" s="272" t="s">
        <v>934</v>
      </c>
      <c r="H417" s="939"/>
      <c r="I417" s="293" t="s">
        <v>933</v>
      </c>
      <c r="J417" s="394">
        <v>30000000</v>
      </c>
      <c r="K417" s="319">
        <v>44593</v>
      </c>
      <c r="L417" s="319">
        <v>44925</v>
      </c>
      <c r="M417" s="298">
        <v>44652</v>
      </c>
      <c r="N417" s="299">
        <f t="shared" si="31"/>
        <v>0.17771084337349397</v>
      </c>
      <c r="O417" s="299">
        <f t="shared" si="34"/>
        <v>0.17771084337349397</v>
      </c>
      <c r="P417" s="300">
        <v>1</v>
      </c>
      <c r="Q417" s="301">
        <v>0.25</v>
      </c>
      <c r="R417" s="301">
        <v>0.5</v>
      </c>
      <c r="S417" s="301">
        <v>0.75</v>
      </c>
      <c r="T417" s="301">
        <v>1</v>
      </c>
      <c r="U417" s="301"/>
      <c r="V417" s="301"/>
      <c r="W417" s="300"/>
      <c r="X417" s="303"/>
      <c r="Y417" s="304"/>
      <c r="Z417" s="305"/>
      <c r="AA417" s="305"/>
      <c r="AB417" s="304"/>
      <c r="AC417" s="305"/>
      <c r="AD417" s="305"/>
      <c r="AE417" s="304"/>
      <c r="AF417" s="305"/>
      <c r="AG417" s="305"/>
      <c r="AH417" s="306"/>
    </row>
    <row r="418" spans="1:34" ht="56.25" customHeight="1" outlineLevel="1" x14ac:dyDescent="0.25">
      <c r="A418" s="742"/>
      <c r="B418" s="750"/>
      <c r="C418" s="750"/>
      <c r="D418" s="762"/>
      <c r="E418" s="941"/>
      <c r="F418" s="940" t="s">
        <v>935</v>
      </c>
      <c r="G418" s="272" t="s">
        <v>936</v>
      </c>
      <c r="H418" s="937" t="s">
        <v>937</v>
      </c>
      <c r="I418" s="293" t="s">
        <v>933</v>
      </c>
      <c r="J418" s="394">
        <v>40000000</v>
      </c>
      <c r="K418" s="319">
        <v>44593</v>
      </c>
      <c r="L418" s="319">
        <v>44925</v>
      </c>
      <c r="M418" s="298">
        <v>44652</v>
      </c>
      <c r="N418" s="299">
        <f t="shared" si="31"/>
        <v>0.17771084337349397</v>
      </c>
      <c r="O418" s="299">
        <f t="shared" si="34"/>
        <v>0.17771084337349397</v>
      </c>
      <c r="P418" s="300">
        <v>1</v>
      </c>
      <c r="Q418" s="301">
        <v>0.25</v>
      </c>
      <c r="R418" s="301">
        <v>0.5</v>
      </c>
      <c r="S418" s="301">
        <v>0.75</v>
      </c>
      <c r="T418" s="301">
        <v>1</v>
      </c>
      <c r="U418" s="301"/>
      <c r="V418" s="301"/>
      <c r="W418" s="300"/>
      <c r="X418" s="303"/>
      <c r="Y418" s="304"/>
      <c r="Z418" s="305"/>
      <c r="AA418" s="305"/>
      <c r="AB418" s="304"/>
      <c r="AC418" s="305"/>
      <c r="AD418" s="305"/>
      <c r="AE418" s="304"/>
      <c r="AF418" s="305"/>
      <c r="AG418" s="305"/>
      <c r="AH418" s="306"/>
    </row>
    <row r="419" spans="1:34" ht="56.25" customHeight="1" outlineLevel="1" x14ac:dyDescent="0.25">
      <c r="A419" s="742"/>
      <c r="B419" s="750"/>
      <c r="C419" s="750"/>
      <c r="D419" s="762"/>
      <c r="E419" s="941"/>
      <c r="F419" s="941"/>
      <c r="G419" s="272" t="s">
        <v>938</v>
      </c>
      <c r="H419" s="938"/>
      <c r="I419" s="293" t="s">
        <v>933</v>
      </c>
      <c r="J419" s="394">
        <v>23667886</v>
      </c>
      <c r="K419" s="319">
        <v>44593</v>
      </c>
      <c r="L419" s="319">
        <v>44925</v>
      </c>
      <c r="M419" s="298">
        <v>44652</v>
      </c>
      <c r="N419" s="299">
        <f t="shared" si="31"/>
        <v>0.17771084337349397</v>
      </c>
      <c r="O419" s="299">
        <f t="shared" si="34"/>
        <v>0.17771084337349397</v>
      </c>
      <c r="P419" s="300">
        <v>1</v>
      </c>
      <c r="Q419" s="301">
        <v>0.25</v>
      </c>
      <c r="R419" s="301">
        <v>0.5</v>
      </c>
      <c r="S419" s="301">
        <v>0.75</v>
      </c>
      <c r="T419" s="301">
        <v>1</v>
      </c>
      <c r="U419" s="301"/>
      <c r="V419" s="301"/>
      <c r="W419" s="300"/>
      <c r="X419" s="303"/>
      <c r="Y419" s="304"/>
      <c r="Z419" s="305"/>
      <c r="AA419" s="305"/>
      <c r="AB419" s="304"/>
      <c r="AC419" s="305"/>
      <c r="AD419" s="305"/>
      <c r="AE419" s="304"/>
      <c r="AF419" s="305"/>
      <c r="AG419" s="305"/>
      <c r="AH419" s="306"/>
    </row>
    <row r="420" spans="1:34" ht="28.95" customHeight="1" outlineLevel="1" x14ac:dyDescent="0.25">
      <c r="A420" s="742"/>
      <c r="B420" s="750"/>
      <c r="C420" s="750"/>
      <c r="D420" s="762"/>
      <c r="E420" s="941"/>
      <c r="F420" s="941"/>
      <c r="G420" s="272" t="s">
        <v>939</v>
      </c>
      <c r="H420" s="938"/>
      <c r="I420" s="293" t="s">
        <v>940</v>
      </c>
      <c r="J420" s="394">
        <v>105000000</v>
      </c>
      <c r="K420" s="319">
        <v>44593</v>
      </c>
      <c r="L420" s="319">
        <v>44925</v>
      </c>
      <c r="M420" s="298">
        <v>44652</v>
      </c>
      <c r="N420" s="299">
        <f t="shared" si="31"/>
        <v>0.17771084337349397</v>
      </c>
      <c r="O420" s="299">
        <f t="shared" si="34"/>
        <v>0.17771084337349397</v>
      </c>
      <c r="P420" s="300">
        <v>1</v>
      </c>
      <c r="Q420" s="301">
        <v>0.25</v>
      </c>
      <c r="R420" s="301">
        <v>0.5</v>
      </c>
      <c r="S420" s="301">
        <v>0.75</v>
      </c>
      <c r="T420" s="301">
        <v>1</v>
      </c>
      <c r="U420" s="301"/>
      <c r="V420" s="301"/>
      <c r="W420" s="300"/>
      <c r="X420" s="303"/>
      <c r="Y420" s="304"/>
      <c r="Z420" s="305"/>
      <c r="AA420" s="305"/>
      <c r="AB420" s="304"/>
      <c r="AC420" s="305"/>
      <c r="AD420" s="305"/>
      <c r="AE420" s="304"/>
      <c r="AF420" s="305"/>
      <c r="AG420" s="305"/>
      <c r="AH420" s="306"/>
    </row>
    <row r="421" spans="1:34" ht="46.5" customHeight="1" outlineLevel="1" x14ac:dyDescent="0.25">
      <c r="A421" s="742"/>
      <c r="B421" s="750"/>
      <c r="C421" s="750"/>
      <c r="D421" s="762"/>
      <c r="E421" s="941"/>
      <c r="F421" s="941"/>
      <c r="G421" s="272" t="s">
        <v>941</v>
      </c>
      <c r="H421" s="938"/>
      <c r="I421" s="293" t="s">
        <v>942</v>
      </c>
      <c r="J421" s="394">
        <v>30000000</v>
      </c>
      <c r="K421" s="319">
        <v>44593</v>
      </c>
      <c r="L421" s="319">
        <v>44925</v>
      </c>
      <c r="M421" s="298">
        <v>44652</v>
      </c>
      <c r="N421" s="299">
        <f t="shared" si="31"/>
        <v>0.17771084337349397</v>
      </c>
      <c r="O421" s="299">
        <f t="shared" si="34"/>
        <v>0.17771084337349397</v>
      </c>
      <c r="P421" s="300">
        <v>1</v>
      </c>
      <c r="Q421" s="301">
        <v>0.25</v>
      </c>
      <c r="R421" s="301">
        <v>0.5</v>
      </c>
      <c r="S421" s="301">
        <v>0.75</v>
      </c>
      <c r="T421" s="301">
        <v>1</v>
      </c>
      <c r="U421" s="301"/>
      <c r="V421" s="301"/>
      <c r="W421" s="300"/>
      <c r="X421" s="303"/>
      <c r="Y421" s="304"/>
      <c r="Z421" s="305"/>
      <c r="AA421" s="305"/>
      <c r="AB421" s="304"/>
      <c r="AC421" s="305"/>
      <c r="AD421" s="305"/>
      <c r="AE421" s="304"/>
      <c r="AF421" s="305"/>
      <c r="AG421" s="305"/>
      <c r="AH421" s="306"/>
    </row>
    <row r="422" spans="1:34" ht="144" customHeight="1" outlineLevel="1" x14ac:dyDescent="0.25">
      <c r="A422" s="742"/>
      <c r="B422" s="750"/>
      <c r="C422" s="750"/>
      <c r="D422" s="762"/>
      <c r="E422" s="941"/>
      <c r="F422" s="941"/>
      <c r="G422" s="272" t="s">
        <v>943</v>
      </c>
      <c r="H422" s="938"/>
      <c r="I422" s="293" t="s">
        <v>944</v>
      </c>
      <c r="J422" s="394">
        <v>1000000</v>
      </c>
      <c r="K422" s="319">
        <v>44593</v>
      </c>
      <c r="L422" s="319">
        <v>44925</v>
      </c>
      <c r="M422" s="298">
        <v>44652</v>
      </c>
      <c r="N422" s="299">
        <f t="shared" si="31"/>
        <v>0.17771084337349397</v>
      </c>
      <c r="O422" s="299">
        <f t="shared" si="34"/>
        <v>0.17771084337349397</v>
      </c>
      <c r="P422" s="300">
        <v>1</v>
      </c>
      <c r="Q422" s="301">
        <v>0.25</v>
      </c>
      <c r="R422" s="301">
        <v>0.5</v>
      </c>
      <c r="S422" s="301">
        <v>0.75</v>
      </c>
      <c r="T422" s="301">
        <v>1</v>
      </c>
      <c r="U422" s="301"/>
      <c r="V422" s="301"/>
      <c r="W422" s="300"/>
      <c r="X422" s="303"/>
      <c r="Y422" s="304"/>
      <c r="Z422" s="305"/>
      <c r="AA422" s="305"/>
      <c r="AB422" s="304"/>
      <c r="AC422" s="305"/>
      <c r="AD422" s="305"/>
      <c r="AE422" s="304"/>
      <c r="AF422" s="305"/>
      <c r="AG422" s="305"/>
      <c r="AH422" s="306"/>
    </row>
    <row r="423" spans="1:34" ht="43.2" customHeight="1" outlineLevel="1" x14ac:dyDescent="0.25">
      <c r="A423" s="742"/>
      <c r="B423" s="750"/>
      <c r="C423" s="750"/>
      <c r="D423" s="762"/>
      <c r="E423" s="941"/>
      <c r="F423" s="941"/>
      <c r="G423" s="272" t="s">
        <v>945</v>
      </c>
      <c r="H423" s="938"/>
      <c r="I423" s="293" t="s">
        <v>946</v>
      </c>
      <c r="J423" s="394">
        <v>10000000</v>
      </c>
      <c r="K423" s="319">
        <v>44593</v>
      </c>
      <c r="L423" s="319">
        <v>44925</v>
      </c>
      <c r="M423" s="298">
        <v>44652</v>
      </c>
      <c r="N423" s="299">
        <f t="shared" si="31"/>
        <v>0.17771084337349397</v>
      </c>
      <c r="O423" s="299">
        <f t="shared" si="34"/>
        <v>0.17771084337349397</v>
      </c>
      <c r="P423" s="300">
        <v>1</v>
      </c>
      <c r="Q423" s="301">
        <v>0.25</v>
      </c>
      <c r="R423" s="301">
        <v>0.5</v>
      </c>
      <c r="S423" s="301">
        <v>0.75</v>
      </c>
      <c r="T423" s="301">
        <v>1</v>
      </c>
      <c r="U423" s="301"/>
      <c r="V423" s="301"/>
      <c r="W423" s="300"/>
      <c r="X423" s="303"/>
      <c r="Y423" s="304"/>
      <c r="Z423" s="305"/>
      <c r="AA423" s="305"/>
      <c r="AB423" s="304"/>
      <c r="AC423" s="305"/>
      <c r="AD423" s="305"/>
      <c r="AE423" s="304"/>
      <c r="AF423" s="305"/>
      <c r="AG423" s="305"/>
      <c r="AH423" s="306"/>
    </row>
    <row r="424" spans="1:34" ht="21" customHeight="1" outlineLevel="1" x14ac:dyDescent="0.25">
      <c r="A424" s="742"/>
      <c r="B424" s="750"/>
      <c r="C424" s="750"/>
      <c r="D424" s="762"/>
      <c r="E424" s="941"/>
      <c r="F424" s="941"/>
      <c r="G424" s="272" t="s">
        <v>947</v>
      </c>
      <c r="H424" s="938"/>
      <c r="I424" s="293" t="s">
        <v>948</v>
      </c>
      <c r="J424" s="394">
        <v>200000000</v>
      </c>
      <c r="K424" s="319">
        <v>44593</v>
      </c>
      <c r="L424" s="319">
        <v>44925</v>
      </c>
      <c r="M424" s="298">
        <v>44652</v>
      </c>
      <c r="N424" s="299">
        <f t="shared" si="31"/>
        <v>0.17771084337349397</v>
      </c>
      <c r="O424" s="299">
        <f t="shared" si="34"/>
        <v>0.17771084337349397</v>
      </c>
      <c r="P424" s="300">
        <v>1</v>
      </c>
      <c r="Q424" s="301">
        <v>0.25</v>
      </c>
      <c r="R424" s="301">
        <v>0.5</v>
      </c>
      <c r="S424" s="301">
        <v>0.75</v>
      </c>
      <c r="T424" s="301">
        <v>1</v>
      </c>
      <c r="U424" s="301"/>
      <c r="V424" s="301"/>
      <c r="W424" s="300"/>
      <c r="X424" s="303"/>
      <c r="Y424" s="304"/>
      <c r="Z424" s="305"/>
      <c r="AA424" s="305"/>
      <c r="AB424" s="304"/>
      <c r="AC424" s="305"/>
      <c r="AD424" s="305"/>
      <c r="AE424" s="304"/>
      <c r="AF424" s="305"/>
      <c r="AG424" s="305"/>
      <c r="AH424" s="306"/>
    </row>
    <row r="425" spans="1:34" ht="28.95" customHeight="1" outlineLevel="1" x14ac:dyDescent="0.25">
      <c r="A425" s="742"/>
      <c r="B425" s="750"/>
      <c r="C425" s="750"/>
      <c r="D425" s="762"/>
      <c r="E425" s="941"/>
      <c r="F425" s="941"/>
      <c r="G425" s="272" t="s">
        <v>949</v>
      </c>
      <c r="H425" s="938"/>
      <c r="I425" s="293" t="s">
        <v>950</v>
      </c>
      <c r="J425" s="394">
        <v>1000000</v>
      </c>
      <c r="K425" s="319">
        <v>44593</v>
      </c>
      <c r="L425" s="319">
        <v>44925</v>
      </c>
      <c r="M425" s="298">
        <v>44652</v>
      </c>
      <c r="N425" s="299">
        <f t="shared" ref="N425:N489" si="35">+(+_xlfn.DAYS(K425,M425))/(+_xlfn.DAYS(K425,L425))</f>
        <v>0.17771084337349397</v>
      </c>
      <c r="O425" s="299">
        <f t="shared" si="34"/>
        <v>0.17771084337349397</v>
      </c>
      <c r="P425" s="300">
        <v>1</v>
      </c>
      <c r="Q425" s="301">
        <v>0.25</v>
      </c>
      <c r="R425" s="301">
        <v>0.5</v>
      </c>
      <c r="S425" s="301">
        <v>0.75</v>
      </c>
      <c r="T425" s="301">
        <v>1</v>
      </c>
      <c r="U425" s="301"/>
      <c r="V425" s="301"/>
      <c r="W425" s="300"/>
      <c r="X425" s="303"/>
      <c r="Y425" s="304"/>
      <c r="Z425" s="305"/>
      <c r="AA425" s="305"/>
      <c r="AB425" s="304"/>
      <c r="AC425" s="305"/>
      <c r="AD425" s="305"/>
      <c r="AE425" s="304"/>
      <c r="AF425" s="305"/>
      <c r="AG425" s="305"/>
      <c r="AH425" s="306"/>
    </row>
    <row r="426" spans="1:34" ht="46.5" customHeight="1" outlineLevel="1" x14ac:dyDescent="0.25">
      <c r="A426" s="742"/>
      <c r="B426" s="750"/>
      <c r="C426" s="750"/>
      <c r="D426" s="762"/>
      <c r="E426" s="941"/>
      <c r="F426" s="941"/>
      <c r="G426" s="272" t="s">
        <v>951</v>
      </c>
      <c r="H426" s="938"/>
      <c r="I426" s="293" t="s">
        <v>952</v>
      </c>
      <c r="J426" s="394">
        <v>15000000</v>
      </c>
      <c r="K426" s="319">
        <v>44593</v>
      </c>
      <c r="L426" s="319">
        <v>44925</v>
      </c>
      <c r="M426" s="298">
        <v>44652</v>
      </c>
      <c r="N426" s="299">
        <f t="shared" si="35"/>
        <v>0.17771084337349397</v>
      </c>
      <c r="O426" s="299">
        <f t="shared" si="34"/>
        <v>0.17771084337349397</v>
      </c>
      <c r="P426" s="300">
        <v>1</v>
      </c>
      <c r="Q426" s="301">
        <v>0.25</v>
      </c>
      <c r="R426" s="301">
        <v>0.5</v>
      </c>
      <c r="S426" s="301">
        <v>0.75</v>
      </c>
      <c r="T426" s="301">
        <v>1</v>
      </c>
      <c r="U426" s="301"/>
      <c r="V426" s="301"/>
      <c r="W426" s="300"/>
      <c r="X426" s="303"/>
      <c r="Y426" s="304"/>
      <c r="Z426" s="305"/>
      <c r="AA426" s="305"/>
      <c r="AB426" s="304"/>
      <c r="AC426" s="305"/>
      <c r="AD426" s="305"/>
      <c r="AE426" s="304"/>
      <c r="AF426" s="305"/>
      <c r="AG426" s="305"/>
      <c r="AH426" s="306"/>
    </row>
    <row r="427" spans="1:34" ht="46.5" customHeight="1" outlineLevel="1" x14ac:dyDescent="0.25">
      <c r="A427" s="742"/>
      <c r="B427" s="750"/>
      <c r="C427" s="750"/>
      <c r="D427" s="762"/>
      <c r="E427" s="941"/>
      <c r="F427" s="941"/>
      <c r="G427" s="272" t="s">
        <v>953</v>
      </c>
      <c r="H427" s="938"/>
      <c r="I427" s="293" t="s">
        <v>946</v>
      </c>
      <c r="J427" s="395">
        <v>10000000</v>
      </c>
      <c r="K427" s="319">
        <v>44593</v>
      </c>
      <c r="L427" s="319">
        <v>44925</v>
      </c>
      <c r="M427" s="298">
        <v>44652</v>
      </c>
      <c r="N427" s="299">
        <f t="shared" si="35"/>
        <v>0.17771084337349397</v>
      </c>
      <c r="O427" s="299">
        <f t="shared" si="34"/>
        <v>0.17771084337349397</v>
      </c>
      <c r="P427" s="300">
        <v>1</v>
      </c>
      <c r="Q427" s="301">
        <v>0.25</v>
      </c>
      <c r="R427" s="301">
        <v>0.5</v>
      </c>
      <c r="S427" s="301">
        <v>0.75</v>
      </c>
      <c r="T427" s="301">
        <v>1</v>
      </c>
      <c r="U427" s="301"/>
      <c r="V427" s="301"/>
      <c r="W427" s="300"/>
      <c r="X427" s="303"/>
      <c r="Y427" s="304"/>
      <c r="Z427" s="305"/>
      <c r="AA427" s="305"/>
      <c r="AB427" s="304"/>
      <c r="AC427" s="305"/>
      <c r="AD427" s="305"/>
      <c r="AE427" s="304"/>
      <c r="AF427" s="305"/>
      <c r="AG427" s="305"/>
      <c r="AH427" s="306"/>
    </row>
    <row r="428" spans="1:34" ht="28.95" customHeight="1" outlineLevel="1" x14ac:dyDescent="0.25">
      <c r="A428" s="742"/>
      <c r="B428" s="750"/>
      <c r="C428" s="750"/>
      <c r="D428" s="762"/>
      <c r="E428" s="941"/>
      <c r="F428" s="941"/>
      <c r="G428" s="272" t="s">
        <v>954</v>
      </c>
      <c r="H428" s="938"/>
      <c r="I428" s="293" t="s">
        <v>946</v>
      </c>
      <c r="J428" s="395">
        <v>11000000</v>
      </c>
      <c r="K428" s="319">
        <v>44593</v>
      </c>
      <c r="L428" s="319">
        <v>44925</v>
      </c>
      <c r="M428" s="298">
        <v>44652</v>
      </c>
      <c r="N428" s="299">
        <f t="shared" si="35"/>
        <v>0.17771084337349397</v>
      </c>
      <c r="O428" s="299">
        <f t="shared" si="34"/>
        <v>0.17771084337349397</v>
      </c>
      <c r="P428" s="300">
        <v>1</v>
      </c>
      <c r="Q428" s="301">
        <v>0.25</v>
      </c>
      <c r="R428" s="301">
        <v>0.5</v>
      </c>
      <c r="S428" s="301">
        <v>0.75</v>
      </c>
      <c r="T428" s="301">
        <v>1</v>
      </c>
      <c r="U428" s="301"/>
      <c r="V428" s="301"/>
      <c r="W428" s="300"/>
      <c r="X428" s="303"/>
      <c r="Y428" s="304"/>
      <c r="Z428" s="305"/>
      <c r="AA428" s="305"/>
      <c r="AB428" s="304"/>
      <c r="AC428" s="305"/>
      <c r="AD428" s="305"/>
      <c r="AE428" s="304"/>
      <c r="AF428" s="305"/>
      <c r="AG428" s="305"/>
      <c r="AH428" s="306"/>
    </row>
    <row r="429" spans="1:34" ht="46.5" customHeight="1" outlineLevel="1" x14ac:dyDescent="0.25">
      <c r="A429" s="742"/>
      <c r="B429" s="750"/>
      <c r="C429" s="750"/>
      <c r="D429" s="763"/>
      <c r="E429" s="942"/>
      <c r="F429" s="942"/>
      <c r="G429" s="272" t="s">
        <v>955</v>
      </c>
      <c r="H429" s="939"/>
      <c r="I429" s="293" t="s">
        <v>952</v>
      </c>
      <c r="J429" s="394">
        <v>7000000</v>
      </c>
      <c r="K429" s="319">
        <v>44593</v>
      </c>
      <c r="L429" s="319">
        <v>44925</v>
      </c>
      <c r="M429" s="298">
        <v>44652</v>
      </c>
      <c r="N429" s="299">
        <f t="shared" si="35"/>
        <v>0.17771084337349397</v>
      </c>
      <c r="O429" s="299">
        <f t="shared" si="34"/>
        <v>0.17771084337349397</v>
      </c>
      <c r="P429" s="300">
        <v>1</v>
      </c>
      <c r="Q429" s="301">
        <v>0.25</v>
      </c>
      <c r="R429" s="301">
        <v>0.5</v>
      </c>
      <c r="S429" s="301">
        <v>0.75</v>
      </c>
      <c r="T429" s="301">
        <v>1</v>
      </c>
      <c r="U429" s="301"/>
      <c r="V429" s="301"/>
      <c r="W429" s="300"/>
      <c r="X429" s="303"/>
      <c r="Y429" s="304"/>
      <c r="Z429" s="305"/>
      <c r="AA429" s="305"/>
      <c r="AB429" s="304"/>
      <c r="AC429" s="305"/>
      <c r="AD429" s="305"/>
      <c r="AE429" s="304"/>
      <c r="AF429" s="305"/>
      <c r="AG429" s="305"/>
      <c r="AH429" s="306"/>
    </row>
    <row r="430" spans="1:34" ht="59.25" customHeight="1" outlineLevel="1" x14ac:dyDescent="0.25">
      <c r="A430" s="742"/>
      <c r="B430" s="750"/>
      <c r="C430" s="750"/>
      <c r="D430" s="764" t="s">
        <v>956</v>
      </c>
      <c r="E430" s="945" t="s">
        <v>957</v>
      </c>
      <c r="F430" s="945" t="s">
        <v>958</v>
      </c>
      <c r="G430" s="273" t="s">
        <v>959</v>
      </c>
      <c r="H430" s="943" t="s">
        <v>960</v>
      </c>
      <c r="I430" s="293" t="s">
        <v>933</v>
      </c>
      <c r="J430" s="395">
        <v>28304410</v>
      </c>
      <c r="K430" s="319">
        <v>44593</v>
      </c>
      <c r="L430" s="319">
        <v>44925</v>
      </c>
      <c r="M430" s="298">
        <v>44652</v>
      </c>
      <c r="N430" s="299">
        <f t="shared" si="35"/>
        <v>0.17771084337349397</v>
      </c>
      <c r="O430" s="299">
        <f t="shared" si="34"/>
        <v>0.17771084337349397</v>
      </c>
      <c r="P430" s="300">
        <v>1</v>
      </c>
      <c r="Q430" s="301">
        <v>0.25</v>
      </c>
      <c r="R430" s="301">
        <v>0.5</v>
      </c>
      <c r="S430" s="301">
        <v>0.75</v>
      </c>
      <c r="T430" s="301">
        <v>1</v>
      </c>
      <c r="U430" s="301"/>
      <c r="V430" s="301"/>
      <c r="W430" s="300"/>
      <c r="X430" s="303"/>
      <c r="Y430" s="304"/>
      <c r="Z430" s="305"/>
      <c r="AA430" s="305"/>
      <c r="AB430" s="304"/>
      <c r="AC430" s="305"/>
      <c r="AD430" s="305"/>
      <c r="AE430" s="304"/>
      <c r="AF430" s="305"/>
      <c r="AG430" s="305"/>
      <c r="AH430" s="306"/>
    </row>
    <row r="431" spans="1:34" ht="60" customHeight="1" outlineLevel="1" x14ac:dyDescent="0.25">
      <c r="A431" s="742"/>
      <c r="B431" s="750"/>
      <c r="C431" s="750"/>
      <c r="D431" s="765"/>
      <c r="E431" s="946"/>
      <c r="F431" s="946"/>
      <c r="G431" s="273" t="s">
        <v>961</v>
      </c>
      <c r="H431" s="944"/>
      <c r="I431" s="293" t="s">
        <v>933</v>
      </c>
      <c r="J431" s="394">
        <v>10000000</v>
      </c>
      <c r="K431" s="319">
        <v>44593</v>
      </c>
      <c r="L431" s="319">
        <v>44925</v>
      </c>
      <c r="M431" s="298">
        <v>44652</v>
      </c>
      <c r="N431" s="299">
        <f t="shared" si="35"/>
        <v>0.17771084337349397</v>
      </c>
      <c r="O431" s="299">
        <f t="shared" si="34"/>
        <v>0.17771084337349397</v>
      </c>
      <c r="P431" s="300">
        <v>1</v>
      </c>
      <c r="Q431" s="301">
        <v>0.25</v>
      </c>
      <c r="R431" s="301">
        <v>0.5</v>
      </c>
      <c r="S431" s="301">
        <v>0.75</v>
      </c>
      <c r="T431" s="301">
        <v>1</v>
      </c>
      <c r="U431" s="301"/>
      <c r="V431" s="301"/>
      <c r="W431" s="300"/>
      <c r="X431" s="303"/>
      <c r="Y431" s="304"/>
      <c r="Z431" s="305"/>
      <c r="AA431" s="305"/>
      <c r="AB431" s="304"/>
      <c r="AC431" s="305"/>
      <c r="AD431" s="305"/>
      <c r="AE431" s="304"/>
      <c r="AF431" s="305"/>
      <c r="AG431" s="305"/>
      <c r="AH431" s="306"/>
    </row>
    <row r="432" spans="1:34" ht="60" customHeight="1" outlineLevel="1" x14ac:dyDescent="0.25">
      <c r="A432" s="742"/>
      <c r="B432" s="750"/>
      <c r="C432" s="750"/>
      <c r="D432" s="765"/>
      <c r="E432" s="946"/>
      <c r="F432" s="379" t="s">
        <v>1180</v>
      </c>
      <c r="G432" s="273" t="s">
        <v>1251</v>
      </c>
      <c r="H432" s="360"/>
      <c r="I432" s="293" t="s">
        <v>933</v>
      </c>
      <c r="J432" s="394"/>
      <c r="K432" s="319"/>
      <c r="L432" s="319"/>
      <c r="M432" s="298">
        <v>44652</v>
      </c>
      <c r="N432" s="299"/>
      <c r="O432" s="299"/>
      <c r="P432" s="300">
        <v>1</v>
      </c>
      <c r="Q432" s="301">
        <v>0.25</v>
      </c>
      <c r="R432" s="301">
        <v>0.5</v>
      </c>
      <c r="S432" s="301">
        <v>0.75</v>
      </c>
      <c r="T432" s="301">
        <v>1</v>
      </c>
      <c r="U432" s="301"/>
      <c r="V432" s="301"/>
      <c r="W432" s="300"/>
      <c r="X432" s="303"/>
      <c r="Y432" s="304"/>
      <c r="Z432" s="305"/>
      <c r="AA432" s="305"/>
      <c r="AB432" s="304"/>
      <c r="AC432" s="305"/>
      <c r="AD432" s="305"/>
      <c r="AE432" s="304"/>
      <c r="AF432" s="305"/>
      <c r="AG432" s="305"/>
      <c r="AH432" s="306"/>
    </row>
    <row r="433" spans="1:34" ht="60" customHeight="1" outlineLevel="1" x14ac:dyDescent="0.25">
      <c r="A433" s="742"/>
      <c r="B433" s="750"/>
      <c r="C433" s="750"/>
      <c r="D433" s="765"/>
      <c r="E433" s="946"/>
      <c r="F433" s="945" t="s">
        <v>962</v>
      </c>
      <c r="G433" s="273" t="s">
        <v>963</v>
      </c>
      <c r="H433" s="943" t="s">
        <v>765</v>
      </c>
      <c r="I433" s="293" t="s">
        <v>933</v>
      </c>
      <c r="J433" s="394">
        <v>10000000</v>
      </c>
      <c r="K433" s="319">
        <v>44593</v>
      </c>
      <c r="L433" s="319">
        <v>44925</v>
      </c>
      <c r="M433" s="298">
        <v>44652</v>
      </c>
      <c r="N433" s="299">
        <f t="shared" si="35"/>
        <v>0.17771084337349397</v>
      </c>
      <c r="O433" s="299">
        <f t="shared" si="34"/>
        <v>0.17771084337349397</v>
      </c>
      <c r="P433" s="300">
        <v>1</v>
      </c>
      <c r="Q433" s="301">
        <v>0.25</v>
      </c>
      <c r="R433" s="301">
        <v>0.5</v>
      </c>
      <c r="S433" s="301">
        <v>0.75</v>
      </c>
      <c r="T433" s="301">
        <v>1</v>
      </c>
      <c r="U433" s="301"/>
      <c r="V433" s="301"/>
      <c r="W433" s="300"/>
      <c r="X433" s="303"/>
      <c r="Y433" s="304"/>
      <c r="Z433" s="305"/>
      <c r="AA433" s="305"/>
      <c r="AB433" s="304"/>
      <c r="AC433" s="305"/>
      <c r="AD433" s="305"/>
      <c r="AE433" s="304"/>
      <c r="AF433" s="305"/>
      <c r="AG433" s="305"/>
      <c r="AH433" s="306"/>
    </row>
    <row r="434" spans="1:34" ht="60" customHeight="1" outlineLevel="1" x14ac:dyDescent="0.25">
      <c r="A434" s="742"/>
      <c r="B434" s="750"/>
      <c r="C434" s="750"/>
      <c r="D434" s="765"/>
      <c r="E434" s="946"/>
      <c r="F434" s="946"/>
      <c r="G434" s="273" t="s">
        <v>964</v>
      </c>
      <c r="H434" s="954"/>
      <c r="I434" s="293" t="s">
        <v>933</v>
      </c>
      <c r="J434" s="396" t="s">
        <v>59</v>
      </c>
      <c r="K434" s="319">
        <v>44593</v>
      </c>
      <c r="L434" s="319">
        <v>44925</v>
      </c>
      <c r="M434" s="298">
        <v>44652</v>
      </c>
      <c r="N434" s="299">
        <f t="shared" si="35"/>
        <v>0.17771084337349397</v>
      </c>
      <c r="O434" s="299">
        <f t="shared" si="34"/>
        <v>0.17771084337349397</v>
      </c>
      <c r="P434" s="300">
        <v>1</v>
      </c>
      <c r="Q434" s="301">
        <v>0.25</v>
      </c>
      <c r="R434" s="301">
        <v>0.5</v>
      </c>
      <c r="S434" s="301">
        <v>0.75</v>
      </c>
      <c r="T434" s="301">
        <v>1</v>
      </c>
      <c r="U434" s="301"/>
      <c r="V434" s="301"/>
      <c r="W434" s="300"/>
      <c r="X434" s="303"/>
      <c r="Y434" s="304"/>
      <c r="Z434" s="305"/>
      <c r="AA434" s="305"/>
      <c r="AB434" s="304"/>
      <c r="AC434" s="305"/>
      <c r="AD434" s="305"/>
      <c r="AE434" s="304"/>
      <c r="AF434" s="305"/>
      <c r="AG434" s="305"/>
      <c r="AH434" s="306"/>
    </row>
    <row r="435" spans="1:34" ht="60" customHeight="1" outlineLevel="1" x14ac:dyDescent="0.25">
      <c r="A435" s="742"/>
      <c r="B435" s="750"/>
      <c r="C435" s="750"/>
      <c r="D435" s="765"/>
      <c r="E435" s="946"/>
      <c r="F435" s="946"/>
      <c r="G435" s="273" t="s">
        <v>965</v>
      </c>
      <c r="H435" s="954"/>
      <c r="I435" s="293" t="s">
        <v>966</v>
      </c>
      <c r="J435" s="394">
        <v>5000000</v>
      </c>
      <c r="K435" s="319">
        <v>44593</v>
      </c>
      <c r="L435" s="319">
        <v>44925</v>
      </c>
      <c r="M435" s="298">
        <v>44652</v>
      </c>
      <c r="N435" s="299">
        <f t="shared" si="35"/>
        <v>0.17771084337349397</v>
      </c>
      <c r="O435" s="299">
        <f t="shared" si="34"/>
        <v>0.17771084337349397</v>
      </c>
      <c r="P435" s="300">
        <v>1</v>
      </c>
      <c r="Q435" s="301">
        <v>0.25</v>
      </c>
      <c r="R435" s="301">
        <v>0.5</v>
      </c>
      <c r="S435" s="301">
        <v>0.75</v>
      </c>
      <c r="T435" s="301">
        <v>1</v>
      </c>
      <c r="U435" s="301"/>
      <c r="V435" s="301"/>
      <c r="W435" s="300"/>
      <c r="X435" s="303"/>
      <c r="Y435" s="304"/>
      <c r="Z435" s="305"/>
      <c r="AA435" s="305"/>
      <c r="AB435" s="304"/>
      <c r="AC435" s="305"/>
      <c r="AD435" s="305"/>
      <c r="AE435" s="304"/>
      <c r="AF435" s="305"/>
      <c r="AG435" s="305"/>
      <c r="AH435" s="306"/>
    </row>
    <row r="436" spans="1:34" ht="60" customHeight="1" outlineLevel="1" x14ac:dyDescent="0.25">
      <c r="A436" s="742"/>
      <c r="B436" s="750"/>
      <c r="C436" s="750"/>
      <c r="D436" s="765"/>
      <c r="E436" s="946"/>
      <c r="F436" s="946"/>
      <c r="G436" s="273" t="s">
        <v>967</v>
      </c>
      <c r="H436" s="954"/>
      <c r="I436" s="293" t="s">
        <v>756</v>
      </c>
      <c r="J436" s="394">
        <v>3000000</v>
      </c>
      <c r="K436" s="319">
        <v>44593</v>
      </c>
      <c r="L436" s="319">
        <v>44925</v>
      </c>
      <c r="M436" s="298">
        <v>44652</v>
      </c>
      <c r="N436" s="299">
        <f t="shared" si="35"/>
        <v>0.17771084337349397</v>
      </c>
      <c r="O436" s="299">
        <f t="shared" si="34"/>
        <v>0.17771084337349397</v>
      </c>
      <c r="P436" s="300">
        <v>1</v>
      </c>
      <c r="Q436" s="301">
        <v>0.25</v>
      </c>
      <c r="R436" s="301">
        <v>0.5</v>
      </c>
      <c r="S436" s="301">
        <v>0.75</v>
      </c>
      <c r="T436" s="301">
        <v>1</v>
      </c>
      <c r="U436" s="301"/>
      <c r="V436" s="301"/>
      <c r="W436" s="300"/>
      <c r="X436" s="303"/>
      <c r="Y436" s="304"/>
      <c r="Z436" s="305"/>
      <c r="AA436" s="305"/>
      <c r="AB436" s="304"/>
      <c r="AC436" s="305"/>
      <c r="AD436" s="305"/>
      <c r="AE436" s="304"/>
      <c r="AF436" s="305"/>
      <c r="AG436" s="305"/>
      <c r="AH436" s="306"/>
    </row>
    <row r="437" spans="1:34" ht="119.55" customHeight="1" outlineLevel="1" x14ac:dyDescent="0.25">
      <c r="A437" s="742"/>
      <c r="B437" s="750"/>
      <c r="C437" s="750"/>
      <c r="D437" s="765"/>
      <c r="E437" s="946"/>
      <c r="F437" s="946"/>
      <c r="G437" s="273" t="s">
        <v>968</v>
      </c>
      <c r="H437" s="954"/>
      <c r="I437" s="293" t="s">
        <v>933</v>
      </c>
      <c r="J437" s="394">
        <v>3000000</v>
      </c>
      <c r="K437" s="319">
        <v>44593</v>
      </c>
      <c r="L437" s="319">
        <v>44925</v>
      </c>
      <c r="M437" s="298">
        <v>44652</v>
      </c>
      <c r="N437" s="299">
        <f t="shared" si="35"/>
        <v>0.17771084337349397</v>
      </c>
      <c r="O437" s="299">
        <f t="shared" si="34"/>
        <v>0.17771084337349397</v>
      </c>
      <c r="P437" s="300">
        <v>1</v>
      </c>
      <c r="Q437" s="301">
        <v>0.25</v>
      </c>
      <c r="R437" s="301">
        <v>0.5</v>
      </c>
      <c r="S437" s="301">
        <v>0.75</v>
      </c>
      <c r="T437" s="301">
        <v>1</v>
      </c>
      <c r="U437" s="301"/>
      <c r="V437" s="301"/>
      <c r="W437" s="300"/>
      <c r="X437" s="303"/>
      <c r="Y437" s="304"/>
      <c r="Z437" s="305"/>
      <c r="AA437" s="305"/>
      <c r="AB437" s="304"/>
      <c r="AC437" s="305"/>
      <c r="AD437" s="305"/>
      <c r="AE437" s="304"/>
      <c r="AF437" s="305"/>
      <c r="AG437" s="305"/>
      <c r="AH437" s="306"/>
    </row>
    <row r="438" spans="1:34" ht="46.5" customHeight="1" outlineLevel="1" x14ac:dyDescent="0.25">
      <c r="A438" s="742"/>
      <c r="B438" s="750"/>
      <c r="C438" s="750"/>
      <c r="D438" s="765"/>
      <c r="E438" s="946"/>
      <c r="F438" s="947"/>
      <c r="G438" s="273" t="s">
        <v>969</v>
      </c>
      <c r="H438" s="944"/>
      <c r="I438" s="293" t="s">
        <v>933</v>
      </c>
      <c r="J438" s="394">
        <v>20000000</v>
      </c>
      <c r="K438" s="319">
        <v>44593</v>
      </c>
      <c r="L438" s="319">
        <v>44925</v>
      </c>
      <c r="M438" s="298">
        <v>44652</v>
      </c>
      <c r="N438" s="299">
        <f t="shared" si="35"/>
        <v>0.17771084337349397</v>
      </c>
      <c r="O438" s="299">
        <f t="shared" si="34"/>
        <v>0.17771084337349397</v>
      </c>
      <c r="P438" s="300">
        <v>1</v>
      </c>
      <c r="Q438" s="301">
        <v>0.25</v>
      </c>
      <c r="R438" s="301">
        <v>0.5</v>
      </c>
      <c r="S438" s="301">
        <v>0.75</v>
      </c>
      <c r="T438" s="301">
        <v>1</v>
      </c>
      <c r="U438" s="301"/>
      <c r="V438" s="301"/>
      <c r="W438" s="300"/>
      <c r="X438" s="303"/>
      <c r="Y438" s="304"/>
      <c r="Z438" s="305"/>
      <c r="AA438" s="305"/>
      <c r="AB438" s="304"/>
      <c r="AC438" s="305"/>
      <c r="AD438" s="305"/>
      <c r="AE438" s="304"/>
      <c r="AF438" s="305"/>
      <c r="AG438" s="305"/>
      <c r="AH438" s="306"/>
    </row>
    <row r="439" spans="1:34" ht="60" customHeight="1" outlineLevel="1" x14ac:dyDescent="0.25">
      <c r="A439" s="742"/>
      <c r="B439" s="750"/>
      <c r="C439" s="750"/>
      <c r="D439" s="765"/>
      <c r="E439" s="946"/>
      <c r="F439" s="945" t="s">
        <v>970</v>
      </c>
      <c r="G439" s="273" t="s">
        <v>971</v>
      </c>
      <c r="H439" s="273"/>
      <c r="I439" s="293" t="s">
        <v>972</v>
      </c>
      <c r="J439" s="394">
        <v>8500000</v>
      </c>
      <c r="K439" s="319">
        <v>44593</v>
      </c>
      <c r="L439" s="319">
        <v>44925</v>
      </c>
      <c r="M439" s="298">
        <v>44652</v>
      </c>
      <c r="N439" s="299">
        <f t="shared" si="35"/>
        <v>0.17771084337349397</v>
      </c>
      <c r="O439" s="299">
        <f t="shared" si="34"/>
        <v>0.17771084337349397</v>
      </c>
      <c r="P439" s="300">
        <v>0.5</v>
      </c>
      <c r="Q439" s="301">
        <v>0.35</v>
      </c>
      <c r="R439" s="301">
        <v>0.4</v>
      </c>
      <c r="S439" s="301">
        <v>0.45</v>
      </c>
      <c r="T439" s="301">
        <v>0.5</v>
      </c>
      <c r="U439" s="301"/>
      <c r="V439" s="301"/>
      <c r="W439" s="300"/>
      <c r="X439" s="303"/>
      <c r="Y439" s="304"/>
      <c r="Z439" s="305"/>
      <c r="AA439" s="305"/>
      <c r="AB439" s="304"/>
      <c r="AC439" s="305"/>
      <c r="AD439" s="305"/>
      <c r="AE439" s="304"/>
      <c r="AF439" s="305"/>
      <c r="AG439" s="305"/>
      <c r="AH439" s="306"/>
    </row>
    <row r="440" spans="1:34" ht="60" customHeight="1" outlineLevel="1" x14ac:dyDescent="0.25">
      <c r="A440" s="742"/>
      <c r="B440" s="750"/>
      <c r="C440" s="750"/>
      <c r="D440" s="765"/>
      <c r="E440" s="946"/>
      <c r="F440" s="947"/>
      <c r="G440" s="273" t="s">
        <v>973</v>
      </c>
      <c r="H440" s="273"/>
      <c r="I440" s="293" t="s">
        <v>933</v>
      </c>
      <c r="J440" s="394">
        <v>5000000</v>
      </c>
      <c r="K440" s="319">
        <v>44593</v>
      </c>
      <c r="L440" s="319">
        <v>44925</v>
      </c>
      <c r="M440" s="298">
        <v>44652</v>
      </c>
      <c r="N440" s="299">
        <f t="shared" si="35"/>
        <v>0.17771084337349397</v>
      </c>
      <c r="O440" s="299">
        <f t="shared" si="34"/>
        <v>0.17771084337349397</v>
      </c>
      <c r="P440" s="300">
        <v>1</v>
      </c>
      <c r="Q440" s="301">
        <v>0.25</v>
      </c>
      <c r="R440" s="301">
        <v>0.5</v>
      </c>
      <c r="S440" s="301">
        <v>0.75</v>
      </c>
      <c r="T440" s="301">
        <v>1</v>
      </c>
      <c r="U440" s="301"/>
      <c r="V440" s="301"/>
      <c r="W440" s="300"/>
      <c r="X440" s="303"/>
      <c r="Y440" s="304"/>
      <c r="Z440" s="305"/>
      <c r="AA440" s="305"/>
      <c r="AB440" s="304"/>
      <c r="AC440" s="305"/>
      <c r="AD440" s="305"/>
      <c r="AE440" s="304"/>
      <c r="AF440" s="305"/>
      <c r="AG440" s="305"/>
      <c r="AH440" s="306"/>
    </row>
    <row r="441" spans="1:34" ht="60" customHeight="1" outlineLevel="1" x14ac:dyDescent="0.25">
      <c r="A441" s="742"/>
      <c r="B441" s="750"/>
      <c r="C441" s="750"/>
      <c r="D441" s="765"/>
      <c r="E441" s="946"/>
      <c r="F441" s="945" t="s">
        <v>974</v>
      </c>
      <c r="G441" s="273" t="s">
        <v>975</v>
      </c>
      <c r="H441" s="273"/>
      <c r="I441" s="293" t="s">
        <v>976</v>
      </c>
      <c r="J441" s="394">
        <v>8618736</v>
      </c>
      <c r="K441" s="319">
        <v>44593</v>
      </c>
      <c r="L441" s="319">
        <v>44925</v>
      </c>
      <c r="M441" s="298">
        <v>44652</v>
      </c>
      <c r="N441" s="299">
        <f t="shared" si="35"/>
        <v>0.17771084337349397</v>
      </c>
      <c r="O441" s="299">
        <f t="shared" si="34"/>
        <v>0.17771084337349397</v>
      </c>
      <c r="P441" s="300">
        <v>0.5</v>
      </c>
      <c r="Q441" s="301">
        <v>0.35</v>
      </c>
      <c r="R441" s="301">
        <v>0.4</v>
      </c>
      <c r="S441" s="301">
        <v>0.45</v>
      </c>
      <c r="T441" s="301">
        <v>0.5</v>
      </c>
      <c r="U441" s="301"/>
      <c r="V441" s="301"/>
      <c r="W441" s="300"/>
      <c r="X441" s="303"/>
      <c r="Y441" s="304"/>
      <c r="Z441" s="305"/>
      <c r="AA441" s="305"/>
      <c r="AB441" s="304"/>
      <c r="AC441" s="305"/>
      <c r="AD441" s="305"/>
      <c r="AE441" s="304"/>
      <c r="AF441" s="305"/>
      <c r="AG441" s="305"/>
      <c r="AH441" s="306"/>
    </row>
    <row r="442" spans="1:34" ht="119.55" customHeight="1" outlineLevel="1" x14ac:dyDescent="0.25">
      <c r="A442" s="742"/>
      <c r="B442" s="750"/>
      <c r="C442" s="750"/>
      <c r="D442" s="765"/>
      <c r="E442" s="946"/>
      <c r="F442" s="946"/>
      <c r="G442" s="273" t="s">
        <v>977</v>
      </c>
      <c r="H442" s="273"/>
      <c r="I442" s="293" t="s">
        <v>978</v>
      </c>
      <c r="J442" s="394">
        <v>800000</v>
      </c>
      <c r="K442" s="319">
        <v>44593</v>
      </c>
      <c r="L442" s="319">
        <v>44925</v>
      </c>
      <c r="M442" s="298">
        <v>44652</v>
      </c>
      <c r="N442" s="299">
        <f t="shared" si="35"/>
        <v>0.17771084337349397</v>
      </c>
      <c r="O442" s="299">
        <f t="shared" si="34"/>
        <v>0.17771084337349397</v>
      </c>
      <c r="P442" s="300">
        <v>1</v>
      </c>
      <c r="Q442" s="301">
        <v>0.25</v>
      </c>
      <c r="R442" s="301">
        <v>0.5</v>
      </c>
      <c r="S442" s="301">
        <v>0.75</v>
      </c>
      <c r="T442" s="301">
        <v>1</v>
      </c>
      <c r="U442" s="301"/>
      <c r="V442" s="301"/>
      <c r="W442" s="300"/>
      <c r="X442" s="303"/>
      <c r="Y442" s="304"/>
      <c r="Z442" s="305"/>
      <c r="AA442" s="305"/>
      <c r="AB442" s="304"/>
      <c r="AC442" s="305"/>
      <c r="AD442" s="305"/>
      <c r="AE442" s="304"/>
      <c r="AF442" s="305"/>
      <c r="AG442" s="305"/>
      <c r="AH442" s="306"/>
    </row>
    <row r="443" spans="1:34" ht="119.55" customHeight="1" outlineLevel="1" x14ac:dyDescent="0.25">
      <c r="A443" s="742"/>
      <c r="B443" s="750"/>
      <c r="C443" s="750"/>
      <c r="D443" s="765"/>
      <c r="E443" s="946"/>
      <c r="F443" s="946"/>
      <c r="G443" s="273" t="s">
        <v>979</v>
      </c>
      <c r="H443" s="273"/>
      <c r="I443" s="293" t="s">
        <v>933</v>
      </c>
      <c r="J443" s="394">
        <v>30872798</v>
      </c>
      <c r="K443" s="319">
        <v>44593</v>
      </c>
      <c r="L443" s="319">
        <v>44925</v>
      </c>
      <c r="M443" s="298">
        <v>44652</v>
      </c>
      <c r="N443" s="299">
        <f t="shared" si="35"/>
        <v>0.17771084337349397</v>
      </c>
      <c r="O443" s="299">
        <f t="shared" si="34"/>
        <v>0.17771084337349397</v>
      </c>
      <c r="P443" s="300">
        <v>1</v>
      </c>
      <c r="Q443" s="301">
        <v>0.25</v>
      </c>
      <c r="R443" s="301">
        <v>0.5</v>
      </c>
      <c r="S443" s="301">
        <v>0.75</v>
      </c>
      <c r="T443" s="301">
        <v>1</v>
      </c>
      <c r="U443" s="301"/>
      <c r="V443" s="301"/>
      <c r="W443" s="300"/>
      <c r="X443" s="303"/>
      <c r="Y443" s="304"/>
      <c r="Z443" s="305"/>
      <c r="AA443" s="305"/>
      <c r="AB443" s="304"/>
      <c r="AC443" s="305"/>
      <c r="AD443" s="305"/>
      <c r="AE443" s="304"/>
      <c r="AF443" s="305"/>
      <c r="AG443" s="305"/>
      <c r="AH443" s="306"/>
    </row>
    <row r="444" spans="1:34" ht="119.55" customHeight="1" outlineLevel="1" x14ac:dyDescent="0.25">
      <c r="A444" s="742"/>
      <c r="B444" s="751"/>
      <c r="C444" s="751"/>
      <c r="D444" s="766"/>
      <c r="E444" s="947"/>
      <c r="F444" s="947"/>
      <c r="G444" s="273" t="s">
        <v>980</v>
      </c>
      <c r="H444" s="273"/>
      <c r="I444" s="293" t="s">
        <v>981</v>
      </c>
      <c r="J444" s="394">
        <v>4998000</v>
      </c>
      <c r="K444" s="319">
        <v>44593</v>
      </c>
      <c r="L444" s="319">
        <v>44925</v>
      </c>
      <c r="M444" s="298">
        <v>44652</v>
      </c>
      <c r="N444" s="299">
        <f t="shared" si="35"/>
        <v>0.17771084337349397</v>
      </c>
      <c r="O444" s="299">
        <f t="shared" si="34"/>
        <v>0.17771084337349397</v>
      </c>
      <c r="P444" s="300">
        <v>1</v>
      </c>
      <c r="Q444" s="301">
        <v>0.25</v>
      </c>
      <c r="R444" s="301">
        <v>0.5</v>
      </c>
      <c r="S444" s="301">
        <v>0.75</v>
      </c>
      <c r="T444" s="301">
        <v>1</v>
      </c>
      <c r="U444" s="301"/>
      <c r="V444" s="301"/>
      <c r="W444" s="300"/>
      <c r="X444" s="303"/>
      <c r="Y444" s="304"/>
      <c r="Z444" s="305"/>
      <c r="AA444" s="305"/>
      <c r="AB444" s="304"/>
      <c r="AC444" s="305"/>
      <c r="AD444" s="305"/>
      <c r="AE444" s="304"/>
      <c r="AF444" s="305"/>
      <c r="AG444" s="305"/>
      <c r="AH444" s="306"/>
    </row>
    <row r="445" spans="1:34" ht="96" customHeight="1" outlineLevel="1" x14ac:dyDescent="0.25">
      <c r="A445" s="742"/>
      <c r="B445" s="749" t="s">
        <v>606</v>
      </c>
      <c r="C445" s="749" t="s">
        <v>744</v>
      </c>
      <c r="D445" s="752" t="s">
        <v>11</v>
      </c>
      <c r="E445" s="1" t="s">
        <v>982</v>
      </c>
      <c r="F445" s="1" t="s">
        <v>983</v>
      </c>
      <c r="G445" s="2" t="s">
        <v>984</v>
      </c>
      <c r="H445" s="2" t="s">
        <v>985</v>
      </c>
      <c r="I445" s="12" t="s">
        <v>986</v>
      </c>
      <c r="J445" s="12" t="s">
        <v>788</v>
      </c>
      <c r="K445" s="319">
        <v>44593</v>
      </c>
      <c r="L445" s="319">
        <v>44925</v>
      </c>
      <c r="M445" s="298">
        <v>44652</v>
      </c>
      <c r="N445" s="299">
        <f t="shared" si="35"/>
        <v>0.17771084337349397</v>
      </c>
      <c r="O445" s="299">
        <f t="shared" ref="O445:O513" si="36">+IF(N445&gt;=100,100,IF(N445&lt;=0,0,N445))</f>
        <v>0.17771084337349397</v>
      </c>
      <c r="P445" s="300">
        <v>0.5</v>
      </c>
      <c r="Q445" s="301">
        <v>0.32</v>
      </c>
      <c r="R445" s="301">
        <v>0.35</v>
      </c>
      <c r="S445" s="301">
        <v>0.42</v>
      </c>
      <c r="T445" s="301">
        <v>1</v>
      </c>
      <c r="U445" s="301"/>
      <c r="V445" s="301"/>
      <c r="W445" s="300"/>
      <c r="X445" s="303"/>
      <c r="Y445" s="304"/>
      <c r="Z445" s="305"/>
      <c r="AA445" s="305"/>
      <c r="AB445" s="304"/>
      <c r="AC445" s="305"/>
      <c r="AD445" s="305"/>
      <c r="AE445" s="304"/>
      <c r="AF445" s="305"/>
      <c r="AG445" s="305"/>
      <c r="AH445" s="306"/>
    </row>
    <row r="446" spans="1:34" ht="96" customHeight="1" outlineLevel="1" x14ac:dyDescent="0.25">
      <c r="A446" s="742"/>
      <c r="B446" s="750"/>
      <c r="C446" s="750"/>
      <c r="D446" s="753"/>
      <c r="E446" s="755" t="s">
        <v>987</v>
      </c>
      <c r="F446" s="824" t="s">
        <v>746</v>
      </c>
      <c r="G446" s="2" t="s">
        <v>988</v>
      </c>
      <c r="H446" s="830" t="s">
        <v>748</v>
      </c>
      <c r="I446" s="12" t="s">
        <v>989</v>
      </c>
      <c r="J446" s="12" t="s">
        <v>788</v>
      </c>
      <c r="K446" s="319">
        <v>44593</v>
      </c>
      <c r="L446" s="319">
        <v>44925</v>
      </c>
      <c r="M446" s="298">
        <v>44652</v>
      </c>
      <c r="N446" s="299">
        <f t="shared" si="35"/>
        <v>0.17771084337349397</v>
      </c>
      <c r="O446" s="299">
        <f t="shared" si="36"/>
        <v>0.17771084337349397</v>
      </c>
      <c r="P446" s="300">
        <v>0.5</v>
      </c>
      <c r="Q446" s="301">
        <v>0.35</v>
      </c>
      <c r="R446" s="301">
        <v>0.4</v>
      </c>
      <c r="S446" s="301">
        <v>0.45</v>
      </c>
      <c r="T446" s="301">
        <v>0.5</v>
      </c>
      <c r="U446" s="301"/>
      <c r="V446" s="301"/>
      <c r="W446" s="300"/>
      <c r="X446" s="303"/>
      <c r="Y446" s="304"/>
      <c r="Z446" s="305"/>
      <c r="AA446" s="305"/>
      <c r="AB446" s="304"/>
      <c r="AC446" s="305"/>
      <c r="AD446" s="305"/>
      <c r="AE446" s="304"/>
      <c r="AF446" s="305"/>
      <c r="AG446" s="305"/>
      <c r="AH446" s="306"/>
    </row>
    <row r="447" spans="1:34" ht="96" customHeight="1" outlineLevel="1" x14ac:dyDescent="0.25">
      <c r="A447" s="742"/>
      <c r="B447" s="750"/>
      <c r="C447" s="750"/>
      <c r="D447" s="753"/>
      <c r="E447" s="756"/>
      <c r="F447" s="825"/>
      <c r="G447" s="2" t="s">
        <v>990</v>
      </c>
      <c r="H447" s="831"/>
      <c r="I447" s="12" t="s">
        <v>991</v>
      </c>
      <c r="J447" s="397">
        <v>24000000</v>
      </c>
      <c r="K447" s="319">
        <v>44593</v>
      </c>
      <c r="L447" s="319">
        <v>44925</v>
      </c>
      <c r="M447" s="298">
        <v>44652</v>
      </c>
      <c r="N447" s="299">
        <f t="shared" si="35"/>
        <v>0.17771084337349397</v>
      </c>
      <c r="O447" s="299"/>
      <c r="P447" s="300">
        <v>1</v>
      </c>
      <c r="Q447" s="301">
        <v>0.25</v>
      </c>
      <c r="R447" s="301">
        <v>0.5</v>
      </c>
      <c r="S447" s="301">
        <v>0.75</v>
      </c>
      <c r="T447" s="301">
        <v>1</v>
      </c>
      <c r="U447" s="301"/>
      <c r="V447" s="301"/>
      <c r="W447" s="300"/>
      <c r="X447" s="303"/>
      <c r="Y447" s="304"/>
      <c r="Z447" s="305"/>
      <c r="AA447" s="305"/>
      <c r="AB447" s="304"/>
      <c r="AC447" s="305"/>
      <c r="AD447" s="305"/>
      <c r="AE447" s="304"/>
      <c r="AF447" s="305"/>
      <c r="AG447" s="305"/>
      <c r="AH447" s="306"/>
    </row>
    <row r="448" spans="1:34" ht="96" customHeight="1" outlineLevel="1" x14ac:dyDescent="0.25">
      <c r="A448" s="742"/>
      <c r="B448" s="750"/>
      <c r="C448" s="750"/>
      <c r="D448" s="753"/>
      <c r="E448" s="756"/>
      <c r="F448" s="825"/>
      <c r="G448" s="2" t="s">
        <v>992</v>
      </c>
      <c r="H448" s="831"/>
      <c r="I448" s="12" t="s">
        <v>993</v>
      </c>
      <c r="J448" s="397">
        <v>2200000</v>
      </c>
      <c r="K448" s="319">
        <v>44593</v>
      </c>
      <c r="L448" s="319">
        <v>44925</v>
      </c>
      <c r="M448" s="298">
        <v>44652</v>
      </c>
      <c r="N448" s="299">
        <f t="shared" si="35"/>
        <v>0.17771084337349397</v>
      </c>
      <c r="O448" s="299"/>
      <c r="P448" s="300">
        <v>1</v>
      </c>
      <c r="Q448" s="301">
        <v>0.25</v>
      </c>
      <c r="R448" s="301">
        <v>0.5</v>
      </c>
      <c r="S448" s="301">
        <v>0.75</v>
      </c>
      <c r="T448" s="301">
        <v>1</v>
      </c>
      <c r="U448" s="301"/>
      <c r="V448" s="301"/>
      <c r="W448" s="300"/>
      <c r="X448" s="303"/>
      <c r="Y448" s="304"/>
      <c r="Z448" s="305"/>
      <c r="AA448" s="305"/>
      <c r="AB448" s="304"/>
      <c r="AC448" s="305"/>
      <c r="AD448" s="305"/>
      <c r="AE448" s="304"/>
      <c r="AF448" s="305"/>
      <c r="AG448" s="305"/>
      <c r="AH448" s="306"/>
    </row>
    <row r="449" spans="1:34" ht="96" customHeight="1" outlineLevel="1" x14ac:dyDescent="0.25">
      <c r="A449" s="742"/>
      <c r="B449" s="750"/>
      <c r="C449" s="750"/>
      <c r="D449" s="753"/>
      <c r="E449" s="756"/>
      <c r="F449" s="826"/>
      <c r="G449" s="2" t="s">
        <v>994</v>
      </c>
      <c r="H449" s="832"/>
      <c r="I449" s="12" t="s">
        <v>995</v>
      </c>
      <c r="J449" s="397">
        <v>4400000</v>
      </c>
      <c r="K449" s="319">
        <v>44593</v>
      </c>
      <c r="L449" s="319">
        <v>44925</v>
      </c>
      <c r="M449" s="298">
        <v>44652</v>
      </c>
      <c r="N449" s="299">
        <f t="shared" si="35"/>
        <v>0.17771084337349397</v>
      </c>
      <c r="O449" s="299"/>
      <c r="P449" s="300">
        <v>1</v>
      </c>
      <c r="Q449" s="301">
        <v>0.25</v>
      </c>
      <c r="R449" s="301">
        <v>0.5</v>
      </c>
      <c r="S449" s="301">
        <v>0.75</v>
      </c>
      <c r="T449" s="301">
        <v>1</v>
      </c>
      <c r="U449" s="301"/>
      <c r="V449" s="301"/>
      <c r="W449" s="300"/>
      <c r="X449" s="303"/>
      <c r="Y449" s="304"/>
      <c r="Z449" s="305"/>
      <c r="AA449" s="305"/>
      <c r="AB449" s="304"/>
      <c r="AC449" s="305"/>
      <c r="AD449" s="305"/>
      <c r="AE449" s="304"/>
      <c r="AF449" s="305"/>
      <c r="AG449" s="305"/>
      <c r="AH449" s="306"/>
    </row>
    <row r="450" spans="1:34" ht="96" customHeight="1" outlineLevel="1" x14ac:dyDescent="0.25">
      <c r="A450" s="742"/>
      <c r="B450" s="750"/>
      <c r="C450" s="750"/>
      <c r="D450" s="753"/>
      <c r="E450" s="756"/>
      <c r="F450" s="824" t="s">
        <v>996</v>
      </c>
      <c r="G450" s="14" t="s">
        <v>997</v>
      </c>
      <c r="H450" s="827" t="s">
        <v>998</v>
      </c>
      <c r="I450" s="12" t="s">
        <v>999</v>
      </c>
      <c r="J450" s="320" t="s">
        <v>59</v>
      </c>
      <c r="K450" s="319">
        <v>44593</v>
      </c>
      <c r="L450" s="319">
        <v>44925</v>
      </c>
      <c r="M450" s="298">
        <v>44652</v>
      </c>
      <c r="N450" s="299">
        <f t="shared" si="35"/>
        <v>0.17771084337349397</v>
      </c>
      <c r="O450" s="299">
        <f t="shared" si="36"/>
        <v>0.17771084337349397</v>
      </c>
      <c r="P450" s="300">
        <v>0.5</v>
      </c>
      <c r="Q450" s="301">
        <v>0.42</v>
      </c>
      <c r="R450" s="301">
        <v>0.44</v>
      </c>
      <c r="S450" s="301">
        <v>0.48</v>
      </c>
      <c r="T450" s="301">
        <v>0.5</v>
      </c>
      <c r="U450" s="301"/>
      <c r="V450" s="301"/>
      <c r="W450" s="300"/>
      <c r="X450" s="303"/>
      <c r="Y450" s="304"/>
      <c r="Z450" s="305"/>
      <c r="AA450" s="305"/>
      <c r="AB450" s="304"/>
      <c r="AC450" s="305"/>
      <c r="AD450" s="305"/>
      <c r="AE450" s="304"/>
      <c r="AF450" s="305"/>
      <c r="AG450" s="305"/>
      <c r="AH450" s="306"/>
    </row>
    <row r="451" spans="1:34" ht="96" customHeight="1" outlineLevel="1" x14ac:dyDescent="0.25">
      <c r="A451" s="742"/>
      <c r="B451" s="750"/>
      <c r="C451" s="750"/>
      <c r="D451" s="753"/>
      <c r="E451" s="756"/>
      <c r="F451" s="825"/>
      <c r="G451" s="14" t="s">
        <v>1000</v>
      </c>
      <c r="H451" s="828"/>
      <c r="I451" s="12" t="s">
        <v>1001</v>
      </c>
      <c r="J451" s="397">
        <v>2160000</v>
      </c>
      <c r="K451" s="319">
        <v>44593</v>
      </c>
      <c r="L451" s="319">
        <v>44925</v>
      </c>
      <c r="M451" s="298">
        <v>44652</v>
      </c>
      <c r="N451" s="299">
        <f t="shared" si="35"/>
        <v>0.17771084337349397</v>
      </c>
      <c r="O451" s="299"/>
      <c r="P451" s="300">
        <v>1</v>
      </c>
      <c r="Q451" s="301">
        <v>0.25</v>
      </c>
      <c r="R451" s="301">
        <v>0.5</v>
      </c>
      <c r="S451" s="301">
        <v>0.75</v>
      </c>
      <c r="T451" s="301">
        <v>1</v>
      </c>
      <c r="U451" s="301"/>
      <c r="V451" s="301"/>
      <c r="W451" s="300"/>
      <c r="X451" s="303"/>
      <c r="Y451" s="304"/>
      <c r="Z451" s="305"/>
      <c r="AA451" s="305"/>
      <c r="AB451" s="304"/>
      <c r="AC451" s="305"/>
      <c r="AD451" s="305"/>
      <c r="AE451" s="304"/>
      <c r="AF451" s="305"/>
      <c r="AG451" s="305"/>
      <c r="AH451" s="306"/>
    </row>
    <row r="452" spans="1:34" ht="96" customHeight="1" outlineLevel="1" x14ac:dyDescent="0.25">
      <c r="A452" s="742"/>
      <c r="B452" s="750"/>
      <c r="C452" s="750"/>
      <c r="D452" s="753"/>
      <c r="E452" s="756"/>
      <c r="F452" s="825"/>
      <c r="G452" s="14" t="s">
        <v>1002</v>
      </c>
      <c r="H452" s="828"/>
      <c r="I452" s="12" t="s">
        <v>1001</v>
      </c>
      <c r="J452" s="397">
        <v>1440000</v>
      </c>
      <c r="K452" s="319">
        <v>44593</v>
      </c>
      <c r="L452" s="319">
        <v>44925</v>
      </c>
      <c r="M452" s="298">
        <v>44652</v>
      </c>
      <c r="N452" s="299">
        <f t="shared" si="35"/>
        <v>0.17771084337349397</v>
      </c>
      <c r="O452" s="299"/>
      <c r="P452" s="300">
        <v>1</v>
      </c>
      <c r="Q452" s="301">
        <v>0.25</v>
      </c>
      <c r="R452" s="301">
        <v>0.5</v>
      </c>
      <c r="S452" s="301">
        <v>0.75</v>
      </c>
      <c r="T452" s="301">
        <v>1</v>
      </c>
      <c r="U452" s="301"/>
      <c r="V452" s="301"/>
      <c r="W452" s="300"/>
      <c r="X452" s="303"/>
      <c r="Y452" s="304"/>
      <c r="Z452" s="305"/>
      <c r="AA452" s="305"/>
      <c r="AB452" s="304"/>
      <c r="AC452" s="305"/>
      <c r="AD452" s="305"/>
      <c r="AE452" s="304"/>
      <c r="AF452" s="305"/>
      <c r="AG452" s="305"/>
      <c r="AH452" s="306"/>
    </row>
    <row r="453" spans="1:34" ht="96" customHeight="1" outlineLevel="1" x14ac:dyDescent="0.25">
      <c r="A453" s="742"/>
      <c r="B453" s="750"/>
      <c r="C453" s="750"/>
      <c r="D453" s="753"/>
      <c r="E453" s="756"/>
      <c r="F453" s="825"/>
      <c r="G453" s="14" t="s">
        <v>1003</v>
      </c>
      <c r="H453" s="828"/>
      <c r="I453" s="12" t="s">
        <v>1001</v>
      </c>
      <c r="J453" s="397">
        <v>4320000</v>
      </c>
      <c r="K453" s="319">
        <v>44593</v>
      </c>
      <c r="L453" s="319">
        <v>44925</v>
      </c>
      <c r="M453" s="298">
        <v>44652</v>
      </c>
      <c r="N453" s="299">
        <f t="shared" si="35"/>
        <v>0.17771084337349397</v>
      </c>
      <c r="O453" s="299"/>
      <c r="P453" s="300">
        <v>1</v>
      </c>
      <c r="Q453" s="301">
        <v>0.25</v>
      </c>
      <c r="R453" s="301">
        <v>0.5</v>
      </c>
      <c r="S453" s="301">
        <v>0.75</v>
      </c>
      <c r="T453" s="301">
        <v>1</v>
      </c>
      <c r="U453" s="301"/>
      <c r="V453" s="301"/>
      <c r="W453" s="300"/>
      <c r="X453" s="303"/>
      <c r="Y453" s="304"/>
      <c r="Z453" s="305"/>
      <c r="AA453" s="305"/>
      <c r="AB453" s="304"/>
      <c r="AC453" s="305"/>
      <c r="AD453" s="305"/>
      <c r="AE453" s="304"/>
      <c r="AF453" s="305"/>
      <c r="AG453" s="305"/>
      <c r="AH453" s="306"/>
    </row>
    <row r="454" spans="1:34" ht="96" customHeight="1" outlineLevel="1" x14ac:dyDescent="0.25">
      <c r="A454" s="742"/>
      <c r="B454" s="750"/>
      <c r="C454" s="750"/>
      <c r="D454" s="753"/>
      <c r="E454" s="756"/>
      <c r="F454" s="825"/>
      <c r="G454" s="14" t="s">
        <v>1004</v>
      </c>
      <c r="H454" s="828"/>
      <c r="I454" s="12" t="s">
        <v>1001</v>
      </c>
      <c r="J454" s="397">
        <v>4320000</v>
      </c>
      <c r="K454" s="319">
        <v>44593</v>
      </c>
      <c r="L454" s="319">
        <v>44925</v>
      </c>
      <c r="M454" s="298">
        <v>44652</v>
      </c>
      <c r="N454" s="299">
        <f t="shared" si="35"/>
        <v>0.17771084337349397</v>
      </c>
      <c r="O454" s="299"/>
      <c r="P454" s="300">
        <v>1</v>
      </c>
      <c r="Q454" s="301">
        <v>0.25</v>
      </c>
      <c r="R454" s="301">
        <v>0.5</v>
      </c>
      <c r="S454" s="301">
        <v>0.75</v>
      </c>
      <c r="T454" s="301">
        <v>1</v>
      </c>
      <c r="U454" s="301"/>
      <c r="V454" s="301"/>
      <c r="W454" s="300"/>
      <c r="X454" s="303"/>
      <c r="Y454" s="304"/>
      <c r="Z454" s="305"/>
      <c r="AA454" s="305"/>
      <c r="AB454" s="304"/>
      <c r="AC454" s="305"/>
      <c r="AD454" s="305"/>
      <c r="AE454" s="304"/>
      <c r="AF454" s="305"/>
      <c r="AG454" s="305"/>
      <c r="AH454" s="306"/>
    </row>
    <row r="455" spans="1:34" ht="96" customHeight="1" outlineLevel="1" x14ac:dyDescent="0.25">
      <c r="A455" s="742"/>
      <c r="B455" s="750"/>
      <c r="C455" s="750"/>
      <c r="D455" s="753"/>
      <c r="E455" s="756"/>
      <c r="F455" s="825"/>
      <c r="G455" s="14" t="s">
        <v>1005</v>
      </c>
      <c r="H455" s="828"/>
      <c r="I455" s="12" t="s">
        <v>1001</v>
      </c>
      <c r="J455" s="397">
        <v>2160000</v>
      </c>
      <c r="K455" s="319">
        <v>44593</v>
      </c>
      <c r="L455" s="319">
        <v>44925</v>
      </c>
      <c r="M455" s="298">
        <v>44652</v>
      </c>
      <c r="N455" s="299">
        <f t="shared" si="35"/>
        <v>0.17771084337349397</v>
      </c>
      <c r="O455" s="299"/>
      <c r="P455" s="300">
        <v>1</v>
      </c>
      <c r="Q455" s="301">
        <v>0.25</v>
      </c>
      <c r="R455" s="301">
        <v>0.5</v>
      </c>
      <c r="S455" s="301">
        <v>0.75</v>
      </c>
      <c r="T455" s="301">
        <v>1</v>
      </c>
      <c r="U455" s="301"/>
      <c r="V455" s="301"/>
      <c r="W455" s="300"/>
      <c r="X455" s="303"/>
      <c r="Y455" s="304"/>
      <c r="Z455" s="305"/>
      <c r="AA455" s="305"/>
      <c r="AB455" s="304"/>
      <c r="AC455" s="305"/>
      <c r="AD455" s="305"/>
      <c r="AE455" s="304"/>
      <c r="AF455" s="305"/>
      <c r="AG455" s="305"/>
      <c r="AH455" s="306"/>
    </row>
    <row r="456" spans="1:34" ht="96" customHeight="1" outlineLevel="1" x14ac:dyDescent="0.25">
      <c r="A456" s="742"/>
      <c r="B456" s="750"/>
      <c r="C456" s="750"/>
      <c r="D456" s="753"/>
      <c r="E456" s="756"/>
      <c r="F456" s="825"/>
      <c r="G456" s="14" t="s">
        <v>1006</v>
      </c>
      <c r="H456" s="828"/>
      <c r="I456" s="12" t="s">
        <v>1001</v>
      </c>
      <c r="J456" s="397">
        <v>2160000</v>
      </c>
      <c r="K456" s="319">
        <v>44593</v>
      </c>
      <c r="L456" s="319">
        <v>44925</v>
      </c>
      <c r="M456" s="298">
        <v>44652</v>
      </c>
      <c r="N456" s="299">
        <f t="shared" si="35"/>
        <v>0.17771084337349397</v>
      </c>
      <c r="O456" s="299"/>
      <c r="P456" s="300">
        <v>1</v>
      </c>
      <c r="Q456" s="301">
        <v>0.25</v>
      </c>
      <c r="R456" s="301">
        <v>0.5</v>
      </c>
      <c r="S456" s="301">
        <v>0.75</v>
      </c>
      <c r="T456" s="301">
        <v>1</v>
      </c>
      <c r="U456" s="301"/>
      <c r="V456" s="301"/>
      <c r="W456" s="300"/>
      <c r="X456" s="303"/>
      <c r="Y456" s="304"/>
      <c r="Z456" s="305"/>
      <c r="AA456" s="305"/>
      <c r="AB456" s="304"/>
      <c r="AC456" s="305"/>
      <c r="AD456" s="305"/>
      <c r="AE456" s="304"/>
      <c r="AF456" s="305"/>
      <c r="AG456" s="305"/>
      <c r="AH456" s="306"/>
    </row>
    <row r="457" spans="1:34" ht="96" customHeight="1" outlineLevel="1" x14ac:dyDescent="0.25">
      <c r="A457" s="742"/>
      <c r="B457" s="750"/>
      <c r="C457" s="750"/>
      <c r="D457" s="753"/>
      <c r="E457" s="756"/>
      <c r="F457" s="825"/>
      <c r="G457" s="14" t="s">
        <v>1007</v>
      </c>
      <c r="H457" s="828"/>
      <c r="I457" s="12" t="s">
        <v>1001</v>
      </c>
      <c r="J457" s="397">
        <v>4320000</v>
      </c>
      <c r="K457" s="319">
        <v>44593</v>
      </c>
      <c r="L457" s="319">
        <v>44925</v>
      </c>
      <c r="M457" s="298">
        <v>44652</v>
      </c>
      <c r="N457" s="299">
        <f t="shared" si="35"/>
        <v>0.17771084337349397</v>
      </c>
      <c r="O457" s="299"/>
      <c r="P457" s="300">
        <v>1</v>
      </c>
      <c r="Q457" s="301">
        <v>0.25</v>
      </c>
      <c r="R457" s="301">
        <v>0.5</v>
      </c>
      <c r="S457" s="301">
        <v>0.75</v>
      </c>
      <c r="T457" s="301">
        <v>1</v>
      </c>
      <c r="U457" s="301"/>
      <c r="V457" s="301"/>
      <c r="W457" s="300"/>
      <c r="X457" s="303"/>
      <c r="Y457" s="304"/>
      <c r="Z457" s="305"/>
      <c r="AA457" s="305"/>
      <c r="AB457" s="304"/>
      <c r="AC457" s="305"/>
      <c r="AD457" s="305"/>
      <c r="AE457" s="304"/>
      <c r="AF457" s="305"/>
      <c r="AG457" s="305"/>
      <c r="AH457" s="306"/>
    </row>
    <row r="458" spans="1:34" ht="96" customHeight="1" outlineLevel="1" x14ac:dyDescent="0.25">
      <c r="A458" s="742"/>
      <c r="B458" s="750"/>
      <c r="C458" s="750"/>
      <c r="D458" s="753"/>
      <c r="E458" s="756"/>
      <c r="F458" s="825"/>
      <c r="G458" s="14" t="s">
        <v>1008</v>
      </c>
      <c r="H458" s="828"/>
      <c r="I458" s="12" t="s">
        <v>1001</v>
      </c>
      <c r="J458" s="397">
        <v>4320000</v>
      </c>
      <c r="K458" s="319">
        <v>44593</v>
      </c>
      <c r="L458" s="319">
        <v>44925</v>
      </c>
      <c r="M458" s="298">
        <v>44652</v>
      </c>
      <c r="N458" s="299">
        <f t="shared" si="35"/>
        <v>0.17771084337349397</v>
      </c>
      <c r="O458" s="299"/>
      <c r="P458" s="300">
        <v>1</v>
      </c>
      <c r="Q458" s="301">
        <v>0.25</v>
      </c>
      <c r="R458" s="301">
        <v>0.5</v>
      </c>
      <c r="S458" s="301">
        <v>0.75</v>
      </c>
      <c r="T458" s="301">
        <v>1</v>
      </c>
      <c r="U458" s="301"/>
      <c r="V458" s="301"/>
      <c r="W458" s="300"/>
      <c r="X458" s="303"/>
      <c r="Y458" s="304"/>
      <c r="Z458" s="305"/>
      <c r="AA458" s="305"/>
      <c r="AB458" s="304"/>
      <c r="AC458" s="305"/>
      <c r="AD458" s="305"/>
      <c r="AE458" s="304"/>
      <c r="AF458" s="305"/>
      <c r="AG458" s="305"/>
      <c r="AH458" s="306"/>
    </row>
    <row r="459" spans="1:34" ht="96" customHeight="1" outlineLevel="1" x14ac:dyDescent="0.25">
      <c r="A459" s="742"/>
      <c r="B459" s="750"/>
      <c r="C459" s="750"/>
      <c r="D459" s="753"/>
      <c r="E459" s="756"/>
      <c r="F459" s="825"/>
      <c r="G459" s="14" t="s">
        <v>1009</v>
      </c>
      <c r="H459" s="828"/>
      <c r="I459" s="12" t="s">
        <v>1001</v>
      </c>
      <c r="J459" s="397">
        <v>13200000</v>
      </c>
      <c r="K459" s="319">
        <v>44593</v>
      </c>
      <c r="L459" s="319">
        <v>44925</v>
      </c>
      <c r="M459" s="298">
        <v>44652</v>
      </c>
      <c r="N459" s="299">
        <f t="shared" si="35"/>
        <v>0.17771084337349397</v>
      </c>
      <c r="O459" s="299"/>
      <c r="P459" s="300">
        <v>1</v>
      </c>
      <c r="Q459" s="301">
        <v>0.25</v>
      </c>
      <c r="R459" s="301">
        <v>0.5</v>
      </c>
      <c r="S459" s="301">
        <v>0.75</v>
      </c>
      <c r="T459" s="301">
        <v>1</v>
      </c>
      <c r="U459" s="301"/>
      <c r="V459" s="301"/>
      <c r="W459" s="300"/>
      <c r="X459" s="303"/>
      <c r="Y459" s="304"/>
      <c r="Z459" s="305"/>
      <c r="AA459" s="305"/>
      <c r="AB459" s="304"/>
      <c r="AC459" s="305"/>
      <c r="AD459" s="305"/>
      <c r="AE459" s="304"/>
      <c r="AF459" s="305"/>
      <c r="AG459" s="305"/>
      <c r="AH459" s="306"/>
    </row>
    <row r="460" spans="1:34" ht="96" customHeight="1" outlineLevel="1" x14ac:dyDescent="0.25">
      <c r="A460" s="742"/>
      <c r="B460" s="750"/>
      <c r="C460" s="750"/>
      <c r="D460" s="753"/>
      <c r="E460" s="756"/>
      <c r="F460" s="825"/>
      <c r="G460" s="14" t="s">
        <v>1010</v>
      </c>
      <c r="H460" s="828"/>
      <c r="I460" s="12" t="s">
        <v>1001</v>
      </c>
      <c r="J460" s="397">
        <v>13200000</v>
      </c>
      <c r="K460" s="319">
        <v>44593</v>
      </c>
      <c r="L460" s="319">
        <v>44925</v>
      </c>
      <c r="M460" s="298">
        <v>44652</v>
      </c>
      <c r="N460" s="299">
        <f t="shared" si="35"/>
        <v>0.17771084337349397</v>
      </c>
      <c r="O460" s="299"/>
      <c r="P460" s="300">
        <v>1</v>
      </c>
      <c r="Q460" s="301">
        <v>0.25</v>
      </c>
      <c r="R460" s="301">
        <v>0.5</v>
      </c>
      <c r="S460" s="301">
        <v>0.75</v>
      </c>
      <c r="T460" s="301">
        <v>1</v>
      </c>
      <c r="U460" s="301"/>
      <c r="V460" s="301"/>
      <c r="W460" s="300"/>
      <c r="X460" s="303"/>
      <c r="Y460" s="304"/>
      <c r="Z460" s="305"/>
      <c r="AA460" s="305"/>
      <c r="AB460" s="304"/>
      <c r="AC460" s="305"/>
      <c r="AD460" s="305"/>
      <c r="AE460" s="304"/>
      <c r="AF460" s="305"/>
      <c r="AG460" s="305"/>
      <c r="AH460" s="306"/>
    </row>
    <row r="461" spans="1:34" ht="96" customHeight="1" outlineLevel="1" x14ac:dyDescent="0.25">
      <c r="A461" s="742"/>
      <c r="B461" s="750"/>
      <c r="C461" s="750"/>
      <c r="D461" s="753"/>
      <c r="E461" s="756"/>
      <c r="F461" s="825"/>
      <c r="G461" s="14" t="s">
        <v>1011</v>
      </c>
      <c r="H461" s="828"/>
      <c r="I461" s="12" t="s">
        <v>1001</v>
      </c>
      <c r="J461" s="397">
        <v>13200000</v>
      </c>
      <c r="K461" s="319">
        <v>44593</v>
      </c>
      <c r="L461" s="319">
        <v>44925</v>
      </c>
      <c r="M461" s="298">
        <v>44652</v>
      </c>
      <c r="N461" s="299">
        <f t="shared" si="35"/>
        <v>0.17771084337349397</v>
      </c>
      <c r="O461" s="299"/>
      <c r="P461" s="300">
        <v>1</v>
      </c>
      <c r="Q461" s="301">
        <v>0.25</v>
      </c>
      <c r="R461" s="301">
        <v>0.5</v>
      </c>
      <c r="S461" s="301">
        <v>0.75</v>
      </c>
      <c r="T461" s="301">
        <v>1</v>
      </c>
      <c r="U461" s="301"/>
      <c r="V461" s="301"/>
      <c r="W461" s="300"/>
      <c r="X461" s="303"/>
      <c r="Y461" s="304"/>
      <c r="Z461" s="305"/>
      <c r="AA461" s="305"/>
      <c r="AB461" s="304"/>
      <c r="AC461" s="305"/>
      <c r="AD461" s="305"/>
      <c r="AE461" s="304"/>
      <c r="AF461" s="305"/>
      <c r="AG461" s="305"/>
      <c r="AH461" s="306"/>
    </row>
    <row r="462" spans="1:34" ht="96" customHeight="1" outlineLevel="1" x14ac:dyDescent="0.25">
      <c r="A462" s="742"/>
      <c r="B462" s="750"/>
      <c r="C462" s="750"/>
      <c r="D462" s="753"/>
      <c r="E462" s="756"/>
      <c r="F462" s="825"/>
      <c r="G462" s="14" t="s">
        <v>1012</v>
      </c>
      <c r="H462" s="828"/>
      <c r="I462" s="12" t="s">
        <v>1001</v>
      </c>
      <c r="J462" s="397">
        <v>13200000</v>
      </c>
      <c r="K462" s="319">
        <v>44593</v>
      </c>
      <c r="L462" s="319">
        <v>44925</v>
      </c>
      <c r="M462" s="298">
        <v>44652</v>
      </c>
      <c r="N462" s="299">
        <f t="shared" si="35"/>
        <v>0.17771084337349397</v>
      </c>
      <c r="O462" s="299"/>
      <c r="P462" s="300">
        <v>1</v>
      </c>
      <c r="Q462" s="301">
        <v>0.25</v>
      </c>
      <c r="R462" s="301">
        <v>0.5</v>
      </c>
      <c r="S462" s="301">
        <v>0.75</v>
      </c>
      <c r="T462" s="301">
        <v>1</v>
      </c>
      <c r="U462" s="301"/>
      <c r="V462" s="301"/>
      <c r="W462" s="300"/>
      <c r="X462" s="303"/>
      <c r="Y462" s="304"/>
      <c r="Z462" s="305"/>
      <c r="AA462" s="305"/>
      <c r="AB462" s="304"/>
      <c r="AC462" s="305"/>
      <c r="AD462" s="305"/>
      <c r="AE462" s="304"/>
      <c r="AF462" s="305"/>
      <c r="AG462" s="305"/>
      <c r="AH462" s="306"/>
    </row>
    <row r="463" spans="1:34" ht="96" customHeight="1" outlineLevel="1" x14ac:dyDescent="0.25">
      <c r="A463" s="742"/>
      <c r="B463" s="750"/>
      <c r="C463" s="750"/>
      <c r="D463" s="753"/>
      <c r="E463" s="756"/>
      <c r="F463" s="825"/>
      <c r="G463" s="14" t="s">
        <v>1013</v>
      </c>
      <c r="H463" s="828"/>
      <c r="I463" s="12" t="s">
        <v>1001</v>
      </c>
      <c r="J463" s="397">
        <v>13200000</v>
      </c>
      <c r="K463" s="319">
        <v>44593</v>
      </c>
      <c r="L463" s="319">
        <v>44925</v>
      </c>
      <c r="M463" s="298">
        <v>44652</v>
      </c>
      <c r="N463" s="299">
        <f t="shared" si="35"/>
        <v>0.17771084337349397</v>
      </c>
      <c r="O463" s="299"/>
      <c r="P463" s="300">
        <v>1</v>
      </c>
      <c r="Q463" s="301">
        <v>0.25</v>
      </c>
      <c r="R463" s="301">
        <v>0.5</v>
      </c>
      <c r="S463" s="301">
        <v>0.75</v>
      </c>
      <c r="T463" s="301">
        <v>1</v>
      </c>
      <c r="U463" s="301"/>
      <c r="V463" s="301"/>
      <c r="W463" s="300"/>
      <c r="X463" s="303"/>
      <c r="Y463" s="304"/>
      <c r="Z463" s="305"/>
      <c r="AA463" s="305"/>
      <c r="AB463" s="304"/>
      <c r="AC463" s="305"/>
      <c r="AD463" s="305"/>
      <c r="AE463" s="304"/>
      <c r="AF463" s="305"/>
      <c r="AG463" s="305"/>
      <c r="AH463" s="306"/>
    </row>
    <row r="464" spans="1:34" ht="96" customHeight="1" outlineLevel="1" x14ac:dyDescent="0.25">
      <c r="A464" s="742"/>
      <c r="B464" s="750"/>
      <c r="C464" s="750"/>
      <c r="D464" s="753"/>
      <c r="E464" s="756"/>
      <c r="F464" s="825"/>
      <c r="G464" s="14" t="s">
        <v>1014</v>
      </c>
      <c r="H464" s="828"/>
      <c r="I464" s="12" t="s">
        <v>1001</v>
      </c>
      <c r="J464" s="397">
        <v>13200000</v>
      </c>
      <c r="K464" s="319">
        <v>44593</v>
      </c>
      <c r="L464" s="319">
        <v>44925</v>
      </c>
      <c r="M464" s="298">
        <v>44652</v>
      </c>
      <c r="N464" s="299">
        <f t="shared" si="35"/>
        <v>0.17771084337349397</v>
      </c>
      <c r="O464" s="299"/>
      <c r="P464" s="300">
        <v>1</v>
      </c>
      <c r="Q464" s="301">
        <v>0.25</v>
      </c>
      <c r="R464" s="301">
        <v>0.5</v>
      </c>
      <c r="S464" s="301">
        <v>0.75</v>
      </c>
      <c r="T464" s="301">
        <v>1</v>
      </c>
      <c r="U464" s="301"/>
      <c r="V464" s="301"/>
      <c r="W464" s="300"/>
      <c r="X464" s="303"/>
      <c r="Y464" s="304"/>
      <c r="Z464" s="305"/>
      <c r="AA464" s="305"/>
      <c r="AB464" s="304"/>
      <c r="AC464" s="305"/>
      <c r="AD464" s="305"/>
      <c r="AE464" s="304"/>
      <c r="AF464" s="305"/>
      <c r="AG464" s="305"/>
      <c r="AH464" s="306"/>
    </row>
    <row r="465" spans="1:34" ht="96" customHeight="1" outlineLevel="1" x14ac:dyDescent="0.25">
      <c r="A465" s="742"/>
      <c r="B465" s="750"/>
      <c r="C465" s="750"/>
      <c r="D465" s="753"/>
      <c r="E465" s="756"/>
      <c r="F465" s="825"/>
      <c r="G465" s="14" t="s">
        <v>1015</v>
      </c>
      <c r="H465" s="828"/>
      <c r="I465" s="12" t="s">
        <v>1001</v>
      </c>
      <c r="J465" s="397">
        <v>13200000</v>
      </c>
      <c r="K465" s="319">
        <v>44593</v>
      </c>
      <c r="L465" s="319">
        <v>44925</v>
      </c>
      <c r="M465" s="298">
        <v>44652</v>
      </c>
      <c r="N465" s="299">
        <f t="shared" si="35"/>
        <v>0.17771084337349397</v>
      </c>
      <c r="O465" s="299"/>
      <c r="P465" s="300">
        <v>1</v>
      </c>
      <c r="Q465" s="301">
        <v>0.25</v>
      </c>
      <c r="R465" s="301">
        <v>0.5</v>
      </c>
      <c r="S465" s="301">
        <v>0.75</v>
      </c>
      <c r="T465" s="301">
        <v>1</v>
      </c>
      <c r="U465" s="301"/>
      <c r="V465" s="301"/>
      <c r="W465" s="300"/>
      <c r="X465" s="303"/>
      <c r="Y465" s="304"/>
      <c r="Z465" s="305"/>
      <c r="AA465" s="305"/>
      <c r="AB465" s="304"/>
      <c r="AC465" s="305"/>
      <c r="AD465" s="305"/>
      <c r="AE465" s="304"/>
      <c r="AF465" s="305"/>
      <c r="AG465" s="305"/>
      <c r="AH465" s="306"/>
    </row>
    <row r="466" spans="1:34" ht="96" customHeight="1" outlineLevel="1" x14ac:dyDescent="0.25">
      <c r="A466" s="742"/>
      <c r="B466" s="750"/>
      <c r="C466" s="750"/>
      <c r="D466" s="753"/>
      <c r="E466" s="756"/>
      <c r="F466" s="825"/>
      <c r="G466" s="14" t="s">
        <v>1016</v>
      </c>
      <c r="H466" s="828"/>
      <c r="I466" s="12" t="s">
        <v>1001</v>
      </c>
      <c r="J466" s="397">
        <v>13200000</v>
      </c>
      <c r="K466" s="319">
        <v>44593</v>
      </c>
      <c r="L466" s="319">
        <v>44925</v>
      </c>
      <c r="M466" s="298">
        <v>44652</v>
      </c>
      <c r="N466" s="299">
        <f t="shared" si="35"/>
        <v>0.17771084337349397</v>
      </c>
      <c r="O466" s="299"/>
      <c r="P466" s="300">
        <v>1</v>
      </c>
      <c r="Q466" s="301">
        <v>0.25</v>
      </c>
      <c r="R466" s="301">
        <v>0.5</v>
      </c>
      <c r="S466" s="301">
        <v>0.75</v>
      </c>
      <c r="T466" s="301">
        <v>1</v>
      </c>
      <c r="U466" s="301"/>
      <c r="V466" s="301"/>
      <c r="W466" s="300"/>
      <c r="X466" s="303"/>
      <c r="Y466" s="304"/>
      <c r="Z466" s="305"/>
      <c r="AA466" s="305"/>
      <c r="AB466" s="304"/>
      <c r="AC466" s="305"/>
      <c r="AD466" s="305"/>
      <c r="AE466" s="304"/>
      <c r="AF466" s="305"/>
      <c r="AG466" s="305"/>
      <c r="AH466" s="306"/>
    </row>
    <row r="467" spans="1:34" ht="96" customHeight="1" outlineLevel="1" x14ac:dyDescent="0.25">
      <c r="A467" s="742"/>
      <c r="B467" s="750"/>
      <c r="C467" s="750"/>
      <c r="D467" s="753"/>
      <c r="E467" s="756"/>
      <c r="F467" s="825"/>
      <c r="G467" s="14" t="s">
        <v>1017</v>
      </c>
      <c r="H467" s="828"/>
      <c r="I467" s="12" t="s">
        <v>1001</v>
      </c>
      <c r="J467" s="397">
        <v>13200000</v>
      </c>
      <c r="K467" s="319">
        <v>44593</v>
      </c>
      <c r="L467" s="319">
        <v>44925</v>
      </c>
      <c r="M467" s="298">
        <v>44652</v>
      </c>
      <c r="N467" s="299">
        <f t="shared" si="35"/>
        <v>0.17771084337349397</v>
      </c>
      <c r="O467" s="299"/>
      <c r="P467" s="300">
        <v>1</v>
      </c>
      <c r="Q467" s="301">
        <v>0.25</v>
      </c>
      <c r="R467" s="301">
        <v>0.5</v>
      </c>
      <c r="S467" s="301">
        <v>0.75</v>
      </c>
      <c r="T467" s="301">
        <v>1</v>
      </c>
      <c r="U467" s="301"/>
      <c r="V467" s="301"/>
      <c r="W467" s="300"/>
      <c r="X467" s="303"/>
      <c r="Y467" s="304"/>
      <c r="Z467" s="305"/>
      <c r="AA467" s="305"/>
      <c r="AB467" s="304"/>
      <c r="AC467" s="305"/>
      <c r="AD467" s="305"/>
      <c r="AE467" s="304"/>
      <c r="AF467" s="305"/>
      <c r="AG467" s="305"/>
      <c r="AH467" s="306"/>
    </row>
    <row r="468" spans="1:34" ht="96" customHeight="1" outlineLevel="1" x14ac:dyDescent="0.25">
      <c r="A468" s="742"/>
      <c r="B468" s="750"/>
      <c r="C468" s="750"/>
      <c r="D468" s="753"/>
      <c r="E468" s="756"/>
      <c r="F468" s="825"/>
      <c r="G468" s="14" t="s">
        <v>1018</v>
      </c>
      <c r="H468" s="828"/>
      <c r="I468" s="12" t="s">
        <v>1001</v>
      </c>
      <c r="J468" s="397">
        <v>13200000</v>
      </c>
      <c r="K468" s="319">
        <v>44593</v>
      </c>
      <c r="L468" s="319">
        <v>44925</v>
      </c>
      <c r="M468" s="298">
        <v>44652</v>
      </c>
      <c r="N468" s="299">
        <f t="shared" si="35"/>
        <v>0.17771084337349397</v>
      </c>
      <c r="O468" s="299"/>
      <c r="P468" s="300">
        <v>1</v>
      </c>
      <c r="Q468" s="301">
        <v>0.25</v>
      </c>
      <c r="R468" s="301">
        <v>0.5</v>
      </c>
      <c r="S468" s="301">
        <v>0.75</v>
      </c>
      <c r="T468" s="301">
        <v>1</v>
      </c>
      <c r="U468" s="301"/>
      <c r="V468" s="301"/>
      <c r="W468" s="300"/>
      <c r="X468" s="303"/>
      <c r="Y468" s="304"/>
      <c r="Z468" s="305"/>
      <c r="AA468" s="305"/>
      <c r="AB468" s="304"/>
      <c r="AC468" s="305"/>
      <c r="AD468" s="305"/>
      <c r="AE468" s="304"/>
      <c r="AF468" s="305"/>
      <c r="AG468" s="305"/>
      <c r="AH468" s="306"/>
    </row>
    <row r="469" spans="1:34" ht="96" customHeight="1" outlineLevel="1" x14ac:dyDescent="0.25">
      <c r="A469" s="742"/>
      <c r="B469" s="750"/>
      <c r="C469" s="750"/>
      <c r="D469" s="753"/>
      <c r="E469" s="756"/>
      <c r="F469" s="825"/>
      <c r="G469" s="14" t="s">
        <v>1019</v>
      </c>
      <c r="H469" s="828"/>
      <c r="I469" s="12" t="s">
        <v>1001</v>
      </c>
      <c r="J469" s="397">
        <v>13200000</v>
      </c>
      <c r="K469" s="319">
        <v>44593</v>
      </c>
      <c r="L469" s="319">
        <v>44925</v>
      </c>
      <c r="M469" s="298">
        <v>44652</v>
      </c>
      <c r="N469" s="299">
        <f t="shared" si="35"/>
        <v>0.17771084337349397</v>
      </c>
      <c r="O469" s="299"/>
      <c r="P469" s="300">
        <v>1</v>
      </c>
      <c r="Q469" s="301">
        <v>0.25</v>
      </c>
      <c r="R469" s="301">
        <v>0.5</v>
      </c>
      <c r="S469" s="301">
        <v>0.75</v>
      </c>
      <c r="T469" s="301">
        <v>1</v>
      </c>
      <c r="U469" s="301"/>
      <c r="V469" s="301"/>
      <c r="W469" s="300"/>
      <c r="X469" s="303"/>
      <c r="Y469" s="304"/>
      <c r="Z469" s="305"/>
      <c r="AA469" s="305"/>
      <c r="AB469" s="304"/>
      <c r="AC469" s="305"/>
      <c r="AD469" s="305"/>
      <c r="AE469" s="304"/>
      <c r="AF469" s="305"/>
      <c r="AG469" s="305"/>
      <c r="AH469" s="306"/>
    </row>
    <row r="470" spans="1:34" ht="96" customHeight="1" outlineLevel="1" x14ac:dyDescent="0.25">
      <c r="A470" s="742"/>
      <c r="B470" s="750"/>
      <c r="C470" s="750"/>
      <c r="D470" s="753"/>
      <c r="E470" s="756"/>
      <c r="F470" s="825"/>
      <c r="G470" s="14" t="s">
        <v>1020</v>
      </c>
      <c r="H470" s="828"/>
      <c r="I470" s="12" t="s">
        <v>1001</v>
      </c>
      <c r="J470" s="397">
        <v>7200000</v>
      </c>
      <c r="K470" s="319">
        <v>44593</v>
      </c>
      <c r="L470" s="319">
        <v>44925</v>
      </c>
      <c r="M470" s="298">
        <v>44652</v>
      </c>
      <c r="N470" s="299">
        <f t="shared" si="35"/>
        <v>0.17771084337349397</v>
      </c>
      <c r="O470" s="299"/>
      <c r="P470" s="300">
        <v>1</v>
      </c>
      <c r="Q470" s="301">
        <v>0.25</v>
      </c>
      <c r="R470" s="301">
        <v>0.5</v>
      </c>
      <c r="S470" s="301">
        <v>0.75</v>
      </c>
      <c r="T470" s="301">
        <v>1</v>
      </c>
      <c r="U470" s="301"/>
      <c r="V470" s="301"/>
      <c r="W470" s="300"/>
      <c r="X470" s="303"/>
      <c r="Y470" s="304"/>
      <c r="Z470" s="305"/>
      <c r="AA470" s="305"/>
      <c r="AB470" s="304"/>
      <c r="AC470" s="305"/>
      <c r="AD470" s="305"/>
      <c r="AE470" s="304"/>
      <c r="AF470" s="305"/>
      <c r="AG470" s="305"/>
      <c r="AH470" s="306"/>
    </row>
    <row r="471" spans="1:34" ht="96" customHeight="1" outlineLevel="1" x14ac:dyDescent="0.25">
      <c r="A471" s="742"/>
      <c r="B471" s="750"/>
      <c r="C471" s="750"/>
      <c r="D471" s="753"/>
      <c r="E471" s="756"/>
      <c r="F471" s="825"/>
      <c r="G471" s="14" t="s">
        <v>1021</v>
      </c>
      <c r="H471" s="828"/>
      <c r="I471" s="12" t="s">
        <v>1001</v>
      </c>
      <c r="J471" s="397">
        <v>6000000</v>
      </c>
      <c r="K471" s="319">
        <v>44593</v>
      </c>
      <c r="L471" s="319">
        <v>44925</v>
      </c>
      <c r="M471" s="298">
        <v>44652</v>
      </c>
      <c r="N471" s="299">
        <f t="shared" si="35"/>
        <v>0.17771084337349397</v>
      </c>
      <c r="O471" s="299"/>
      <c r="P471" s="300">
        <v>1</v>
      </c>
      <c r="Q471" s="301">
        <v>0.25</v>
      </c>
      <c r="R471" s="301">
        <v>0.5</v>
      </c>
      <c r="S471" s="301">
        <v>0.75</v>
      </c>
      <c r="T471" s="301">
        <v>1</v>
      </c>
      <c r="U471" s="301"/>
      <c r="V471" s="301"/>
      <c r="W471" s="300"/>
      <c r="X471" s="303"/>
      <c r="Y471" s="304"/>
      <c r="Z471" s="305"/>
      <c r="AA471" s="305"/>
      <c r="AB471" s="304"/>
      <c r="AC471" s="305"/>
      <c r="AD471" s="305"/>
      <c r="AE471" s="304"/>
      <c r="AF471" s="305"/>
      <c r="AG471" s="305"/>
      <c r="AH471" s="306"/>
    </row>
    <row r="472" spans="1:34" ht="96" customHeight="1" outlineLevel="1" x14ac:dyDescent="0.25">
      <c r="A472" s="742"/>
      <c r="B472" s="750"/>
      <c r="C472" s="750"/>
      <c r="D472" s="753"/>
      <c r="E472" s="756"/>
      <c r="F472" s="825"/>
      <c r="G472" s="14" t="s">
        <v>1022</v>
      </c>
      <c r="H472" s="828"/>
      <c r="I472" s="12" t="s">
        <v>1001</v>
      </c>
      <c r="J472" s="397">
        <v>1000000</v>
      </c>
      <c r="K472" s="319">
        <v>44593</v>
      </c>
      <c r="L472" s="319">
        <v>44925</v>
      </c>
      <c r="M472" s="298">
        <v>44652</v>
      </c>
      <c r="N472" s="299">
        <f t="shared" si="35"/>
        <v>0.17771084337349397</v>
      </c>
      <c r="O472" s="299"/>
      <c r="P472" s="300">
        <v>1</v>
      </c>
      <c r="Q472" s="301">
        <v>0.25</v>
      </c>
      <c r="R472" s="301">
        <v>0.5</v>
      </c>
      <c r="S472" s="301">
        <v>0.75</v>
      </c>
      <c r="T472" s="301">
        <v>1</v>
      </c>
      <c r="U472" s="301"/>
      <c r="V472" s="301"/>
      <c r="W472" s="300"/>
      <c r="X472" s="303"/>
      <c r="Y472" s="304"/>
      <c r="Z472" s="305"/>
      <c r="AA472" s="305"/>
      <c r="AB472" s="304"/>
      <c r="AC472" s="305"/>
      <c r="AD472" s="305"/>
      <c r="AE472" s="304"/>
      <c r="AF472" s="305"/>
      <c r="AG472" s="305"/>
      <c r="AH472" s="306"/>
    </row>
    <row r="473" spans="1:34" ht="96" customHeight="1" outlineLevel="1" x14ac:dyDescent="0.25">
      <c r="A473" s="742"/>
      <c r="B473" s="750"/>
      <c r="C473" s="750"/>
      <c r="D473" s="753"/>
      <c r="E473" s="756"/>
      <c r="F473" s="825"/>
      <c r="G473" s="14" t="s">
        <v>1023</v>
      </c>
      <c r="H473" s="828"/>
      <c r="I473" s="12" t="s">
        <v>1001</v>
      </c>
      <c r="J473" s="397">
        <v>1500000</v>
      </c>
      <c r="K473" s="319">
        <v>44593</v>
      </c>
      <c r="L473" s="319">
        <v>44925</v>
      </c>
      <c r="M473" s="298">
        <v>44652</v>
      </c>
      <c r="N473" s="299">
        <f t="shared" si="35"/>
        <v>0.17771084337349397</v>
      </c>
      <c r="O473" s="299"/>
      <c r="P473" s="300">
        <v>1</v>
      </c>
      <c r="Q473" s="301">
        <v>0.25</v>
      </c>
      <c r="R473" s="301">
        <v>0.5</v>
      </c>
      <c r="S473" s="301">
        <v>0.75</v>
      </c>
      <c r="T473" s="301">
        <v>1</v>
      </c>
      <c r="U473" s="301"/>
      <c r="V473" s="301"/>
      <c r="W473" s="300"/>
      <c r="X473" s="303"/>
      <c r="Y473" s="304"/>
      <c r="Z473" s="305"/>
      <c r="AA473" s="305"/>
      <c r="AB473" s="304"/>
      <c r="AC473" s="305"/>
      <c r="AD473" s="305"/>
      <c r="AE473" s="304"/>
      <c r="AF473" s="305"/>
      <c r="AG473" s="305"/>
      <c r="AH473" s="306"/>
    </row>
    <row r="474" spans="1:34" ht="96" customHeight="1" outlineLevel="1" x14ac:dyDescent="0.25">
      <c r="A474" s="742"/>
      <c r="B474" s="750"/>
      <c r="C474" s="750"/>
      <c r="D474" s="753"/>
      <c r="E474" s="756"/>
      <c r="F474" s="825"/>
      <c r="G474" s="14" t="s">
        <v>1024</v>
      </c>
      <c r="H474" s="828"/>
      <c r="I474" s="12" t="s">
        <v>1001</v>
      </c>
      <c r="J474" s="397">
        <v>2000000</v>
      </c>
      <c r="K474" s="319">
        <v>44593</v>
      </c>
      <c r="L474" s="319">
        <v>44925</v>
      </c>
      <c r="M474" s="298">
        <v>44652</v>
      </c>
      <c r="N474" s="299">
        <f t="shared" si="35"/>
        <v>0.17771084337349397</v>
      </c>
      <c r="O474" s="299"/>
      <c r="P474" s="300">
        <v>1</v>
      </c>
      <c r="Q474" s="301">
        <v>0.25</v>
      </c>
      <c r="R474" s="301">
        <v>0.5</v>
      </c>
      <c r="S474" s="301">
        <v>0.75</v>
      </c>
      <c r="T474" s="301">
        <v>1</v>
      </c>
      <c r="U474" s="301"/>
      <c r="V474" s="301"/>
      <c r="W474" s="300"/>
      <c r="X474" s="303"/>
      <c r="Y474" s="304"/>
      <c r="Z474" s="305"/>
      <c r="AA474" s="305"/>
      <c r="AB474" s="304"/>
      <c r="AC474" s="305"/>
      <c r="AD474" s="305"/>
      <c r="AE474" s="304"/>
      <c r="AF474" s="305"/>
      <c r="AG474" s="305"/>
      <c r="AH474" s="306"/>
    </row>
    <row r="475" spans="1:34" ht="96" customHeight="1" outlineLevel="1" x14ac:dyDescent="0.25">
      <c r="A475" s="742"/>
      <c r="B475" s="750"/>
      <c r="C475" s="750"/>
      <c r="D475" s="753"/>
      <c r="E475" s="756"/>
      <c r="F475" s="825"/>
      <c r="G475" s="14" t="s">
        <v>1025</v>
      </c>
      <c r="H475" s="828"/>
      <c r="I475" s="12" t="s">
        <v>1001</v>
      </c>
      <c r="J475" s="397">
        <v>2500000</v>
      </c>
      <c r="K475" s="319">
        <v>44593</v>
      </c>
      <c r="L475" s="319">
        <v>44925</v>
      </c>
      <c r="M475" s="298">
        <v>44652</v>
      </c>
      <c r="N475" s="299">
        <f t="shared" si="35"/>
        <v>0.17771084337349397</v>
      </c>
      <c r="O475" s="299"/>
      <c r="P475" s="300">
        <v>1</v>
      </c>
      <c r="Q475" s="301">
        <v>0.25</v>
      </c>
      <c r="R475" s="301">
        <v>0.5</v>
      </c>
      <c r="S475" s="301">
        <v>0.75</v>
      </c>
      <c r="T475" s="301">
        <v>1</v>
      </c>
      <c r="U475" s="301"/>
      <c r="V475" s="301"/>
      <c r="W475" s="300"/>
      <c r="X475" s="303"/>
      <c r="Y475" s="304"/>
      <c r="Z475" s="305"/>
      <c r="AA475" s="305"/>
      <c r="AB475" s="304"/>
      <c r="AC475" s="305"/>
      <c r="AD475" s="305"/>
      <c r="AE475" s="304"/>
      <c r="AF475" s="305"/>
      <c r="AG475" s="305"/>
      <c r="AH475" s="306"/>
    </row>
    <row r="476" spans="1:34" ht="96" customHeight="1" outlineLevel="1" x14ac:dyDescent="0.25">
      <c r="A476" s="742"/>
      <c r="B476" s="750"/>
      <c r="C476" s="750"/>
      <c r="D476" s="753"/>
      <c r="E476" s="756"/>
      <c r="F476" s="825"/>
      <c r="G476" s="14" t="s">
        <v>1026</v>
      </c>
      <c r="H476" s="828"/>
      <c r="I476" s="12" t="s">
        <v>1001</v>
      </c>
      <c r="J476" s="397">
        <v>3000000</v>
      </c>
      <c r="K476" s="319">
        <v>44593</v>
      </c>
      <c r="L476" s="319">
        <v>44925</v>
      </c>
      <c r="M476" s="298">
        <v>44652</v>
      </c>
      <c r="N476" s="299">
        <f t="shared" si="35"/>
        <v>0.17771084337349397</v>
      </c>
      <c r="O476" s="299"/>
      <c r="P476" s="300">
        <v>1</v>
      </c>
      <c r="Q476" s="301">
        <v>0.25</v>
      </c>
      <c r="R476" s="301">
        <v>0.5</v>
      </c>
      <c r="S476" s="301">
        <v>0.75</v>
      </c>
      <c r="T476" s="301">
        <v>1</v>
      </c>
      <c r="U476" s="301"/>
      <c r="V476" s="301"/>
      <c r="W476" s="300"/>
      <c r="X476" s="303"/>
      <c r="Y476" s="304"/>
      <c r="Z476" s="305"/>
      <c r="AA476" s="305"/>
      <c r="AB476" s="304"/>
      <c r="AC476" s="305"/>
      <c r="AD476" s="305"/>
      <c r="AE476" s="304"/>
      <c r="AF476" s="305"/>
      <c r="AG476" s="305"/>
      <c r="AH476" s="306"/>
    </row>
    <row r="477" spans="1:34" ht="96" customHeight="1" outlineLevel="1" x14ac:dyDescent="0.25">
      <c r="A477" s="742"/>
      <c r="B477" s="750"/>
      <c r="C477" s="750"/>
      <c r="D477" s="753"/>
      <c r="E477" s="756"/>
      <c r="F477" s="825"/>
      <c r="G477" s="14" t="s">
        <v>1027</v>
      </c>
      <c r="H477" s="828"/>
      <c r="I477" s="12" t="s">
        <v>1001</v>
      </c>
      <c r="J477" s="397">
        <v>1200000</v>
      </c>
      <c r="K477" s="319">
        <v>44593</v>
      </c>
      <c r="L477" s="319">
        <v>44925</v>
      </c>
      <c r="M477" s="298">
        <v>44652</v>
      </c>
      <c r="N477" s="299">
        <f t="shared" si="35"/>
        <v>0.17771084337349397</v>
      </c>
      <c r="O477" s="299"/>
      <c r="P477" s="300">
        <v>1</v>
      </c>
      <c r="Q477" s="301">
        <v>0.25</v>
      </c>
      <c r="R477" s="301">
        <v>0.5</v>
      </c>
      <c r="S477" s="301">
        <v>0.75</v>
      </c>
      <c r="T477" s="301">
        <v>1</v>
      </c>
      <c r="U477" s="301"/>
      <c r="V477" s="301"/>
      <c r="W477" s="300"/>
      <c r="X477" s="303"/>
      <c r="Y477" s="304"/>
      <c r="Z477" s="305"/>
      <c r="AA477" s="305"/>
      <c r="AB477" s="304"/>
      <c r="AC477" s="305"/>
      <c r="AD477" s="305"/>
      <c r="AE477" s="304"/>
      <c r="AF477" s="305"/>
      <c r="AG477" s="305"/>
      <c r="AH477" s="306"/>
    </row>
    <row r="478" spans="1:34" ht="96" customHeight="1" outlineLevel="1" x14ac:dyDescent="0.25">
      <c r="A478" s="742"/>
      <c r="B478" s="750"/>
      <c r="C478" s="750"/>
      <c r="D478" s="753"/>
      <c r="E478" s="756"/>
      <c r="F478" s="825"/>
      <c r="G478" s="14" t="s">
        <v>1028</v>
      </c>
      <c r="H478" s="828"/>
      <c r="I478" s="12" t="s">
        <v>1001</v>
      </c>
      <c r="J478" s="397">
        <v>1800000</v>
      </c>
      <c r="K478" s="319">
        <v>44593</v>
      </c>
      <c r="L478" s="319">
        <v>44925</v>
      </c>
      <c r="M478" s="298">
        <v>44652</v>
      </c>
      <c r="N478" s="299">
        <f t="shared" si="35"/>
        <v>0.17771084337349397</v>
      </c>
      <c r="O478" s="299"/>
      <c r="P478" s="300">
        <v>1</v>
      </c>
      <c r="Q478" s="301">
        <v>0.25</v>
      </c>
      <c r="R478" s="301">
        <v>0.5</v>
      </c>
      <c r="S478" s="301">
        <v>0.75</v>
      </c>
      <c r="T478" s="301">
        <v>1</v>
      </c>
      <c r="U478" s="301"/>
      <c r="V478" s="301"/>
      <c r="W478" s="300"/>
      <c r="X478" s="303"/>
      <c r="Y478" s="304"/>
      <c r="Z478" s="305"/>
      <c r="AA478" s="305"/>
      <c r="AB478" s="304"/>
      <c r="AC478" s="305"/>
      <c r="AD478" s="305"/>
      <c r="AE478" s="304"/>
      <c r="AF478" s="305"/>
      <c r="AG478" s="305"/>
      <c r="AH478" s="306"/>
    </row>
    <row r="479" spans="1:34" ht="96" customHeight="1" outlineLevel="1" x14ac:dyDescent="0.25">
      <c r="A479" s="742"/>
      <c r="B479" s="750"/>
      <c r="C479" s="750"/>
      <c r="D479" s="753"/>
      <c r="E479" s="756"/>
      <c r="F479" s="825"/>
      <c r="G479" s="14" t="s">
        <v>1029</v>
      </c>
      <c r="H479" s="828"/>
      <c r="I479" s="12" t="s">
        <v>1001</v>
      </c>
      <c r="J479" s="397">
        <v>2400000</v>
      </c>
      <c r="K479" s="319">
        <v>44593</v>
      </c>
      <c r="L479" s="319">
        <v>44925</v>
      </c>
      <c r="M479" s="298">
        <v>44652</v>
      </c>
      <c r="N479" s="299">
        <f t="shared" si="35"/>
        <v>0.17771084337349397</v>
      </c>
      <c r="O479" s="299"/>
      <c r="P479" s="300">
        <v>1</v>
      </c>
      <c r="Q479" s="301">
        <v>0.25</v>
      </c>
      <c r="R479" s="301">
        <v>0.5</v>
      </c>
      <c r="S479" s="301">
        <v>0.75</v>
      </c>
      <c r="T479" s="301">
        <v>1</v>
      </c>
      <c r="U479" s="301"/>
      <c r="V479" s="301"/>
      <c r="W479" s="300"/>
      <c r="X479" s="303"/>
      <c r="Y479" s="304"/>
      <c r="Z479" s="305"/>
      <c r="AA479" s="305"/>
      <c r="AB479" s="304"/>
      <c r="AC479" s="305"/>
      <c r="AD479" s="305"/>
      <c r="AE479" s="304"/>
      <c r="AF479" s="305"/>
      <c r="AG479" s="305"/>
      <c r="AH479" s="306"/>
    </row>
    <row r="480" spans="1:34" ht="96" customHeight="1" outlineLevel="1" x14ac:dyDescent="0.25">
      <c r="A480" s="742"/>
      <c r="B480" s="750"/>
      <c r="C480" s="750"/>
      <c r="D480" s="753"/>
      <c r="E480" s="756"/>
      <c r="F480" s="825"/>
      <c r="G480" s="14" t="s">
        <v>1030</v>
      </c>
      <c r="H480" s="828"/>
      <c r="I480" s="12" t="s">
        <v>1001</v>
      </c>
      <c r="J480" s="397">
        <v>2500000</v>
      </c>
      <c r="K480" s="319">
        <v>44593</v>
      </c>
      <c r="L480" s="319">
        <v>44925</v>
      </c>
      <c r="M480" s="298">
        <v>44652</v>
      </c>
      <c r="N480" s="299">
        <f t="shared" si="35"/>
        <v>0.17771084337349397</v>
      </c>
      <c r="O480" s="299"/>
      <c r="P480" s="300">
        <v>1</v>
      </c>
      <c r="Q480" s="301">
        <v>0.25</v>
      </c>
      <c r="R480" s="301">
        <v>0.5</v>
      </c>
      <c r="S480" s="301">
        <v>0.75</v>
      </c>
      <c r="T480" s="301">
        <v>1</v>
      </c>
      <c r="U480" s="301"/>
      <c r="V480" s="301"/>
      <c r="W480" s="300"/>
      <c r="X480" s="303"/>
      <c r="Y480" s="304"/>
      <c r="Z480" s="305"/>
      <c r="AA480" s="305"/>
      <c r="AB480" s="304"/>
      <c r="AC480" s="305"/>
      <c r="AD480" s="305"/>
      <c r="AE480" s="304"/>
      <c r="AF480" s="305"/>
      <c r="AG480" s="305"/>
      <c r="AH480" s="306"/>
    </row>
    <row r="481" spans="1:34" ht="96" customHeight="1" outlineLevel="1" x14ac:dyDescent="0.25">
      <c r="A481" s="742"/>
      <c r="B481" s="750"/>
      <c r="C481" s="750"/>
      <c r="D481" s="753"/>
      <c r="E481" s="756"/>
      <c r="F481" s="825"/>
      <c r="G481" s="14" t="s">
        <v>1031</v>
      </c>
      <c r="H481" s="828"/>
      <c r="I481" s="12" t="s">
        <v>1001</v>
      </c>
      <c r="J481" s="397">
        <v>3600000</v>
      </c>
      <c r="K481" s="319">
        <v>44593</v>
      </c>
      <c r="L481" s="319">
        <v>44925</v>
      </c>
      <c r="M481" s="298">
        <v>44652</v>
      </c>
      <c r="N481" s="299">
        <f t="shared" si="35"/>
        <v>0.17771084337349397</v>
      </c>
      <c r="O481" s="299"/>
      <c r="P481" s="300">
        <v>1</v>
      </c>
      <c r="Q481" s="301">
        <v>0.25</v>
      </c>
      <c r="R481" s="301">
        <v>0.5</v>
      </c>
      <c r="S481" s="301">
        <v>0.75</v>
      </c>
      <c r="T481" s="301">
        <v>1</v>
      </c>
      <c r="U481" s="301"/>
      <c r="V481" s="301"/>
      <c r="W481" s="300"/>
      <c r="X481" s="303"/>
      <c r="Y481" s="304"/>
      <c r="Z481" s="305"/>
      <c r="AA481" s="305"/>
      <c r="AB481" s="304"/>
      <c r="AC481" s="305"/>
      <c r="AD481" s="305"/>
      <c r="AE481" s="304"/>
      <c r="AF481" s="305"/>
      <c r="AG481" s="305"/>
      <c r="AH481" s="306"/>
    </row>
    <row r="482" spans="1:34" ht="96" customHeight="1" outlineLevel="1" x14ac:dyDescent="0.25">
      <c r="A482" s="742"/>
      <c r="B482" s="750"/>
      <c r="C482" s="750"/>
      <c r="D482" s="753"/>
      <c r="E482" s="756"/>
      <c r="F482" s="825"/>
      <c r="G482" s="14" t="s">
        <v>1032</v>
      </c>
      <c r="H482" s="828"/>
      <c r="I482" s="12" t="s">
        <v>1001</v>
      </c>
      <c r="J482" s="397">
        <v>76550000</v>
      </c>
      <c r="K482" s="319">
        <v>44593</v>
      </c>
      <c r="L482" s="319">
        <v>44925</v>
      </c>
      <c r="M482" s="298">
        <v>44652</v>
      </c>
      <c r="N482" s="299">
        <f t="shared" si="35"/>
        <v>0.17771084337349397</v>
      </c>
      <c r="O482" s="299"/>
      <c r="P482" s="300">
        <v>1</v>
      </c>
      <c r="Q482" s="301">
        <v>0.25</v>
      </c>
      <c r="R482" s="301">
        <v>0.5</v>
      </c>
      <c r="S482" s="301">
        <v>0.75</v>
      </c>
      <c r="T482" s="301">
        <v>1</v>
      </c>
      <c r="U482" s="301"/>
      <c r="V482" s="301"/>
      <c r="W482" s="300"/>
      <c r="X482" s="303"/>
      <c r="Y482" s="304"/>
      <c r="Z482" s="305"/>
      <c r="AA482" s="305"/>
      <c r="AB482" s="304"/>
      <c r="AC482" s="305"/>
      <c r="AD482" s="305"/>
      <c r="AE482" s="304"/>
      <c r="AF482" s="305"/>
      <c r="AG482" s="305"/>
      <c r="AH482" s="306"/>
    </row>
    <row r="483" spans="1:34" ht="96" customHeight="1" outlineLevel="1" x14ac:dyDescent="0.25">
      <c r="A483" s="742"/>
      <c r="B483" s="750"/>
      <c r="C483" s="750"/>
      <c r="D483" s="753"/>
      <c r="E483" s="756"/>
      <c r="F483" s="826"/>
      <c r="G483" s="14" t="s">
        <v>1033</v>
      </c>
      <c r="H483" s="828"/>
      <c r="I483" s="12" t="s">
        <v>1001</v>
      </c>
      <c r="J483" s="397">
        <v>100000000</v>
      </c>
      <c r="K483" s="319">
        <v>44593</v>
      </c>
      <c r="L483" s="319">
        <v>44925</v>
      </c>
      <c r="M483" s="298">
        <v>44652</v>
      </c>
      <c r="N483" s="299">
        <f t="shared" si="35"/>
        <v>0.17771084337349397</v>
      </c>
      <c r="O483" s="299"/>
      <c r="P483" s="300">
        <v>1</v>
      </c>
      <c r="Q483" s="301">
        <v>0.25</v>
      </c>
      <c r="R483" s="301">
        <v>0.5</v>
      </c>
      <c r="S483" s="301">
        <v>0.75</v>
      </c>
      <c r="T483" s="301">
        <v>1</v>
      </c>
      <c r="U483" s="301"/>
      <c r="V483" s="301"/>
      <c r="W483" s="300"/>
      <c r="X483" s="303"/>
      <c r="Y483" s="304"/>
      <c r="Z483" s="305"/>
      <c r="AA483" s="305"/>
      <c r="AB483" s="304"/>
      <c r="AC483" s="305"/>
      <c r="AD483" s="305"/>
      <c r="AE483" s="304"/>
      <c r="AF483" s="305"/>
      <c r="AG483" s="305"/>
      <c r="AH483" s="306"/>
    </row>
    <row r="484" spans="1:34" ht="96" customHeight="1" outlineLevel="1" x14ac:dyDescent="0.25">
      <c r="A484" s="742"/>
      <c r="B484" s="750"/>
      <c r="C484" s="750"/>
      <c r="D484" s="753"/>
      <c r="E484" s="756"/>
      <c r="F484" s="13" t="s">
        <v>1034</v>
      </c>
      <c r="G484" s="14" t="s">
        <v>1035</v>
      </c>
      <c r="H484" s="829"/>
      <c r="I484" s="12" t="s">
        <v>1036</v>
      </c>
      <c r="J484" s="397">
        <v>41800000</v>
      </c>
      <c r="K484" s="319">
        <v>44593</v>
      </c>
      <c r="L484" s="319">
        <v>44925</v>
      </c>
      <c r="M484" s="298">
        <v>44652</v>
      </c>
      <c r="N484" s="299">
        <f t="shared" si="35"/>
        <v>0.17771084337349397</v>
      </c>
      <c r="O484" s="299">
        <f t="shared" si="36"/>
        <v>0.17771084337349397</v>
      </c>
      <c r="P484" s="300">
        <v>0.05</v>
      </c>
      <c r="Q484" s="301">
        <v>0.03</v>
      </c>
      <c r="R484" s="301">
        <v>0.03</v>
      </c>
      <c r="S484" s="301">
        <v>0.04</v>
      </c>
      <c r="T484" s="301">
        <v>0.05</v>
      </c>
      <c r="U484" s="301"/>
      <c r="V484" s="301"/>
      <c r="W484" s="300"/>
      <c r="X484" s="303"/>
      <c r="Y484" s="304"/>
      <c r="Z484" s="305"/>
      <c r="AA484" s="305"/>
      <c r="AB484" s="304"/>
      <c r="AC484" s="305"/>
      <c r="AD484" s="305"/>
      <c r="AE484" s="304"/>
      <c r="AF484" s="305"/>
      <c r="AG484" s="305"/>
      <c r="AH484" s="306"/>
    </row>
    <row r="485" spans="1:34" ht="96" customHeight="1" outlineLevel="1" x14ac:dyDescent="0.25">
      <c r="A485" s="742"/>
      <c r="B485" s="750"/>
      <c r="C485" s="750"/>
      <c r="D485" s="753"/>
      <c r="E485" s="756"/>
      <c r="F485" s="824" t="s">
        <v>1037</v>
      </c>
      <c r="G485" s="14" t="s">
        <v>1038</v>
      </c>
      <c r="H485" s="827" t="s">
        <v>1039</v>
      </c>
      <c r="I485" s="12" t="s">
        <v>652</v>
      </c>
      <c r="J485" s="12" t="s">
        <v>788</v>
      </c>
      <c r="K485" s="319">
        <v>44593</v>
      </c>
      <c r="L485" s="319">
        <v>44925</v>
      </c>
      <c r="M485" s="298">
        <v>44652</v>
      </c>
      <c r="N485" s="299">
        <f t="shared" si="35"/>
        <v>0.17771084337349397</v>
      </c>
      <c r="O485" s="299">
        <f t="shared" si="36"/>
        <v>0.17771084337349397</v>
      </c>
      <c r="P485" s="300">
        <v>1</v>
      </c>
      <c r="Q485" s="301">
        <v>0.25</v>
      </c>
      <c r="R485" s="301">
        <v>0.5</v>
      </c>
      <c r="S485" s="301">
        <v>0.75</v>
      </c>
      <c r="T485" s="301">
        <v>1</v>
      </c>
      <c r="U485" s="301"/>
      <c r="V485" s="301"/>
      <c r="W485" s="300"/>
      <c r="X485" s="303"/>
      <c r="Y485" s="304"/>
      <c r="Z485" s="305"/>
      <c r="AA485" s="305"/>
      <c r="AB485" s="304"/>
      <c r="AC485" s="305"/>
      <c r="AD485" s="305"/>
      <c r="AE485" s="304"/>
      <c r="AF485" s="305"/>
      <c r="AG485" s="305"/>
      <c r="AH485" s="306"/>
    </row>
    <row r="486" spans="1:34" ht="96" customHeight="1" outlineLevel="1" x14ac:dyDescent="0.25">
      <c r="A486" s="742"/>
      <c r="B486" s="750"/>
      <c r="C486" s="750"/>
      <c r="D486" s="753"/>
      <c r="E486" s="756"/>
      <c r="F486" s="825"/>
      <c r="G486" s="14" t="s">
        <v>1040</v>
      </c>
      <c r="H486" s="828"/>
      <c r="I486" s="12" t="s">
        <v>1041</v>
      </c>
      <c r="J486" s="397">
        <v>51700000</v>
      </c>
      <c r="K486" s="319">
        <v>44593</v>
      </c>
      <c r="L486" s="319">
        <v>44925</v>
      </c>
      <c r="M486" s="298">
        <v>44652</v>
      </c>
      <c r="N486" s="299">
        <f t="shared" si="35"/>
        <v>0.17771084337349397</v>
      </c>
      <c r="O486" s="299"/>
      <c r="P486" s="300">
        <v>1</v>
      </c>
      <c r="Q486" s="301">
        <v>0.25</v>
      </c>
      <c r="R486" s="301">
        <v>0.5</v>
      </c>
      <c r="S486" s="301">
        <v>0.75</v>
      </c>
      <c r="T486" s="301">
        <v>1</v>
      </c>
      <c r="U486" s="301"/>
      <c r="V486" s="301"/>
      <c r="W486" s="300"/>
      <c r="X486" s="303"/>
      <c r="Y486" s="304"/>
      <c r="Z486" s="305"/>
      <c r="AA486" s="305"/>
      <c r="AB486" s="304"/>
      <c r="AC486" s="305"/>
      <c r="AD486" s="305"/>
      <c r="AE486" s="304"/>
      <c r="AF486" s="305"/>
      <c r="AG486" s="305"/>
      <c r="AH486" s="306"/>
    </row>
    <row r="487" spans="1:34" ht="96" customHeight="1" outlineLevel="1" x14ac:dyDescent="0.25">
      <c r="A487" s="742"/>
      <c r="B487" s="751"/>
      <c r="C487" s="751"/>
      <c r="D487" s="754"/>
      <c r="E487" s="757"/>
      <c r="F487" s="826"/>
      <c r="G487" s="14" t="s">
        <v>1042</v>
      </c>
      <c r="H487" s="829"/>
      <c r="I487" s="12" t="s">
        <v>1043</v>
      </c>
      <c r="J487" s="397">
        <v>27500000</v>
      </c>
      <c r="K487" s="319">
        <v>44593</v>
      </c>
      <c r="L487" s="319">
        <v>44925</v>
      </c>
      <c r="M487" s="298">
        <v>44652</v>
      </c>
      <c r="N487" s="299">
        <f t="shared" si="35"/>
        <v>0.17771084337349397</v>
      </c>
      <c r="O487" s="299"/>
      <c r="P487" s="300">
        <v>1</v>
      </c>
      <c r="Q487" s="301">
        <v>0.25</v>
      </c>
      <c r="R487" s="301">
        <v>0.5</v>
      </c>
      <c r="S487" s="301">
        <v>0.75</v>
      </c>
      <c r="T487" s="301">
        <v>1</v>
      </c>
      <c r="U487" s="301"/>
      <c r="V487" s="301"/>
      <c r="W487" s="300"/>
      <c r="X487" s="303"/>
      <c r="Y487" s="304"/>
      <c r="Z487" s="305"/>
      <c r="AA487" s="305"/>
      <c r="AB487" s="304"/>
      <c r="AC487" s="305"/>
      <c r="AD487" s="305"/>
      <c r="AE487" s="304"/>
      <c r="AF487" s="305"/>
      <c r="AG487" s="305"/>
      <c r="AH487" s="306"/>
    </row>
    <row r="488" spans="1:34" ht="60" customHeight="1" outlineLevel="1" x14ac:dyDescent="0.25">
      <c r="A488" s="742"/>
      <c r="B488" s="749" t="s">
        <v>606</v>
      </c>
      <c r="C488" s="749" t="s">
        <v>460</v>
      </c>
      <c r="D488" s="746" t="s">
        <v>10</v>
      </c>
      <c r="E488" s="743" t="s">
        <v>1044</v>
      </c>
      <c r="F488" s="743" t="s">
        <v>1045</v>
      </c>
      <c r="G488" s="364" t="s">
        <v>1046</v>
      </c>
      <c r="H488" s="821" t="s">
        <v>679</v>
      </c>
      <c r="I488" s="12" t="s">
        <v>152</v>
      </c>
      <c r="J488" s="397">
        <v>1800000</v>
      </c>
      <c r="K488" s="319">
        <v>44593</v>
      </c>
      <c r="L488" s="319">
        <v>44925</v>
      </c>
      <c r="M488" s="298">
        <v>44652</v>
      </c>
      <c r="N488" s="299">
        <f t="shared" si="35"/>
        <v>0.17771084337349397</v>
      </c>
      <c r="O488" s="299">
        <f t="shared" si="36"/>
        <v>0.17771084337349397</v>
      </c>
      <c r="P488" s="300">
        <v>1</v>
      </c>
      <c r="Q488" s="301">
        <v>0.25</v>
      </c>
      <c r="R488" s="301">
        <v>0.5</v>
      </c>
      <c r="S488" s="301">
        <v>0.75</v>
      </c>
      <c r="T488" s="301">
        <v>1</v>
      </c>
      <c r="U488" s="301"/>
      <c r="V488" s="301"/>
      <c r="W488" s="300"/>
      <c r="X488" s="303"/>
      <c r="Y488" s="304"/>
      <c r="Z488" s="305"/>
      <c r="AA488" s="305"/>
      <c r="AB488" s="304"/>
      <c r="AC488" s="305"/>
      <c r="AD488" s="305"/>
      <c r="AE488" s="304"/>
      <c r="AF488" s="305"/>
      <c r="AG488" s="305"/>
      <c r="AH488" s="306"/>
    </row>
    <row r="489" spans="1:34" ht="75" customHeight="1" outlineLevel="1" x14ac:dyDescent="0.25">
      <c r="A489" s="742"/>
      <c r="B489" s="750"/>
      <c r="C489" s="750"/>
      <c r="D489" s="747"/>
      <c r="E489" s="744"/>
      <c r="F489" s="744"/>
      <c r="G489" s="329" t="s">
        <v>1047</v>
      </c>
      <c r="H489" s="822"/>
      <c r="I489" s="12" t="s">
        <v>152</v>
      </c>
      <c r="J489" s="397">
        <v>3500000</v>
      </c>
      <c r="K489" s="319">
        <v>44593</v>
      </c>
      <c r="L489" s="319">
        <v>44925</v>
      </c>
      <c r="M489" s="298">
        <v>44652</v>
      </c>
      <c r="N489" s="299">
        <f t="shared" si="35"/>
        <v>0.17771084337349397</v>
      </c>
      <c r="O489" s="299">
        <f t="shared" ref="O489:O502" si="37">+IF(N489&gt;=100,100,IF(N489&lt;=0,0,N489))</f>
        <v>0.17771084337349397</v>
      </c>
      <c r="P489" s="300">
        <v>1</v>
      </c>
      <c r="Q489" s="301">
        <v>0.25</v>
      </c>
      <c r="R489" s="301">
        <v>0.5</v>
      </c>
      <c r="S489" s="301">
        <v>0.75</v>
      </c>
      <c r="T489" s="301">
        <v>1</v>
      </c>
      <c r="U489" s="301"/>
      <c r="V489" s="301"/>
      <c r="W489" s="300"/>
      <c r="X489" s="303"/>
      <c r="Y489" s="304"/>
      <c r="Z489" s="305"/>
      <c r="AA489" s="305"/>
      <c r="AB489" s="304"/>
      <c r="AC489" s="305"/>
      <c r="AD489" s="305"/>
      <c r="AE489" s="304"/>
      <c r="AF489" s="305"/>
      <c r="AG489" s="305"/>
      <c r="AH489" s="306"/>
    </row>
    <row r="490" spans="1:34" ht="75" customHeight="1" outlineLevel="1" x14ac:dyDescent="0.25">
      <c r="A490" s="742"/>
      <c r="B490" s="750"/>
      <c r="C490" s="750"/>
      <c r="D490" s="747"/>
      <c r="E490" s="744"/>
      <c r="F490" s="744"/>
      <c r="G490" s="329" t="s">
        <v>1048</v>
      </c>
      <c r="H490" s="822"/>
      <c r="I490" s="12" t="s">
        <v>152</v>
      </c>
      <c r="J490" s="397">
        <v>4200000</v>
      </c>
      <c r="K490" s="319">
        <v>44593</v>
      </c>
      <c r="L490" s="319">
        <v>44925</v>
      </c>
      <c r="M490" s="298">
        <v>44652</v>
      </c>
      <c r="N490" s="299">
        <f t="shared" ref="N490:N519" si="38">+(+_xlfn.DAYS(K490,M490))/(+_xlfn.DAYS(K490,L490))</f>
        <v>0.17771084337349397</v>
      </c>
      <c r="O490" s="299">
        <f t="shared" si="37"/>
        <v>0.17771084337349397</v>
      </c>
      <c r="P490" s="300">
        <v>1</v>
      </c>
      <c r="Q490" s="301">
        <v>0.25</v>
      </c>
      <c r="R490" s="301">
        <v>0.5</v>
      </c>
      <c r="S490" s="301">
        <v>0.75</v>
      </c>
      <c r="T490" s="301">
        <v>1</v>
      </c>
      <c r="U490" s="301"/>
      <c r="V490" s="301"/>
      <c r="W490" s="300"/>
      <c r="X490" s="303"/>
      <c r="Y490" s="304"/>
      <c r="Z490" s="305"/>
      <c r="AA490" s="305"/>
      <c r="AB490" s="304"/>
      <c r="AC490" s="305"/>
      <c r="AD490" s="305"/>
      <c r="AE490" s="304"/>
      <c r="AF490" s="305"/>
      <c r="AG490" s="305"/>
      <c r="AH490" s="306"/>
    </row>
    <row r="491" spans="1:34" ht="75" customHeight="1" outlineLevel="1" x14ac:dyDescent="0.25">
      <c r="A491" s="742"/>
      <c r="B491" s="750"/>
      <c r="C491" s="750"/>
      <c r="D491" s="747"/>
      <c r="E491" s="744"/>
      <c r="F491" s="744"/>
      <c r="G491" s="329" t="s">
        <v>1049</v>
      </c>
      <c r="H491" s="822"/>
      <c r="I491" s="12" t="s">
        <v>152</v>
      </c>
      <c r="J491" s="397">
        <v>4200000</v>
      </c>
      <c r="K491" s="319">
        <v>44593</v>
      </c>
      <c r="L491" s="319">
        <v>44925</v>
      </c>
      <c r="M491" s="298">
        <v>44652</v>
      </c>
      <c r="N491" s="299">
        <f t="shared" si="38"/>
        <v>0.17771084337349397</v>
      </c>
      <c r="O491" s="299">
        <f t="shared" si="37"/>
        <v>0.17771084337349397</v>
      </c>
      <c r="P491" s="300">
        <v>1</v>
      </c>
      <c r="Q491" s="301">
        <v>0.25</v>
      </c>
      <c r="R491" s="301">
        <v>0.5</v>
      </c>
      <c r="S491" s="301">
        <v>0.75</v>
      </c>
      <c r="T491" s="301">
        <v>1</v>
      </c>
      <c r="U491" s="301"/>
      <c r="V491" s="301"/>
      <c r="W491" s="300"/>
      <c r="X491" s="303"/>
      <c r="Y491" s="304"/>
      <c r="Z491" s="305"/>
      <c r="AA491" s="305"/>
      <c r="AB491" s="304"/>
      <c r="AC491" s="305"/>
      <c r="AD491" s="305"/>
      <c r="AE491" s="304"/>
      <c r="AF491" s="305"/>
      <c r="AG491" s="305"/>
      <c r="AH491" s="306"/>
    </row>
    <row r="492" spans="1:34" ht="75" customHeight="1" outlineLevel="1" x14ac:dyDescent="0.25">
      <c r="A492" s="742"/>
      <c r="B492" s="750"/>
      <c r="C492" s="750"/>
      <c r="D492" s="747"/>
      <c r="E492" s="744"/>
      <c r="F492" s="744"/>
      <c r="G492" s="329" t="s">
        <v>1050</v>
      </c>
      <c r="H492" s="822"/>
      <c r="I492" s="12" t="s">
        <v>152</v>
      </c>
      <c r="J492" s="397">
        <v>3500000</v>
      </c>
      <c r="K492" s="319">
        <v>44593</v>
      </c>
      <c r="L492" s="319">
        <v>44925</v>
      </c>
      <c r="M492" s="298">
        <v>44652</v>
      </c>
      <c r="N492" s="299">
        <f t="shared" si="38"/>
        <v>0.17771084337349397</v>
      </c>
      <c r="O492" s="299">
        <f t="shared" si="37"/>
        <v>0.17771084337349397</v>
      </c>
      <c r="P492" s="300">
        <v>1</v>
      </c>
      <c r="Q492" s="301">
        <v>0.25</v>
      </c>
      <c r="R492" s="301">
        <v>0.5</v>
      </c>
      <c r="S492" s="301">
        <v>0.75</v>
      </c>
      <c r="T492" s="301">
        <v>1</v>
      </c>
      <c r="U492" s="301"/>
      <c r="V492" s="301"/>
      <c r="W492" s="300"/>
      <c r="X492" s="303"/>
      <c r="Y492" s="304"/>
      <c r="Z492" s="305"/>
      <c r="AA492" s="305"/>
      <c r="AB492" s="304"/>
      <c r="AC492" s="305"/>
      <c r="AD492" s="305"/>
      <c r="AE492" s="304"/>
      <c r="AF492" s="305"/>
      <c r="AG492" s="305"/>
      <c r="AH492" s="306"/>
    </row>
    <row r="493" spans="1:34" ht="75" customHeight="1" outlineLevel="1" x14ac:dyDescent="0.25">
      <c r="A493" s="742"/>
      <c r="B493" s="750"/>
      <c r="C493" s="750"/>
      <c r="D493" s="747"/>
      <c r="E493" s="744"/>
      <c r="F493" s="744"/>
      <c r="G493" s="329" t="s">
        <v>1051</v>
      </c>
      <c r="H493" s="822"/>
      <c r="I493" s="12" t="s">
        <v>152</v>
      </c>
      <c r="J493" s="397">
        <v>3500000</v>
      </c>
      <c r="K493" s="319">
        <v>44593</v>
      </c>
      <c r="L493" s="319">
        <v>44925</v>
      </c>
      <c r="M493" s="298">
        <v>44652</v>
      </c>
      <c r="N493" s="299">
        <f t="shared" si="38"/>
        <v>0.17771084337349397</v>
      </c>
      <c r="O493" s="299">
        <f t="shared" si="37"/>
        <v>0.17771084337349397</v>
      </c>
      <c r="P493" s="300">
        <v>1</v>
      </c>
      <c r="Q493" s="301">
        <v>0.25</v>
      </c>
      <c r="R493" s="301">
        <v>0.5</v>
      </c>
      <c r="S493" s="301">
        <v>0.75</v>
      </c>
      <c r="T493" s="301">
        <v>1</v>
      </c>
      <c r="U493" s="301"/>
      <c r="V493" s="301"/>
      <c r="W493" s="300"/>
      <c r="X493" s="303"/>
      <c r="Y493" s="304"/>
      <c r="Z493" s="305"/>
      <c r="AA493" s="305"/>
      <c r="AB493" s="304"/>
      <c r="AC493" s="305"/>
      <c r="AD493" s="305"/>
      <c r="AE493" s="304"/>
      <c r="AF493" s="305"/>
      <c r="AG493" s="305"/>
      <c r="AH493" s="306"/>
    </row>
    <row r="494" spans="1:34" ht="75" customHeight="1" outlineLevel="1" x14ac:dyDescent="0.25">
      <c r="A494" s="742"/>
      <c r="B494" s="750"/>
      <c r="C494" s="750"/>
      <c r="D494" s="747"/>
      <c r="E494" s="744"/>
      <c r="F494" s="744"/>
      <c r="G494" s="329" t="s">
        <v>1052</v>
      </c>
      <c r="H494" s="822"/>
      <c r="I494" s="12" t="s">
        <v>152</v>
      </c>
      <c r="J494" s="397">
        <v>3500000</v>
      </c>
      <c r="K494" s="319">
        <v>44593</v>
      </c>
      <c r="L494" s="319">
        <v>44925</v>
      </c>
      <c r="M494" s="298">
        <v>44652</v>
      </c>
      <c r="N494" s="299">
        <f t="shared" si="38"/>
        <v>0.17771084337349397</v>
      </c>
      <c r="O494" s="299">
        <f t="shared" si="37"/>
        <v>0.17771084337349397</v>
      </c>
      <c r="P494" s="300">
        <v>1</v>
      </c>
      <c r="Q494" s="301">
        <v>0.25</v>
      </c>
      <c r="R494" s="301">
        <v>0.5</v>
      </c>
      <c r="S494" s="301">
        <v>0.75</v>
      </c>
      <c r="T494" s="301">
        <v>1</v>
      </c>
      <c r="U494" s="301"/>
      <c r="V494" s="301"/>
      <c r="W494" s="300"/>
      <c r="X494" s="303"/>
      <c r="Y494" s="304"/>
      <c r="Z494" s="305"/>
      <c r="AA494" s="305"/>
      <c r="AB494" s="304"/>
      <c r="AC494" s="305"/>
      <c r="AD494" s="305"/>
      <c r="AE494" s="304"/>
      <c r="AF494" s="305"/>
      <c r="AG494" s="305"/>
      <c r="AH494" s="306"/>
    </row>
    <row r="495" spans="1:34" ht="75" customHeight="1" outlineLevel="1" x14ac:dyDescent="0.25">
      <c r="A495" s="742"/>
      <c r="B495" s="750"/>
      <c r="C495" s="750"/>
      <c r="D495" s="747"/>
      <c r="E495" s="744"/>
      <c r="F495" s="744"/>
      <c r="G495" s="329" t="s">
        <v>1053</v>
      </c>
      <c r="H495" s="822"/>
      <c r="I495" s="12" t="s">
        <v>152</v>
      </c>
      <c r="J495" s="397">
        <v>3500000</v>
      </c>
      <c r="K495" s="319">
        <v>44593</v>
      </c>
      <c r="L495" s="319">
        <v>44925</v>
      </c>
      <c r="M495" s="298">
        <v>44652</v>
      </c>
      <c r="N495" s="299">
        <f t="shared" si="38"/>
        <v>0.17771084337349397</v>
      </c>
      <c r="O495" s="299">
        <f t="shared" si="37"/>
        <v>0.17771084337349397</v>
      </c>
      <c r="P495" s="300">
        <v>1</v>
      </c>
      <c r="Q495" s="301">
        <v>0.25</v>
      </c>
      <c r="R495" s="301">
        <v>0.5</v>
      </c>
      <c r="S495" s="301">
        <v>0.75</v>
      </c>
      <c r="T495" s="301">
        <v>1</v>
      </c>
      <c r="U495" s="301"/>
      <c r="V495" s="301"/>
      <c r="W495" s="300"/>
      <c r="X495" s="303"/>
      <c r="Y495" s="304"/>
      <c r="Z495" s="305"/>
      <c r="AA495" s="305"/>
      <c r="AB495" s="304"/>
      <c r="AC495" s="305"/>
      <c r="AD495" s="305"/>
      <c r="AE495" s="304"/>
      <c r="AF495" s="305"/>
      <c r="AG495" s="305"/>
      <c r="AH495" s="306"/>
    </row>
    <row r="496" spans="1:34" ht="75" customHeight="1" outlineLevel="1" x14ac:dyDescent="0.25">
      <c r="A496" s="742"/>
      <c r="B496" s="750"/>
      <c r="C496" s="750"/>
      <c r="D496" s="747"/>
      <c r="E496" s="744"/>
      <c r="F496" s="744"/>
      <c r="G496" s="329" t="s">
        <v>1054</v>
      </c>
      <c r="H496" s="822"/>
      <c r="I496" s="12" t="s">
        <v>152</v>
      </c>
      <c r="J496" s="397">
        <v>3500000</v>
      </c>
      <c r="K496" s="319">
        <v>44593</v>
      </c>
      <c r="L496" s="319">
        <v>44925</v>
      </c>
      <c r="M496" s="298">
        <v>44652</v>
      </c>
      <c r="N496" s="299">
        <f t="shared" si="38"/>
        <v>0.17771084337349397</v>
      </c>
      <c r="O496" s="299">
        <f t="shared" si="37"/>
        <v>0.17771084337349397</v>
      </c>
      <c r="P496" s="300">
        <v>1</v>
      </c>
      <c r="Q496" s="301">
        <v>0.25</v>
      </c>
      <c r="R496" s="301">
        <v>0.5</v>
      </c>
      <c r="S496" s="301">
        <v>0.75</v>
      </c>
      <c r="T496" s="301">
        <v>1</v>
      </c>
      <c r="U496" s="301"/>
      <c r="V496" s="301"/>
      <c r="W496" s="300"/>
      <c r="X496" s="303"/>
      <c r="Y496" s="304"/>
      <c r="Z496" s="305"/>
      <c r="AA496" s="305"/>
      <c r="AB496" s="304"/>
      <c r="AC496" s="305"/>
      <c r="AD496" s="305"/>
      <c r="AE496" s="304"/>
      <c r="AF496" s="305"/>
      <c r="AG496" s="305"/>
      <c r="AH496" s="306"/>
    </row>
    <row r="497" spans="1:34" ht="75" customHeight="1" outlineLevel="1" x14ac:dyDescent="0.25">
      <c r="A497" s="742"/>
      <c r="B497" s="750"/>
      <c r="C497" s="750"/>
      <c r="D497" s="747"/>
      <c r="E497" s="744"/>
      <c r="F497" s="744"/>
      <c r="G497" s="329" t="s">
        <v>1055</v>
      </c>
      <c r="H497" s="822"/>
      <c r="I497" s="12" t="s">
        <v>152</v>
      </c>
      <c r="J497" s="397">
        <v>3500000</v>
      </c>
      <c r="K497" s="319">
        <v>44593</v>
      </c>
      <c r="L497" s="319">
        <v>44925</v>
      </c>
      <c r="M497" s="298">
        <v>44652</v>
      </c>
      <c r="N497" s="299">
        <f t="shared" si="38"/>
        <v>0.17771084337349397</v>
      </c>
      <c r="O497" s="299">
        <f t="shared" si="37"/>
        <v>0.17771084337349397</v>
      </c>
      <c r="P497" s="300">
        <v>1</v>
      </c>
      <c r="Q497" s="301">
        <v>0.25</v>
      </c>
      <c r="R497" s="301">
        <v>0.5</v>
      </c>
      <c r="S497" s="301">
        <v>0.75</v>
      </c>
      <c r="T497" s="301">
        <v>1</v>
      </c>
      <c r="U497" s="301"/>
      <c r="V497" s="301"/>
      <c r="W497" s="300"/>
      <c r="X497" s="303"/>
      <c r="Y497" s="304"/>
      <c r="Z497" s="305"/>
      <c r="AA497" s="305"/>
      <c r="AB497" s="304"/>
      <c r="AC497" s="305"/>
      <c r="AD497" s="305"/>
      <c r="AE497" s="304"/>
      <c r="AF497" s="305"/>
      <c r="AG497" s="305"/>
      <c r="AH497" s="306"/>
    </row>
    <row r="498" spans="1:34" ht="75" customHeight="1" outlineLevel="1" x14ac:dyDescent="0.25">
      <c r="A498" s="742"/>
      <c r="B498" s="750"/>
      <c r="C498" s="750"/>
      <c r="D498" s="747"/>
      <c r="E498" s="744"/>
      <c r="F498" s="744"/>
      <c r="G498" s="329" t="s">
        <v>1056</v>
      </c>
      <c r="H498" s="822"/>
      <c r="I498" s="12" t="s">
        <v>152</v>
      </c>
      <c r="J498" s="397">
        <v>4200000</v>
      </c>
      <c r="K498" s="319">
        <v>44593</v>
      </c>
      <c r="L498" s="319">
        <v>44925</v>
      </c>
      <c r="M498" s="298">
        <v>44652</v>
      </c>
      <c r="N498" s="299">
        <f t="shared" si="38"/>
        <v>0.17771084337349397</v>
      </c>
      <c r="O498" s="299">
        <f t="shared" si="37"/>
        <v>0.17771084337349397</v>
      </c>
      <c r="P498" s="300">
        <v>1</v>
      </c>
      <c r="Q498" s="301">
        <v>0.25</v>
      </c>
      <c r="R498" s="301">
        <v>0.5</v>
      </c>
      <c r="S498" s="301">
        <v>0.75</v>
      </c>
      <c r="T498" s="301">
        <v>1</v>
      </c>
      <c r="U498" s="301"/>
      <c r="V498" s="301"/>
      <c r="W498" s="300"/>
      <c r="X498" s="303"/>
      <c r="Y498" s="304"/>
      <c r="Z498" s="305"/>
      <c r="AA498" s="305"/>
      <c r="AB498" s="304"/>
      <c r="AC498" s="305"/>
      <c r="AD498" s="305"/>
      <c r="AE498" s="304"/>
      <c r="AF498" s="305"/>
      <c r="AG498" s="305"/>
      <c r="AH498" s="306"/>
    </row>
    <row r="499" spans="1:34" ht="75" customHeight="1" outlineLevel="1" x14ac:dyDescent="0.25">
      <c r="A499" s="742"/>
      <c r="B499" s="750"/>
      <c r="C499" s="750"/>
      <c r="D499" s="747"/>
      <c r="E499" s="744"/>
      <c r="F499" s="744"/>
      <c r="G499" s="329" t="s">
        <v>1057</v>
      </c>
      <c r="H499" s="822"/>
      <c r="I499" s="12" t="s">
        <v>152</v>
      </c>
      <c r="J499" s="397">
        <v>3500000</v>
      </c>
      <c r="K499" s="319">
        <v>44593</v>
      </c>
      <c r="L499" s="319">
        <v>44925</v>
      </c>
      <c r="M499" s="298">
        <v>44652</v>
      </c>
      <c r="N499" s="299">
        <f t="shared" si="38"/>
        <v>0.17771084337349397</v>
      </c>
      <c r="O499" s="299">
        <f t="shared" si="37"/>
        <v>0.17771084337349397</v>
      </c>
      <c r="P499" s="300">
        <v>1</v>
      </c>
      <c r="Q499" s="301">
        <v>0.25</v>
      </c>
      <c r="R499" s="301">
        <v>0.5</v>
      </c>
      <c r="S499" s="301">
        <v>0.75</v>
      </c>
      <c r="T499" s="301">
        <v>1</v>
      </c>
      <c r="U499" s="301"/>
      <c r="V499" s="301"/>
      <c r="W499" s="300"/>
      <c r="X499" s="303"/>
      <c r="Y499" s="304"/>
      <c r="Z499" s="305"/>
      <c r="AA499" s="305"/>
      <c r="AB499" s="304"/>
      <c r="AC499" s="305"/>
      <c r="AD499" s="305"/>
      <c r="AE499" s="304"/>
      <c r="AF499" s="305"/>
      <c r="AG499" s="305"/>
      <c r="AH499" s="306"/>
    </row>
    <row r="500" spans="1:34" ht="75" customHeight="1" outlineLevel="1" x14ac:dyDescent="0.25">
      <c r="A500" s="742"/>
      <c r="B500" s="750"/>
      <c r="C500" s="750"/>
      <c r="D500" s="747"/>
      <c r="E500" s="744"/>
      <c r="F500" s="744"/>
      <c r="G500" s="329" t="s">
        <v>1058</v>
      </c>
      <c r="H500" s="822"/>
      <c r="I500" s="12" t="s">
        <v>152</v>
      </c>
      <c r="J500" s="397">
        <v>3500000</v>
      </c>
      <c r="K500" s="319">
        <v>44593</v>
      </c>
      <c r="L500" s="319">
        <v>44925</v>
      </c>
      <c r="M500" s="298">
        <v>44652</v>
      </c>
      <c r="N500" s="299">
        <f t="shared" si="38"/>
        <v>0.17771084337349397</v>
      </c>
      <c r="O500" s="299">
        <f t="shared" si="37"/>
        <v>0.17771084337349397</v>
      </c>
      <c r="P500" s="300">
        <v>1</v>
      </c>
      <c r="Q500" s="301">
        <v>0.25</v>
      </c>
      <c r="R500" s="301">
        <v>0.5</v>
      </c>
      <c r="S500" s="301">
        <v>0.75</v>
      </c>
      <c r="T500" s="301">
        <v>1</v>
      </c>
      <c r="U500" s="301"/>
      <c r="V500" s="301"/>
      <c r="W500" s="300"/>
      <c r="X500" s="303"/>
      <c r="Y500" s="304"/>
      <c r="Z500" s="305"/>
      <c r="AA500" s="305"/>
      <c r="AB500" s="304"/>
      <c r="AC500" s="305"/>
      <c r="AD500" s="305"/>
      <c r="AE500" s="304"/>
      <c r="AF500" s="305"/>
      <c r="AG500" s="305"/>
      <c r="AH500" s="306"/>
    </row>
    <row r="501" spans="1:34" ht="75" customHeight="1" outlineLevel="1" x14ac:dyDescent="0.25">
      <c r="A501" s="742"/>
      <c r="B501" s="750"/>
      <c r="C501" s="750"/>
      <c r="D501" s="747"/>
      <c r="E501" s="744"/>
      <c r="F501" s="744"/>
      <c r="G501" s="329" t="s">
        <v>1059</v>
      </c>
      <c r="H501" s="822"/>
      <c r="I501" s="12" t="s">
        <v>152</v>
      </c>
      <c r="J501" s="397">
        <v>3500000</v>
      </c>
      <c r="K501" s="319">
        <v>44593</v>
      </c>
      <c r="L501" s="319">
        <v>44925</v>
      </c>
      <c r="M501" s="298">
        <v>44652</v>
      </c>
      <c r="N501" s="299">
        <f t="shared" si="38"/>
        <v>0.17771084337349397</v>
      </c>
      <c r="O501" s="299">
        <f t="shared" si="37"/>
        <v>0.17771084337349397</v>
      </c>
      <c r="P501" s="300">
        <v>1</v>
      </c>
      <c r="Q501" s="301">
        <v>0.25</v>
      </c>
      <c r="R501" s="301">
        <v>0.5</v>
      </c>
      <c r="S501" s="301">
        <v>0.75</v>
      </c>
      <c r="T501" s="301">
        <v>1</v>
      </c>
      <c r="U501" s="301"/>
      <c r="V501" s="301"/>
      <c r="W501" s="300"/>
      <c r="X501" s="303"/>
      <c r="Y501" s="304"/>
      <c r="Z501" s="305"/>
      <c r="AA501" s="305"/>
      <c r="AB501" s="304"/>
      <c r="AC501" s="305"/>
      <c r="AD501" s="305"/>
      <c r="AE501" s="304"/>
      <c r="AF501" s="305"/>
      <c r="AG501" s="305"/>
      <c r="AH501" s="306"/>
    </row>
    <row r="502" spans="1:34" ht="75" customHeight="1" outlineLevel="1" x14ac:dyDescent="0.25">
      <c r="A502" s="742"/>
      <c r="B502" s="750"/>
      <c r="C502" s="750"/>
      <c r="D502" s="747"/>
      <c r="E502" s="744"/>
      <c r="F502" s="744"/>
      <c r="G502" s="329" t="s">
        <v>1060</v>
      </c>
      <c r="H502" s="822"/>
      <c r="I502" s="12" t="s">
        <v>152</v>
      </c>
      <c r="J502" s="397">
        <v>3500000</v>
      </c>
      <c r="K502" s="319">
        <v>44593</v>
      </c>
      <c r="L502" s="319">
        <v>44925</v>
      </c>
      <c r="M502" s="298">
        <v>44652</v>
      </c>
      <c r="N502" s="299">
        <f t="shared" si="38"/>
        <v>0.17771084337349397</v>
      </c>
      <c r="O502" s="299">
        <f t="shared" si="37"/>
        <v>0.17771084337349397</v>
      </c>
      <c r="P502" s="300">
        <v>1</v>
      </c>
      <c r="Q502" s="301">
        <v>0.25</v>
      </c>
      <c r="R502" s="301">
        <v>0.5</v>
      </c>
      <c r="S502" s="301">
        <v>0.75</v>
      </c>
      <c r="T502" s="301">
        <v>1</v>
      </c>
      <c r="U502" s="301"/>
      <c r="V502" s="301"/>
      <c r="W502" s="300"/>
      <c r="X502" s="303"/>
      <c r="Y502" s="304"/>
      <c r="Z502" s="305"/>
      <c r="AA502" s="305"/>
      <c r="AB502" s="304"/>
      <c r="AC502" s="305"/>
      <c r="AD502" s="305"/>
      <c r="AE502" s="304"/>
      <c r="AF502" s="305"/>
      <c r="AG502" s="305"/>
      <c r="AH502" s="306"/>
    </row>
    <row r="503" spans="1:34" ht="75" customHeight="1" outlineLevel="1" x14ac:dyDescent="0.25">
      <c r="A503" s="742"/>
      <c r="B503" s="750"/>
      <c r="C503" s="750"/>
      <c r="D503" s="747"/>
      <c r="E503" s="744"/>
      <c r="F503" s="744"/>
      <c r="G503" s="329" t="s">
        <v>1061</v>
      </c>
      <c r="H503" s="822"/>
      <c r="I503" s="12" t="s">
        <v>152</v>
      </c>
      <c r="J503" s="397">
        <v>3500000</v>
      </c>
      <c r="K503" s="319">
        <v>44593</v>
      </c>
      <c r="L503" s="319">
        <v>44925</v>
      </c>
      <c r="M503" s="298">
        <v>44652</v>
      </c>
      <c r="N503" s="299">
        <f t="shared" si="38"/>
        <v>0.17771084337349397</v>
      </c>
      <c r="O503" s="299">
        <f t="shared" si="36"/>
        <v>0.17771084337349397</v>
      </c>
      <c r="P503" s="300">
        <v>1</v>
      </c>
      <c r="Q503" s="301">
        <v>0.25</v>
      </c>
      <c r="R503" s="301">
        <v>0.5</v>
      </c>
      <c r="S503" s="301">
        <v>0.75</v>
      </c>
      <c r="T503" s="301">
        <v>1</v>
      </c>
      <c r="U503" s="301"/>
      <c r="V503" s="301"/>
      <c r="W503" s="300"/>
      <c r="X503" s="303"/>
      <c r="Y503" s="304"/>
      <c r="Z503" s="305"/>
      <c r="AA503" s="305"/>
      <c r="AB503" s="304"/>
      <c r="AC503" s="305"/>
      <c r="AD503" s="305"/>
      <c r="AE503" s="304"/>
      <c r="AF503" s="305"/>
      <c r="AG503" s="305"/>
      <c r="AH503" s="306"/>
    </row>
    <row r="504" spans="1:34" ht="75" customHeight="1" outlineLevel="1" x14ac:dyDescent="0.25">
      <c r="A504" s="742"/>
      <c r="B504" s="750"/>
      <c r="C504" s="750"/>
      <c r="D504" s="747"/>
      <c r="E504" s="744"/>
      <c r="F504" s="744"/>
      <c r="G504" s="329" t="s">
        <v>1062</v>
      </c>
      <c r="H504" s="822"/>
      <c r="I504" s="12" t="s">
        <v>152</v>
      </c>
      <c r="J504" s="397">
        <v>4200000</v>
      </c>
      <c r="K504" s="319">
        <v>44593</v>
      </c>
      <c r="L504" s="319">
        <v>44925</v>
      </c>
      <c r="M504" s="298">
        <v>44652</v>
      </c>
      <c r="N504" s="299">
        <f t="shared" si="38"/>
        <v>0.17771084337349397</v>
      </c>
      <c r="O504" s="299">
        <f t="shared" si="36"/>
        <v>0.17771084337349397</v>
      </c>
      <c r="P504" s="300">
        <v>1</v>
      </c>
      <c r="Q504" s="301">
        <v>0.25</v>
      </c>
      <c r="R504" s="301">
        <v>0.5</v>
      </c>
      <c r="S504" s="301">
        <v>0.75</v>
      </c>
      <c r="T504" s="301">
        <v>1</v>
      </c>
      <c r="U504" s="301"/>
      <c r="V504" s="301"/>
      <c r="W504" s="300"/>
      <c r="X504" s="303"/>
      <c r="Y504" s="304"/>
      <c r="Z504" s="305"/>
      <c r="AA504" s="305"/>
      <c r="AB504" s="304"/>
      <c r="AC504" s="305"/>
      <c r="AD504" s="305"/>
      <c r="AE504" s="304"/>
      <c r="AF504" s="305"/>
      <c r="AG504" s="305"/>
      <c r="AH504" s="306"/>
    </row>
    <row r="505" spans="1:34" ht="75" customHeight="1" outlineLevel="1" x14ac:dyDescent="0.25">
      <c r="A505" s="742"/>
      <c r="B505" s="750"/>
      <c r="C505" s="750"/>
      <c r="D505" s="747"/>
      <c r="E505" s="744"/>
      <c r="F505" s="744"/>
      <c r="G505" s="329" t="s">
        <v>1063</v>
      </c>
      <c r="H505" s="822"/>
      <c r="I505" s="12" t="s">
        <v>152</v>
      </c>
      <c r="J505" s="397">
        <v>3500000</v>
      </c>
      <c r="K505" s="319">
        <v>44593</v>
      </c>
      <c r="L505" s="319">
        <v>44925</v>
      </c>
      <c r="M505" s="298">
        <v>44652</v>
      </c>
      <c r="N505" s="299">
        <f t="shared" si="38"/>
        <v>0.17771084337349397</v>
      </c>
      <c r="O505" s="299">
        <f t="shared" si="36"/>
        <v>0.17771084337349397</v>
      </c>
      <c r="P505" s="300">
        <v>1</v>
      </c>
      <c r="Q505" s="301">
        <v>0.25</v>
      </c>
      <c r="R505" s="301">
        <v>0.5</v>
      </c>
      <c r="S505" s="301">
        <v>0.75</v>
      </c>
      <c r="T505" s="301">
        <v>1</v>
      </c>
      <c r="U505" s="301"/>
      <c r="V505" s="301"/>
      <c r="W505" s="300"/>
      <c r="X505" s="303"/>
      <c r="Y505" s="304"/>
      <c r="Z505" s="305"/>
      <c r="AA505" s="305"/>
      <c r="AB505" s="304"/>
      <c r="AC505" s="305"/>
      <c r="AD505" s="305"/>
      <c r="AE505" s="304"/>
      <c r="AF505" s="305"/>
      <c r="AG505" s="305"/>
      <c r="AH505" s="306"/>
    </row>
    <row r="506" spans="1:34" ht="75" customHeight="1" outlineLevel="1" x14ac:dyDescent="0.25">
      <c r="A506" s="742"/>
      <c r="B506" s="750"/>
      <c r="C506" s="750"/>
      <c r="D506" s="747"/>
      <c r="E506" s="744"/>
      <c r="F506" s="744"/>
      <c r="G506" s="329" t="s">
        <v>1064</v>
      </c>
      <c r="H506" s="822"/>
      <c r="I506" s="12" t="s">
        <v>152</v>
      </c>
      <c r="J506" s="397">
        <v>4200000</v>
      </c>
      <c r="K506" s="319">
        <v>44593</v>
      </c>
      <c r="L506" s="319">
        <v>44925</v>
      </c>
      <c r="M506" s="298">
        <v>44652</v>
      </c>
      <c r="N506" s="299">
        <f t="shared" si="38"/>
        <v>0.17771084337349397</v>
      </c>
      <c r="O506" s="299">
        <f t="shared" si="36"/>
        <v>0.17771084337349397</v>
      </c>
      <c r="P506" s="300">
        <v>1</v>
      </c>
      <c r="Q506" s="301">
        <v>0.25</v>
      </c>
      <c r="R506" s="301">
        <v>0.5</v>
      </c>
      <c r="S506" s="301">
        <v>0.75</v>
      </c>
      <c r="T506" s="301">
        <v>1</v>
      </c>
      <c r="U506" s="301"/>
      <c r="V506" s="301"/>
      <c r="W506" s="300"/>
      <c r="X506" s="303"/>
      <c r="Y506" s="304"/>
      <c r="Z506" s="305"/>
      <c r="AA506" s="305"/>
      <c r="AB506" s="304"/>
      <c r="AC506" s="305"/>
      <c r="AD506" s="305"/>
      <c r="AE506" s="304"/>
      <c r="AF506" s="305"/>
      <c r="AG506" s="305"/>
      <c r="AH506" s="306"/>
    </row>
    <row r="507" spans="1:34" ht="56.25" customHeight="1" outlineLevel="1" x14ac:dyDescent="0.25">
      <c r="A507" s="742"/>
      <c r="B507" s="750"/>
      <c r="C507" s="750"/>
      <c r="D507" s="747"/>
      <c r="E507" s="744"/>
      <c r="F507" s="744"/>
      <c r="G507" s="329" t="s">
        <v>1065</v>
      </c>
      <c r="H507" s="822"/>
      <c r="I507" s="12" t="s">
        <v>152</v>
      </c>
      <c r="J507" s="397">
        <v>1750000</v>
      </c>
      <c r="K507" s="319">
        <v>44593</v>
      </c>
      <c r="L507" s="319">
        <v>44925</v>
      </c>
      <c r="M507" s="298">
        <v>44652</v>
      </c>
      <c r="N507" s="299">
        <f t="shared" si="38"/>
        <v>0.17771084337349397</v>
      </c>
      <c r="O507" s="299">
        <f t="shared" si="36"/>
        <v>0.17771084337349397</v>
      </c>
      <c r="P507" s="300">
        <v>1</v>
      </c>
      <c r="Q507" s="301">
        <v>0.25</v>
      </c>
      <c r="R507" s="301">
        <v>0.5</v>
      </c>
      <c r="S507" s="301">
        <v>0.75</v>
      </c>
      <c r="T507" s="301">
        <v>1</v>
      </c>
      <c r="U507" s="301"/>
      <c r="V507" s="301"/>
      <c r="W507" s="300"/>
      <c r="X507" s="303"/>
      <c r="Y507" s="304"/>
      <c r="Z507" s="305"/>
      <c r="AA507" s="305"/>
      <c r="AB507" s="304"/>
      <c r="AC507" s="305"/>
      <c r="AD507" s="305"/>
      <c r="AE507" s="304"/>
      <c r="AF507" s="305"/>
      <c r="AG507" s="305"/>
      <c r="AH507" s="306"/>
    </row>
    <row r="508" spans="1:34" ht="56.25" customHeight="1" outlineLevel="1" x14ac:dyDescent="0.25">
      <c r="A508" s="742"/>
      <c r="B508" s="750"/>
      <c r="C508" s="750"/>
      <c r="D508" s="747"/>
      <c r="E508" s="744"/>
      <c r="F508" s="744"/>
      <c r="G508" s="329" t="s">
        <v>1065</v>
      </c>
      <c r="H508" s="822"/>
      <c r="I508" s="12" t="s">
        <v>152</v>
      </c>
      <c r="J508" s="397">
        <v>1750000</v>
      </c>
      <c r="K508" s="319">
        <v>44593</v>
      </c>
      <c r="L508" s="319">
        <v>44925</v>
      </c>
      <c r="M508" s="298">
        <v>44652</v>
      </c>
      <c r="N508" s="299">
        <f t="shared" si="38"/>
        <v>0.17771084337349397</v>
      </c>
      <c r="O508" s="299">
        <f t="shared" si="36"/>
        <v>0.17771084337349397</v>
      </c>
      <c r="P508" s="300">
        <v>1</v>
      </c>
      <c r="Q508" s="301">
        <v>0.25</v>
      </c>
      <c r="R508" s="301">
        <v>0.5</v>
      </c>
      <c r="S508" s="301">
        <v>0.75</v>
      </c>
      <c r="T508" s="301">
        <v>1</v>
      </c>
      <c r="U508" s="301"/>
      <c r="V508" s="301"/>
      <c r="W508" s="300"/>
      <c r="X508" s="303"/>
      <c r="Y508" s="304"/>
      <c r="Z508" s="305"/>
      <c r="AA508" s="305"/>
      <c r="AB508" s="304"/>
      <c r="AC508" s="305"/>
      <c r="AD508" s="305"/>
      <c r="AE508" s="304"/>
      <c r="AF508" s="305"/>
      <c r="AG508" s="305"/>
      <c r="AH508" s="306"/>
    </row>
    <row r="509" spans="1:34" ht="56.25" customHeight="1" outlineLevel="1" x14ac:dyDescent="0.25">
      <c r="A509" s="742"/>
      <c r="B509" s="750"/>
      <c r="C509" s="750"/>
      <c r="D509" s="747"/>
      <c r="E509" s="744"/>
      <c r="F509" s="744"/>
      <c r="G509" s="329" t="s">
        <v>1066</v>
      </c>
      <c r="H509" s="822"/>
      <c r="I509" s="12" t="s">
        <v>152</v>
      </c>
      <c r="J509" s="397">
        <v>1750000</v>
      </c>
      <c r="K509" s="319">
        <v>44593</v>
      </c>
      <c r="L509" s="319">
        <v>44925</v>
      </c>
      <c r="M509" s="298">
        <v>44652</v>
      </c>
      <c r="N509" s="299">
        <f t="shared" si="38"/>
        <v>0.17771084337349397</v>
      </c>
      <c r="O509" s="299">
        <f t="shared" si="36"/>
        <v>0.17771084337349397</v>
      </c>
      <c r="P509" s="300">
        <v>1</v>
      </c>
      <c r="Q509" s="301">
        <v>0.25</v>
      </c>
      <c r="R509" s="301">
        <v>0.5</v>
      </c>
      <c r="S509" s="301">
        <v>0.75</v>
      </c>
      <c r="T509" s="301">
        <v>1</v>
      </c>
      <c r="U509" s="301"/>
      <c r="V509" s="301"/>
      <c r="W509" s="300"/>
      <c r="X509" s="303"/>
      <c r="Y509" s="304"/>
      <c r="Z509" s="305"/>
      <c r="AA509" s="305"/>
      <c r="AB509" s="304"/>
      <c r="AC509" s="305"/>
      <c r="AD509" s="305"/>
      <c r="AE509" s="304"/>
      <c r="AF509" s="305"/>
      <c r="AG509" s="305"/>
      <c r="AH509" s="306"/>
    </row>
    <row r="510" spans="1:34" ht="75" customHeight="1" outlineLevel="1" x14ac:dyDescent="0.25">
      <c r="A510" s="742"/>
      <c r="B510" s="750"/>
      <c r="C510" s="750"/>
      <c r="D510" s="747"/>
      <c r="E510" s="744"/>
      <c r="F510" s="744"/>
      <c r="G510" s="329" t="s">
        <v>1067</v>
      </c>
      <c r="H510" s="822"/>
      <c r="I510" s="12" t="s">
        <v>152</v>
      </c>
      <c r="J510" s="397">
        <v>1750000</v>
      </c>
      <c r="K510" s="319">
        <v>44593</v>
      </c>
      <c r="L510" s="319">
        <v>44925</v>
      </c>
      <c r="M510" s="298">
        <v>44652</v>
      </c>
      <c r="N510" s="299">
        <f t="shared" si="38"/>
        <v>0.17771084337349397</v>
      </c>
      <c r="O510" s="299">
        <f t="shared" ref="O510:O511" si="39">+IF(N510&gt;=100,100,IF(N510&lt;=0,0,N510))</f>
        <v>0.17771084337349397</v>
      </c>
      <c r="P510" s="300">
        <v>1</v>
      </c>
      <c r="Q510" s="301">
        <v>0.25</v>
      </c>
      <c r="R510" s="301">
        <v>0.5</v>
      </c>
      <c r="S510" s="301">
        <v>0.75</v>
      </c>
      <c r="T510" s="301">
        <v>1</v>
      </c>
      <c r="U510" s="301"/>
      <c r="V510" s="301"/>
      <c r="W510" s="300"/>
      <c r="X510" s="303"/>
      <c r="Y510" s="304"/>
      <c r="Z510" s="305"/>
      <c r="AA510" s="305"/>
      <c r="AB510" s="304"/>
      <c r="AC510" s="305"/>
      <c r="AD510" s="305"/>
      <c r="AE510" s="304"/>
      <c r="AF510" s="305"/>
      <c r="AG510" s="305"/>
      <c r="AH510" s="306"/>
    </row>
    <row r="511" spans="1:34" ht="46.5" customHeight="1" outlineLevel="1" x14ac:dyDescent="0.25">
      <c r="A511" s="742"/>
      <c r="B511" s="751"/>
      <c r="C511" s="751"/>
      <c r="D511" s="748"/>
      <c r="E511" s="745"/>
      <c r="F511" s="745"/>
      <c r="G511" s="364" t="s">
        <v>1068</v>
      </c>
      <c r="H511" s="823"/>
      <c r="I511" s="12" t="s">
        <v>1069</v>
      </c>
      <c r="J511" s="397">
        <v>10000000</v>
      </c>
      <c r="K511" s="319">
        <v>44593</v>
      </c>
      <c r="L511" s="319">
        <v>44925</v>
      </c>
      <c r="M511" s="298">
        <v>44652</v>
      </c>
      <c r="N511" s="299">
        <f t="shared" si="38"/>
        <v>0.17771084337349397</v>
      </c>
      <c r="O511" s="299">
        <f t="shared" si="39"/>
        <v>0.17771084337349397</v>
      </c>
      <c r="P511" s="300">
        <v>1</v>
      </c>
      <c r="Q511" s="301">
        <v>0.25</v>
      </c>
      <c r="R511" s="301">
        <v>0.5</v>
      </c>
      <c r="S511" s="301">
        <v>0.75</v>
      </c>
      <c r="T511" s="301">
        <v>1</v>
      </c>
      <c r="U511" s="301"/>
      <c r="V511" s="301"/>
      <c r="W511" s="300"/>
      <c r="X511" s="303"/>
      <c r="Y511" s="304"/>
      <c r="Z511" s="305"/>
      <c r="AA511" s="305"/>
      <c r="AB511" s="304"/>
      <c r="AC511" s="305"/>
      <c r="AD511" s="305"/>
      <c r="AE511" s="304"/>
      <c r="AF511" s="305"/>
      <c r="AG511" s="305"/>
      <c r="AH511" s="306"/>
    </row>
    <row r="512" spans="1:34" ht="93.75" customHeight="1" outlineLevel="1" x14ac:dyDescent="0.25">
      <c r="A512" s="742"/>
      <c r="B512" s="749" t="s">
        <v>868</v>
      </c>
      <c r="C512" s="749" t="s">
        <v>52</v>
      </c>
      <c r="D512" s="788" t="s">
        <v>12</v>
      </c>
      <c r="E512" s="339" t="s">
        <v>982</v>
      </c>
      <c r="F512" s="339" t="s">
        <v>1070</v>
      </c>
      <c r="G512" s="340" t="s">
        <v>1071</v>
      </c>
      <c r="H512" s="340" t="s">
        <v>797</v>
      </c>
      <c r="I512" s="12" t="s">
        <v>1072</v>
      </c>
      <c r="J512" s="12" t="s">
        <v>59</v>
      </c>
      <c r="K512" s="319">
        <v>44593</v>
      </c>
      <c r="L512" s="319">
        <v>44925</v>
      </c>
      <c r="M512" s="298">
        <v>44652</v>
      </c>
      <c r="N512" s="299">
        <f t="shared" si="38"/>
        <v>0.17771084337349397</v>
      </c>
      <c r="O512" s="299">
        <f t="shared" si="36"/>
        <v>0.17771084337349397</v>
      </c>
      <c r="P512" s="300">
        <v>0.5</v>
      </c>
      <c r="Q512" s="301">
        <v>0.01</v>
      </c>
      <c r="R512" s="301">
        <v>0.01</v>
      </c>
      <c r="S512" s="301">
        <v>0.02</v>
      </c>
      <c r="T512" s="301">
        <v>0.02</v>
      </c>
      <c r="U512" s="301"/>
      <c r="V512" s="301"/>
      <c r="W512" s="300"/>
      <c r="X512" s="303"/>
      <c r="Y512" s="304"/>
      <c r="Z512" s="305"/>
      <c r="AA512" s="305"/>
      <c r="AB512" s="304"/>
      <c r="AC512" s="305"/>
      <c r="AD512" s="305"/>
      <c r="AE512" s="304"/>
      <c r="AF512" s="305"/>
      <c r="AG512" s="305"/>
      <c r="AH512" s="306"/>
    </row>
    <row r="513" spans="1:34" ht="96.75" customHeight="1" outlineLevel="1" x14ac:dyDescent="0.25">
      <c r="A513" s="742"/>
      <c r="B513" s="750"/>
      <c r="C513" s="750"/>
      <c r="D513" s="788"/>
      <c r="E513" s="818" t="s">
        <v>721</v>
      </c>
      <c r="F513" s="818" t="s">
        <v>767</v>
      </c>
      <c r="G513" s="340" t="s">
        <v>1073</v>
      </c>
      <c r="H513" s="773" t="s">
        <v>723</v>
      </c>
      <c r="I513" s="12" t="s">
        <v>661</v>
      </c>
      <c r="J513" s="12" t="s">
        <v>59</v>
      </c>
      <c r="K513" s="319">
        <v>44593</v>
      </c>
      <c r="L513" s="319">
        <v>44925</v>
      </c>
      <c r="M513" s="298">
        <v>44652</v>
      </c>
      <c r="N513" s="299">
        <f t="shared" si="38"/>
        <v>0.17771084337349397</v>
      </c>
      <c r="O513" s="299">
        <f t="shared" si="36"/>
        <v>0.17771084337349397</v>
      </c>
      <c r="P513" s="300" t="s">
        <v>59</v>
      </c>
      <c r="Q513" s="301" t="s">
        <v>59</v>
      </c>
      <c r="R513" s="301" t="s">
        <v>59</v>
      </c>
      <c r="S513" s="301" t="s">
        <v>59</v>
      </c>
      <c r="T513" s="301" t="s">
        <v>59</v>
      </c>
      <c r="U513" s="301"/>
      <c r="V513" s="301"/>
      <c r="W513" s="300"/>
      <c r="X513" s="303"/>
      <c r="Y513" s="304"/>
      <c r="Z513" s="305"/>
      <c r="AA513" s="305"/>
      <c r="AB513" s="304"/>
      <c r="AC513" s="305"/>
      <c r="AD513" s="305"/>
      <c r="AE513" s="304"/>
      <c r="AF513" s="305"/>
      <c r="AG513" s="305"/>
      <c r="AH513" s="306"/>
    </row>
    <row r="514" spans="1:34" ht="59.25" customHeight="1" outlineLevel="1" x14ac:dyDescent="0.25">
      <c r="A514" s="742"/>
      <c r="B514" s="750"/>
      <c r="C514" s="750"/>
      <c r="D514" s="788"/>
      <c r="E514" s="819"/>
      <c r="F514" s="819"/>
      <c r="G514" s="340" t="s">
        <v>1074</v>
      </c>
      <c r="H514" s="774"/>
      <c r="I514" s="12" t="s">
        <v>152</v>
      </c>
      <c r="J514" s="397">
        <v>19000000</v>
      </c>
      <c r="K514" s="319">
        <v>44593</v>
      </c>
      <c r="L514" s="319">
        <v>44925</v>
      </c>
      <c r="M514" s="298">
        <v>44652</v>
      </c>
      <c r="N514" s="299">
        <f t="shared" si="38"/>
        <v>0.17771084337349397</v>
      </c>
      <c r="O514" s="299">
        <f t="shared" ref="O514:O519" si="40">+IF(N514&gt;=100,100,IF(N514&lt;=0,0,N514))</f>
        <v>0.17771084337349397</v>
      </c>
      <c r="P514" s="300">
        <v>1</v>
      </c>
      <c r="Q514" s="301">
        <v>0.25</v>
      </c>
      <c r="R514" s="301">
        <v>0.5</v>
      </c>
      <c r="S514" s="301">
        <v>0.75</v>
      </c>
      <c r="T514" s="301">
        <v>1</v>
      </c>
      <c r="U514" s="301"/>
      <c r="V514" s="301"/>
      <c r="W514" s="300"/>
      <c r="X514" s="303"/>
      <c r="Y514" s="304"/>
      <c r="Z514" s="305"/>
      <c r="AA514" s="305"/>
      <c r="AB514" s="304"/>
      <c r="AC514" s="305"/>
      <c r="AD514" s="305"/>
      <c r="AE514" s="304"/>
      <c r="AF514" s="305"/>
      <c r="AG514" s="305"/>
      <c r="AH514" s="306"/>
    </row>
    <row r="515" spans="1:34" ht="46.5" customHeight="1" outlineLevel="1" x14ac:dyDescent="0.25">
      <c r="A515" s="742"/>
      <c r="B515" s="750"/>
      <c r="C515" s="750"/>
      <c r="D515" s="788"/>
      <c r="E515" s="819"/>
      <c r="F515" s="819"/>
      <c r="G515" s="340" t="s">
        <v>1075</v>
      </c>
      <c r="H515" s="774"/>
      <c r="I515" s="12" t="s">
        <v>1076</v>
      </c>
      <c r="J515" s="397">
        <v>6000000</v>
      </c>
      <c r="K515" s="319">
        <v>44593</v>
      </c>
      <c r="L515" s="319">
        <v>44925</v>
      </c>
      <c r="M515" s="298">
        <v>44652</v>
      </c>
      <c r="N515" s="299">
        <f t="shared" si="38"/>
        <v>0.17771084337349397</v>
      </c>
      <c r="O515" s="299">
        <f t="shared" si="40"/>
        <v>0.17771084337349397</v>
      </c>
      <c r="P515" s="300">
        <v>1</v>
      </c>
      <c r="Q515" s="301">
        <v>0.25</v>
      </c>
      <c r="R515" s="301">
        <v>0.5</v>
      </c>
      <c r="S515" s="301">
        <v>0.75</v>
      </c>
      <c r="T515" s="301">
        <v>1</v>
      </c>
      <c r="U515" s="301"/>
      <c r="V515" s="301"/>
      <c r="W515" s="300"/>
      <c r="X515" s="303"/>
      <c r="Y515" s="304"/>
      <c r="Z515" s="305"/>
      <c r="AA515" s="305"/>
      <c r="AB515" s="304"/>
      <c r="AC515" s="305"/>
      <c r="AD515" s="305"/>
      <c r="AE515" s="304"/>
      <c r="AF515" s="305"/>
      <c r="AG515" s="305"/>
      <c r="AH515" s="306"/>
    </row>
    <row r="516" spans="1:34" ht="72" customHeight="1" outlineLevel="1" x14ac:dyDescent="0.25">
      <c r="A516" s="742"/>
      <c r="B516" s="750"/>
      <c r="C516" s="750"/>
      <c r="D516" s="788"/>
      <c r="E516" s="819"/>
      <c r="F516" s="819"/>
      <c r="G516" s="340" t="s">
        <v>1077</v>
      </c>
      <c r="H516" s="774"/>
      <c r="I516" s="12" t="s">
        <v>152</v>
      </c>
      <c r="J516" s="397">
        <v>4000000</v>
      </c>
      <c r="K516" s="319">
        <v>44593</v>
      </c>
      <c r="L516" s="319">
        <v>44925</v>
      </c>
      <c r="M516" s="298">
        <v>44652</v>
      </c>
      <c r="N516" s="299">
        <f t="shared" si="38"/>
        <v>0.17771084337349397</v>
      </c>
      <c r="O516" s="299">
        <f t="shared" si="40"/>
        <v>0.17771084337349397</v>
      </c>
      <c r="P516" s="300">
        <v>1</v>
      </c>
      <c r="Q516" s="301">
        <v>0.25</v>
      </c>
      <c r="R516" s="301">
        <v>0.5</v>
      </c>
      <c r="S516" s="301">
        <v>0.75</v>
      </c>
      <c r="T516" s="301">
        <v>1</v>
      </c>
      <c r="U516" s="301"/>
      <c r="V516" s="301"/>
      <c r="W516" s="300"/>
      <c r="X516" s="303"/>
      <c r="Y516" s="304"/>
      <c r="Z516" s="305"/>
      <c r="AA516" s="305"/>
      <c r="AB516" s="304"/>
      <c r="AC516" s="305"/>
      <c r="AD516" s="305"/>
      <c r="AE516" s="304"/>
      <c r="AF516" s="305"/>
      <c r="AG516" s="305"/>
      <c r="AH516" s="306"/>
    </row>
    <row r="517" spans="1:34" ht="46.5" customHeight="1" outlineLevel="1" x14ac:dyDescent="0.25">
      <c r="A517" s="742"/>
      <c r="B517" s="750"/>
      <c r="C517" s="750"/>
      <c r="D517" s="788"/>
      <c r="E517" s="819"/>
      <c r="F517" s="819"/>
      <c r="G517" s="340" t="s">
        <v>1078</v>
      </c>
      <c r="H517" s="774"/>
      <c r="I517" s="12" t="s">
        <v>152</v>
      </c>
      <c r="J517" s="397">
        <v>6000000</v>
      </c>
      <c r="K517" s="319">
        <v>44593</v>
      </c>
      <c r="L517" s="319">
        <v>44925</v>
      </c>
      <c r="M517" s="298">
        <v>44652</v>
      </c>
      <c r="N517" s="299">
        <f t="shared" si="38"/>
        <v>0.17771084337349397</v>
      </c>
      <c r="O517" s="299">
        <f t="shared" si="40"/>
        <v>0.17771084337349397</v>
      </c>
      <c r="P517" s="300">
        <v>1</v>
      </c>
      <c r="Q517" s="301">
        <v>0.25</v>
      </c>
      <c r="R517" s="301">
        <v>0.5</v>
      </c>
      <c r="S517" s="301">
        <v>0.75</v>
      </c>
      <c r="T517" s="301">
        <v>1</v>
      </c>
      <c r="U517" s="301"/>
      <c r="V517" s="301"/>
      <c r="W517" s="300"/>
      <c r="X517" s="303"/>
      <c r="Y517" s="304"/>
      <c r="Z517" s="305"/>
      <c r="AA517" s="305"/>
      <c r="AB517" s="304"/>
      <c r="AC517" s="305"/>
      <c r="AD517" s="305"/>
      <c r="AE517" s="304"/>
      <c r="AF517" s="305"/>
      <c r="AG517" s="305"/>
      <c r="AH517" s="306"/>
    </row>
    <row r="518" spans="1:34" ht="161.25" customHeight="1" outlineLevel="1" x14ac:dyDescent="0.25">
      <c r="A518" s="742"/>
      <c r="B518" s="750"/>
      <c r="C518" s="750"/>
      <c r="D518" s="788"/>
      <c r="E518" s="819"/>
      <c r="F518" s="819"/>
      <c r="G518" s="340" t="s">
        <v>1079</v>
      </c>
      <c r="H518" s="774"/>
      <c r="I518" s="12" t="s">
        <v>152</v>
      </c>
      <c r="J518" s="397">
        <v>20000000</v>
      </c>
      <c r="K518" s="319">
        <v>44593</v>
      </c>
      <c r="L518" s="319">
        <v>44925</v>
      </c>
      <c r="M518" s="298">
        <v>44652</v>
      </c>
      <c r="N518" s="299">
        <f t="shared" si="38"/>
        <v>0.17771084337349397</v>
      </c>
      <c r="O518" s="299">
        <f t="shared" si="40"/>
        <v>0.17771084337349397</v>
      </c>
      <c r="P518" s="300">
        <v>1</v>
      </c>
      <c r="Q518" s="301">
        <v>0.25</v>
      </c>
      <c r="R518" s="301">
        <v>0.5</v>
      </c>
      <c r="S518" s="301">
        <v>0.75</v>
      </c>
      <c r="T518" s="301">
        <v>1</v>
      </c>
      <c r="U518" s="301"/>
      <c r="V518" s="301"/>
      <c r="W518" s="300"/>
      <c r="X518" s="303"/>
      <c r="Y518" s="304"/>
      <c r="Z518" s="305"/>
      <c r="AA518" s="305"/>
      <c r="AB518" s="304"/>
      <c r="AC518" s="305"/>
      <c r="AD518" s="305"/>
      <c r="AE518" s="304"/>
      <c r="AF518" s="305"/>
      <c r="AG518" s="305"/>
      <c r="AH518" s="306"/>
    </row>
    <row r="519" spans="1:34" ht="56.25" customHeight="1" outlineLevel="1" x14ac:dyDescent="0.25">
      <c r="A519" s="742"/>
      <c r="B519" s="750"/>
      <c r="C519" s="750"/>
      <c r="D519" s="789"/>
      <c r="E519" s="820"/>
      <c r="F519" s="820"/>
      <c r="G519" s="340" t="s">
        <v>1080</v>
      </c>
      <c r="H519" s="775"/>
      <c r="I519" s="12" t="s">
        <v>1081</v>
      </c>
      <c r="J519" s="397">
        <v>25000000</v>
      </c>
      <c r="K519" s="319">
        <v>44593</v>
      </c>
      <c r="L519" s="319">
        <v>44925</v>
      </c>
      <c r="M519" s="298">
        <v>44652</v>
      </c>
      <c r="N519" s="299">
        <f t="shared" si="38"/>
        <v>0.17771084337349397</v>
      </c>
      <c r="O519" s="299">
        <f t="shared" si="40"/>
        <v>0.17771084337349397</v>
      </c>
      <c r="P519" s="300">
        <v>1</v>
      </c>
      <c r="Q519" s="301">
        <v>0.25</v>
      </c>
      <c r="R519" s="301">
        <v>0.5</v>
      </c>
      <c r="S519" s="301">
        <v>0.75</v>
      </c>
      <c r="T519" s="301">
        <v>1</v>
      </c>
      <c r="U519" s="301"/>
      <c r="V519" s="301"/>
      <c r="W519" s="300"/>
      <c r="X519" s="303"/>
      <c r="Y519" s="304"/>
      <c r="Z519" s="305"/>
      <c r="AA519" s="305"/>
      <c r="AB519" s="304"/>
      <c r="AC519" s="305"/>
      <c r="AD519" s="305"/>
      <c r="AE519" s="304"/>
      <c r="AF519" s="305"/>
      <c r="AG519" s="305"/>
      <c r="AH519" s="306"/>
    </row>
    <row r="520" spans="1:34" ht="57" customHeight="1" thickBot="1" x14ac:dyDescent="0.3">
      <c r="A520" s="920" t="s">
        <v>1082</v>
      </c>
      <c r="B520" s="921"/>
      <c r="C520" s="921"/>
      <c r="D520" s="921"/>
      <c r="E520" s="921"/>
      <c r="F520" s="921"/>
      <c r="G520" s="921"/>
      <c r="H520" s="921"/>
      <c r="I520" s="921"/>
      <c r="J520" s="921"/>
      <c r="K520" s="921"/>
      <c r="L520" s="922"/>
      <c r="M520" s="398">
        <v>44652</v>
      </c>
      <c r="N520" s="299"/>
      <c r="O520" s="313">
        <f t="array" ref="O520">+AVERAGE((O408:O513)*100)</f>
        <v>11.232666515117065</v>
      </c>
      <c r="P520" s="314">
        <v>100</v>
      </c>
      <c r="Q520" s="851"/>
      <c r="R520" s="852"/>
      <c r="S520" s="852"/>
      <c r="T520" s="853"/>
      <c r="U520" s="321"/>
      <c r="V520" s="301"/>
      <c r="W520" s="322"/>
      <c r="X520" s="323"/>
      <c r="Y520" s="324"/>
      <c r="Z520" s="320"/>
      <c r="AA520" s="320"/>
      <c r="AB520" s="324"/>
      <c r="AC520" s="320"/>
      <c r="AD520" s="320"/>
      <c r="AE520" s="324"/>
      <c r="AF520" s="320"/>
      <c r="AG520" s="320"/>
      <c r="AH520" s="306"/>
    </row>
    <row r="521" spans="1:34" ht="18" customHeight="1" x14ac:dyDescent="0.25">
      <c r="A521" s="306"/>
      <c r="B521" s="306"/>
      <c r="C521" s="306"/>
      <c r="D521" s="306"/>
      <c r="E521" s="325"/>
      <c r="F521" s="325"/>
      <c r="G521" s="306"/>
      <c r="H521" s="306"/>
      <c r="I521" s="326" t="s">
        <v>1083</v>
      </c>
      <c r="J521" s="326"/>
      <c r="K521" s="306"/>
      <c r="L521" s="306"/>
      <c r="M521" s="399"/>
      <c r="N521" s="306"/>
      <c r="O521" s="306"/>
      <c r="P521" s="306"/>
      <c r="Q521" s="306"/>
      <c r="R521" s="306"/>
      <c r="S521" s="306"/>
      <c r="T521" s="306"/>
      <c r="U521" s="327"/>
      <c r="V521" s="307"/>
      <c r="W521" s="306"/>
      <c r="X521" s="306"/>
      <c r="Y521" s="328"/>
      <c r="Z521" s="306"/>
      <c r="AA521" s="306"/>
      <c r="AB521" s="328"/>
      <c r="AC521" s="306"/>
      <c r="AD521" s="306"/>
      <c r="AE521" s="328"/>
      <c r="AF521" s="306"/>
      <c r="AG521" s="306"/>
      <c r="AH521" s="306"/>
    </row>
    <row r="522" spans="1:34" ht="45" thickBot="1" x14ac:dyDescent="0.3">
      <c r="F522" s="281"/>
    </row>
    <row r="523" spans="1:34" ht="13.95" customHeight="1" thickTop="1" x14ac:dyDescent="0.25">
      <c r="A523" s="903" t="s">
        <v>1084</v>
      </c>
      <c r="B523" s="904"/>
      <c r="C523" s="904"/>
      <c r="D523" s="904"/>
      <c r="E523" s="904"/>
      <c r="F523" s="904"/>
      <c r="G523" s="904"/>
      <c r="H523" s="905"/>
      <c r="I523" s="916" t="s">
        <v>1085</v>
      </c>
      <c r="J523" s="923"/>
      <c r="K523" s="923"/>
      <c r="L523" s="923"/>
      <c r="M523" s="923"/>
      <c r="N523" s="923"/>
      <c r="O523" s="923"/>
      <c r="P523" s="924"/>
      <c r="Q523" s="916" t="s">
        <v>1086</v>
      </c>
      <c r="R523" s="917"/>
      <c r="S523" s="903" t="s">
        <v>1087</v>
      </c>
      <c r="T523" s="904"/>
      <c r="U523" s="904"/>
      <c r="V523" s="904"/>
      <c r="W523" s="935"/>
      <c r="X523" s="901">
        <v>1</v>
      </c>
    </row>
    <row r="524" spans="1:34" ht="13.2" customHeight="1" thickBot="1" x14ac:dyDescent="0.3">
      <c r="A524" s="906"/>
      <c r="B524" s="907"/>
      <c r="C524" s="907"/>
      <c r="D524" s="907"/>
      <c r="E524" s="907"/>
      <c r="F524" s="907"/>
      <c r="G524" s="907"/>
      <c r="H524" s="908"/>
      <c r="I524" s="918"/>
      <c r="J524" s="925"/>
      <c r="K524" s="925"/>
      <c r="L524" s="925"/>
      <c r="M524" s="925"/>
      <c r="N524" s="925"/>
      <c r="O524" s="925"/>
      <c r="P524" s="926"/>
      <c r="Q524" s="918"/>
      <c r="R524" s="919"/>
      <c r="S524" s="906"/>
      <c r="T524" s="907"/>
      <c r="U524" s="907"/>
      <c r="V524" s="907"/>
      <c r="W524" s="936"/>
      <c r="X524" s="902"/>
    </row>
    <row r="525" spans="1:34" ht="1.95" customHeight="1" x14ac:dyDescent="0.25">
      <c r="F525" s="281"/>
    </row>
    <row r="526" spans="1:34" x14ac:dyDescent="0.25">
      <c r="F526" s="281"/>
    </row>
    <row r="527" spans="1:34" x14ac:dyDescent="0.25">
      <c r="F527" s="281"/>
    </row>
    <row r="528" spans="1:34" x14ac:dyDescent="0.25">
      <c r="F528" s="281"/>
    </row>
    <row r="529" spans="6:6" x14ac:dyDescent="0.25">
      <c r="F529" s="281"/>
    </row>
    <row r="530" spans="6:6" x14ac:dyDescent="0.25">
      <c r="F530" s="281"/>
    </row>
    <row r="531" spans="6:6" x14ac:dyDescent="0.25">
      <c r="F531" s="281"/>
    </row>
    <row r="532" spans="6:6" x14ac:dyDescent="0.25">
      <c r="F532" s="281"/>
    </row>
    <row r="533" spans="6:6" x14ac:dyDescent="0.25">
      <c r="F533" s="281"/>
    </row>
    <row r="534" spans="6:6" x14ac:dyDescent="0.25">
      <c r="F534" s="281"/>
    </row>
    <row r="535" spans="6:6" x14ac:dyDescent="0.25">
      <c r="F535" s="281"/>
    </row>
    <row r="536" spans="6:6" x14ac:dyDescent="0.25">
      <c r="F536" s="281"/>
    </row>
    <row r="537" spans="6:6" x14ac:dyDescent="0.25">
      <c r="F537" s="281"/>
    </row>
    <row r="538" spans="6:6" x14ac:dyDescent="0.25">
      <c r="F538" s="281"/>
    </row>
    <row r="539" spans="6:6" x14ac:dyDescent="0.25">
      <c r="F539" s="281"/>
    </row>
    <row r="540" spans="6:6" x14ac:dyDescent="0.25">
      <c r="F540" s="281"/>
    </row>
    <row r="541" spans="6:6" x14ac:dyDescent="0.25">
      <c r="F541" s="281"/>
    </row>
    <row r="542" spans="6:6" x14ac:dyDescent="0.25">
      <c r="F542" s="281"/>
    </row>
    <row r="543" spans="6:6" x14ac:dyDescent="0.25">
      <c r="F543" s="281"/>
    </row>
    <row r="544" spans="6:6" x14ac:dyDescent="0.25">
      <c r="F544" s="281"/>
    </row>
    <row r="545" spans="6:6" x14ac:dyDescent="0.25">
      <c r="F545" s="281"/>
    </row>
    <row r="546" spans="6:6" x14ac:dyDescent="0.25">
      <c r="F546" s="281"/>
    </row>
    <row r="547" spans="6:6" x14ac:dyDescent="0.25">
      <c r="F547" s="281"/>
    </row>
    <row r="548" spans="6:6" x14ac:dyDescent="0.25">
      <c r="F548" s="281"/>
    </row>
    <row r="549" spans="6:6" x14ac:dyDescent="0.25">
      <c r="F549" s="281"/>
    </row>
    <row r="550" spans="6:6" x14ac:dyDescent="0.25">
      <c r="F550" s="281"/>
    </row>
    <row r="551" spans="6:6" x14ac:dyDescent="0.25">
      <c r="F551" s="281"/>
    </row>
    <row r="552" spans="6:6" x14ac:dyDescent="0.25">
      <c r="F552" s="281"/>
    </row>
    <row r="553" spans="6:6" x14ac:dyDescent="0.25">
      <c r="F553" s="281"/>
    </row>
    <row r="554" spans="6:6" x14ac:dyDescent="0.25">
      <c r="F554" s="281"/>
    </row>
    <row r="555" spans="6:6" x14ac:dyDescent="0.25">
      <c r="F555" s="281"/>
    </row>
    <row r="556" spans="6:6" x14ac:dyDescent="0.25">
      <c r="F556" s="281"/>
    </row>
    <row r="557" spans="6:6" x14ac:dyDescent="0.25">
      <c r="F557" s="281"/>
    </row>
    <row r="558" spans="6:6" x14ac:dyDescent="0.25">
      <c r="F558" s="281"/>
    </row>
    <row r="559" spans="6:6" x14ac:dyDescent="0.25">
      <c r="F559" s="281"/>
    </row>
    <row r="560" spans="6:6" x14ac:dyDescent="0.25">
      <c r="F560" s="281"/>
    </row>
    <row r="561" spans="6:6" x14ac:dyDescent="0.25">
      <c r="F561" s="281"/>
    </row>
    <row r="562" spans="6:6" x14ac:dyDescent="0.25">
      <c r="F562" s="281"/>
    </row>
    <row r="563" spans="6:6" x14ac:dyDescent="0.25">
      <c r="F563" s="281"/>
    </row>
    <row r="564" spans="6:6" x14ac:dyDescent="0.25">
      <c r="F564" s="281"/>
    </row>
    <row r="565" spans="6:6" x14ac:dyDescent="0.25">
      <c r="F565" s="281"/>
    </row>
    <row r="566" spans="6:6" x14ac:dyDescent="0.25">
      <c r="F566" s="281"/>
    </row>
    <row r="567" spans="6:6" x14ac:dyDescent="0.25">
      <c r="F567" s="281"/>
    </row>
    <row r="568" spans="6:6" x14ac:dyDescent="0.25">
      <c r="F568" s="281"/>
    </row>
    <row r="569" spans="6:6" x14ac:dyDescent="0.25">
      <c r="F569" s="281"/>
    </row>
    <row r="570" spans="6:6" x14ac:dyDescent="0.25">
      <c r="F570" s="281"/>
    </row>
    <row r="571" spans="6:6" x14ac:dyDescent="0.25">
      <c r="F571" s="281"/>
    </row>
    <row r="572" spans="6:6" x14ac:dyDescent="0.25">
      <c r="F572" s="281"/>
    </row>
    <row r="573" spans="6:6" x14ac:dyDescent="0.25">
      <c r="F573" s="281"/>
    </row>
    <row r="574" spans="6:6" x14ac:dyDescent="0.25">
      <c r="F574" s="281"/>
    </row>
    <row r="575" spans="6:6" x14ac:dyDescent="0.25">
      <c r="F575" s="281"/>
    </row>
    <row r="576" spans="6:6" x14ac:dyDescent="0.25">
      <c r="F576" s="281"/>
    </row>
    <row r="577" spans="6:6" x14ac:dyDescent="0.25">
      <c r="F577" s="281"/>
    </row>
    <row r="578" spans="6:6" x14ac:dyDescent="0.25">
      <c r="F578" s="281"/>
    </row>
    <row r="579" spans="6:6" x14ac:dyDescent="0.25">
      <c r="F579" s="281"/>
    </row>
    <row r="580" spans="6:6" x14ac:dyDescent="0.25">
      <c r="F580" s="281"/>
    </row>
    <row r="581" spans="6:6" x14ac:dyDescent="0.25">
      <c r="F581" s="281"/>
    </row>
    <row r="582" spans="6:6" x14ac:dyDescent="0.25">
      <c r="F582" s="281"/>
    </row>
    <row r="583" spans="6:6" x14ac:dyDescent="0.25">
      <c r="F583" s="281"/>
    </row>
    <row r="584" spans="6:6" x14ac:dyDescent="0.25">
      <c r="F584" s="281"/>
    </row>
    <row r="585" spans="6:6" x14ac:dyDescent="0.25">
      <c r="F585" s="281"/>
    </row>
    <row r="586" spans="6:6" x14ac:dyDescent="0.25">
      <c r="F586" s="281"/>
    </row>
    <row r="587" spans="6:6" x14ac:dyDescent="0.25">
      <c r="F587" s="281"/>
    </row>
    <row r="588" spans="6:6" x14ac:dyDescent="0.25">
      <c r="F588" s="281"/>
    </row>
    <row r="589" spans="6:6" x14ac:dyDescent="0.25">
      <c r="F589" s="281"/>
    </row>
    <row r="590" spans="6:6" x14ac:dyDescent="0.25">
      <c r="F590" s="281"/>
    </row>
    <row r="591" spans="6:6" x14ac:dyDescent="0.25">
      <c r="F591" s="281"/>
    </row>
    <row r="592" spans="6:6" x14ac:dyDescent="0.25">
      <c r="F592" s="281"/>
    </row>
    <row r="593" spans="6:6" x14ac:dyDescent="0.25">
      <c r="F593" s="281"/>
    </row>
    <row r="594" spans="6:6" x14ac:dyDescent="0.25">
      <c r="F594" s="281"/>
    </row>
    <row r="595" spans="6:6" x14ac:dyDescent="0.25">
      <c r="F595" s="281"/>
    </row>
    <row r="596" spans="6:6" x14ac:dyDescent="0.25">
      <c r="F596" s="281"/>
    </row>
    <row r="597" spans="6:6" x14ac:dyDescent="0.25">
      <c r="F597" s="281"/>
    </row>
    <row r="598" spans="6:6" x14ac:dyDescent="0.25">
      <c r="F598" s="281"/>
    </row>
    <row r="599" spans="6:6" x14ac:dyDescent="0.25">
      <c r="F599" s="281"/>
    </row>
    <row r="600" spans="6:6" x14ac:dyDescent="0.25">
      <c r="F600" s="281"/>
    </row>
    <row r="601" spans="6:6" x14ac:dyDescent="0.25">
      <c r="F601" s="281"/>
    </row>
    <row r="602" spans="6:6" x14ac:dyDescent="0.25">
      <c r="F602" s="281"/>
    </row>
    <row r="603" spans="6:6" x14ac:dyDescent="0.25">
      <c r="F603" s="281"/>
    </row>
    <row r="604" spans="6:6" x14ac:dyDescent="0.25">
      <c r="F604" s="281"/>
    </row>
    <row r="605" spans="6:6" x14ac:dyDescent="0.25">
      <c r="F605" s="281"/>
    </row>
    <row r="606" spans="6:6" x14ac:dyDescent="0.25">
      <c r="F606" s="281"/>
    </row>
    <row r="607" spans="6:6" x14ac:dyDescent="0.25">
      <c r="F607" s="281"/>
    </row>
    <row r="608" spans="6:6" x14ac:dyDescent="0.25">
      <c r="F608" s="281"/>
    </row>
    <row r="609" spans="6:6" x14ac:dyDescent="0.25">
      <c r="F609" s="281"/>
    </row>
    <row r="610" spans="6:6" x14ac:dyDescent="0.25">
      <c r="F610" s="281"/>
    </row>
    <row r="611" spans="6:6" x14ac:dyDescent="0.25">
      <c r="F611" s="281"/>
    </row>
    <row r="612" spans="6:6" x14ac:dyDescent="0.25">
      <c r="F612" s="281"/>
    </row>
    <row r="613" spans="6:6" x14ac:dyDescent="0.25">
      <c r="F613" s="281"/>
    </row>
    <row r="614" spans="6:6" x14ac:dyDescent="0.25">
      <c r="F614" s="281"/>
    </row>
    <row r="615" spans="6:6" x14ac:dyDescent="0.25">
      <c r="F615" s="281"/>
    </row>
    <row r="616" spans="6:6" x14ac:dyDescent="0.25">
      <c r="F616" s="281"/>
    </row>
    <row r="617" spans="6:6" x14ac:dyDescent="0.25">
      <c r="F617" s="281"/>
    </row>
    <row r="618" spans="6:6" x14ac:dyDescent="0.25">
      <c r="F618" s="281"/>
    </row>
    <row r="619" spans="6:6" x14ac:dyDescent="0.25">
      <c r="F619" s="281"/>
    </row>
    <row r="620" spans="6:6" x14ac:dyDescent="0.25">
      <c r="F620" s="281"/>
    </row>
    <row r="621" spans="6:6" x14ac:dyDescent="0.25">
      <c r="F621" s="281"/>
    </row>
    <row r="622" spans="6:6" x14ac:dyDescent="0.25">
      <c r="F622" s="281"/>
    </row>
    <row r="623" spans="6:6" x14ac:dyDescent="0.25">
      <c r="F623" s="281"/>
    </row>
    <row r="624" spans="6:6" x14ac:dyDescent="0.25">
      <c r="F624" s="281"/>
    </row>
    <row r="625" spans="6:6" x14ac:dyDescent="0.25">
      <c r="F625" s="281"/>
    </row>
    <row r="626" spans="6:6" x14ac:dyDescent="0.25">
      <c r="F626" s="281"/>
    </row>
    <row r="627" spans="6:6" x14ac:dyDescent="0.25">
      <c r="F627" s="281"/>
    </row>
    <row r="628" spans="6:6" x14ac:dyDescent="0.25">
      <c r="F628" s="281"/>
    </row>
    <row r="629" spans="6:6" x14ac:dyDescent="0.25">
      <c r="F629" s="281"/>
    </row>
    <row r="630" spans="6:6" x14ac:dyDescent="0.25">
      <c r="F630" s="281"/>
    </row>
    <row r="631" spans="6:6" x14ac:dyDescent="0.25">
      <c r="F631" s="281"/>
    </row>
    <row r="632" spans="6:6" x14ac:dyDescent="0.25">
      <c r="F632" s="281"/>
    </row>
    <row r="633" spans="6:6" x14ac:dyDescent="0.25">
      <c r="F633" s="281"/>
    </row>
    <row r="634" spans="6:6" x14ac:dyDescent="0.25">
      <c r="F634" s="281"/>
    </row>
    <row r="635" spans="6:6" x14ac:dyDescent="0.25">
      <c r="F635" s="281"/>
    </row>
    <row r="636" spans="6:6" x14ac:dyDescent="0.25">
      <c r="F636" s="281"/>
    </row>
    <row r="637" spans="6:6" x14ac:dyDescent="0.25">
      <c r="F637" s="281"/>
    </row>
    <row r="638" spans="6:6" x14ac:dyDescent="0.25">
      <c r="F638" s="281"/>
    </row>
    <row r="639" spans="6:6" x14ac:dyDescent="0.25">
      <c r="F639" s="281"/>
    </row>
    <row r="640" spans="6:6" x14ac:dyDescent="0.25">
      <c r="F640" s="281"/>
    </row>
    <row r="641" spans="6:6" x14ac:dyDescent="0.25">
      <c r="F641" s="281"/>
    </row>
    <row r="642" spans="6:6" x14ac:dyDescent="0.25">
      <c r="F642" s="281"/>
    </row>
    <row r="643" spans="6:6" x14ac:dyDescent="0.25">
      <c r="F643" s="281"/>
    </row>
    <row r="644" spans="6:6" x14ac:dyDescent="0.25">
      <c r="F644" s="281"/>
    </row>
    <row r="645" spans="6:6" x14ac:dyDescent="0.25">
      <c r="F645" s="281"/>
    </row>
    <row r="646" spans="6:6" x14ac:dyDescent="0.25">
      <c r="F646" s="281"/>
    </row>
    <row r="647" spans="6:6" x14ac:dyDescent="0.25">
      <c r="F647" s="281"/>
    </row>
    <row r="648" spans="6:6" x14ac:dyDescent="0.25">
      <c r="F648" s="281"/>
    </row>
    <row r="649" spans="6:6" x14ac:dyDescent="0.25">
      <c r="F649" s="281"/>
    </row>
    <row r="650" spans="6:6" x14ac:dyDescent="0.25">
      <c r="F650" s="281"/>
    </row>
    <row r="651" spans="6:6" x14ac:dyDescent="0.25">
      <c r="F651" s="281"/>
    </row>
    <row r="652" spans="6:6" x14ac:dyDescent="0.25">
      <c r="F652" s="281"/>
    </row>
    <row r="653" spans="6:6" x14ac:dyDescent="0.25">
      <c r="F653" s="281"/>
    </row>
    <row r="654" spans="6:6" x14ac:dyDescent="0.25">
      <c r="F654" s="281"/>
    </row>
    <row r="655" spans="6:6" x14ac:dyDescent="0.25">
      <c r="F655" s="281"/>
    </row>
    <row r="656" spans="6:6" x14ac:dyDescent="0.25">
      <c r="F656" s="281"/>
    </row>
    <row r="657" spans="6:6" x14ac:dyDescent="0.25">
      <c r="F657" s="281"/>
    </row>
    <row r="658" spans="6:6" x14ac:dyDescent="0.25">
      <c r="F658" s="281"/>
    </row>
    <row r="659" spans="6:6" x14ac:dyDescent="0.25">
      <c r="F659" s="281"/>
    </row>
    <row r="660" spans="6:6" x14ac:dyDescent="0.25">
      <c r="F660" s="281"/>
    </row>
    <row r="661" spans="6:6" x14ac:dyDescent="0.25">
      <c r="F661" s="281"/>
    </row>
    <row r="662" spans="6:6" x14ac:dyDescent="0.25">
      <c r="F662" s="281"/>
    </row>
    <row r="663" spans="6:6" x14ac:dyDescent="0.25">
      <c r="F663" s="281"/>
    </row>
    <row r="664" spans="6:6" x14ac:dyDescent="0.25">
      <c r="F664" s="281"/>
    </row>
    <row r="665" spans="6:6" x14ac:dyDescent="0.25">
      <c r="F665" s="281"/>
    </row>
    <row r="666" spans="6:6" x14ac:dyDescent="0.25">
      <c r="F666" s="281"/>
    </row>
    <row r="667" spans="6:6" x14ac:dyDescent="0.25">
      <c r="F667" s="281"/>
    </row>
    <row r="668" spans="6:6" x14ac:dyDescent="0.25">
      <c r="F668" s="281"/>
    </row>
    <row r="669" spans="6:6" x14ac:dyDescent="0.25">
      <c r="F669" s="281"/>
    </row>
    <row r="670" spans="6:6" x14ac:dyDescent="0.25">
      <c r="F670" s="281"/>
    </row>
    <row r="671" spans="6:6" x14ac:dyDescent="0.25">
      <c r="F671" s="281"/>
    </row>
    <row r="672" spans="6:6" x14ac:dyDescent="0.25">
      <c r="F672" s="281"/>
    </row>
    <row r="673" spans="6:6" x14ac:dyDescent="0.25">
      <c r="F673" s="281"/>
    </row>
    <row r="674" spans="6:6" x14ac:dyDescent="0.25">
      <c r="F674" s="281"/>
    </row>
    <row r="675" spans="6:6" x14ac:dyDescent="0.25">
      <c r="F675" s="281"/>
    </row>
    <row r="676" spans="6:6" x14ac:dyDescent="0.25">
      <c r="F676" s="281"/>
    </row>
    <row r="677" spans="6:6" x14ac:dyDescent="0.25">
      <c r="F677" s="281"/>
    </row>
    <row r="678" spans="6:6" x14ac:dyDescent="0.25">
      <c r="F678" s="281"/>
    </row>
    <row r="679" spans="6:6" x14ac:dyDescent="0.25">
      <c r="F679" s="281"/>
    </row>
    <row r="680" spans="6:6" x14ac:dyDescent="0.25">
      <c r="F680" s="281"/>
    </row>
    <row r="681" spans="6:6" x14ac:dyDescent="0.25">
      <c r="F681" s="281"/>
    </row>
    <row r="682" spans="6:6" x14ac:dyDescent="0.25">
      <c r="F682" s="281"/>
    </row>
    <row r="683" spans="6:6" x14ac:dyDescent="0.25">
      <c r="F683" s="281"/>
    </row>
    <row r="684" spans="6:6" x14ac:dyDescent="0.25">
      <c r="F684" s="281"/>
    </row>
    <row r="685" spans="6:6" x14ac:dyDescent="0.25">
      <c r="F685" s="281"/>
    </row>
    <row r="686" spans="6:6" x14ac:dyDescent="0.25">
      <c r="F686" s="281"/>
    </row>
    <row r="687" spans="6:6" x14ac:dyDescent="0.25">
      <c r="F687" s="281"/>
    </row>
    <row r="688" spans="6:6" x14ac:dyDescent="0.25">
      <c r="F688" s="281"/>
    </row>
    <row r="689" spans="6:6" x14ac:dyDescent="0.25">
      <c r="F689" s="281"/>
    </row>
    <row r="690" spans="6:6" x14ac:dyDescent="0.25">
      <c r="F690" s="281"/>
    </row>
    <row r="691" spans="6:6" x14ac:dyDescent="0.25">
      <c r="F691" s="281"/>
    </row>
    <row r="692" spans="6:6" x14ac:dyDescent="0.25">
      <c r="F692" s="281"/>
    </row>
    <row r="693" spans="6:6" x14ac:dyDescent="0.25">
      <c r="F693" s="281"/>
    </row>
    <row r="694" spans="6:6" x14ac:dyDescent="0.25">
      <c r="F694" s="281"/>
    </row>
    <row r="695" spans="6:6" x14ac:dyDescent="0.25">
      <c r="F695" s="281"/>
    </row>
    <row r="696" spans="6:6" x14ac:dyDescent="0.25">
      <c r="F696" s="281"/>
    </row>
    <row r="697" spans="6:6" x14ac:dyDescent="0.25">
      <c r="F697" s="281"/>
    </row>
    <row r="698" spans="6:6" x14ac:dyDescent="0.25">
      <c r="F698" s="281"/>
    </row>
    <row r="699" spans="6:6" x14ac:dyDescent="0.25">
      <c r="F699" s="281"/>
    </row>
    <row r="700" spans="6:6" x14ac:dyDescent="0.25">
      <c r="F700" s="281"/>
    </row>
    <row r="701" spans="6:6" x14ac:dyDescent="0.25">
      <c r="F701" s="281"/>
    </row>
    <row r="702" spans="6:6" x14ac:dyDescent="0.25">
      <c r="F702" s="281"/>
    </row>
    <row r="703" spans="6:6" x14ac:dyDescent="0.25">
      <c r="F703" s="281"/>
    </row>
    <row r="704" spans="6:6" x14ac:dyDescent="0.25">
      <c r="F704" s="281"/>
    </row>
    <row r="705" spans="6:6" x14ac:dyDescent="0.25">
      <c r="F705" s="281"/>
    </row>
    <row r="706" spans="6:6" x14ac:dyDescent="0.25">
      <c r="F706" s="281"/>
    </row>
    <row r="707" spans="6:6" x14ac:dyDescent="0.25">
      <c r="F707" s="281"/>
    </row>
    <row r="708" spans="6:6" x14ac:dyDescent="0.25">
      <c r="F708" s="281"/>
    </row>
    <row r="709" spans="6:6" x14ac:dyDescent="0.25">
      <c r="F709" s="281"/>
    </row>
    <row r="710" spans="6:6" x14ac:dyDescent="0.25">
      <c r="F710" s="281"/>
    </row>
    <row r="711" spans="6:6" x14ac:dyDescent="0.25">
      <c r="F711" s="281"/>
    </row>
    <row r="712" spans="6:6" x14ac:dyDescent="0.25">
      <c r="F712" s="281"/>
    </row>
    <row r="713" spans="6:6" x14ac:dyDescent="0.25">
      <c r="F713" s="281"/>
    </row>
    <row r="714" spans="6:6" x14ac:dyDescent="0.25">
      <c r="F714" s="281"/>
    </row>
    <row r="715" spans="6:6" x14ac:dyDescent="0.25">
      <c r="F715" s="281"/>
    </row>
    <row r="716" spans="6:6" x14ac:dyDescent="0.25">
      <c r="F716" s="281"/>
    </row>
    <row r="717" spans="6:6" x14ac:dyDescent="0.25">
      <c r="F717" s="281"/>
    </row>
    <row r="718" spans="6:6" x14ac:dyDescent="0.25">
      <c r="F718" s="281"/>
    </row>
    <row r="719" spans="6:6" x14ac:dyDescent="0.25">
      <c r="F719" s="281"/>
    </row>
    <row r="720" spans="6:6" x14ac:dyDescent="0.25">
      <c r="F720" s="281"/>
    </row>
    <row r="721" spans="6:6" x14ac:dyDescent="0.25">
      <c r="F721" s="281"/>
    </row>
    <row r="722" spans="6:6" x14ac:dyDescent="0.25">
      <c r="F722" s="281"/>
    </row>
    <row r="723" spans="6:6" x14ac:dyDescent="0.25">
      <c r="F723" s="281"/>
    </row>
    <row r="724" spans="6:6" x14ac:dyDescent="0.25">
      <c r="F724" s="281"/>
    </row>
    <row r="725" spans="6:6" x14ac:dyDescent="0.25">
      <c r="F725" s="281"/>
    </row>
    <row r="726" spans="6:6" x14ac:dyDescent="0.25">
      <c r="F726" s="281"/>
    </row>
    <row r="727" spans="6:6" x14ac:dyDescent="0.25">
      <c r="F727" s="281"/>
    </row>
    <row r="728" spans="6:6" x14ac:dyDescent="0.25">
      <c r="F728" s="281"/>
    </row>
    <row r="729" spans="6:6" x14ac:dyDescent="0.25">
      <c r="F729" s="281"/>
    </row>
    <row r="730" spans="6:6" x14ac:dyDescent="0.25">
      <c r="F730" s="281"/>
    </row>
    <row r="731" spans="6:6" x14ac:dyDescent="0.25">
      <c r="F731" s="281"/>
    </row>
    <row r="732" spans="6:6" x14ac:dyDescent="0.25">
      <c r="F732" s="281"/>
    </row>
    <row r="733" spans="6:6" x14ac:dyDescent="0.25">
      <c r="F733" s="281"/>
    </row>
    <row r="734" spans="6:6" x14ac:dyDescent="0.25">
      <c r="F734" s="281"/>
    </row>
    <row r="735" spans="6:6" x14ac:dyDescent="0.25">
      <c r="F735" s="281"/>
    </row>
    <row r="736" spans="6:6" x14ac:dyDescent="0.25">
      <c r="F736" s="281"/>
    </row>
    <row r="737" spans="6:6" x14ac:dyDescent="0.25">
      <c r="F737" s="281"/>
    </row>
    <row r="738" spans="6:6" x14ac:dyDescent="0.25">
      <c r="F738" s="281"/>
    </row>
    <row r="739" spans="6:6" x14ac:dyDescent="0.25">
      <c r="F739" s="281"/>
    </row>
    <row r="740" spans="6:6" x14ac:dyDescent="0.25">
      <c r="F740" s="281"/>
    </row>
    <row r="741" spans="6:6" x14ac:dyDescent="0.25">
      <c r="F741" s="281"/>
    </row>
    <row r="742" spans="6:6" x14ac:dyDescent="0.25">
      <c r="F742" s="281"/>
    </row>
    <row r="743" spans="6:6" x14ac:dyDescent="0.25">
      <c r="F743" s="281"/>
    </row>
    <row r="744" spans="6:6" x14ac:dyDescent="0.25">
      <c r="F744" s="281"/>
    </row>
    <row r="745" spans="6:6" x14ac:dyDescent="0.25">
      <c r="F745" s="281"/>
    </row>
    <row r="746" spans="6:6" x14ac:dyDescent="0.25">
      <c r="F746" s="281"/>
    </row>
    <row r="747" spans="6:6" x14ac:dyDescent="0.25">
      <c r="F747" s="281"/>
    </row>
    <row r="748" spans="6:6" x14ac:dyDescent="0.25">
      <c r="F748" s="281"/>
    </row>
    <row r="749" spans="6:6" x14ac:dyDescent="0.25">
      <c r="F749" s="281"/>
    </row>
    <row r="750" spans="6:6" x14ac:dyDescent="0.25">
      <c r="F750" s="281"/>
    </row>
    <row r="751" spans="6:6" x14ac:dyDescent="0.25">
      <c r="F751" s="281"/>
    </row>
    <row r="752" spans="6:6" x14ac:dyDescent="0.25">
      <c r="F752" s="281"/>
    </row>
    <row r="753" spans="6:6" x14ac:dyDescent="0.25">
      <c r="F753" s="281"/>
    </row>
    <row r="754" spans="6:6" x14ac:dyDescent="0.25">
      <c r="F754" s="281"/>
    </row>
    <row r="755" spans="6:6" x14ac:dyDescent="0.25">
      <c r="F755" s="281"/>
    </row>
    <row r="756" spans="6:6" x14ac:dyDescent="0.25">
      <c r="F756" s="281"/>
    </row>
    <row r="757" spans="6:6" x14ac:dyDescent="0.25">
      <c r="F757" s="281"/>
    </row>
    <row r="758" spans="6:6" x14ac:dyDescent="0.25">
      <c r="F758" s="281"/>
    </row>
    <row r="759" spans="6:6" x14ac:dyDescent="0.25">
      <c r="F759" s="281"/>
    </row>
    <row r="760" spans="6:6" x14ac:dyDescent="0.25">
      <c r="F760" s="281"/>
    </row>
    <row r="761" spans="6:6" x14ac:dyDescent="0.25">
      <c r="F761" s="281"/>
    </row>
    <row r="762" spans="6:6" x14ac:dyDescent="0.25">
      <c r="F762" s="281"/>
    </row>
    <row r="763" spans="6:6" x14ac:dyDescent="0.25">
      <c r="F763" s="281"/>
    </row>
    <row r="764" spans="6:6" x14ac:dyDescent="0.25">
      <c r="F764" s="281"/>
    </row>
    <row r="765" spans="6:6" x14ac:dyDescent="0.25">
      <c r="F765" s="281"/>
    </row>
    <row r="766" spans="6:6" x14ac:dyDescent="0.25">
      <c r="F766" s="281"/>
    </row>
    <row r="767" spans="6:6" x14ac:dyDescent="0.25">
      <c r="F767" s="281"/>
    </row>
    <row r="768" spans="6:6" x14ac:dyDescent="0.25">
      <c r="F768" s="281"/>
    </row>
    <row r="769" spans="6:6" x14ac:dyDescent="0.25">
      <c r="F769" s="281"/>
    </row>
    <row r="770" spans="6:6" x14ac:dyDescent="0.25">
      <c r="F770" s="281"/>
    </row>
    <row r="771" spans="6:6" x14ac:dyDescent="0.25">
      <c r="F771" s="281"/>
    </row>
    <row r="772" spans="6:6" x14ac:dyDescent="0.25">
      <c r="F772" s="281"/>
    </row>
    <row r="773" spans="6:6" x14ac:dyDescent="0.25">
      <c r="F773" s="281"/>
    </row>
    <row r="774" spans="6:6" x14ac:dyDescent="0.25">
      <c r="F774" s="281"/>
    </row>
    <row r="775" spans="6:6" x14ac:dyDescent="0.25">
      <c r="F775" s="281"/>
    </row>
    <row r="776" spans="6:6" x14ac:dyDescent="0.25">
      <c r="F776" s="281"/>
    </row>
    <row r="777" spans="6:6" x14ac:dyDescent="0.25">
      <c r="F777" s="281"/>
    </row>
    <row r="778" spans="6:6" x14ac:dyDescent="0.25">
      <c r="F778" s="281"/>
    </row>
    <row r="779" spans="6:6" x14ac:dyDescent="0.25">
      <c r="F779" s="281"/>
    </row>
    <row r="780" spans="6:6" x14ac:dyDescent="0.25">
      <c r="F780" s="281"/>
    </row>
    <row r="781" spans="6:6" x14ac:dyDescent="0.25">
      <c r="F781" s="281"/>
    </row>
    <row r="782" spans="6:6" x14ac:dyDescent="0.25">
      <c r="F782" s="281"/>
    </row>
    <row r="783" spans="6:6" x14ac:dyDescent="0.25">
      <c r="F783" s="281"/>
    </row>
    <row r="784" spans="6:6" x14ac:dyDescent="0.25">
      <c r="F784" s="281"/>
    </row>
    <row r="785" spans="6:6" x14ac:dyDescent="0.25">
      <c r="F785" s="281"/>
    </row>
    <row r="786" spans="6:6" x14ac:dyDescent="0.25">
      <c r="F786" s="281"/>
    </row>
    <row r="787" spans="6:6" x14ac:dyDescent="0.25">
      <c r="F787" s="281"/>
    </row>
    <row r="788" spans="6:6" x14ac:dyDescent="0.25">
      <c r="F788" s="281"/>
    </row>
    <row r="789" spans="6:6" x14ac:dyDescent="0.25">
      <c r="F789" s="281"/>
    </row>
    <row r="790" spans="6:6" x14ac:dyDescent="0.25">
      <c r="F790" s="281"/>
    </row>
    <row r="791" spans="6:6" x14ac:dyDescent="0.25">
      <c r="F791" s="281"/>
    </row>
    <row r="792" spans="6:6" x14ac:dyDescent="0.25">
      <c r="F792" s="281"/>
    </row>
    <row r="793" spans="6:6" x14ac:dyDescent="0.25">
      <c r="F793" s="281"/>
    </row>
    <row r="794" spans="6:6" x14ac:dyDescent="0.25">
      <c r="F794" s="281"/>
    </row>
    <row r="795" spans="6:6" x14ac:dyDescent="0.25">
      <c r="F795" s="281"/>
    </row>
    <row r="796" spans="6:6" x14ac:dyDescent="0.25">
      <c r="F796" s="281"/>
    </row>
    <row r="797" spans="6:6" x14ac:dyDescent="0.25">
      <c r="F797" s="281"/>
    </row>
    <row r="798" spans="6:6" x14ac:dyDescent="0.25">
      <c r="F798" s="281"/>
    </row>
    <row r="799" spans="6:6" x14ac:dyDescent="0.25">
      <c r="F799" s="281"/>
    </row>
    <row r="800" spans="6:6" x14ac:dyDescent="0.25">
      <c r="F800" s="281"/>
    </row>
    <row r="801" spans="6:6" x14ac:dyDescent="0.25">
      <c r="F801" s="281"/>
    </row>
    <row r="802" spans="6:6" x14ac:dyDescent="0.25">
      <c r="F802" s="281"/>
    </row>
    <row r="803" spans="6:6" x14ac:dyDescent="0.25">
      <c r="F803" s="281"/>
    </row>
    <row r="804" spans="6:6" x14ac:dyDescent="0.25">
      <c r="F804" s="281"/>
    </row>
    <row r="805" spans="6:6" x14ac:dyDescent="0.25">
      <c r="F805" s="281"/>
    </row>
    <row r="806" spans="6:6" x14ac:dyDescent="0.25">
      <c r="F806" s="281"/>
    </row>
    <row r="807" spans="6:6" x14ac:dyDescent="0.25">
      <c r="F807" s="281"/>
    </row>
    <row r="808" spans="6:6" x14ac:dyDescent="0.25">
      <c r="F808" s="281"/>
    </row>
    <row r="809" spans="6:6" x14ac:dyDescent="0.25">
      <c r="F809" s="281"/>
    </row>
    <row r="810" spans="6:6" x14ac:dyDescent="0.25">
      <c r="F810" s="281"/>
    </row>
    <row r="811" spans="6:6" x14ac:dyDescent="0.25">
      <c r="F811" s="281"/>
    </row>
    <row r="812" spans="6:6" x14ac:dyDescent="0.25">
      <c r="F812" s="281"/>
    </row>
    <row r="813" spans="6:6" x14ac:dyDescent="0.25">
      <c r="F813" s="281"/>
    </row>
    <row r="814" spans="6:6" x14ac:dyDescent="0.25">
      <c r="F814" s="281"/>
    </row>
    <row r="815" spans="6:6" x14ac:dyDescent="0.25">
      <c r="F815" s="281"/>
    </row>
    <row r="816" spans="6:6" x14ac:dyDescent="0.25">
      <c r="F816" s="281"/>
    </row>
    <row r="817" spans="6:6" x14ac:dyDescent="0.25">
      <c r="F817" s="281"/>
    </row>
    <row r="818" spans="6:6" x14ac:dyDescent="0.25">
      <c r="F818" s="281"/>
    </row>
    <row r="819" spans="6:6" x14ac:dyDescent="0.25">
      <c r="F819" s="281"/>
    </row>
    <row r="820" spans="6:6" x14ac:dyDescent="0.25">
      <c r="F820" s="281"/>
    </row>
    <row r="821" spans="6:6" x14ac:dyDescent="0.25">
      <c r="F821" s="281"/>
    </row>
    <row r="822" spans="6:6" x14ac:dyDescent="0.25">
      <c r="F822" s="281"/>
    </row>
    <row r="823" spans="6:6" x14ac:dyDescent="0.25">
      <c r="F823" s="281"/>
    </row>
    <row r="824" spans="6:6" x14ac:dyDescent="0.25">
      <c r="F824" s="281"/>
    </row>
    <row r="825" spans="6:6" x14ac:dyDescent="0.25">
      <c r="F825" s="281"/>
    </row>
    <row r="826" spans="6:6" x14ac:dyDescent="0.25">
      <c r="F826" s="281"/>
    </row>
    <row r="827" spans="6:6" x14ac:dyDescent="0.25">
      <c r="F827" s="281"/>
    </row>
    <row r="828" spans="6:6" x14ac:dyDescent="0.25">
      <c r="F828" s="281"/>
    </row>
    <row r="829" spans="6:6" x14ac:dyDescent="0.25">
      <c r="F829" s="281"/>
    </row>
    <row r="830" spans="6:6" x14ac:dyDescent="0.25">
      <c r="F830" s="281"/>
    </row>
    <row r="831" spans="6:6" x14ac:dyDescent="0.25">
      <c r="F831" s="281"/>
    </row>
    <row r="832" spans="6:6" x14ac:dyDescent="0.25">
      <c r="F832" s="281"/>
    </row>
    <row r="833" spans="6:6" x14ac:dyDescent="0.25">
      <c r="F833" s="281"/>
    </row>
    <row r="834" spans="6:6" x14ac:dyDescent="0.25">
      <c r="F834" s="281"/>
    </row>
    <row r="835" spans="6:6" x14ac:dyDescent="0.25">
      <c r="F835" s="281"/>
    </row>
    <row r="836" spans="6:6" x14ac:dyDescent="0.25">
      <c r="F836" s="281"/>
    </row>
    <row r="837" spans="6:6" x14ac:dyDescent="0.25">
      <c r="F837" s="281"/>
    </row>
    <row r="838" spans="6:6" x14ac:dyDescent="0.25">
      <c r="F838" s="281"/>
    </row>
    <row r="839" spans="6:6" x14ac:dyDescent="0.25">
      <c r="F839" s="281"/>
    </row>
    <row r="840" spans="6:6" x14ac:dyDescent="0.25">
      <c r="F840" s="281"/>
    </row>
    <row r="841" spans="6:6" x14ac:dyDescent="0.25">
      <c r="F841" s="281"/>
    </row>
    <row r="842" spans="6:6" x14ac:dyDescent="0.25">
      <c r="F842" s="281"/>
    </row>
    <row r="843" spans="6:6" x14ac:dyDescent="0.25">
      <c r="F843" s="281"/>
    </row>
    <row r="844" spans="6:6" x14ac:dyDescent="0.25">
      <c r="F844" s="281"/>
    </row>
    <row r="845" spans="6:6" x14ac:dyDescent="0.25">
      <c r="F845" s="281"/>
    </row>
    <row r="846" spans="6:6" x14ac:dyDescent="0.25">
      <c r="F846" s="281"/>
    </row>
    <row r="847" spans="6:6" x14ac:dyDescent="0.25">
      <c r="F847" s="281"/>
    </row>
    <row r="848" spans="6:6" x14ac:dyDescent="0.25">
      <c r="F848" s="281"/>
    </row>
    <row r="849" spans="6:6" x14ac:dyDescent="0.25">
      <c r="F849" s="281"/>
    </row>
    <row r="850" spans="6:6" x14ac:dyDescent="0.25">
      <c r="F850" s="281"/>
    </row>
    <row r="851" spans="6:6" x14ac:dyDescent="0.25">
      <c r="F851" s="281"/>
    </row>
    <row r="852" spans="6:6" x14ac:dyDescent="0.25">
      <c r="F852" s="281"/>
    </row>
    <row r="853" spans="6:6" x14ac:dyDescent="0.25">
      <c r="F853" s="281"/>
    </row>
    <row r="854" spans="6:6" x14ac:dyDescent="0.25">
      <c r="F854" s="281"/>
    </row>
    <row r="855" spans="6:6" x14ac:dyDescent="0.25">
      <c r="F855" s="281"/>
    </row>
    <row r="856" spans="6:6" x14ac:dyDescent="0.25">
      <c r="F856" s="281"/>
    </row>
    <row r="857" spans="6:6" x14ac:dyDescent="0.25">
      <c r="F857" s="281"/>
    </row>
    <row r="858" spans="6:6" x14ac:dyDescent="0.25">
      <c r="F858" s="281"/>
    </row>
    <row r="859" spans="6:6" x14ac:dyDescent="0.25">
      <c r="F859" s="281"/>
    </row>
    <row r="860" spans="6:6" x14ac:dyDescent="0.25">
      <c r="F860" s="281"/>
    </row>
    <row r="861" spans="6:6" x14ac:dyDescent="0.25">
      <c r="F861" s="281"/>
    </row>
    <row r="862" spans="6:6" x14ac:dyDescent="0.25">
      <c r="F862" s="281"/>
    </row>
    <row r="863" spans="6:6" x14ac:dyDescent="0.25">
      <c r="F863" s="281"/>
    </row>
    <row r="864" spans="6:6" x14ac:dyDescent="0.25">
      <c r="F864" s="281"/>
    </row>
    <row r="865" spans="6:6" x14ac:dyDescent="0.25">
      <c r="F865" s="281"/>
    </row>
    <row r="866" spans="6:6" x14ac:dyDescent="0.25">
      <c r="F866" s="281"/>
    </row>
    <row r="867" spans="6:6" x14ac:dyDescent="0.25">
      <c r="F867" s="281"/>
    </row>
    <row r="868" spans="6:6" x14ac:dyDescent="0.25">
      <c r="F868" s="281"/>
    </row>
    <row r="869" spans="6:6" x14ac:dyDescent="0.25">
      <c r="F869" s="281"/>
    </row>
    <row r="870" spans="6:6" x14ac:dyDescent="0.25">
      <c r="F870" s="281"/>
    </row>
    <row r="871" spans="6:6" x14ac:dyDescent="0.25">
      <c r="F871" s="281"/>
    </row>
    <row r="872" spans="6:6" x14ac:dyDescent="0.25">
      <c r="F872" s="281"/>
    </row>
    <row r="873" spans="6:6" x14ac:dyDescent="0.25">
      <c r="F873" s="281"/>
    </row>
    <row r="874" spans="6:6" x14ac:dyDescent="0.25">
      <c r="F874" s="281"/>
    </row>
    <row r="875" spans="6:6" x14ac:dyDescent="0.25">
      <c r="F875" s="281"/>
    </row>
    <row r="876" spans="6:6" x14ac:dyDescent="0.25">
      <c r="F876" s="281"/>
    </row>
    <row r="877" spans="6:6" x14ac:dyDescent="0.25">
      <c r="F877" s="281"/>
    </row>
    <row r="878" spans="6:6" x14ac:dyDescent="0.25">
      <c r="F878" s="281"/>
    </row>
    <row r="879" spans="6:6" x14ac:dyDescent="0.25">
      <c r="F879" s="281"/>
    </row>
    <row r="880" spans="6:6" x14ac:dyDescent="0.25">
      <c r="F880" s="281"/>
    </row>
    <row r="881" spans="6:6" x14ac:dyDescent="0.25">
      <c r="F881" s="281"/>
    </row>
    <row r="882" spans="6:6" x14ac:dyDescent="0.25">
      <c r="F882" s="281"/>
    </row>
    <row r="883" spans="6:6" x14ac:dyDescent="0.25">
      <c r="F883" s="281"/>
    </row>
    <row r="884" spans="6:6" x14ac:dyDescent="0.25">
      <c r="F884" s="281"/>
    </row>
    <row r="885" spans="6:6" x14ac:dyDescent="0.25">
      <c r="F885" s="281"/>
    </row>
    <row r="886" spans="6:6" x14ac:dyDescent="0.25">
      <c r="F886" s="281"/>
    </row>
    <row r="887" spans="6:6" x14ac:dyDescent="0.25">
      <c r="F887" s="281"/>
    </row>
    <row r="888" spans="6:6" x14ac:dyDescent="0.25">
      <c r="F888" s="281"/>
    </row>
    <row r="889" spans="6:6" x14ac:dyDescent="0.25">
      <c r="F889" s="281"/>
    </row>
    <row r="890" spans="6:6" x14ac:dyDescent="0.25">
      <c r="F890" s="281"/>
    </row>
    <row r="891" spans="6:6" x14ac:dyDescent="0.25">
      <c r="F891" s="281"/>
    </row>
    <row r="892" spans="6:6" x14ac:dyDescent="0.25">
      <c r="F892" s="281"/>
    </row>
    <row r="893" spans="6:6" x14ac:dyDescent="0.25">
      <c r="F893" s="281"/>
    </row>
    <row r="894" spans="6:6" x14ac:dyDescent="0.25">
      <c r="F894" s="281"/>
    </row>
    <row r="895" spans="6:6" x14ac:dyDescent="0.25">
      <c r="F895" s="281"/>
    </row>
    <row r="896" spans="6:6" x14ac:dyDescent="0.25">
      <c r="F896" s="281"/>
    </row>
    <row r="897" spans="6:6" x14ac:dyDescent="0.25">
      <c r="F897" s="281"/>
    </row>
    <row r="898" spans="6:6" x14ac:dyDescent="0.25">
      <c r="F898" s="281"/>
    </row>
    <row r="899" spans="6:6" x14ac:dyDescent="0.25">
      <c r="F899" s="281"/>
    </row>
    <row r="900" spans="6:6" x14ac:dyDescent="0.25">
      <c r="F900" s="281"/>
    </row>
    <row r="901" spans="6:6" x14ac:dyDescent="0.25">
      <c r="F901" s="281"/>
    </row>
    <row r="902" spans="6:6" x14ac:dyDescent="0.25">
      <c r="F902" s="281"/>
    </row>
    <row r="903" spans="6:6" x14ac:dyDescent="0.25">
      <c r="F903" s="281"/>
    </row>
    <row r="904" spans="6:6" x14ac:dyDescent="0.25">
      <c r="F904" s="281"/>
    </row>
    <row r="905" spans="6:6" x14ac:dyDescent="0.25">
      <c r="F905" s="281"/>
    </row>
    <row r="906" spans="6:6" x14ac:dyDescent="0.25">
      <c r="F906" s="281"/>
    </row>
    <row r="907" spans="6:6" x14ac:dyDescent="0.25">
      <c r="F907" s="281"/>
    </row>
    <row r="908" spans="6:6" x14ac:dyDescent="0.25">
      <c r="F908" s="281"/>
    </row>
    <row r="909" spans="6:6" x14ac:dyDescent="0.25">
      <c r="F909" s="281"/>
    </row>
    <row r="910" spans="6:6" x14ac:dyDescent="0.25">
      <c r="F910" s="281"/>
    </row>
    <row r="911" spans="6:6" x14ac:dyDescent="0.25">
      <c r="F911" s="281"/>
    </row>
    <row r="912" spans="6:6" x14ac:dyDescent="0.25">
      <c r="F912" s="281"/>
    </row>
    <row r="913" spans="6:6" x14ac:dyDescent="0.25">
      <c r="F913" s="281"/>
    </row>
    <row r="914" spans="6:6" x14ac:dyDescent="0.25">
      <c r="F914" s="281"/>
    </row>
    <row r="915" spans="6:6" x14ac:dyDescent="0.25">
      <c r="F915" s="281"/>
    </row>
    <row r="916" spans="6:6" x14ac:dyDescent="0.25">
      <c r="F916" s="281"/>
    </row>
    <row r="917" spans="6:6" x14ac:dyDescent="0.25">
      <c r="F917" s="281"/>
    </row>
    <row r="918" spans="6:6" x14ac:dyDescent="0.25">
      <c r="F918" s="281"/>
    </row>
    <row r="919" spans="6:6" x14ac:dyDescent="0.25">
      <c r="F919" s="281"/>
    </row>
    <row r="920" spans="6:6" x14ac:dyDescent="0.25">
      <c r="F920" s="281"/>
    </row>
    <row r="921" spans="6:6" x14ac:dyDescent="0.25">
      <c r="F921" s="281"/>
    </row>
    <row r="922" spans="6:6" x14ac:dyDescent="0.25">
      <c r="F922" s="281"/>
    </row>
    <row r="923" spans="6:6" x14ac:dyDescent="0.25">
      <c r="F923" s="281"/>
    </row>
    <row r="924" spans="6:6" x14ac:dyDescent="0.25">
      <c r="F924" s="281"/>
    </row>
    <row r="925" spans="6:6" x14ac:dyDescent="0.25">
      <c r="F925" s="281"/>
    </row>
    <row r="926" spans="6:6" x14ac:dyDescent="0.25">
      <c r="F926" s="281"/>
    </row>
    <row r="927" spans="6:6" x14ac:dyDescent="0.25">
      <c r="F927" s="281"/>
    </row>
    <row r="928" spans="6:6" x14ac:dyDescent="0.25">
      <c r="F928" s="281"/>
    </row>
    <row r="929" spans="6:6" x14ac:dyDescent="0.25">
      <c r="F929" s="281"/>
    </row>
    <row r="930" spans="6:6" x14ac:dyDescent="0.25">
      <c r="F930" s="281"/>
    </row>
    <row r="931" spans="6:6" x14ac:dyDescent="0.25">
      <c r="F931" s="281"/>
    </row>
    <row r="932" spans="6:6" x14ac:dyDescent="0.25">
      <c r="F932" s="281"/>
    </row>
    <row r="933" spans="6:6" x14ac:dyDescent="0.25">
      <c r="F933" s="281"/>
    </row>
    <row r="934" spans="6:6" x14ac:dyDescent="0.25">
      <c r="F934" s="281"/>
    </row>
    <row r="935" spans="6:6" x14ac:dyDescent="0.25">
      <c r="F935" s="281"/>
    </row>
    <row r="936" spans="6:6" x14ac:dyDescent="0.25">
      <c r="F936" s="281"/>
    </row>
    <row r="937" spans="6:6" x14ac:dyDescent="0.25">
      <c r="F937" s="281"/>
    </row>
    <row r="938" spans="6:6" x14ac:dyDescent="0.25">
      <c r="F938" s="281"/>
    </row>
    <row r="939" spans="6:6" x14ac:dyDescent="0.25">
      <c r="F939" s="281"/>
    </row>
    <row r="940" spans="6:6" x14ac:dyDescent="0.25">
      <c r="F940" s="281"/>
    </row>
    <row r="941" spans="6:6" x14ac:dyDescent="0.25">
      <c r="F941" s="281"/>
    </row>
    <row r="942" spans="6:6" x14ac:dyDescent="0.25">
      <c r="F942" s="281"/>
    </row>
    <row r="943" spans="6:6" x14ac:dyDescent="0.25">
      <c r="F943" s="281"/>
    </row>
    <row r="944" spans="6:6" x14ac:dyDescent="0.25">
      <c r="F944" s="281"/>
    </row>
    <row r="945" spans="6:6" x14ac:dyDescent="0.25">
      <c r="F945" s="281"/>
    </row>
    <row r="946" spans="6:6" x14ac:dyDescent="0.25">
      <c r="F946" s="281"/>
    </row>
    <row r="947" spans="6:6" x14ac:dyDescent="0.25">
      <c r="F947" s="281"/>
    </row>
    <row r="948" spans="6:6" x14ac:dyDescent="0.25">
      <c r="F948" s="281"/>
    </row>
    <row r="949" spans="6:6" x14ac:dyDescent="0.25">
      <c r="F949" s="281"/>
    </row>
    <row r="950" spans="6:6" x14ac:dyDescent="0.25">
      <c r="F950" s="281"/>
    </row>
    <row r="951" spans="6:6" x14ac:dyDescent="0.25">
      <c r="F951" s="281"/>
    </row>
    <row r="952" spans="6:6" x14ac:dyDescent="0.25">
      <c r="F952" s="281"/>
    </row>
    <row r="953" spans="6:6" x14ac:dyDescent="0.25">
      <c r="F953" s="281"/>
    </row>
    <row r="954" spans="6:6" x14ac:dyDescent="0.25">
      <c r="F954" s="281"/>
    </row>
    <row r="955" spans="6:6" x14ac:dyDescent="0.25">
      <c r="F955" s="281"/>
    </row>
    <row r="956" spans="6:6" x14ac:dyDescent="0.25">
      <c r="F956" s="281"/>
    </row>
    <row r="957" spans="6:6" x14ac:dyDescent="0.25">
      <c r="F957" s="281"/>
    </row>
    <row r="958" spans="6:6" x14ac:dyDescent="0.25">
      <c r="F958" s="281"/>
    </row>
    <row r="959" spans="6:6" x14ac:dyDescent="0.25">
      <c r="F959" s="281"/>
    </row>
    <row r="960" spans="6:6" x14ac:dyDescent="0.25">
      <c r="F960" s="281"/>
    </row>
    <row r="961" spans="6:6" x14ac:dyDescent="0.25">
      <c r="F961" s="281"/>
    </row>
    <row r="962" spans="6:6" x14ac:dyDescent="0.25">
      <c r="F962" s="281"/>
    </row>
    <row r="963" spans="6:6" x14ac:dyDescent="0.25">
      <c r="F963" s="281"/>
    </row>
    <row r="964" spans="6:6" x14ac:dyDescent="0.25">
      <c r="F964" s="281"/>
    </row>
    <row r="965" spans="6:6" x14ac:dyDescent="0.25">
      <c r="F965" s="281"/>
    </row>
    <row r="966" spans="6:6" x14ac:dyDescent="0.25">
      <c r="F966" s="281"/>
    </row>
    <row r="967" spans="6:6" x14ac:dyDescent="0.25">
      <c r="F967" s="281"/>
    </row>
    <row r="968" spans="6:6" x14ac:dyDescent="0.25">
      <c r="F968" s="281"/>
    </row>
    <row r="969" spans="6:6" x14ac:dyDescent="0.25">
      <c r="F969" s="281"/>
    </row>
    <row r="970" spans="6:6" x14ac:dyDescent="0.25">
      <c r="F970" s="281"/>
    </row>
    <row r="971" spans="6:6" x14ac:dyDescent="0.25">
      <c r="F971" s="281"/>
    </row>
    <row r="972" spans="6:6" x14ac:dyDescent="0.25">
      <c r="F972" s="281"/>
    </row>
    <row r="973" spans="6:6" x14ac:dyDescent="0.25">
      <c r="F973" s="281"/>
    </row>
    <row r="974" spans="6:6" x14ac:dyDescent="0.25">
      <c r="F974" s="281"/>
    </row>
    <row r="975" spans="6:6" x14ac:dyDescent="0.25">
      <c r="F975" s="281"/>
    </row>
    <row r="976" spans="6:6" x14ac:dyDescent="0.25">
      <c r="F976" s="281"/>
    </row>
    <row r="977" spans="6:6" x14ac:dyDescent="0.25">
      <c r="F977" s="281"/>
    </row>
    <row r="978" spans="6:6" x14ac:dyDescent="0.25">
      <c r="F978" s="281"/>
    </row>
    <row r="979" spans="6:6" x14ac:dyDescent="0.25">
      <c r="F979" s="281"/>
    </row>
    <row r="980" spans="6:6" x14ac:dyDescent="0.25">
      <c r="F980" s="281"/>
    </row>
    <row r="981" spans="6:6" x14ac:dyDescent="0.25">
      <c r="F981" s="281"/>
    </row>
    <row r="982" spans="6:6" x14ac:dyDescent="0.25">
      <c r="F982" s="281"/>
    </row>
    <row r="983" spans="6:6" x14ac:dyDescent="0.25">
      <c r="F983" s="281"/>
    </row>
    <row r="984" spans="6:6" x14ac:dyDescent="0.25">
      <c r="F984" s="281"/>
    </row>
    <row r="985" spans="6:6" x14ac:dyDescent="0.25">
      <c r="F985" s="281"/>
    </row>
    <row r="986" spans="6:6" x14ac:dyDescent="0.25">
      <c r="F986" s="281"/>
    </row>
    <row r="987" spans="6:6" x14ac:dyDescent="0.25">
      <c r="F987" s="281"/>
    </row>
    <row r="988" spans="6:6" x14ac:dyDescent="0.25">
      <c r="F988" s="281"/>
    </row>
    <row r="989" spans="6:6" x14ac:dyDescent="0.25">
      <c r="F989" s="281"/>
    </row>
    <row r="990" spans="6:6" x14ac:dyDescent="0.25">
      <c r="F990" s="281"/>
    </row>
    <row r="991" spans="6:6" x14ac:dyDescent="0.25">
      <c r="F991" s="281"/>
    </row>
    <row r="992" spans="6:6" x14ac:dyDescent="0.25">
      <c r="F992" s="281"/>
    </row>
    <row r="993" spans="6:6" x14ac:dyDescent="0.25">
      <c r="F993" s="281"/>
    </row>
    <row r="994" spans="6:6" x14ac:dyDescent="0.25">
      <c r="F994" s="281"/>
    </row>
    <row r="995" spans="6:6" x14ac:dyDescent="0.25">
      <c r="F995" s="281"/>
    </row>
    <row r="996" spans="6:6" x14ac:dyDescent="0.25">
      <c r="F996" s="281"/>
    </row>
    <row r="997" spans="6:6" x14ac:dyDescent="0.25">
      <c r="F997" s="281"/>
    </row>
    <row r="998" spans="6:6" x14ac:dyDescent="0.25">
      <c r="F998" s="281"/>
    </row>
    <row r="999" spans="6:6" x14ac:dyDescent="0.25">
      <c r="F999" s="281"/>
    </row>
    <row r="1000" spans="6:6" x14ac:dyDescent="0.25">
      <c r="F1000" s="281"/>
    </row>
    <row r="1001" spans="6:6" x14ac:dyDescent="0.25">
      <c r="F1001" s="281"/>
    </row>
    <row r="1002" spans="6:6" x14ac:dyDescent="0.25">
      <c r="F1002" s="281"/>
    </row>
    <row r="1003" spans="6:6" x14ac:dyDescent="0.25">
      <c r="F1003" s="281"/>
    </row>
    <row r="1004" spans="6:6" x14ac:dyDescent="0.25">
      <c r="F1004" s="281"/>
    </row>
    <row r="1005" spans="6:6" x14ac:dyDescent="0.25">
      <c r="F1005" s="281"/>
    </row>
    <row r="1006" spans="6:6" x14ac:dyDescent="0.25">
      <c r="F1006" s="281"/>
    </row>
    <row r="1007" spans="6:6" x14ac:dyDescent="0.25">
      <c r="F1007" s="281"/>
    </row>
    <row r="1008" spans="6:6" x14ac:dyDescent="0.25">
      <c r="F1008" s="281"/>
    </row>
    <row r="1009" spans="6:6" x14ac:dyDescent="0.25">
      <c r="F1009" s="281"/>
    </row>
    <row r="1010" spans="6:6" x14ac:dyDescent="0.25">
      <c r="F1010" s="281"/>
    </row>
    <row r="1011" spans="6:6" x14ac:dyDescent="0.25">
      <c r="F1011" s="281"/>
    </row>
    <row r="1012" spans="6:6" x14ac:dyDescent="0.25">
      <c r="F1012" s="281"/>
    </row>
    <row r="1013" spans="6:6" x14ac:dyDescent="0.25">
      <c r="F1013" s="281"/>
    </row>
    <row r="1014" spans="6:6" x14ac:dyDescent="0.25">
      <c r="F1014" s="281"/>
    </row>
    <row r="1015" spans="6:6" x14ac:dyDescent="0.25">
      <c r="F1015" s="281"/>
    </row>
    <row r="1016" spans="6:6" x14ac:dyDescent="0.25">
      <c r="F1016" s="281"/>
    </row>
    <row r="1017" spans="6:6" x14ac:dyDescent="0.25">
      <c r="F1017" s="281"/>
    </row>
    <row r="1018" spans="6:6" x14ac:dyDescent="0.25">
      <c r="F1018" s="281"/>
    </row>
    <row r="1019" spans="6:6" x14ac:dyDescent="0.25">
      <c r="F1019" s="281"/>
    </row>
    <row r="1020" spans="6:6" x14ac:dyDescent="0.25">
      <c r="F1020" s="281"/>
    </row>
    <row r="1021" spans="6:6" x14ac:dyDescent="0.25">
      <c r="F1021" s="281"/>
    </row>
    <row r="1022" spans="6:6" x14ac:dyDescent="0.25">
      <c r="F1022" s="281"/>
    </row>
    <row r="1023" spans="6:6" x14ac:dyDescent="0.25">
      <c r="F1023" s="281"/>
    </row>
    <row r="1024" spans="6:6" x14ac:dyDescent="0.25">
      <c r="F1024" s="281"/>
    </row>
    <row r="1025" spans="6:6" x14ac:dyDescent="0.25">
      <c r="F1025" s="281"/>
    </row>
    <row r="1026" spans="6:6" x14ac:dyDescent="0.25">
      <c r="F1026" s="281"/>
    </row>
    <row r="1027" spans="6:6" x14ac:dyDescent="0.25">
      <c r="F1027" s="281"/>
    </row>
    <row r="1028" spans="6:6" x14ac:dyDescent="0.25">
      <c r="F1028" s="281"/>
    </row>
    <row r="1029" spans="6:6" x14ac:dyDescent="0.25">
      <c r="F1029" s="281"/>
    </row>
    <row r="1030" spans="6:6" x14ac:dyDescent="0.25">
      <c r="F1030" s="281"/>
    </row>
    <row r="1031" spans="6:6" x14ac:dyDescent="0.25">
      <c r="F1031" s="281"/>
    </row>
    <row r="1032" spans="6:6" x14ac:dyDescent="0.25">
      <c r="F1032" s="281"/>
    </row>
    <row r="1033" spans="6:6" x14ac:dyDescent="0.25">
      <c r="F1033" s="281"/>
    </row>
    <row r="1034" spans="6:6" x14ac:dyDescent="0.25">
      <c r="F1034" s="281"/>
    </row>
    <row r="1035" spans="6:6" x14ac:dyDescent="0.25">
      <c r="F1035" s="281"/>
    </row>
    <row r="1036" spans="6:6" x14ac:dyDescent="0.25">
      <c r="F1036" s="281"/>
    </row>
    <row r="1037" spans="6:6" x14ac:dyDescent="0.25">
      <c r="F1037" s="281"/>
    </row>
    <row r="1038" spans="6:6" x14ac:dyDescent="0.25">
      <c r="F1038" s="281"/>
    </row>
    <row r="1039" spans="6:6" x14ac:dyDescent="0.25">
      <c r="F1039" s="281"/>
    </row>
    <row r="1040" spans="6:6" x14ac:dyDescent="0.25">
      <c r="F1040" s="281"/>
    </row>
    <row r="1041" spans="6:6" x14ac:dyDescent="0.25">
      <c r="F1041" s="281"/>
    </row>
    <row r="1042" spans="6:6" x14ac:dyDescent="0.25">
      <c r="F1042" s="281"/>
    </row>
    <row r="1043" spans="6:6" x14ac:dyDescent="0.25">
      <c r="F1043" s="281"/>
    </row>
    <row r="1044" spans="6:6" x14ac:dyDescent="0.25">
      <c r="F1044" s="281"/>
    </row>
    <row r="1045" spans="6:6" x14ac:dyDescent="0.25">
      <c r="F1045" s="281"/>
    </row>
    <row r="1046" spans="6:6" x14ac:dyDescent="0.25">
      <c r="F1046" s="281"/>
    </row>
    <row r="1047" spans="6:6" x14ac:dyDescent="0.25">
      <c r="F1047" s="281"/>
    </row>
    <row r="1048" spans="6:6" x14ac:dyDescent="0.25">
      <c r="F1048" s="281"/>
    </row>
    <row r="1049" spans="6:6" x14ac:dyDescent="0.25">
      <c r="F1049" s="281"/>
    </row>
    <row r="1050" spans="6:6" x14ac:dyDescent="0.25">
      <c r="F1050" s="281"/>
    </row>
    <row r="1051" spans="6:6" x14ac:dyDescent="0.25">
      <c r="F1051" s="281"/>
    </row>
    <row r="1052" spans="6:6" x14ac:dyDescent="0.25">
      <c r="F1052" s="281"/>
    </row>
    <row r="1053" spans="6:6" x14ac:dyDescent="0.25">
      <c r="F1053" s="281"/>
    </row>
    <row r="1054" spans="6:6" x14ac:dyDescent="0.25">
      <c r="F1054" s="281"/>
    </row>
    <row r="1055" spans="6:6" x14ac:dyDescent="0.25">
      <c r="F1055" s="281"/>
    </row>
    <row r="1056" spans="6:6" x14ac:dyDescent="0.25">
      <c r="F1056" s="281"/>
    </row>
    <row r="1057" spans="6:6" x14ac:dyDescent="0.25">
      <c r="F1057" s="281"/>
    </row>
    <row r="1058" spans="6:6" x14ac:dyDescent="0.25">
      <c r="F1058" s="281"/>
    </row>
    <row r="1059" spans="6:6" x14ac:dyDescent="0.25">
      <c r="F1059" s="281"/>
    </row>
    <row r="1060" spans="6:6" x14ac:dyDescent="0.25">
      <c r="F1060" s="281"/>
    </row>
    <row r="1061" spans="6:6" x14ac:dyDescent="0.25">
      <c r="F1061" s="281"/>
    </row>
    <row r="1062" spans="6:6" x14ac:dyDescent="0.25">
      <c r="F1062" s="281"/>
    </row>
    <row r="1063" spans="6:6" x14ac:dyDescent="0.25">
      <c r="F1063" s="281"/>
    </row>
    <row r="1064" spans="6:6" x14ac:dyDescent="0.25">
      <c r="F1064" s="281"/>
    </row>
    <row r="1065" spans="6:6" x14ac:dyDescent="0.25">
      <c r="F1065" s="281"/>
    </row>
    <row r="1066" spans="6:6" x14ac:dyDescent="0.25">
      <c r="F1066" s="281"/>
    </row>
    <row r="1067" spans="6:6" x14ac:dyDescent="0.25">
      <c r="F1067" s="281"/>
    </row>
    <row r="1068" spans="6:6" x14ac:dyDescent="0.25">
      <c r="F1068" s="281"/>
    </row>
    <row r="1069" spans="6:6" x14ac:dyDescent="0.25">
      <c r="F1069" s="281"/>
    </row>
    <row r="1070" spans="6:6" x14ac:dyDescent="0.25">
      <c r="F1070" s="281"/>
    </row>
    <row r="1071" spans="6:6" x14ac:dyDescent="0.25">
      <c r="F1071" s="281"/>
    </row>
    <row r="1072" spans="6:6" x14ac:dyDescent="0.25">
      <c r="F1072" s="281"/>
    </row>
    <row r="1073" spans="6:6" x14ac:dyDescent="0.25">
      <c r="F1073" s="281"/>
    </row>
    <row r="1074" spans="6:6" x14ac:dyDescent="0.25">
      <c r="F1074" s="281"/>
    </row>
    <row r="1075" spans="6:6" x14ac:dyDescent="0.25">
      <c r="F1075" s="281"/>
    </row>
    <row r="1076" spans="6:6" x14ac:dyDescent="0.25">
      <c r="F1076" s="281"/>
    </row>
    <row r="1077" spans="6:6" x14ac:dyDescent="0.25">
      <c r="F1077" s="281"/>
    </row>
    <row r="1078" spans="6:6" x14ac:dyDescent="0.25">
      <c r="F1078" s="281"/>
    </row>
    <row r="1079" spans="6:6" x14ac:dyDescent="0.25">
      <c r="F1079" s="281"/>
    </row>
    <row r="1080" spans="6:6" x14ac:dyDescent="0.25">
      <c r="F1080" s="281"/>
    </row>
    <row r="1081" spans="6:6" x14ac:dyDescent="0.25">
      <c r="F1081" s="281"/>
    </row>
    <row r="1082" spans="6:6" x14ac:dyDescent="0.25">
      <c r="F1082" s="281"/>
    </row>
    <row r="1083" spans="6:6" x14ac:dyDescent="0.25">
      <c r="F1083" s="281"/>
    </row>
    <row r="1084" spans="6:6" x14ac:dyDescent="0.25">
      <c r="F1084" s="281"/>
    </row>
    <row r="1085" spans="6:6" x14ac:dyDescent="0.25">
      <c r="F1085" s="281"/>
    </row>
    <row r="1086" spans="6:6" x14ac:dyDescent="0.25">
      <c r="F1086" s="281"/>
    </row>
    <row r="1087" spans="6:6" x14ac:dyDescent="0.25">
      <c r="F1087" s="281"/>
    </row>
    <row r="1088" spans="6:6" x14ac:dyDescent="0.25">
      <c r="F1088" s="281"/>
    </row>
    <row r="1089" spans="6:6" x14ac:dyDescent="0.25">
      <c r="F1089" s="281"/>
    </row>
    <row r="1090" spans="6:6" x14ac:dyDescent="0.25">
      <c r="F1090" s="281"/>
    </row>
    <row r="1091" spans="6:6" x14ac:dyDescent="0.25">
      <c r="F1091" s="281"/>
    </row>
    <row r="1092" spans="6:6" x14ac:dyDescent="0.25">
      <c r="F1092" s="281"/>
    </row>
    <row r="1093" spans="6:6" x14ac:dyDescent="0.25">
      <c r="F1093" s="281"/>
    </row>
    <row r="1094" spans="6:6" x14ac:dyDescent="0.25">
      <c r="F1094" s="281"/>
    </row>
    <row r="1095" spans="6:6" x14ac:dyDescent="0.25">
      <c r="F1095" s="281"/>
    </row>
    <row r="1096" spans="6:6" x14ac:dyDescent="0.25">
      <c r="F1096" s="281"/>
    </row>
    <row r="1097" spans="6:6" x14ac:dyDescent="0.25">
      <c r="F1097" s="281"/>
    </row>
    <row r="1098" spans="6:6" x14ac:dyDescent="0.25">
      <c r="F1098" s="281"/>
    </row>
    <row r="1099" spans="6:6" x14ac:dyDescent="0.25">
      <c r="F1099" s="281"/>
    </row>
    <row r="1100" spans="6:6" x14ac:dyDescent="0.25">
      <c r="F1100" s="281"/>
    </row>
    <row r="1101" spans="6:6" x14ac:dyDescent="0.25">
      <c r="F1101" s="281"/>
    </row>
    <row r="1102" spans="6:6" x14ac:dyDescent="0.25">
      <c r="F1102" s="281"/>
    </row>
    <row r="1103" spans="6:6" x14ac:dyDescent="0.25">
      <c r="F1103" s="281"/>
    </row>
    <row r="1104" spans="6:6" x14ac:dyDescent="0.25">
      <c r="F1104" s="281"/>
    </row>
    <row r="1105" spans="6:6" x14ac:dyDescent="0.25">
      <c r="F1105" s="281"/>
    </row>
    <row r="1106" spans="6:6" x14ac:dyDescent="0.25">
      <c r="F1106" s="281"/>
    </row>
    <row r="1107" spans="6:6" x14ac:dyDescent="0.25">
      <c r="F1107" s="281"/>
    </row>
    <row r="1108" spans="6:6" x14ac:dyDescent="0.25">
      <c r="F1108" s="281"/>
    </row>
    <row r="1109" spans="6:6" x14ac:dyDescent="0.25">
      <c r="F1109" s="281"/>
    </row>
    <row r="1110" spans="6:6" x14ac:dyDescent="0.25">
      <c r="F1110" s="281"/>
    </row>
    <row r="1111" spans="6:6" x14ac:dyDescent="0.25">
      <c r="F1111" s="281"/>
    </row>
    <row r="1112" spans="6:6" x14ac:dyDescent="0.25">
      <c r="F1112" s="281"/>
    </row>
    <row r="1113" spans="6:6" x14ac:dyDescent="0.25">
      <c r="F1113" s="281"/>
    </row>
    <row r="1114" spans="6:6" x14ac:dyDescent="0.25">
      <c r="F1114" s="281"/>
    </row>
    <row r="1115" spans="6:6" x14ac:dyDescent="0.25">
      <c r="F1115" s="281"/>
    </row>
    <row r="1116" spans="6:6" x14ac:dyDescent="0.25">
      <c r="F1116" s="281"/>
    </row>
    <row r="1117" spans="6:6" x14ac:dyDescent="0.25">
      <c r="F1117" s="281"/>
    </row>
    <row r="1118" spans="6:6" x14ac:dyDescent="0.25">
      <c r="F1118" s="281"/>
    </row>
    <row r="1119" spans="6:6" x14ac:dyDescent="0.25">
      <c r="F1119" s="281"/>
    </row>
    <row r="1120" spans="6:6" x14ac:dyDescent="0.25">
      <c r="F1120" s="281"/>
    </row>
    <row r="1121" spans="6:6" x14ac:dyDescent="0.25">
      <c r="F1121" s="281"/>
    </row>
    <row r="1122" spans="6:6" x14ac:dyDescent="0.25">
      <c r="F1122" s="281"/>
    </row>
    <row r="1123" spans="6:6" x14ac:dyDescent="0.25">
      <c r="F1123" s="281"/>
    </row>
    <row r="1124" spans="6:6" x14ac:dyDescent="0.25">
      <c r="F1124" s="281"/>
    </row>
    <row r="1125" spans="6:6" x14ac:dyDescent="0.25">
      <c r="F1125" s="281"/>
    </row>
    <row r="1126" spans="6:6" x14ac:dyDescent="0.25">
      <c r="F1126" s="281"/>
    </row>
    <row r="1127" spans="6:6" x14ac:dyDescent="0.25">
      <c r="F1127" s="281"/>
    </row>
    <row r="1128" spans="6:6" x14ac:dyDescent="0.25">
      <c r="F1128" s="281"/>
    </row>
    <row r="1129" spans="6:6" x14ac:dyDescent="0.25">
      <c r="F1129" s="281"/>
    </row>
    <row r="1130" spans="6:6" x14ac:dyDescent="0.25">
      <c r="F1130" s="281"/>
    </row>
    <row r="1131" spans="6:6" x14ac:dyDescent="0.25">
      <c r="F1131" s="281"/>
    </row>
    <row r="1132" spans="6:6" x14ac:dyDescent="0.25">
      <c r="F1132" s="281"/>
    </row>
    <row r="1133" spans="6:6" x14ac:dyDescent="0.25">
      <c r="F1133" s="281"/>
    </row>
    <row r="1134" spans="6:6" x14ac:dyDescent="0.25">
      <c r="F1134" s="281"/>
    </row>
    <row r="1135" spans="6:6" x14ac:dyDescent="0.25">
      <c r="F1135" s="281"/>
    </row>
    <row r="1136" spans="6:6" x14ac:dyDescent="0.25">
      <c r="F1136" s="281"/>
    </row>
    <row r="1137" spans="6:6" x14ac:dyDescent="0.25">
      <c r="F1137" s="281"/>
    </row>
    <row r="1138" spans="6:6" x14ac:dyDescent="0.25">
      <c r="F1138" s="281"/>
    </row>
    <row r="1139" spans="6:6" x14ac:dyDescent="0.25">
      <c r="F1139" s="281"/>
    </row>
    <row r="1140" spans="6:6" x14ac:dyDescent="0.25">
      <c r="F1140" s="281"/>
    </row>
    <row r="1141" spans="6:6" x14ac:dyDescent="0.25">
      <c r="F1141" s="281"/>
    </row>
    <row r="1142" spans="6:6" x14ac:dyDescent="0.25">
      <c r="F1142" s="281"/>
    </row>
    <row r="1143" spans="6:6" x14ac:dyDescent="0.25">
      <c r="F1143" s="281"/>
    </row>
    <row r="1144" spans="6:6" x14ac:dyDescent="0.25">
      <c r="F1144" s="281"/>
    </row>
    <row r="1145" spans="6:6" x14ac:dyDescent="0.25">
      <c r="F1145" s="281"/>
    </row>
    <row r="1146" spans="6:6" x14ac:dyDescent="0.25">
      <c r="F1146" s="281"/>
    </row>
    <row r="1147" spans="6:6" x14ac:dyDescent="0.25">
      <c r="F1147" s="281"/>
    </row>
    <row r="1148" spans="6:6" x14ac:dyDescent="0.25">
      <c r="F1148" s="281"/>
    </row>
    <row r="1149" spans="6:6" x14ac:dyDescent="0.25">
      <c r="F1149" s="281"/>
    </row>
    <row r="1150" spans="6:6" x14ac:dyDescent="0.25">
      <c r="F1150" s="281"/>
    </row>
    <row r="1151" spans="6:6" x14ac:dyDescent="0.25">
      <c r="F1151" s="281"/>
    </row>
    <row r="1152" spans="6:6" x14ac:dyDescent="0.25">
      <c r="F1152" s="281"/>
    </row>
    <row r="1153" spans="6:6" x14ac:dyDescent="0.25">
      <c r="F1153" s="281"/>
    </row>
    <row r="1154" spans="6:6" x14ac:dyDescent="0.25">
      <c r="F1154" s="281"/>
    </row>
    <row r="1155" spans="6:6" x14ac:dyDescent="0.25">
      <c r="F1155" s="281"/>
    </row>
    <row r="1156" spans="6:6" x14ac:dyDescent="0.25">
      <c r="F1156" s="281"/>
    </row>
    <row r="1157" spans="6:6" x14ac:dyDescent="0.25">
      <c r="F1157" s="281"/>
    </row>
    <row r="1158" spans="6:6" x14ac:dyDescent="0.25">
      <c r="F1158" s="281"/>
    </row>
    <row r="1159" spans="6:6" x14ac:dyDescent="0.25">
      <c r="F1159" s="281"/>
    </row>
    <row r="1160" spans="6:6" x14ac:dyDescent="0.25">
      <c r="F1160" s="281"/>
    </row>
    <row r="1161" spans="6:6" x14ac:dyDescent="0.25">
      <c r="F1161" s="281"/>
    </row>
    <row r="1162" spans="6:6" x14ac:dyDescent="0.25">
      <c r="F1162" s="281"/>
    </row>
    <row r="1163" spans="6:6" x14ac:dyDescent="0.25">
      <c r="F1163" s="281"/>
    </row>
    <row r="1164" spans="6:6" x14ac:dyDescent="0.25">
      <c r="F1164" s="281"/>
    </row>
    <row r="1165" spans="6:6" x14ac:dyDescent="0.25">
      <c r="F1165" s="281"/>
    </row>
    <row r="1166" spans="6:6" x14ac:dyDescent="0.25">
      <c r="F1166" s="281"/>
    </row>
    <row r="1167" spans="6:6" x14ac:dyDescent="0.25">
      <c r="F1167" s="281"/>
    </row>
    <row r="1168" spans="6:6" x14ac:dyDescent="0.25">
      <c r="F1168" s="281"/>
    </row>
    <row r="1169" spans="6:6" x14ac:dyDescent="0.25">
      <c r="F1169" s="281"/>
    </row>
    <row r="1170" spans="6:6" x14ac:dyDescent="0.25">
      <c r="F1170" s="281"/>
    </row>
    <row r="1171" spans="6:6" x14ac:dyDescent="0.25">
      <c r="F1171" s="281"/>
    </row>
    <row r="1172" spans="6:6" x14ac:dyDescent="0.25">
      <c r="F1172" s="281"/>
    </row>
    <row r="1173" spans="6:6" x14ac:dyDescent="0.25">
      <c r="F1173" s="281"/>
    </row>
    <row r="1174" spans="6:6" x14ac:dyDescent="0.25">
      <c r="F1174" s="281"/>
    </row>
    <row r="1175" spans="6:6" x14ac:dyDescent="0.25">
      <c r="F1175" s="281"/>
    </row>
    <row r="1176" spans="6:6" x14ac:dyDescent="0.25">
      <c r="F1176" s="281"/>
    </row>
    <row r="1177" spans="6:6" x14ac:dyDescent="0.25">
      <c r="F1177" s="281"/>
    </row>
    <row r="1178" spans="6:6" x14ac:dyDescent="0.25">
      <c r="F1178" s="281"/>
    </row>
    <row r="1179" spans="6:6" x14ac:dyDescent="0.25">
      <c r="F1179" s="281"/>
    </row>
    <row r="1180" spans="6:6" x14ac:dyDescent="0.25">
      <c r="F1180" s="281"/>
    </row>
    <row r="1181" spans="6:6" x14ac:dyDescent="0.25">
      <c r="F1181" s="281"/>
    </row>
    <row r="1182" spans="6:6" x14ac:dyDescent="0.25">
      <c r="F1182" s="281"/>
    </row>
    <row r="1183" spans="6:6" x14ac:dyDescent="0.25">
      <c r="F1183" s="281"/>
    </row>
    <row r="1184" spans="6:6" x14ac:dyDescent="0.25">
      <c r="F1184" s="281"/>
    </row>
    <row r="1185" spans="6:6" x14ac:dyDescent="0.25">
      <c r="F1185" s="281"/>
    </row>
    <row r="1186" spans="6:6" x14ac:dyDescent="0.25">
      <c r="F1186" s="281"/>
    </row>
    <row r="1187" spans="6:6" x14ac:dyDescent="0.25">
      <c r="F1187" s="281"/>
    </row>
    <row r="1188" spans="6:6" x14ac:dyDescent="0.25">
      <c r="F1188" s="281"/>
    </row>
    <row r="1189" spans="6:6" x14ac:dyDescent="0.25">
      <c r="F1189" s="281"/>
    </row>
    <row r="1190" spans="6:6" x14ac:dyDescent="0.25">
      <c r="F1190" s="281"/>
    </row>
    <row r="1191" spans="6:6" x14ac:dyDescent="0.25">
      <c r="F1191" s="281"/>
    </row>
    <row r="1192" spans="6:6" x14ac:dyDescent="0.25">
      <c r="F1192" s="281"/>
    </row>
    <row r="1193" spans="6:6" x14ac:dyDescent="0.25">
      <c r="F1193" s="281"/>
    </row>
    <row r="1194" spans="6:6" x14ac:dyDescent="0.25">
      <c r="F1194" s="281"/>
    </row>
    <row r="1195" spans="6:6" x14ac:dyDescent="0.25">
      <c r="F1195" s="281"/>
    </row>
    <row r="1196" spans="6:6" x14ac:dyDescent="0.25">
      <c r="F1196" s="281"/>
    </row>
    <row r="1197" spans="6:6" x14ac:dyDescent="0.25">
      <c r="F1197" s="281"/>
    </row>
    <row r="1198" spans="6:6" x14ac:dyDescent="0.25">
      <c r="F1198" s="281"/>
    </row>
    <row r="1199" spans="6:6" x14ac:dyDescent="0.25">
      <c r="F1199" s="281"/>
    </row>
    <row r="1200" spans="6:6" x14ac:dyDescent="0.25">
      <c r="F1200" s="281"/>
    </row>
    <row r="1201" spans="6:6" x14ac:dyDescent="0.25">
      <c r="F1201" s="281"/>
    </row>
    <row r="1202" spans="6:6" x14ac:dyDescent="0.25">
      <c r="F1202" s="281"/>
    </row>
    <row r="1203" spans="6:6" x14ac:dyDescent="0.25">
      <c r="F1203" s="281"/>
    </row>
    <row r="1204" spans="6:6" x14ac:dyDescent="0.25">
      <c r="F1204" s="281"/>
    </row>
    <row r="1205" spans="6:6" x14ac:dyDescent="0.25">
      <c r="F1205" s="281"/>
    </row>
    <row r="1206" spans="6:6" x14ac:dyDescent="0.25">
      <c r="F1206" s="281"/>
    </row>
    <row r="1207" spans="6:6" x14ac:dyDescent="0.25">
      <c r="F1207" s="281"/>
    </row>
    <row r="1208" spans="6:6" x14ac:dyDescent="0.25">
      <c r="F1208" s="281"/>
    </row>
    <row r="1209" spans="6:6" x14ac:dyDescent="0.25">
      <c r="F1209" s="281"/>
    </row>
    <row r="1210" spans="6:6" x14ac:dyDescent="0.25">
      <c r="F1210" s="281"/>
    </row>
    <row r="1211" spans="6:6" x14ac:dyDescent="0.25">
      <c r="F1211" s="281"/>
    </row>
    <row r="1212" spans="6:6" x14ac:dyDescent="0.25">
      <c r="F1212" s="281"/>
    </row>
    <row r="1213" spans="6:6" x14ac:dyDescent="0.25">
      <c r="F1213" s="281"/>
    </row>
    <row r="1214" spans="6:6" x14ac:dyDescent="0.25">
      <c r="F1214" s="281"/>
    </row>
    <row r="1215" spans="6:6" x14ac:dyDescent="0.25">
      <c r="F1215" s="281"/>
    </row>
    <row r="1216" spans="6:6" x14ac:dyDescent="0.25">
      <c r="F1216" s="281"/>
    </row>
    <row r="1217" spans="6:6" x14ac:dyDescent="0.25">
      <c r="F1217" s="281"/>
    </row>
    <row r="1218" spans="6:6" x14ac:dyDescent="0.25">
      <c r="F1218" s="281"/>
    </row>
    <row r="1219" spans="6:6" x14ac:dyDescent="0.25">
      <c r="F1219" s="281"/>
    </row>
    <row r="1220" spans="6:6" x14ac:dyDescent="0.25">
      <c r="F1220" s="281"/>
    </row>
    <row r="1221" spans="6:6" x14ac:dyDescent="0.25">
      <c r="F1221" s="281"/>
    </row>
    <row r="1222" spans="6:6" x14ac:dyDescent="0.25">
      <c r="F1222" s="281"/>
    </row>
    <row r="1223" spans="6:6" x14ac:dyDescent="0.25">
      <c r="F1223" s="281"/>
    </row>
    <row r="1224" spans="6:6" x14ac:dyDescent="0.25">
      <c r="F1224" s="281"/>
    </row>
    <row r="1225" spans="6:6" x14ac:dyDescent="0.25">
      <c r="F1225" s="281"/>
    </row>
    <row r="1226" spans="6:6" x14ac:dyDescent="0.25">
      <c r="F1226" s="281"/>
    </row>
    <row r="1227" spans="6:6" x14ac:dyDescent="0.25">
      <c r="F1227" s="281"/>
    </row>
    <row r="1228" spans="6:6" x14ac:dyDescent="0.25">
      <c r="F1228" s="281"/>
    </row>
    <row r="1229" spans="6:6" x14ac:dyDescent="0.25">
      <c r="F1229" s="281"/>
    </row>
    <row r="1230" spans="6:6" x14ac:dyDescent="0.25">
      <c r="F1230" s="281"/>
    </row>
    <row r="1231" spans="6:6" x14ac:dyDescent="0.25">
      <c r="F1231" s="281"/>
    </row>
    <row r="1232" spans="6:6" x14ac:dyDescent="0.25">
      <c r="F1232" s="281"/>
    </row>
    <row r="1233" spans="6:6" x14ac:dyDescent="0.25">
      <c r="F1233" s="281"/>
    </row>
    <row r="1234" spans="6:6" x14ac:dyDescent="0.25">
      <c r="F1234" s="281"/>
    </row>
    <row r="1235" spans="6:6" x14ac:dyDescent="0.25">
      <c r="F1235" s="281"/>
    </row>
    <row r="1236" spans="6:6" x14ac:dyDescent="0.25">
      <c r="F1236" s="281"/>
    </row>
    <row r="1237" spans="6:6" x14ac:dyDescent="0.25">
      <c r="F1237" s="281"/>
    </row>
    <row r="1238" spans="6:6" x14ac:dyDescent="0.25">
      <c r="F1238" s="281"/>
    </row>
    <row r="1239" spans="6:6" x14ac:dyDescent="0.25">
      <c r="F1239" s="281"/>
    </row>
    <row r="1240" spans="6:6" x14ac:dyDescent="0.25">
      <c r="F1240" s="281"/>
    </row>
    <row r="1241" spans="6:6" x14ac:dyDescent="0.25">
      <c r="F1241" s="281"/>
    </row>
    <row r="1242" spans="6:6" x14ac:dyDescent="0.25">
      <c r="F1242" s="281"/>
    </row>
    <row r="1243" spans="6:6" x14ac:dyDescent="0.25">
      <c r="F1243" s="281"/>
    </row>
    <row r="1244" spans="6:6" x14ac:dyDescent="0.25">
      <c r="F1244" s="281"/>
    </row>
    <row r="1245" spans="6:6" x14ac:dyDescent="0.25">
      <c r="F1245" s="281"/>
    </row>
    <row r="1246" spans="6:6" x14ac:dyDescent="0.25">
      <c r="F1246" s="281"/>
    </row>
    <row r="1247" spans="6:6" x14ac:dyDescent="0.25">
      <c r="F1247" s="281"/>
    </row>
    <row r="1248" spans="6:6" x14ac:dyDescent="0.25">
      <c r="F1248" s="281"/>
    </row>
    <row r="1249" spans="6:6" x14ac:dyDescent="0.25">
      <c r="F1249" s="281"/>
    </row>
    <row r="1250" spans="6:6" x14ac:dyDescent="0.25">
      <c r="F1250" s="281"/>
    </row>
    <row r="1251" spans="6:6" x14ac:dyDescent="0.25">
      <c r="F1251" s="281"/>
    </row>
    <row r="1252" spans="6:6" x14ac:dyDescent="0.25">
      <c r="F1252" s="281"/>
    </row>
    <row r="1253" spans="6:6" x14ac:dyDescent="0.25">
      <c r="F1253" s="281"/>
    </row>
    <row r="1254" spans="6:6" x14ac:dyDescent="0.25">
      <c r="F1254" s="281"/>
    </row>
    <row r="1255" spans="6:6" x14ac:dyDescent="0.25">
      <c r="F1255" s="281"/>
    </row>
    <row r="1256" spans="6:6" x14ac:dyDescent="0.25">
      <c r="F1256" s="281"/>
    </row>
    <row r="1257" spans="6:6" x14ac:dyDescent="0.25">
      <c r="F1257" s="281"/>
    </row>
    <row r="1258" spans="6:6" x14ac:dyDescent="0.25">
      <c r="F1258" s="281"/>
    </row>
    <row r="1259" spans="6:6" x14ac:dyDescent="0.25">
      <c r="F1259" s="281"/>
    </row>
    <row r="1260" spans="6:6" x14ac:dyDescent="0.25">
      <c r="F1260" s="281"/>
    </row>
    <row r="1261" spans="6:6" x14ac:dyDescent="0.25">
      <c r="F1261" s="281"/>
    </row>
    <row r="1262" spans="6:6" x14ac:dyDescent="0.25">
      <c r="F1262" s="281"/>
    </row>
    <row r="1263" spans="6:6" x14ac:dyDescent="0.25">
      <c r="F1263" s="281"/>
    </row>
    <row r="1264" spans="6:6" x14ac:dyDescent="0.25">
      <c r="F1264" s="281"/>
    </row>
    <row r="1265" spans="6:6" x14ac:dyDescent="0.25">
      <c r="F1265" s="281"/>
    </row>
    <row r="1266" spans="6:6" x14ac:dyDescent="0.25">
      <c r="F1266" s="281"/>
    </row>
    <row r="1267" spans="6:6" x14ac:dyDescent="0.25">
      <c r="F1267" s="281"/>
    </row>
    <row r="1268" spans="6:6" x14ac:dyDescent="0.25">
      <c r="F1268" s="281"/>
    </row>
    <row r="1269" spans="6:6" x14ac:dyDescent="0.25">
      <c r="F1269" s="281"/>
    </row>
    <row r="1270" spans="6:6" x14ac:dyDescent="0.25">
      <c r="F1270" s="281"/>
    </row>
    <row r="1271" spans="6:6" x14ac:dyDescent="0.25">
      <c r="F1271" s="281"/>
    </row>
    <row r="1272" spans="6:6" x14ac:dyDescent="0.25">
      <c r="F1272" s="281"/>
    </row>
    <row r="1273" spans="6:6" x14ac:dyDescent="0.25">
      <c r="F1273" s="281"/>
    </row>
    <row r="1274" spans="6:6" x14ac:dyDescent="0.25">
      <c r="F1274" s="281"/>
    </row>
    <row r="1275" spans="6:6" x14ac:dyDescent="0.25">
      <c r="F1275" s="281"/>
    </row>
    <row r="1276" spans="6:6" x14ac:dyDescent="0.25">
      <c r="F1276" s="281"/>
    </row>
    <row r="1277" spans="6:6" x14ac:dyDescent="0.25">
      <c r="F1277" s="281"/>
    </row>
    <row r="1278" spans="6:6" x14ac:dyDescent="0.25">
      <c r="F1278" s="281"/>
    </row>
    <row r="1279" spans="6:6" x14ac:dyDescent="0.25">
      <c r="F1279" s="281"/>
    </row>
    <row r="1280" spans="6:6" x14ac:dyDescent="0.25">
      <c r="F1280" s="281"/>
    </row>
    <row r="1281" spans="6:6" x14ac:dyDescent="0.25">
      <c r="F1281" s="281"/>
    </row>
    <row r="1282" spans="6:6" x14ac:dyDescent="0.25">
      <c r="F1282" s="281"/>
    </row>
    <row r="1283" spans="6:6" x14ac:dyDescent="0.25">
      <c r="F1283" s="281"/>
    </row>
    <row r="1284" spans="6:6" x14ac:dyDescent="0.25">
      <c r="F1284" s="281"/>
    </row>
    <row r="1285" spans="6:6" x14ac:dyDescent="0.25">
      <c r="F1285" s="281"/>
    </row>
    <row r="1286" spans="6:6" x14ac:dyDescent="0.25">
      <c r="F1286" s="281"/>
    </row>
    <row r="1287" spans="6:6" x14ac:dyDescent="0.25">
      <c r="F1287" s="281"/>
    </row>
    <row r="1288" spans="6:6" x14ac:dyDescent="0.25">
      <c r="F1288" s="281"/>
    </row>
    <row r="1289" spans="6:6" x14ac:dyDescent="0.25">
      <c r="F1289" s="281"/>
    </row>
    <row r="1290" spans="6:6" x14ac:dyDescent="0.25">
      <c r="F1290" s="281"/>
    </row>
    <row r="1291" spans="6:6" x14ac:dyDescent="0.25">
      <c r="F1291" s="281"/>
    </row>
    <row r="1292" spans="6:6" x14ac:dyDescent="0.25">
      <c r="F1292" s="281"/>
    </row>
    <row r="1293" spans="6:6" x14ac:dyDescent="0.25">
      <c r="F1293" s="281"/>
    </row>
    <row r="1294" spans="6:6" x14ac:dyDescent="0.25">
      <c r="F1294" s="281"/>
    </row>
    <row r="1295" spans="6:6" x14ac:dyDescent="0.25">
      <c r="F1295" s="281"/>
    </row>
    <row r="1296" spans="6:6" x14ac:dyDescent="0.25">
      <c r="F1296" s="281"/>
    </row>
    <row r="1297" spans="6:6" x14ac:dyDescent="0.25">
      <c r="F1297" s="281"/>
    </row>
    <row r="1298" spans="6:6" x14ac:dyDescent="0.25">
      <c r="F1298" s="281"/>
    </row>
    <row r="1299" spans="6:6" x14ac:dyDescent="0.25">
      <c r="F1299" s="281"/>
    </row>
    <row r="1300" spans="6:6" x14ac:dyDescent="0.25">
      <c r="F1300" s="281"/>
    </row>
    <row r="1301" spans="6:6" x14ac:dyDescent="0.25">
      <c r="F1301" s="281"/>
    </row>
    <row r="1302" spans="6:6" x14ac:dyDescent="0.25">
      <c r="F1302" s="281"/>
    </row>
    <row r="1303" spans="6:6" x14ac:dyDescent="0.25">
      <c r="F1303" s="281"/>
    </row>
    <row r="1304" spans="6:6" x14ac:dyDescent="0.25">
      <c r="F1304" s="281"/>
    </row>
    <row r="1305" spans="6:6" x14ac:dyDescent="0.25">
      <c r="F1305" s="281"/>
    </row>
    <row r="1306" spans="6:6" x14ac:dyDescent="0.25">
      <c r="F1306" s="281"/>
    </row>
    <row r="1307" spans="6:6" x14ac:dyDescent="0.25">
      <c r="F1307" s="281"/>
    </row>
    <row r="1308" spans="6:6" x14ac:dyDescent="0.25">
      <c r="F1308" s="281"/>
    </row>
    <row r="1309" spans="6:6" x14ac:dyDescent="0.25">
      <c r="F1309" s="281"/>
    </row>
    <row r="1310" spans="6:6" x14ac:dyDescent="0.25">
      <c r="F1310" s="281"/>
    </row>
    <row r="1311" spans="6:6" x14ac:dyDescent="0.25">
      <c r="F1311" s="281"/>
    </row>
    <row r="1312" spans="6:6" x14ac:dyDescent="0.25">
      <c r="F1312" s="281"/>
    </row>
    <row r="1313" spans="6:6" x14ac:dyDescent="0.25">
      <c r="F1313" s="281"/>
    </row>
    <row r="1314" spans="6:6" x14ac:dyDescent="0.25">
      <c r="F1314" s="281"/>
    </row>
    <row r="1315" spans="6:6" x14ac:dyDescent="0.25">
      <c r="F1315" s="281"/>
    </row>
    <row r="1316" spans="6:6" x14ac:dyDescent="0.25">
      <c r="F1316" s="281"/>
    </row>
    <row r="1317" spans="6:6" x14ac:dyDescent="0.25">
      <c r="F1317" s="281"/>
    </row>
    <row r="1318" spans="6:6" x14ac:dyDescent="0.25">
      <c r="F1318" s="281"/>
    </row>
    <row r="1319" spans="6:6" x14ac:dyDescent="0.25">
      <c r="F1319" s="281"/>
    </row>
    <row r="1320" spans="6:6" x14ac:dyDescent="0.25">
      <c r="F1320" s="281"/>
    </row>
    <row r="1321" spans="6:6" x14ac:dyDescent="0.25">
      <c r="F1321" s="281"/>
    </row>
    <row r="1322" spans="6:6" x14ac:dyDescent="0.25">
      <c r="F1322" s="281"/>
    </row>
    <row r="1323" spans="6:6" x14ac:dyDescent="0.25">
      <c r="F1323" s="281"/>
    </row>
    <row r="1324" spans="6:6" x14ac:dyDescent="0.25">
      <c r="F1324" s="281"/>
    </row>
    <row r="1325" spans="6:6" x14ac:dyDescent="0.25">
      <c r="F1325" s="281"/>
    </row>
    <row r="1326" spans="6:6" x14ac:dyDescent="0.25">
      <c r="F1326" s="281"/>
    </row>
    <row r="1327" spans="6:6" x14ac:dyDescent="0.25">
      <c r="F1327" s="281"/>
    </row>
    <row r="1328" spans="6:6" x14ac:dyDescent="0.25">
      <c r="F1328" s="281"/>
    </row>
    <row r="1329" spans="6:6" x14ac:dyDescent="0.25">
      <c r="F1329" s="281"/>
    </row>
    <row r="1330" spans="6:6" x14ac:dyDescent="0.25">
      <c r="F1330" s="281"/>
    </row>
    <row r="1331" spans="6:6" x14ac:dyDescent="0.25">
      <c r="F1331" s="281"/>
    </row>
    <row r="1332" spans="6:6" x14ac:dyDescent="0.25">
      <c r="F1332" s="281"/>
    </row>
    <row r="1333" spans="6:6" x14ac:dyDescent="0.25">
      <c r="F1333" s="281"/>
    </row>
    <row r="1334" spans="6:6" x14ac:dyDescent="0.25">
      <c r="F1334" s="281"/>
    </row>
    <row r="1335" spans="6:6" x14ac:dyDescent="0.25">
      <c r="F1335" s="281"/>
    </row>
    <row r="1336" spans="6:6" x14ac:dyDescent="0.25">
      <c r="F1336" s="281"/>
    </row>
    <row r="1337" spans="6:6" x14ac:dyDescent="0.25">
      <c r="F1337" s="281"/>
    </row>
    <row r="1338" spans="6:6" x14ac:dyDescent="0.25">
      <c r="F1338" s="281"/>
    </row>
    <row r="1339" spans="6:6" x14ac:dyDescent="0.25">
      <c r="F1339" s="281"/>
    </row>
    <row r="1340" spans="6:6" x14ac:dyDescent="0.25">
      <c r="F1340" s="281"/>
    </row>
    <row r="1341" spans="6:6" x14ac:dyDescent="0.25">
      <c r="F1341" s="281"/>
    </row>
    <row r="1342" spans="6:6" x14ac:dyDescent="0.25">
      <c r="F1342" s="281"/>
    </row>
    <row r="1343" spans="6:6" x14ac:dyDescent="0.25">
      <c r="F1343" s="281"/>
    </row>
    <row r="1344" spans="6:6" x14ac:dyDescent="0.25">
      <c r="F1344" s="281"/>
    </row>
    <row r="1345" spans="6:6" x14ac:dyDescent="0.25">
      <c r="F1345" s="281"/>
    </row>
    <row r="1346" spans="6:6" x14ac:dyDescent="0.25">
      <c r="F1346" s="281"/>
    </row>
    <row r="1347" spans="6:6" x14ac:dyDescent="0.25">
      <c r="F1347" s="281"/>
    </row>
    <row r="1348" spans="6:6" x14ac:dyDescent="0.25">
      <c r="F1348" s="281"/>
    </row>
    <row r="1349" spans="6:6" x14ac:dyDescent="0.25">
      <c r="F1349" s="281"/>
    </row>
    <row r="1350" spans="6:6" x14ac:dyDescent="0.25">
      <c r="F1350" s="281"/>
    </row>
    <row r="1351" spans="6:6" x14ac:dyDescent="0.25">
      <c r="F1351" s="281"/>
    </row>
    <row r="1352" spans="6:6" x14ac:dyDescent="0.25">
      <c r="F1352" s="281"/>
    </row>
    <row r="1353" spans="6:6" x14ac:dyDescent="0.25">
      <c r="F1353" s="281"/>
    </row>
    <row r="1354" spans="6:6" x14ac:dyDescent="0.25">
      <c r="F1354" s="281"/>
    </row>
    <row r="1355" spans="6:6" x14ac:dyDescent="0.25">
      <c r="F1355" s="281"/>
    </row>
    <row r="1356" spans="6:6" x14ac:dyDescent="0.25">
      <c r="F1356" s="281"/>
    </row>
    <row r="1357" spans="6:6" x14ac:dyDescent="0.25">
      <c r="F1357" s="281"/>
    </row>
    <row r="1358" spans="6:6" x14ac:dyDescent="0.25">
      <c r="F1358" s="281"/>
    </row>
    <row r="1359" spans="6:6" x14ac:dyDescent="0.25">
      <c r="F1359" s="281"/>
    </row>
    <row r="1360" spans="6:6" x14ac:dyDescent="0.25">
      <c r="F1360" s="281"/>
    </row>
    <row r="1361" spans="6:6" x14ac:dyDescent="0.25">
      <c r="F1361" s="281"/>
    </row>
    <row r="1362" spans="6:6" x14ac:dyDescent="0.25">
      <c r="F1362" s="281"/>
    </row>
    <row r="1363" spans="6:6" x14ac:dyDescent="0.25">
      <c r="F1363" s="281"/>
    </row>
    <row r="1364" spans="6:6" x14ac:dyDescent="0.25">
      <c r="F1364" s="281"/>
    </row>
    <row r="1365" spans="6:6" x14ac:dyDescent="0.25">
      <c r="F1365" s="281"/>
    </row>
    <row r="1366" spans="6:6" x14ac:dyDescent="0.25">
      <c r="F1366" s="281"/>
    </row>
    <row r="1367" spans="6:6" x14ac:dyDescent="0.25">
      <c r="F1367" s="281"/>
    </row>
    <row r="1368" spans="6:6" x14ac:dyDescent="0.25">
      <c r="F1368" s="281"/>
    </row>
    <row r="1369" spans="6:6" x14ac:dyDescent="0.25">
      <c r="F1369" s="281"/>
    </row>
    <row r="1370" spans="6:6" x14ac:dyDescent="0.25">
      <c r="F1370" s="281"/>
    </row>
    <row r="1371" spans="6:6" x14ac:dyDescent="0.25">
      <c r="F1371" s="281"/>
    </row>
    <row r="1372" spans="6:6" x14ac:dyDescent="0.25">
      <c r="F1372" s="281"/>
    </row>
    <row r="1373" spans="6:6" x14ac:dyDescent="0.25">
      <c r="F1373" s="281"/>
    </row>
    <row r="1374" spans="6:6" x14ac:dyDescent="0.25">
      <c r="F1374" s="281"/>
    </row>
    <row r="1375" spans="6:6" x14ac:dyDescent="0.25">
      <c r="F1375" s="281"/>
    </row>
    <row r="1376" spans="6:6" x14ac:dyDescent="0.25">
      <c r="F1376" s="281"/>
    </row>
    <row r="1377" spans="6:6" x14ac:dyDescent="0.25">
      <c r="F1377" s="281"/>
    </row>
    <row r="1378" spans="6:6" x14ac:dyDescent="0.25">
      <c r="F1378" s="281"/>
    </row>
    <row r="1379" spans="6:6" x14ac:dyDescent="0.25">
      <c r="F1379" s="281"/>
    </row>
    <row r="1380" spans="6:6" x14ac:dyDescent="0.25">
      <c r="F1380" s="281"/>
    </row>
    <row r="1381" spans="6:6" x14ac:dyDescent="0.25">
      <c r="F1381" s="281"/>
    </row>
    <row r="1382" spans="6:6" x14ac:dyDescent="0.25">
      <c r="F1382" s="281"/>
    </row>
    <row r="1383" spans="6:6" x14ac:dyDescent="0.25">
      <c r="F1383" s="281"/>
    </row>
    <row r="1384" spans="6:6" x14ac:dyDescent="0.25">
      <c r="F1384" s="281"/>
    </row>
    <row r="1385" spans="6:6" x14ac:dyDescent="0.25">
      <c r="F1385" s="281"/>
    </row>
    <row r="1386" spans="6:6" x14ac:dyDescent="0.25">
      <c r="F1386" s="281"/>
    </row>
    <row r="1387" spans="6:6" x14ac:dyDescent="0.25">
      <c r="F1387" s="281"/>
    </row>
    <row r="1388" spans="6:6" x14ac:dyDescent="0.25">
      <c r="F1388" s="281"/>
    </row>
    <row r="1389" spans="6:6" x14ac:dyDescent="0.25">
      <c r="F1389" s="281"/>
    </row>
    <row r="1390" spans="6:6" x14ac:dyDescent="0.25">
      <c r="F1390" s="281"/>
    </row>
    <row r="1391" spans="6:6" x14ac:dyDescent="0.25">
      <c r="F1391" s="281"/>
    </row>
    <row r="1392" spans="6:6" x14ac:dyDescent="0.25">
      <c r="F1392" s="281"/>
    </row>
    <row r="1393" spans="6:6" x14ac:dyDescent="0.25">
      <c r="F1393" s="281"/>
    </row>
    <row r="1394" spans="6:6" x14ac:dyDescent="0.25">
      <c r="F1394" s="281"/>
    </row>
    <row r="1395" spans="6:6" x14ac:dyDescent="0.25">
      <c r="F1395" s="281"/>
    </row>
    <row r="1396" spans="6:6" x14ac:dyDescent="0.25">
      <c r="F1396" s="281"/>
    </row>
    <row r="1397" spans="6:6" x14ac:dyDescent="0.25">
      <c r="F1397" s="281"/>
    </row>
    <row r="1398" spans="6:6" x14ac:dyDescent="0.25">
      <c r="F1398" s="281"/>
    </row>
    <row r="1399" spans="6:6" x14ac:dyDescent="0.25">
      <c r="F1399" s="281"/>
    </row>
    <row r="1400" spans="6:6" x14ac:dyDescent="0.25">
      <c r="F1400" s="281"/>
    </row>
    <row r="1401" spans="6:6" x14ac:dyDescent="0.25">
      <c r="F1401" s="281"/>
    </row>
    <row r="1402" spans="6:6" x14ac:dyDescent="0.25">
      <c r="F1402" s="281"/>
    </row>
    <row r="1403" spans="6:6" x14ac:dyDescent="0.25">
      <c r="F1403" s="281"/>
    </row>
    <row r="1404" spans="6:6" x14ac:dyDescent="0.25">
      <c r="F1404" s="281"/>
    </row>
    <row r="1405" spans="6:6" x14ac:dyDescent="0.25">
      <c r="F1405" s="281"/>
    </row>
    <row r="1406" spans="6:6" x14ac:dyDescent="0.25">
      <c r="F1406" s="281"/>
    </row>
    <row r="1407" spans="6:6" x14ac:dyDescent="0.25">
      <c r="F1407" s="281"/>
    </row>
    <row r="1408" spans="6:6" x14ac:dyDescent="0.25">
      <c r="F1408" s="281"/>
    </row>
    <row r="1409" spans="6:6" x14ac:dyDescent="0.25">
      <c r="F1409" s="281"/>
    </row>
    <row r="1410" spans="6:6" x14ac:dyDescent="0.25">
      <c r="F1410" s="281"/>
    </row>
    <row r="1411" spans="6:6" x14ac:dyDescent="0.25">
      <c r="F1411" s="281"/>
    </row>
    <row r="1412" spans="6:6" x14ac:dyDescent="0.25">
      <c r="F1412" s="281"/>
    </row>
    <row r="1413" spans="6:6" x14ac:dyDescent="0.25">
      <c r="F1413" s="281"/>
    </row>
    <row r="1414" spans="6:6" x14ac:dyDescent="0.25">
      <c r="F1414" s="281"/>
    </row>
    <row r="1415" spans="6:6" x14ac:dyDescent="0.25">
      <c r="F1415" s="281"/>
    </row>
    <row r="1416" spans="6:6" x14ac:dyDescent="0.25">
      <c r="F1416" s="281"/>
    </row>
    <row r="1417" spans="6:6" x14ac:dyDescent="0.25">
      <c r="F1417" s="281"/>
    </row>
    <row r="1418" spans="6:6" x14ac:dyDescent="0.25">
      <c r="F1418" s="281"/>
    </row>
    <row r="1419" spans="6:6" x14ac:dyDescent="0.25">
      <c r="F1419" s="281"/>
    </row>
    <row r="1420" spans="6:6" x14ac:dyDescent="0.25">
      <c r="F1420" s="281"/>
    </row>
    <row r="1421" spans="6:6" x14ac:dyDescent="0.25">
      <c r="F1421" s="281"/>
    </row>
    <row r="1422" spans="6:6" x14ac:dyDescent="0.25">
      <c r="F1422" s="281"/>
    </row>
    <row r="1423" spans="6:6" x14ac:dyDescent="0.25">
      <c r="F1423" s="281"/>
    </row>
    <row r="1424" spans="6:6" x14ac:dyDescent="0.25">
      <c r="F1424" s="281"/>
    </row>
    <row r="1425" spans="6:6" x14ac:dyDescent="0.25">
      <c r="F1425" s="281"/>
    </row>
    <row r="1426" spans="6:6" x14ac:dyDescent="0.25">
      <c r="F1426" s="281"/>
    </row>
    <row r="1427" spans="6:6" x14ac:dyDescent="0.25">
      <c r="F1427" s="281"/>
    </row>
    <row r="1428" spans="6:6" x14ac:dyDescent="0.25">
      <c r="F1428" s="281"/>
    </row>
    <row r="1429" spans="6:6" x14ac:dyDescent="0.25">
      <c r="F1429" s="281"/>
    </row>
    <row r="1430" spans="6:6" x14ac:dyDescent="0.25">
      <c r="F1430" s="281"/>
    </row>
    <row r="1431" spans="6:6" x14ac:dyDescent="0.25">
      <c r="F1431" s="281"/>
    </row>
    <row r="1432" spans="6:6" x14ac:dyDescent="0.25">
      <c r="F1432" s="281"/>
    </row>
    <row r="1433" spans="6:6" x14ac:dyDescent="0.25">
      <c r="F1433" s="281"/>
    </row>
    <row r="1434" spans="6:6" x14ac:dyDescent="0.25">
      <c r="F1434" s="281"/>
    </row>
    <row r="1435" spans="6:6" x14ac:dyDescent="0.25">
      <c r="F1435" s="281"/>
    </row>
    <row r="1436" spans="6:6" x14ac:dyDescent="0.25">
      <c r="F1436" s="281"/>
    </row>
    <row r="1437" spans="6:6" x14ac:dyDescent="0.25">
      <c r="F1437" s="281"/>
    </row>
    <row r="1438" spans="6:6" x14ac:dyDescent="0.25">
      <c r="F1438" s="281"/>
    </row>
    <row r="1439" spans="6:6" x14ac:dyDescent="0.25">
      <c r="F1439" s="281"/>
    </row>
    <row r="1440" spans="6:6" x14ac:dyDescent="0.25">
      <c r="F1440" s="281"/>
    </row>
    <row r="1441" spans="6:6" x14ac:dyDescent="0.25">
      <c r="F1441" s="281"/>
    </row>
    <row r="1442" spans="6:6" x14ac:dyDescent="0.25">
      <c r="F1442" s="281"/>
    </row>
    <row r="1443" spans="6:6" x14ac:dyDescent="0.25">
      <c r="F1443" s="281"/>
    </row>
    <row r="1444" spans="6:6" x14ac:dyDescent="0.25">
      <c r="F1444" s="281"/>
    </row>
    <row r="1445" spans="6:6" x14ac:dyDescent="0.25">
      <c r="F1445" s="281"/>
    </row>
    <row r="1446" spans="6:6" x14ac:dyDescent="0.25">
      <c r="F1446" s="281"/>
    </row>
    <row r="1447" spans="6:6" x14ac:dyDescent="0.25">
      <c r="F1447" s="281"/>
    </row>
    <row r="1448" spans="6:6" x14ac:dyDescent="0.25">
      <c r="F1448" s="281"/>
    </row>
    <row r="1449" spans="6:6" x14ac:dyDescent="0.25">
      <c r="F1449" s="281"/>
    </row>
    <row r="1450" spans="6:6" x14ac:dyDescent="0.25">
      <c r="F1450" s="281"/>
    </row>
    <row r="1451" spans="6:6" x14ac:dyDescent="0.25">
      <c r="F1451" s="281"/>
    </row>
    <row r="1452" spans="6:6" x14ac:dyDescent="0.25">
      <c r="F1452" s="281"/>
    </row>
    <row r="1453" spans="6:6" x14ac:dyDescent="0.25">
      <c r="F1453" s="281"/>
    </row>
    <row r="1454" spans="6:6" x14ac:dyDescent="0.25">
      <c r="F1454" s="281"/>
    </row>
    <row r="1455" spans="6:6" x14ac:dyDescent="0.25">
      <c r="F1455" s="281"/>
    </row>
    <row r="1456" spans="6:6" x14ac:dyDescent="0.25">
      <c r="F1456" s="281"/>
    </row>
    <row r="1457" spans="6:6" x14ac:dyDescent="0.25">
      <c r="F1457" s="281"/>
    </row>
    <row r="1458" spans="6:6" x14ac:dyDescent="0.25">
      <c r="F1458" s="281"/>
    </row>
    <row r="1459" spans="6:6" x14ac:dyDescent="0.25">
      <c r="F1459" s="281"/>
    </row>
    <row r="1460" spans="6:6" x14ac:dyDescent="0.25">
      <c r="F1460" s="281"/>
    </row>
    <row r="1461" spans="6:6" x14ac:dyDescent="0.25">
      <c r="F1461" s="281"/>
    </row>
    <row r="1462" spans="6:6" x14ac:dyDescent="0.25">
      <c r="F1462" s="281"/>
    </row>
    <row r="1463" spans="6:6" x14ac:dyDescent="0.25">
      <c r="F1463" s="281"/>
    </row>
    <row r="1464" spans="6:6" x14ac:dyDescent="0.25">
      <c r="F1464" s="281"/>
    </row>
    <row r="1465" spans="6:6" x14ac:dyDescent="0.25">
      <c r="F1465" s="281"/>
    </row>
    <row r="1466" spans="6:6" x14ac:dyDescent="0.25">
      <c r="F1466" s="281"/>
    </row>
    <row r="1467" spans="6:6" x14ac:dyDescent="0.25">
      <c r="F1467" s="281"/>
    </row>
    <row r="1468" spans="6:6" x14ac:dyDescent="0.25">
      <c r="F1468" s="281"/>
    </row>
    <row r="1469" spans="6:6" x14ac:dyDescent="0.25">
      <c r="F1469" s="281"/>
    </row>
    <row r="1470" spans="6:6" x14ac:dyDescent="0.25">
      <c r="F1470" s="281"/>
    </row>
    <row r="1471" spans="6:6" x14ac:dyDescent="0.25">
      <c r="F1471" s="281"/>
    </row>
    <row r="1472" spans="6:6" x14ac:dyDescent="0.25">
      <c r="F1472" s="281"/>
    </row>
    <row r="1473" spans="6:6" x14ac:dyDescent="0.25">
      <c r="F1473" s="281"/>
    </row>
    <row r="1474" spans="6:6" x14ac:dyDescent="0.25">
      <c r="F1474" s="281"/>
    </row>
    <row r="1475" spans="6:6" x14ac:dyDescent="0.25">
      <c r="F1475" s="281"/>
    </row>
    <row r="1476" spans="6:6" x14ac:dyDescent="0.25">
      <c r="F1476" s="281"/>
    </row>
    <row r="1477" spans="6:6" x14ac:dyDescent="0.25">
      <c r="F1477" s="281"/>
    </row>
    <row r="1478" spans="6:6" x14ac:dyDescent="0.25">
      <c r="F1478" s="281"/>
    </row>
    <row r="1479" spans="6:6" x14ac:dyDescent="0.25">
      <c r="F1479" s="281"/>
    </row>
    <row r="1480" spans="6:6" x14ac:dyDescent="0.25">
      <c r="F1480" s="281"/>
    </row>
    <row r="1481" spans="6:6" x14ac:dyDescent="0.25">
      <c r="F1481" s="281"/>
    </row>
    <row r="1482" spans="6:6" x14ac:dyDescent="0.25">
      <c r="F1482" s="281"/>
    </row>
    <row r="1483" spans="6:6" x14ac:dyDescent="0.25">
      <c r="F1483" s="281"/>
    </row>
    <row r="1484" spans="6:6" x14ac:dyDescent="0.25">
      <c r="F1484" s="281"/>
    </row>
    <row r="1485" spans="6:6" x14ac:dyDescent="0.25">
      <c r="F1485" s="281"/>
    </row>
    <row r="1486" spans="6:6" x14ac:dyDescent="0.25">
      <c r="F1486" s="281"/>
    </row>
    <row r="1487" spans="6:6" x14ac:dyDescent="0.25">
      <c r="F1487" s="281"/>
    </row>
    <row r="1488" spans="6:6" x14ac:dyDescent="0.25">
      <c r="F1488" s="281"/>
    </row>
    <row r="1489" spans="6:6" x14ac:dyDescent="0.25">
      <c r="F1489" s="281"/>
    </row>
    <row r="1490" spans="6:6" x14ac:dyDescent="0.25">
      <c r="F1490" s="281"/>
    </row>
    <row r="1491" spans="6:6" x14ac:dyDescent="0.25">
      <c r="F1491" s="281"/>
    </row>
    <row r="1492" spans="6:6" x14ac:dyDescent="0.25">
      <c r="F1492" s="281"/>
    </row>
    <row r="1493" spans="6:6" x14ac:dyDescent="0.25">
      <c r="F1493" s="281"/>
    </row>
    <row r="1494" spans="6:6" x14ac:dyDescent="0.25">
      <c r="F1494" s="281"/>
    </row>
    <row r="1495" spans="6:6" x14ac:dyDescent="0.25">
      <c r="F1495" s="281"/>
    </row>
    <row r="1496" spans="6:6" x14ac:dyDescent="0.25">
      <c r="F1496" s="281"/>
    </row>
    <row r="1497" spans="6:6" x14ac:dyDescent="0.25">
      <c r="F1497" s="281"/>
    </row>
    <row r="1498" spans="6:6" x14ac:dyDescent="0.25">
      <c r="F1498" s="281"/>
    </row>
    <row r="1499" spans="6:6" x14ac:dyDescent="0.25">
      <c r="F1499" s="281"/>
    </row>
    <row r="1500" spans="6:6" x14ac:dyDescent="0.25">
      <c r="F1500" s="281"/>
    </row>
    <row r="1501" spans="6:6" x14ac:dyDescent="0.25">
      <c r="F1501" s="281"/>
    </row>
    <row r="1502" spans="6:6" x14ac:dyDescent="0.25">
      <c r="F1502" s="281"/>
    </row>
    <row r="1503" spans="6:6" x14ac:dyDescent="0.25">
      <c r="F1503" s="281"/>
    </row>
    <row r="1504" spans="6:6" x14ac:dyDescent="0.25">
      <c r="F1504" s="281"/>
    </row>
    <row r="1505" spans="6:6" x14ac:dyDescent="0.25">
      <c r="F1505" s="281"/>
    </row>
    <row r="1506" spans="6:6" x14ac:dyDescent="0.25">
      <c r="F1506" s="281"/>
    </row>
    <row r="1507" spans="6:6" x14ac:dyDescent="0.25">
      <c r="F1507" s="281"/>
    </row>
    <row r="1508" spans="6:6" x14ac:dyDescent="0.25">
      <c r="F1508" s="281"/>
    </row>
    <row r="1509" spans="6:6" x14ac:dyDescent="0.25">
      <c r="F1509" s="281"/>
    </row>
    <row r="1510" spans="6:6" x14ac:dyDescent="0.25">
      <c r="F1510" s="281"/>
    </row>
    <row r="1511" spans="6:6" x14ac:dyDescent="0.25">
      <c r="F1511" s="281"/>
    </row>
    <row r="1512" spans="6:6" x14ac:dyDescent="0.25">
      <c r="F1512" s="281"/>
    </row>
    <row r="1513" spans="6:6" x14ac:dyDescent="0.25">
      <c r="F1513" s="281"/>
    </row>
    <row r="1514" spans="6:6" x14ac:dyDescent="0.25">
      <c r="F1514" s="281"/>
    </row>
    <row r="1515" spans="6:6" x14ac:dyDescent="0.25">
      <c r="F1515" s="281"/>
    </row>
    <row r="1516" spans="6:6" x14ac:dyDescent="0.25">
      <c r="F1516" s="281"/>
    </row>
    <row r="1517" spans="6:6" x14ac:dyDescent="0.25">
      <c r="F1517" s="281"/>
    </row>
    <row r="1518" spans="6:6" x14ac:dyDescent="0.25">
      <c r="F1518" s="281"/>
    </row>
    <row r="1519" spans="6:6" x14ac:dyDescent="0.25">
      <c r="F1519" s="281"/>
    </row>
    <row r="1520" spans="6:6" x14ac:dyDescent="0.25">
      <c r="F1520" s="281"/>
    </row>
    <row r="1521" spans="6:6" x14ac:dyDescent="0.25">
      <c r="F1521" s="281"/>
    </row>
    <row r="1522" spans="6:6" x14ac:dyDescent="0.25">
      <c r="F1522" s="281"/>
    </row>
    <row r="1523" spans="6:6" x14ac:dyDescent="0.25">
      <c r="F1523" s="281"/>
    </row>
    <row r="1524" spans="6:6" x14ac:dyDescent="0.25">
      <c r="F1524" s="281"/>
    </row>
    <row r="1525" spans="6:6" x14ac:dyDescent="0.25">
      <c r="F1525" s="281"/>
    </row>
    <row r="1526" spans="6:6" x14ac:dyDescent="0.25">
      <c r="F1526" s="281"/>
    </row>
    <row r="1527" spans="6:6" x14ac:dyDescent="0.25">
      <c r="F1527" s="281"/>
    </row>
    <row r="1528" spans="6:6" x14ac:dyDescent="0.25">
      <c r="F1528" s="281"/>
    </row>
    <row r="1529" spans="6:6" x14ac:dyDescent="0.25">
      <c r="F1529" s="281"/>
    </row>
    <row r="1530" spans="6:6" x14ac:dyDescent="0.25">
      <c r="F1530" s="281"/>
    </row>
    <row r="1531" spans="6:6" x14ac:dyDescent="0.25">
      <c r="F1531" s="281"/>
    </row>
    <row r="1532" spans="6:6" x14ac:dyDescent="0.25">
      <c r="F1532" s="281"/>
    </row>
    <row r="1533" spans="6:6" x14ac:dyDescent="0.25">
      <c r="F1533" s="281"/>
    </row>
    <row r="1534" spans="6:6" x14ac:dyDescent="0.25">
      <c r="F1534" s="281"/>
    </row>
    <row r="1535" spans="6:6" x14ac:dyDescent="0.25">
      <c r="F1535" s="281"/>
    </row>
    <row r="1536" spans="6:6" x14ac:dyDescent="0.25">
      <c r="F1536" s="281"/>
    </row>
    <row r="1537" spans="6:6" x14ac:dyDescent="0.25">
      <c r="F1537" s="281"/>
    </row>
    <row r="1538" spans="6:6" x14ac:dyDescent="0.25">
      <c r="F1538" s="281"/>
    </row>
    <row r="1539" spans="6:6" x14ac:dyDescent="0.25">
      <c r="F1539" s="281"/>
    </row>
    <row r="1540" spans="6:6" x14ac:dyDescent="0.25">
      <c r="F1540" s="281"/>
    </row>
    <row r="1541" spans="6:6" x14ac:dyDescent="0.25">
      <c r="F1541" s="281"/>
    </row>
    <row r="1542" spans="6:6" x14ac:dyDescent="0.25">
      <c r="F1542" s="281"/>
    </row>
    <row r="1543" spans="6:6" x14ac:dyDescent="0.25">
      <c r="F1543" s="281"/>
    </row>
    <row r="1544" spans="6:6" x14ac:dyDescent="0.25">
      <c r="F1544" s="281"/>
    </row>
    <row r="1545" spans="6:6" x14ac:dyDescent="0.25">
      <c r="F1545" s="281"/>
    </row>
    <row r="1546" spans="6:6" x14ac:dyDescent="0.25">
      <c r="F1546" s="281"/>
    </row>
    <row r="1547" spans="6:6" x14ac:dyDescent="0.25">
      <c r="F1547" s="281"/>
    </row>
    <row r="1548" spans="6:6" x14ac:dyDescent="0.25">
      <c r="F1548" s="281"/>
    </row>
    <row r="1549" spans="6:6" x14ac:dyDescent="0.25">
      <c r="F1549" s="281"/>
    </row>
    <row r="1550" spans="6:6" x14ac:dyDescent="0.25">
      <c r="F1550" s="281"/>
    </row>
    <row r="1551" spans="6:6" x14ac:dyDescent="0.25">
      <c r="F1551" s="281"/>
    </row>
    <row r="1552" spans="6:6" x14ac:dyDescent="0.25">
      <c r="F1552" s="281"/>
    </row>
    <row r="1553" spans="6:6" x14ac:dyDescent="0.25">
      <c r="F1553" s="281"/>
    </row>
    <row r="1554" spans="6:6" x14ac:dyDescent="0.25">
      <c r="F1554" s="281"/>
    </row>
    <row r="1555" spans="6:6" x14ac:dyDescent="0.25">
      <c r="F1555" s="281"/>
    </row>
    <row r="1556" spans="6:6" x14ac:dyDescent="0.25">
      <c r="F1556" s="281"/>
    </row>
    <row r="1557" spans="6:6" x14ac:dyDescent="0.25">
      <c r="F1557" s="281"/>
    </row>
    <row r="1558" spans="6:6" x14ac:dyDescent="0.25">
      <c r="F1558" s="281"/>
    </row>
    <row r="1559" spans="6:6" x14ac:dyDescent="0.25">
      <c r="F1559" s="281"/>
    </row>
    <row r="1560" spans="6:6" x14ac:dyDescent="0.25">
      <c r="F1560" s="281"/>
    </row>
    <row r="1561" spans="6:6" x14ac:dyDescent="0.25">
      <c r="F1561" s="281"/>
    </row>
    <row r="1562" spans="6:6" x14ac:dyDescent="0.25">
      <c r="F1562" s="281"/>
    </row>
    <row r="1563" spans="6:6" x14ac:dyDescent="0.25">
      <c r="F1563" s="281"/>
    </row>
    <row r="1564" spans="6:6" x14ac:dyDescent="0.25">
      <c r="F1564" s="281"/>
    </row>
    <row r="1565" spans="6:6" x14ac:dyDescent="0.25">
      <c r="F1565" s="281"/>
    </row>
    <row r="1566" spans="6:6" x14ac:dyDescent="0.25">
      <c r="F1566" s="281"/>
    </row>
    <row r="1567" spans="6:6" x14ac:dyDescent="0.25">
      <c r="F1567" s="281"/>
    </row>
    <row r="1568" spans="6:6" x14ac:dyDescent="0.25">
      <c r="F1568" s="281"/>
    </row>
    <row r="1569" spans="6:6" x14ac:dyDescent="0.25">
      <c r="F1569" s="281"/>
    </row>
    <row r="1570" spans="6:6" x14ac:dyDescent="0.25">
      <c r="F1570" s="281"/>
    </row>
    <row r="1571" spans="6:6" x14ac:dyDescent="0.25">
      <c r="F1571" s="281"/>
    </row>
    <row r="1572" spans="6:6" x14ac:dyDescent="0.25">
      <c r="F1572" s="281"/>
    </row>
    <row r="1573" spans="6:6" x14ac:dyDescent="0.25">
      <c r="F1573" s="281"/>
    </row>
    <row r="1574" spans="6:6" x14ac:dyDescent="0.25">
      <c r="F1574" s="281"/>
    </row>
    <row r="1575" spans="6:6" x14ac:dyDescent="0.25">
      <c r="F1575" s="281"/>
    </row>
    <row r="1576" spans="6:6" x14ac:dyDescent="0.25">
      <c r="F1576" s="281"/>
    </row>
    <row r="1577" spans="6:6" x14ac:dyDescent="0.25">
      <c r="F1577" s="281"/>
    </row>
    <row r="1578" spans="6:6" x14ac:dyDescent="0.25">
      <c r="F1578" s="281"/>
    </row>
    <row r="1579" spans="6:6" x14ac:dyDescent="0.25">
      <c r="F1579" s="281"/>
    </row>
    <row r="1580" spans="6:6" x14ac:dyDescent="0.25">
      <c r="F1580" s="281"/>
    </row>
    <row r="1581" spans="6:6" x14ac:dyDescent="0.25">
      <c r="F1581" s="281"/>
    </row>
    <row r="1582" spans="6:6" x14ac:dyDescent="0.25">
      <c r="F1582" s="281"/>
    </row>
    <row r="1583" spans="6:6" x14ac:dyDescent="0.25">
      <c r="F1583" s="281"/>
    </row>
    <row r="1584" spans="6:6" x14ac:dyDescent="0.25">
      <c r="F1584" s="281"/>
    </row>
    <row r="1585" spans="6:6" x14ac:dyDescent="0.25">
      <c r="F1585" s="281"/>
    </row>
    <row r="1586" spans="6:6" x14ac:dyDescent="0.25">
      <c r="F1586" s="281"/>
    </row>
    <row r="1587" spans="6:6" x14ac:dyDescent="0.25">
      <c r="F1587" s="281"/>
    </row>
    <row r="1588" spans="6:6" x14ac:dyDescent="0.25">
      <c r="F1588" s="281"/>
    </row>
    <row r="1589" spans="6:6" x14ac:dyDescent="0.25">
      <c r="F1589" s="281"/>
    </row>
    <row r="1590" spans="6:6" x14ac:dyDescent="0.25">
      <c r="F1590" s="281"/>
    </row>
    <row r="1591" spans="6:6" x14ac:dyDescent="0.25">
      <c r="F1591" s="281"/>
    </row>
    <row r="1592" spans="6:6" x14ac:dyDescent="0.25">
      <c r="F1592" s="281"/>
    </row>
    <row r="1593" spans="6:6" x14ac:dyDescent="0.25">
      <c r="F1593" s="281"/>
    </row>
    <row r="1594" spans="6:6" x14ac:dyDescent="0.25">
      <c r="F1594" s="281"/>
    </row>
    <row r="1595" spans="6:6" x14ac:dyDescent="0.25">
      <c r="F1595" s="281"/>
    </row>
    <row r="1596" spans="6:6" x14ac:dyDescent="0.25">
      <c r="F1596" s="281"/>
    </row>
    <row r="1597" spans="6:6" x14ac:dyDescent="0.25">
      <c r="F1597" s="281"/>
    </row>
    <row r="1598" spans="6:6" x14ac:dyDescent="0.25">
      <c r="F1598" s="281"/>
    </row>
    <row r="1599" spans="6:6" x14ac:dyDescent="0.25">
      <c r="F1599" s="281"/>
    </row>
    <row r="1600" spans="6:6" x14ac:dyDescent="0.25">
      <c r="F1600" s="281"/>
    </row>
    <row r="1601" spans="6:6" x14ac:dyDescent="0.25">
      <c r="F1601" s="281"/>
    </row>
    <row r="1602" spans="6:6" x14ac:dyDescent="0.25">
      <c r="F1602" s="281"/>
    </row>
    <row r="1603" spans="6:6" x14ac:dyDescent="0.25">
      <c r="F1603" s="281"/>
    </row>
    <row r="1604" spans="6:6" x14ac:dyDescent="0.25">
      <c r="F1604" s="281"/>
    </row>
    <row r="1605" spans="6:6" x14ac:dyDescent="0.25">
      <c r="F1605" s="281"/>
    </row>
    <row r="1606" spans="6:6" x14ac:dyDescent="0.25">
      <c r="F1606" s="281"/>
    </row>
    <row r="1607" spans="6:6" x14ac:dyDescent="0.25">
      <c r="F1607" s="281"/>
    </row>
    <row r="1608" spans="6:6" x14ac:dyDescent="0.25">
      <c r="F1608" s="281"/>
    </row>
    <row r="1609" spans="6:6" x14ac:dyDescent="0.25">
      <c r="F1609" s="281"/>
    </row>
    <row r="1610" spans="6:6" x14ac:dyDescent="0.25">
      <c r="F1610" s="281"/>
    </row>
    <row r="1611" spans="6:6" x14ac:dyDescent="0.25">
      <c r="F1611" s="281"/>
    </row>
    <row r="1612" spans="6:6" x14ac:dyDescent="0.25">
      <c r="F1612" s="281"/>
    </row>
    <row r="1613" spans="6:6" x14ac:dyDescent="0.25">
      <c r="F1613" s="281"/>
    </row>
    <row r="1614" spans="6:6" x14ac:dyDescent="0.25">
      <c r="F1614" s="281"/>
    </row>
    <row r="1615" spans="6:6" x14ac:dyDescent="0.25">
      <c r="F1615" s="281"/>
    </row>
    <row r="1616" spans="6:6" x14ac:dyDescent="0.25">
      <c r="F1616" s="281"/>
    </row>
    <row r="1617" spans="6:6" x14ac:dyDescent="0.25">
      <c r="F1617" s="281"/>
    </row>
    <row r="1618" spans="6:6" x14ac:dyDescent="0.25">
      <c r="F1618" s="281"/>
    </row>
    <row r="1619" spans="6:6" x14ac:dyDescent="0.25">
      <c r="F1619" s="281"/>
    </row>
    <row r="1620" spans="6:6" x14ac:dyDescent="0.25">
      <c r="F1620" s="281"/>
    </row>
    <row r="1621" spans="6:6" x14ac:dyDescent="0.25">
      <c r="F1621" s="281"/>
    </row>
    <row r="1622" spans="6:6" x14ac:dyDescent="0.25">
      <c r="F1622" s="281"/>
    </row>
    <row r="1623" spans="6:6" x14ac:dyDescent="0.25">
      <c r="F1623" s="281"/>
    </row>
    <row r="1624" spans="6:6" x14ac:dyDescent="0.25">
      <c r="F1624" s="281"/>
    </row>
    <row r="1625" spans="6:6" x14ac:dyDescent="0.25">
      <c r="F1625" s="281"/>
    </row>
    <row r="1626" spans="6:6" x14ac:dyDescent="0.25">
      <c r="F1626" s="281"/>
    </row>
    <row r="1627" spans="6:6" x14ac:dyDescent="0.25">
      <c r="F1627" s="281"/>
    </row>
    <row r="1628" spans="6:6" x14ac:dyDescent="0.25">
      <c r="F1628" s="281"/>
    </row>
    <row r="1629" spans="6:6" x14ac:dyDescent="0.25">
      <c r="F1629" s="281"/>
    </row>
    <row r="1630" spans="6:6" x14ac:dyDescent="0.25">
      <c r="F1630" s="281"/>
    </row>
    <row r="1631" spans="6:6" x14ac:dyDescent="0.25">
      <c r="F1631" s="281"/>
    </row>
    <row r="1632" spans="6:6" x14ac:dyDescent="0.25">
      <c r="F1632" s="281"/>
    </row>
    <row r="1633" spans="6:6" x14ac:dyDescent="0.25">
      <c r="F1633" s="281"/>
    </row>
    <row r="1634" spans="6:6" x14ac:dyDescent="0.25">
      <c r="F1634" s="281"/>
    </row>
    <row r="1635" spans="6:6" x14ac:dyDescent="0.25">
      <c r="F1635" s="281"/>
    </row>
    <row r="1636" spans="6:6" x14ac:dyDescent="0.25">
      <c r="F1636" s="281"/>
    </row>
    <row r="1637" spans="6:6" x14ac:dyDescent="0.25">
      <c r="F1637" s="281"/>
    </row>
    <row r="1638" spans="6:6" x14ac:dyDescent="0.25">
      <c r="F1638" s="281"/>
    </row>
    <row r="1639" spans="6:6" x14ac:dyDescent="0.25">
      <c r="F1639" s="281"/>
    </row>
    <row r="1640" spans="6:6" x14ac:dyDescent="0.25">
      <c r="F1640" s="281"/>
    </row>
    <row r="1641" spans="6:6" x14ac:dyDescent="0.25">
      <c r="F1641" s="281"/>
    </row>
    <row r="1642" spans="6:6" x14ac:dyDescent="0.25">
      <c r="F1642" s="281"/>
    </row>
    <row r="1643" spans="6:6" x14ac:dyDescent="0.25">
      <c r="F1643" s="281"/>
    </row>
    <row r="1644" spans="6:6" x14ac:dyDescent="0.25">
      <c r="F1644" s="281"/>
    </row>
    <row r="1645" spans="6:6" x14ac:dyDescent="0.25">
      <c r="F1645" s="281"/>
    </row>
    <row r="1646" spans="6:6" x14ac:dyDescent="0.25">
      <c r="F1646" s="281"/>
    </row>
    <row r="1647" spans="6:6" x14ac:dyDescent="0.25">
      <c r="F1647" s="281"/>
    </row>
    <row r="1648" spans="6:6" x14ac:dyDescent="0.25">
      <c r="F1648" s="281"/>
    </row>
    <row r="1649" spans="6:6" x14ac:dyDescent="0.25">
      <c r="F1649" s="281"/>
    </row>
    <row r="1650" spans="6:6" x14ac:dyDescent="0.25">
      <c r="F1650" s="281"/>
    </row>
    <row r="1651" spans="6:6" x14ac:dyDescent="0.25">
      <c r="F1651" s="281"/>
    </row>
    <row r="1652" spans="6:6" x14ac:dyDescent="0.25">
      <c r="F1652" s="281"/>
    </row>
    <row r="1653" spans="6:6" x14ac:dyDescent="0.25">
      <c r="F1653" s="281"/>
    </row>
    <row r="1654" spans="6:6" x14ac:dyDescent="0.25">
      <c r="F1654" s="281"/>
    </row>
    <row r="1655" spans="6:6" x14ac:dyDescent="0.25">
      <c r="F1655" s="281"/>
    </row>
    <row r="1656" spans="6:6" x14ac:dyDescent="0.25">
      <c r="F1656" s="281"/>
    </row>
    <row r="1657" spans="6:6" x14ac:dyDescent="0.25">
      <c r="F1657" s="281"/>
    </row>
    <row r="1658" spans="6:6" x14ac:dyDescent="0.25">
      <c r="F1658" s="281"/>
    </row>
    <row r="1659" spans="6:6" x14ac:dyDescent="0.25">
      <c r="F1659" s="281"/>
    </row>
    <row r="1660" spans="6:6" x14ac:dyDescent="0.25">
      <c r="F1660" s="281"/>
    </row>
    <row r="1661" spans="6:6" x14ac:dyDescent="0.25">
      <c r="F1661" s="281"/>
    </row>
    <row r="1662" spans="6:6" x14ac:dyDescent="0.25">
      <c r="F1662" s="281"/>
    </row>
    <row r="1663" spans="6:6" x14ac:dyDescent="0.25">
      <c r="F1663" s="281"/>
    </row>
    <row r="1664" spans="6:6" x14ac:dyDescent="0.25">
      <c r="F1664" s="281"/>
    </row>
    <row r="1665" spans="6:6" x14ac:dyDescent="0.25">
      <c r="F1665" s="281"/>
    </row>
    <row r="1666" spans="6:6" x14ac:dyDescent="0.25">
      <c r="F1666" s="281"/>
    </row>
    <row r="1667" spans="6:6" x14ac:dyDescent="0.25">
      <c r="F1667" s="281"/>
    </row>
    <row r="1668" spans="6:6" x14ac:dyDescent="0.25">
      <c r="F1668" s="281"/>
    </row>
    <row r="1669" spans="6:6" x14ac:dyDescent="0.25">
      <c r="F1669" s="281"/>
    </row>
    <row r="1670" spans="6:6" x14ac:dyDescent="0.25">
      <c r="F1670" s="281"/>
    </row>
    <row r="1671" spans="6:6" x14ac:dyDescent="0.25">
      <c r="F1671" s="281"/>
    </row>
    <row r="1672" spans="6:6" x14ac:dyDescent="0.25">
      <c r="F1672" s="281"/>
    </row>
    <row r="1673" spans="6:6" x14ac:dyDescent="0.25">
      <c r="F1673" s="281"/>
    </row>
    <row r="1674" spans="6:6" x14ac:dyDescent="0.25">
      <c r="F1674" s="281"/>
    </row>
    <row r="1675" spans="6:6" x14ac:dyDescent="0.25">
      <c r="F1675" s="281"/>
    </row>
    <row r="1676" spans="6:6" x14ac:dyDescent="0.25">
      <c r="F1676" s="281"/>
    </row>
    <row r="1677" spans="6:6" x14ac:dyDescent="0.25">
      <c r="F1677" s="281"/>
    </row>
    <row r="1678" spans="6:6" x14ac:dyDescent="0.25">
      <c r="F1678" s="281"/>
    </row>
    <row r="1679" spans="6:6" x14ac:dyDescent="0.25">
      <c r="F1679" s="281"/>
    </row>
    <row r="1680" spans="6:6" x14ac:dyDescent="0.25">
      <c r="F1680" s="281"/>
    </row>
    <row r="1681" spans="6:6" x14ac:dyDescent="0.25">
      <c r="F1681" s="281"/>
    </row>
    <row r="1682" spans="6:6" x14ac:dyDescent="0.25">
      <c r="F1682" s="281"/>
    </row>
    <row r="1683" spans="6:6" x14ac:dyDescent="0.25">
      <c r="F1683" s="281"/>
    </row>
    <row r="1684" spans="6:6" x14ac:dyDescent="0.25">
      <c r="F1684" s="281"/>
    </row>
    <row r="1685" spans="6:6" x14ac:dyDescent="0.25">
      <c r="F1685" s="281"/>
    </row>
    <row r="1686" spans="6:6" x14ac:dyDescent="0.25">
      <c r="F1686" s="281"/>
    </row>
    <row r="1687" spans="6:6" x14ac:dyDescent="0.25">
      <c r="F1687" s="281"/>
    </row>
    <row r="1688" spans="6:6" x14ac:dyDescent="0.25">
      <c r="F1688" s="281"/>
    </row>
    <row r="1689" spans="6:6" x14ac:dyDescent="0.25">
      <c r="F1689" s="281"/>
    </row>
    <row r="1690" spans="6:6" x14ac:dyDescent="0.25">
      <c r="F1690" s="281"/>
    </row>
    <row r="1691" spans="6:6" x14ac:dyDescent="0.25">
      <c r="F1691" s="281"/>
    </row>
    <row r="1692" spans="6:6" x14ac:dyDescent="0.25">
      <c r="F1692" s="281"/>
    </row>
    <row r="1693" spans="6:6" x14ac:dyDescent="0.25">
      <c r="F1693" s="281"/>
    </row>
    <row r="1694" spans="6:6" x14ac:dyDescent="0.25">
      <c r="F1694" s="281"/>
    </row>
    <row r="1695" spans="6:6" x14ac:dyDescent="0.25">
      <c r="F1695" s="281"/>
    </row>
    <row r="1696" spans="6:6" x14ac:dyDescent="0.25">
      <c r="F1696" s="281"/>
    </row>
    <row r="1697" spans="6:6" x14ac:dyDescent="0.25">
      <c r="F1697" s="281"/>
    </row>
    <row r="1698" spans="6:6" x14ac:dyDescent="0.25">
      <c r="F1698" s="281"/>
    </row>
    <row r="1699" spans="6:6" x14ac:dyDescent="0.25">
      <c r="F1699" s="281"/>
    </row>
    <row r="1700" spans="6:6" x14ac:dyDescent="0.25">
      <c r="F1700" s="281"/>
    </row>
    <row r="1701" spans="6:6" x14ac:dyDescent="0.25">
      <c r="F1701" s="281"/>
    </row>
    <row r="1702" spans="6:6" x14ac:dyDescent="0.25">
      <c r="F1702" s="281"/>
    </row>
    <row r="1703" spans="6:6" x14ac:dyDescent="0.25">
      <c r="F1703" s="281"/>
    </row>
    <row r="1704" spans="6:6" x14ac:dyDescent="0.25">
      <c r="F1704" s="281"/>
    </row>
    <row r="1705" spans="6:6" x14ac:dyDescent="0.25">
      <c r="F1705" s="281"/>
    </row>
    <row r="1706" spans="6:6" x14ac:dyDescent="0.25">
      <c r="F1706" s="281"/>
    </row>
    <row r="1707" spans="6:6" x14ac:dyDescent="0.25">
      <c r="F1707" s="281"/>
    </row>
    <row r="1708" spans="6:6" x14ac:dyDescent="0.25">
      <c r="F1708" s="281"/>
    </row>
    <row r="1709" spans="6:6" x14ac:dyDescent="0.25">
      <c r="F1709" s="281"/>
    </row>
    <row r="1710" spans="6:6" x14ac:dyDescent="0.25">
      <c r="F1710" s="281"/>
    </row>
    <row r="1711" spans="6:6" x14ac:dyDescent="0.25">
      <c r="F1711" s="281"/>
    </row>
    <row r="1712" spans="6:6" x14ac:dyDescent="0.25">
      <c r="F1712" s="281"/>
    </row>
    <row r="1713" spans="6:6" x14ac:dyDescent="0.25">
      <c r="F1713" s="281"/>
    </row>
    <row r="1714" spans="6:6" x14ac:dyDescent="0.25">
      <c r="F1714" s="281"/>
    </row>
    <row r="1715" spans="6:6" x14ac:dyDescent="0.25">
      <c r="F1715" s="281"/>
    </row>
    <row r="1716" spans="6:6" x14ac:dyDescent="0.25">
      <c r="F1716" s="281"/>
    </row>
    <row r="1717" spans="6:6" x14ac:dyDescent="0.25">
      <c r="F1717" s="281"/>
    </row>
    <row r="1718" spans="6:6" x14ac:dyDescent="0.25">
      <c r="F1718" s="281"/>
    </row>
    <row r="1719" spans="6:6" x14ac:dyDescent="0.25">
      <c r="F1719" s="281"/>
    </row>
    <row r="1720" spans="6:6" x14ac:dyDescent="0.25">
      <c r="F1720" s="281"/>
    </row>
    <row r="1721" spans="6:6" x14ac:dyDescent="0.25">
      <c r="F1721" s="281"/>
    </row>
    <row r="1722" spans="6:6" x14ac:dyDescent="0.25">
      <c r="F1722" s="281"/>
    </row>
    <row r="1723" spans="6:6" x14ac:dyDescent="0.25">
      <c r="F1723" s="281"/>
    </row>
    <row r="1724" spans="6:6" x14ac:dyDescent="0.25">
      <c r="F1724" s="281"/>
    </row>
    <row r="1725" spans="6:6" x14ac:dyDescent="0.25">
      <c r="F1725" s="281"/>
    </row>
    <row r="1726" spans="6:6" x14ac:dyDescent="0.25">
      <c r="F1726" s="281"/>
    </row>
    <row r="1727" spans="6:6" x14ac:dyDescent="0.25">
      <c r="F1727" s="281"/>
    </row>
    <row r="1728" spans="6:6" x14ac:dyDescent="0.25">
      <c r="F1728" s="281"/>
    </row>
    <row r="1729" spans="6:6" x14ac:dyDescent="0.25">
      <c r="F1729" s="281"/>
    </row>
    <row r="1730" spans="6:6" x14ac:dyDescent="0.25">
      <c r="F1730" s="281"/>
    </row>
    <row r="1731" spans="6:6" x14ac:dyDescent="0.25">
      <c r="F1731" s="281"/>
    </row>
    <row r="1732" spans="6:6" x14ac:dyDescent="0.25">
      <c r="F1732" s="281"/>
    </row>
    <row r="1733" spans="6:6" x14ac:dyDescent="0.25">
      <c r="F1733" s="281"/>
    </row>
    <row r="1734" spans="6:6" x14ac:dyDescent="0.25">
      <c r="F1734" s="281"/>
    </row>
    <row r="1735" spans="6:6" x14ac:dyDescent="0.25">
      <c r="F1735" s="281"/>
    </row>
    <row r="1736" spans="6:6" x14ac:dyDescent="0.25">
      <c r="F1736" s="281"/>
    </row>
    <row r="1737" spans="6:6" x14ac:dyDescent="0.25">
      <c r="F1737" s="281"/>
    </row>
    <row r="1738" spans="6:6" x14ac:dyDescent="0.25">
      <c r="F1738" s="281"/>
    </row>
    <row r="1739" spans="6:6" x14ac:dyDescent="0.25">
      <c r="F1739" s="281"/>
    </row>
    <row r="1740" spans="6:6" x14ac:dyDescent="0.25">
      <c r="F1740" s="281"/>
    </row>
    <row r="1741" spans="6:6" x14ac:dyDescent="0.25">
      <c r="F1741" s="281"/>
    </row>
    <row r="1742" spans="6:6" x14ac:dyDescent="0.25">
      <c r="F1742" s="281"/>
    </row>
    <row r="1743" spans="6:6" x14ac:dyDescent="0.25">
      <c r="F1743" s="281"/>
    </row>
    <row r="1744" spans="6:6" x14ac:dyDescent="0.25">
      <c r="F1744" s="281"/>
    </row>
    <row r="1745" spans="6:6" x14ac:dyDescent="0.25">
      <c r="F1745" s="281"/>
    </row>
    <row r="1746" spans="6:6" x14ac:dyDescent="0.25">
      <c r="F1746" s="281"/>
    </row>
    <row r="1747" spans="6:6" x14ac:dyDescent="0.25">
      <c r="F1747" s="281"/>
    </row>
    <row r="1748" spans="6:6" x14ac:dyDescent="0.25">
      <c r="F1748" s="281"/>
    </row>
    <row r="1749" spans="6:6" x14ac:dyDescent="0.25">
      <c r="F1749" s="281"/>
    </row>
    <row r="1750" spans="6:6" x14ac:dyDescent="0.25">
      <c r="F1750" s="281"/>
    </row>
    <row r="1751" spans="6:6" x14ac:dyDescent="0.25">
      <c r="F1751" s="281"/>
    </row>
    <row r="1752" spans="6:6" x14ac:dyDescent="0.25">
      <c r="F1752" s="281"/>
    </row>
    <row r="1753" spans="6:6" x14ac:dyDescent="0.25">
      <c r="F1753" s="281"/>
    </row>
    <row r="1754" spans="6:6" x14ac:dyDescent="0.25">
      <c r="F1754" s="281"/>
    </row>
    <row r="1755" spans="6:6" x14ac:dyDescent="0.25">
      <c r="F1755" s="281"/>
    </row>
    <row r="1756" spans="6:6" x14ac:dyDescent="0.25">
      <c r="F1756" s="281"/>
    </row>
    <row r="1757" spans="6:6" x14ac:dyDescent="0.25">
      <c r="F1757" s="281"/>
    </row>
    <row r="1758" spans="6:6" x14ac:dyDescent="0.25">
      <c r="F1758" s="281"/>
    </row>
    <row r="1759" spans="6:6" x14ac:dyDescent="0.25">
      <c r="F1759" s="281"/>
    </row>
    <row r="1760" spans="6:6" x14ac:dyDescent="0.25">
      <c r="F1760" s="281"/>
    </row>
    <row r="1761" spans="6:6" x14ac:dyDescent="0.25">
      <c r="F1761" s="281"/>
    </row>
    <row r="1762" spans="6:6" x14ac:dyDescent="0.25">
      <c r="F1762" s="281"/>
    </row>
    <row r="1763" spans="6:6" x14ac:dyDescent="0.25">
      <c r="F1763" s="281"/>
    </row>
    <row r="1764" spans="6:6" x14ac:dyDescent="0.25">
      <c r="F1764" s="281"/>
    </row>
    <row r="1765" spans="6:6" x14ac:dyDescent="0.25">
      <c r="F1765" s="281"/>
    </row>
    <row r="1766" spans="6:6" x14ac:dyDescent="0.25">
      <c r="F1766" s="281"/>
    </row>
    <row r="1767" spans="6:6" x14ac:dyDescent="0.25">
      <c r="F1767" s="281"/>
    </row>
    <row r="1768" spans="6:6" x14ac:dyDescent="0.25">
      <c r="F1768" s="281"/>
    </row>
    <row r="1769" spans="6:6" x14ac:dyDescent="0.25">
      <c r="F1769" s="281"/>
    </row>
    <row r="1770" spans="6:6" x14ac:dyDescent="0.25">
      <c r="F1770" s="281"/>
    </row>
    <row r="1771" spans="6:6" x14ac:dyDescent="0.25">
      <c r="F1771" s="281"/>
    </row>
    <row r="1772" spans="6:6" x14ac:dyDescent="0.25">
      <c r="F1772" s="281"/>
    </row>
    <row r="1773" spans="6:6" x14ac:dyDescent="0.25">
      <c r="F1773" s="281"/>
    </row>
    <row r="1774" spans="6:6" x14ac:dyDescent="0.25">
      <c r="F1774" s="281"/>
    </row>
    <row r="1775" spans="6:6" x14ac:dyDescent="0.25">
      <c r="F1775" s="281"/>
    </row>
    <row r="1776" spans="6:6" x14ac:dyDescent="0.25">
      <c r="F1776" s="281"/>
    </row>
    <row r="1777" spans="6:6" x14ac:dyDescent="0.25">
      <c r="F1777" s="281"/>
    </row>
    <row r="1778" spans="6:6" x14ac:dyDescent="0.25">
      <c r="F1778" s="281"/>
    </row>
    <row r="1779" spans="6:6" x14ac:dyDescent="0.25">
      <c r="F1779" s="281"/>
    </row>
    <row r="1780" spans="6:6" x14ac:dyDescent="0.25">
      <c r="F1780" s="281"/>
    </row>
    <row r="1781" spans="6:6" x14ac:dyDescent="0.25">
      <c r="F1781" s="281"/>
    </row>
    <row r="1782" spans="6:6" x14ac:dyDescent="0.25">
      <c r="F1782" s="281"/>
    </row>
    <row r="1783" spans="6:6" x14ac:dyDescent="0.25">
      <c r="F1783" s="281"/>
    </row>
    <row r="1784" spans="6:6" x14ac:dyDescent="0.25">
      <c r="F1784" s="281"/>
    </row>
    <row r="1785" spans="6:6" x14ac:dyDescent="0.25">
      <c r="F1785" s="281"/>
    </row>
    <row r="1786" spans="6:6" x14ac:dyDescent="0.25">
      <c r="F1786" s="281"/>
    </row>
    <row r="1787" spans="6:6" x14ac:dyDescent="0.25">
      <c r="F1787" s="281"/>
    </row>
    <row r="1788" spans="6:6" x14ac:dyDescent="0.25">
      <c r="F1788" s="281"/>
    </row>
    <row r="1789" spans="6:6" x14ac:dyDescent="0.25">
      <c r="F1789" s="281"/>
    </row>
    <row r="1790" spans="6:6" x14ac:dyDescent="0.25">
      <c r="F1790" s="281"/>
    </row>
    <row r="1791" spans="6:6" x14ac:dyDescent="0.25">
      <c r="F1791" s="281"/>
    </row>
    <row r="1792" spans="6:6" x14ac:dyDescent="0.25">
      <c r="F1792" s="281"/>
    </row>
    <row r="1793" spans="6:6" x14ac:dyDescent="0.25">
      <c r="F1793" s="281"/>
    </row>
    <row r="1794" spans="6:6" x14ac:dyDescent="0.25">
      <c r="F1794" s="281"/>
    </row>
    <row r="1795" spans="6:6" x14ac:dyDescent="0.25">
      <c r="F1795" s="281"/>
    </row>
    <row r="1796" spans="6:6" x14ac:dyDescent="0.25">
      <c r="F1796" s="281"/>
    </row>
    <row r="1797" spans="6:6" x14ac:dyDescent="0.25">
      <c r="F1797" s="281"/>
    </row>
    <row r="1798" spans="6:6" x14ac:dyDescent="0.25">
      <c r="F1798" s="281"/>
    </row>
    <row r="1799" spans="6:6" x14ac:dyDescent="0.25">
      <c r="F1799" s="281"/>
    </row>
    <row r="1800" spans="6:6" x14ac:dyDescent="0.25">
      <c r="F1800" s="281"/>
    </row>
    <row r="1801" spans="6:6" x14ac:dyDescent="0.25">
      <c r="F1801" s="281"/>
    </row>
    <row r="1802" spans="6:6" x14ac:dyDescent="0.25">
      <c r="F1802" s="281"/>
    </row>
    <row r="1803" spans="6:6" x14ac:dyDescent="0.25">
      <c r="F1803" s="281"/>
    </row>
    <row r="1804" spans="6:6" x14ac:dyDescent="0.25">
      <c r="F1804" s="281"/>
    </row>
    <row r="1805" spans="6:6" x14ac:dyDescent="0.25">
      <c r="F1805" s="281"/>
    </row>
    <row r="1806" spans="6:6" x14ac:dyDescent="0.25">
      <c r="F1806" s="281"/>
    </row>
    <row r="1807" spans="6:6" x14ac:dyDescent="0.25">
      <c r="F1807" s="281"/>
    </row>
    <row r="1808" spans="6:6" x14ac:dyDescent="0.25">
      <c r="F1808" s="281"/>
    </row>
    <row r="1809" spans="6:6" x14ac:dyDescent="0.25">
      <c r="F1809" s="281"/>
    </row>
    <row r="1810" spans="6:6" x14ac:dyDescent="0.25">
      <c r="F1810" s="281"/>
    </row>
    <row r="1811" spans="6:6" x14ac:dyDescent="0.25">
      <c r="F1811" s="281"/>
    </row>
    <row r="1812" spans="6:6" x14ac:dyDescent="0.25">
      <c r="F1812" s="281"/>
    </row>
    <row r="1813" spans="6:6" x14ac:dyDescent="0.25">
      <c r="F1813" s="281"/>
    </row>
    <row r="1814" spans="6:6" x14ac:dyDescent="0.25">
      <c r="F1814" s="281"/>
    </row>
    <row r="1815" spans="6:6" x14ac:dyDescent="0.25">
      <c r="F1815" s="281"/>
    </row>
    <row r="1816" spans="6:6" x14ac:dyDescent="0.25">
      <c r="F1816" s="281"/>
    </row>
    <row r="1817" spans="6:6" x14ac:dyDescent="0.25">
      <c r="F1817" s="281"/>
    </row>
    <row r="1818" spans="6:6" x14ac:dyDescent="0.25">
      <c r="F1818" s="281"/>
    </row>
    <row r="1819" spans="6:6" x14ac:dyDescent="0.25">
      <c r="F1819" s="281"/>
    </row>
    <row r="1820" spans="6:6" x14ac:dyDescent="0.25">
      <c r="F1820" s="281"/>
    </row>
    <row r="1821" spans="6:6" x14ac:dyDescent="0.25">
      <c r="F1821" s="281"/>
    </row>
    <row r="1822" spans="6:6" x14ac:dyDescent="0.25">
      <c r="F1822" s="281"/>
    </row>
    <row r="1823" spans="6:6" x14ac:dyDescent="0.25">
      <c r="F1823" s="281"/>
    </row>
    <row r="1824" spans="6:6" x14ac:dyDescent="0.25">
      <c r="F1824" s="281"/>
    </row>
    <row r="1825" spans="6:6" x14ac:dyDescent="0.25">
      <c r="F1825" s="281"/>
    </row>
    <row r="1826" spans="6:6" x14ac:dyDescent="0.25">
      <c r="F1826" s="281"/>
    </row>
    <row r="1827" spans="6:6" x14ac:dyDescent="0.25">
      <c r="F1827" s="281"/>
    </row>
    <row r="1828" spans="6:6" x14ac:dyDescent="0.25">
      <c r="F1828" s="281"/>
    </row>
    <row r="1829" spans="6:6" x14ac:dyDescent="0.25">
      <c r="F1829" s="281"/>
    </row>
    <row r="1830" spans="6:6" x14ac:dyDescent="0.25">
      <c r="F1830" s="281"/>
    </row>
    <row r="1831" spans="6:6" x14ac:dyDescent="0.25">
      <c r="F1831" s="281"/>
    </row>
    <row r="1832" spans="6:6" x14ac:dyDescent="0.25">
      <c r="F1832" s="281"/>
    </row>
    <row r="1833" spans="6:6" x14ac:dyDescent="0.25">
      <c r="F1833" s="281"/>
    </row>
    <row r="1834" spans="6:6" x14ac:dyDescent="0.25">
      <c r="F1834" s="281"/>
    </row>
    <row r="1835" spans="6:6" x14ac:dyDescent="0.25">
      <c r="F1835" s="281"/>
    </row>
    <row r="1836" spans="6:6" x14ac:dyDescent="0.25">
      <c r="F1836" s="281"/>
    </row>
    <row r="1837" spans="6:6" x14ac:dyDescent="0.25">
      <c r="F1837" s="281"/>
    </row>
    <row r="1838" spans="6:6" x14ac:dyDescent="0.25">
      <c r="F1838" s="281"/>
    </row>
    <row r="1839" spans="6:6" x14ac:dyDescent="0.25">
      <c r="F1839" s="281"/>
    </row>
    <row r="1840" spans="6:6" x14ac:dyDescent="0.25">
      <c r="F1840" s="281"/>
    </row>
    <row r="1841" spans="6:6" x14ac:dyDescent="0.25">
      <c r="F1841" s="281"/>
    </row>
    <row r="1842" spans="6:6" x14ac:dyDescent="0.25">
      <c r="F1842" s="281"/>
    </row>
    <row r="1843" spans="6:6" x14ac:dyDescent="0.25">
      <c r="F1843" s="281"/>
    </row>
    <row r="1844" spans="6:6" x14ac:dyDescent="0.25">
      <c r="F1844" s="281"/>
    </row>
    <row r="1845" spans="6:6" x14ac:dyDescent="0.25">
      <c r="F1845" s="281"/>
    </row>
    <row r="1846" spans="6:6" x14ac:dyDescent="0.25">
      <c r="F1846" s="281"/>
    </row>
    <row r="1847" spans="6:6" x14ac:dyDescent="0.25">
      <c r="F1847" s="281"/>
    </row>
    <row r="1848" spans="6:6" x14ac:dyDescent="0.25">
      <c r="F1848" s="281"/>
    </row>
    <row r="1849" spans="6:6" x14ac:dyDescent="0.25">
      <c r="F1849" s="281"/>
    </row>
    <row r="1850" spans="6:6" x14ac:dyDescent="0.25">
      <c r="F1850" s="281"/>
    </row>
    <row r="1851" spans="6:6" x14ac:dyDescent="0.25">
      <c r="F1851" s="281"/>
    </row>
    <row r="1852" spans="6:6" x14ac:dyDescent="0.25">
      <c r="F1852" s="281"/>
    </row>
    <row r="1853" spans="6:6" x14ac:dyDescent="0.25">
      <c r="F1853" s="281"/>
    </row>
    <row r="1854" spans="6:6" x14ac:dyDescent="0.25">
      <c r="F1854" s="281"/>
    </row>
    <row r="1855" spans="6:6" x14ac:dyDescent="0.25">
      <c r="F1855" s="281"/>
    </row>
    <row r="1856" spans="6:6" x14ac:dyDescent="0.25">
      <c r="F1856" s="281"/>
    </row>
    <row r="1857" spans="6:6" x14ac:dyDescent="0.25">
      <c r="F1857" s="281"/>
    </row>
    <row r="1858" spans="6:6" x14ac:dyDescent="0.25">
      <c r="F1858" s="281"/>
    </row>
    <row r="1859" spans="6:6" x14ac:dyDescent="0.25">
      <c r="F1859" s="281"/>
    </row>
    <row r="1860" spans="6:6" x14ac:dyDescent="0.25">
      <c r="F1860" s="281"/>
    </row>
    <row r="1861" spans="6:6" x14ac:dyDescent="0.25">
      <c r="F1861" s="281"/>
    </row>
    <row r="1862" spans="6:6" x14ac:dyDescent="0.25">
      <c r="F1862" s="281"/>
    </row>
    <row r="1863" spans="6:6" x14ac:dyDescent="0.25">
      <c r="F1863" s="281"/>
    </row>
    <row r="1864" spans="6:6" x14ac:dyDescent="0.25">
      <c r="F1864" s="281"/>
    </row>
    <row r="1865" spans="6:6" x14ac:dyDescent="0.25">
      <c r="F1865" s="281"/>
    </row>
    <row r="1866" spans="6:6" x14ac:dyDescent="0.25">
      <c r="F1866" s="281"/>
    </row>
    <row r="1867" spans="6:6" x14ac:dyDescent="0.25">
      <c r="F1867" s="281"/>
    </row>
    <row r="1868" spans="6:6" x14ac:dyDescent="0.25">
      <c r="F1868" s="281"/>
    </row>
    <row r="1869" spans="6:6" x14ac:dyDescent="0.25">
      <c r="F1869" s="281"/>
    </row>
    <row r="1870" spans="6:6" x14ac:dyDescent="0.25">
      <c r="F1870" s="281"/>
    </row>
    <row r="1871" spans="6:6" x14ac:dyDescent="0.25">
      <c r="F1871" s="281"/>
    </row>
    <row r="1872" spans="6:6" x14ac:dyDescent="0.25">
      <c r="F1872" s="281"/>
    </row>
    <row r="1873" spans="6:6" x14ac:dyDescent="0.25">
      <c r="F1873" s="281"/>
    </row>
    <row r="1874" spans="6:6" x14ac:dyDescent="0.25">
      <c r="F1874" s="281"/>
    </row>
    <row r="1875" spans="6:6" x14ac:dyDescent="0.25">
      <c r="F1875" s="281"/>
    </row>
    <row r="1876" spans="6:6" x14ac:dyDescent="0.25">
      <c r="F1876" s="281"/>
    </row>
    <row r="1877" spans="6:6" x14ac:dyDescent="0.25">
      <c r="F1877" s="281"/>
    </row>
    <row r="1878" spans="6:6" x14ac:dyDescent="0.25">
      <c r="F1878" s="281"/>
    </row>
    <row r="1879" spans="6:6" x14ac:dyDescent="0.25">
      <c r="F1879" s="281"/>
    </row>
    <row r="1880" spans="6:6" x14ac:dyDescent="0.25">
      <c r="F1880" s="281"/>
    </row>
    <row r="1881" spans="6:6" x14ac:dyDescent="0.25">
      <c r="F1881" s="281"/>
    </row>
    <row r="1882" spans="6:6" x14ac:dyDescent="0.25">
      <c r="F1882" s="281"/>
    </row>
    <row r="1883" spans="6:6" x14ac:dyDescent="0.25">
      <c r="F1883" s="281"/>
    </row>
    <row r="1884" spans="6:6" x14ac:dyDescent="0.25">
      <c r="F1884" s="281"/>
    </row>
    <row r="1885" spans="6:6" x14ac:dyDescent="0.25">
      <c r="F1885" s="281"/>
    </row>
    <row r="1886" spans="6:6" x14ac:dyDescent="0.25">
      <c r="F1886" s="281"/>
    </row>
    <row r="1887" spans="6:6" x14ac:dyDescent="0.25">
      <c r="F1887" s="281"/>
    </row>
    <row r="1888" spans="6:6" x14ac:dyDescent="0.25">
      <c r="F1888" s="281"/>
    </row>
    <row r="1889" spans="6:6" x14ac:dyDescent="0.25">
      <c r="F1889" s="281"/>
    </row>
    <row r="1890" spans="6:6" x14ac:dyDescent="0.25">
      <c r="F1890" s="281"/>
    </row>
    <row r="1891" spans="6:6" x14ac:dyDescent="0.25">
      <c r="F1891" s="281"/>
    </row>
    <row r="1892" spans="6:6" x14ac:dyDescent="0.25">
      <c r="F1892" s="281"/>
    </row>
    <row r="1893" spans="6:6" x14ac:dyDescent="0.25">
      <c r="F1893" s="281"/>
    </row>
    <row r="1894" spans="6:6" x14ac:dyDescent="0.25">
      <c r="F1894" s="281"/>
    </row>
    <row r="1895" spans="6:6" x14ac:dyDescent="0.25">
      <c r="F1895" s="281"/>
    </row>
    <row r="1896" spans="6:6" x14ac:dyDescent="0.25">
      <c r="F1896" s="281"/>
    </row>
    <row r="1897" spans="6:6" x14ac:dyDescent="0.25">
      <c r="F1897" s="281"/>
    </row>
    <row r="1898" spans="6:6" x14ac:dyDescent="0.25">
      <c r="F1898" s="281"/>
    </row>
    <row r="1899" spans="6:6" x14ac:dyDescent="0.25">
      <c r="F1899" s="281"/>
    </row>
    <row r="1900" spans="6:6" x14ac:dyDescent="0.25">
      <c r="F1900" s="281"/>
    </row>
    <row r="1901" spans="6:6" x14ac:dyDescent="0.25">
      <c r="F1901" s="281"/>
    </row>
    <row r="1902" spans="6:6" x14ac:dyDescent="0.25">
      <c r="F1902" s="281"/>
    </row>
    <row r="1903" spans="6:6" x14ac:dyDescent="0.25">
      <c r="F1903" s="281"/>
    </row>
    <row r="1904" spans="6:6" x14ac:dyDescent="0.25">
      <c r="F1904" s="281"/>
    </row>
    <row r="1905" spans="6:6" x14ac:dyDescent="0.25">
      <c r="F1905" s="281"/>
    </row>
    <row r="1906" spans="6:6" x14ac:dyDescent="0.25">
      <c r="F1906" s="281"/>
    </row>
    <row r="1907" spans="6:6" x14ac:dyDescent="0.25">
      <c r="F1907" s="281"/>
    </row>
    <row r="1908" spans="6:6" x14ac:dyDescent="0.25">
      <c r="F1908" s="281"/>
    </row>
    <row r="1909" spans="6:6" x14ac:dyDescent="0.25">
      <c r="F1909" s="281"/>
    </row>
    <row r="1910" spans="6:6" x14ac:dyDescent="0.25">
      <c r="F1910" s="281"/>
    </row>
    <row r="1911" spans="6:6" x14ac:dyDescent="0.25">
      <c r="F1911" s="281"/>
    </row>
    <row r="1912" spans="6:6" x14ac:dyDescent="0.25">
      <c r="F1912" s="281"/>
    </row>
    <row r="1913" spans="6:6" x14ac:dyDescent="0.25">
      <c r="F1913" s="281"/>
    </row>
    <row r="1914" spans="6:6" x14ac:dyDescent="0.25">
      <c r="F1914" s="281"/>
    </row>
    <row r="1915" spans="6:6" x14ac:dyDescent="0.25">
      <c r="F1915" s="281"/>
    </row>
    <row r="1916" spans="6:6" x14ac:dyDescent="0.25">
      <c r="F1916" s="281"/>
    </row>
    <row r="1917" spans="6:6" x14ac:dyDescent="0.25">
      <c r="F1917" s="281"/>
    </row>
    <row r="1918" spans="6:6" x14ac:dyDescent="0.25">
      <c r="F1918" s="281"/>
    </row>
    <row r="1919" spans="6:6" x14ac:dyDescent="0.25">
      <c r="F1919" s="281"/>
    </row>
    <row r="1920" spans="6:6" x14ac:dyDescent="0.25">
      <c r="F1920" s="281"/>
    </row>
    <row r="1921" spans="6:6" x14ac:dyDescent="0.25">
      <c r="F1921" s="281"/>
    </row>
    <row r="1922" spans="6:6" x14ac:dyDescent="0.25">
      <c r="F1922" s="281"/>
    </row>
    <row r="1923" spans="6:6" x14ac:dyDescent="0.25">
      <c r="F1923" s="281"/>
    </row>
    <row r="1924" spans="6:6" x14ac:dyDescent="0.25">
      <c r="F1924" s="281"/>
    </row>
    <row r="1925" spans="6:6" x14ac:dyDescent="0.25">
      <c r="F1925" s="281"/>
    </row>
    <row r="1926" spans="6:6" x14ac:dyDescent="0.25">
      <c r="F1926" s="281"/>
    </row>
    <row r="1927" spans="6:6" x14ac:dyDescent="0.25">
      <c r="F1927" s="281"/>
    </row>
    <row r="1928" spans="6:6" x14ac:dyDescent="0.25">
      <c r="F1928" s="281"/>
    </row>
    <row r="1929" spans="6:6" x14ac:dyDescent="0.25">
      <c r="F1929" s="281"/>
    </row>
    <row r="1930" spans="6:6" x14ac:dyDescent="0.25">
      <c r="F1930" s="281"/>
    </row>
    <row r="1931" spans="6:6" x14ac:dyDescent="0.25">
      <c r="F1931" s="281"/>
    </row>
    <row r="1932" spans="6:6" x14ac:dyDescent="0.25">
      <c r="F1932" s="281"/>
    </row>
    <row r="1933" spans="6:6" x14ac:dyDescent="0.25">
      <c r="F1933" s="281"/>
    </row>
    <row r="1934" spans="6:6" x14ac:dyDescent="0.25">
      <c r="F1934" s="281"/>
    </row>
    <row r="1935" spans="6:6" x14ac:dyDescent="0.25">
      <c r="F1935" s="281"/>
    </row>
    <row r="1936" spans="6:6" x14ac:dyDescent="0.25">
      <c r="F1936" s="281"/>
    </row>
    <row r="1937" spans="6:6" x14ac:dyDescent="0.25">
      <c r="F1937" s="281"/>
    </row>
    <row r="1938" spans="6:6" x14ac:dyDescent="0.25">
      <c r="F1938" s="281"/>
    </row>
    <row r="1939" spans="6:6" x14ac:dyDescent="0.25">
      <c r="F1939" s="281"/>
    </row>
    <row r="1940" spans="6:6" x14ac:dyDescent="0.25">
      <c r="F1940" s="281"/>
    </row>
    <row r="1941" spans="6:6" x14ac:dyDescent="0.25">
      <c r="F1941" s="281"/>
    </row>
    <row r="1942" spans="6:6" x14ac:dyDescent="0.25">
      <c r="F1942" s="281"/>
    </row>
    <row r="1943" spans="6:6" x14ac:dyDescent="0.25">
      <c r="F1943" s="281"/>
    </row>
    <row r="1944" spans="6:6" x14ac:dyDescent="0.25">
      <c r="F1944" s="281"/>
    </row>
    <row r="1945" spans="6:6" x14ac:dyDescent="0.25">
      <c r="F1945" s="281"/>
    </row>
    <row r="1946" spans="6:6" x14ac:dyDescent="0.25">
      <c r="F1946" s="281"/>
    </row>
    <row r="1947" spans="6:6" x14ac:dyDescent="0.25">
      <c r="F1947" s="281"/>
    </row>
    <row r="1948" spans="6:6" x14ac:dyDescent="0.25">
      <c r="F1948" s="281"/>
    </row>
    <row r="1949" spans="6:6" x14ac:dyDescent="0.25">
      <c r="F1949" s="281"/>
    </row>
    <row r="1950" spans="6:6" x14ac:dyDescent="0.25">
      <c r="F1950" s="281"/>
    </row>
    <row r="1951" spans="6:6" x14ac:dyDescent="0.25">
      <c r="F1951" s="281"/>
    </row>
    <row r="1952" spans="6:6" x14ac:dyDescent="0.25">
      <c r="F1952" s="281"/>
    </row>
    <row r="1953" spans="6:6" x14ac:dyDescent="0.25">
      <c r="F1953" s="281"/>
    </row>
    <row r="1954" spans="6:6" x14ac:dyDescent="0.25">
      <c r="F1954" s="281"/>
    </row>
    <row r="1955" spans="6:6" x14ac:dyDescent="0.25">
      <c r="F1955" s="281"/>
    </row>
    <row r="1956" spans="6:6" x14ac:dyDescent="0.25">
      <c r="F1956" s="281"/>
    </row>
    <row r="1957" spans="6:6" x14ac:dyDescent="0.25">
      <c r="F1957" s="281"/>
    </row>
    <row r="1958" spans="6:6" x14ac:dyDescent="0.25">
      <c r="F1958" s="281"/>
    </row>
    <row r="1959" spans="6:6" x14ac:dyDescent="0.25">
      <c r="F1959" s="281"/>
    </row>
    <row r="1960" spans="6:6" x14ac:dyDescent="0.25">
      <c r="F1960" s="281"/>
    </row>
    <row r="1961" spans="6:6" x14ac:dyDescent="0.25">
      <c r="F1961" s="281"/>
    </row>
    <row r="1962" spans="6:6" x14ac:dyDescent="0.25">
      <c r="F1962" s="281"/>
    </row>
    <row r="1963" spans="6:6" x14ac:dyDescent="0.25">
      <c r="F1963" s="281"/>
    </row>
    <row r="1964" spans="6:6" x14ac:dyDescent="0.25">
      <c r="F1964" s="281"/>
    </row>
    <row r="1965" spans="6:6" x14ac:dyDescent="0.25">
      <c r="F1965" s="281"/>
    </row>
    <row r="1966" spans="6:6" x14ac:dyDescent="0.25">
      <c r="F1966" s="281"/>
    </row>
    <row r="1967" spans="6:6" x14ac:dyDescent="0.25">
      <c r="F1967" s="281"/>
    </row>
    <row r="1968" spans="6:6" x14ac:dyDescent="0.25">
      <c r="F1968" s="281"/>
    </row>
    <row r="1969" spans="6:6" x14ac:dyDescent="0.25">
      <c r="F1969" s="281"/>
    </row>
    <row r="1970" spans="6:6" x14ac:dyDescent="0.25">
      <c r="F1970" s="281"/>
    </row>
    <row r="1971" spans="6:6" x14ac:dyDescent="0.25">
      <c r="F1971" s="281"/>
    </row>
    <row r="1972" spans="6:6" x14ac:dyDescent="0.25">
      <c r="F1972" s="281"/>
    </row>
    <row r="1973" spans="6:6" x14ac:dyDescent="0.25">
      <c r="F1973" s="281"/>
    </row>
    <row r="1974" spans="6:6" x14ac:dyDescent="0.25">
      <c r="F1974" s="281"/>
    </row>
    <row r="1975" spans="6:6" x14ac:dyDescent="0.25">
      <c r="F1975" s="281"/>
    </row>
    <row r="1976" spans="6:6" x14ac:dyDescent="0.25">
      <c r="F1976" s="281"/>
    </row>
    <row r="1977" spans="6:6" x14ac:dyDescent="0.25">
      <c r="F1977" s="281"/>
    </row>
    <row r="1978" spans="6:6" x14ac:dyDescent="0.25">
      <c r="F1978" s="281"/>
    </row>
    <row r="1979" spans="6:6" x14ac:dyDescent="0.25">
      <c r="F1979" s="281"/>
    </row>
    <row r="1980" spans="6:6" x14ac:dyDescent="0.25">
      <c r="F1980" s="281"/>
    </row>
    <row r="1981" spans="6:6" x14ac:dyDescent="0.25">
      <c r="F1981" s="281"/>
    </row>
    <row r="1982" spans="6:6" x14ac:dyDescent="0.25">
      <c r="F1982" s="281"/>
    </row>
    <row r="1983" spans="6:6" x14ac:dyDescent="0.25">
      <c r="F1983" s="281"/>
    </row>
    <row r="1984" spans="6:6" x14ac:dyDescent="0.25">
      <c r="F1984" s="281"/>
    </row>
    <row r="1985" spans="6:6" x14ac:dyDescent="0.25">
      <c r="F1985" s="281"/>
    </row>
    <row r="1986" spans="6:6" x14ac:dyDescent="0.25">
      <c r="F1986" s="281"/>
    </row>
    <row r="1987" spans="6:6" x14ac:dyDescent="0.25">
      <c r="F1987" s="281"/>
    </row>
    <row r="1988" spans="6:6" x14ac:dyDescent="0.25">
      <c r="F1988" s="281"/>
    </row>
    <row r="1989" spans="6:6" x14ac:dyDescent="0.25">
      <c r="F1989" s="281"/>
    </row>
    <row r="1990" spans="6:6" x14ac:dyDescent="0.25">
      <c r="F1990" s="281"/>
    </row>
    <row r="1991" spans="6:6" x14ac:dyDescent="0.25">
      <c r="F1991" s="281"/>
    </row>
    <row r="1992" spans="6:6" x14ac:dyDescent="0.25">
      <c r="F1992" s="281"/>
    </row>
    <row r="1993" spans="6:6" x14ac:dyDescent="0.25">
      <c r="F1993" s="281"/>
    </row>
    <row r="1994" spans="6:6" x14ac:dyDescent="0.25">
      <c r="F1994" s="281"/>
    </row>
    <row r="1995" spans="6:6" x14ac:dyDescent="0.25">
      <c r="F1995" s="281"/>
    </row>
    <row r="1996" spans="6:6" x14ac:dyDescent="0.25">
      <c r="F1996" s="281"/>
    </row>
    <row r="1997" spans="6:6" x14ac:dyDescent="0.25">
      <c r="F1997" s="281"/>
    </row>
    <row r="1998" spans="6:6" x14ac:dyDescent="0.25">
      <c r="F1998" s="281"/>
    </row>
    <row r="1999" spans="6:6" x14ac:dyDescent="0.25">
      <c r="F1999" s="281"/>
    </row>
    <row r="2000" spans="6:6" x14ac:dyDescent="0.25">
      <c r="F2000" s="281"/>
    </row>
    <row r="2001" spans="6:6" x14ac:dyDescent="0.25">
      <c r="F2001" s="281"/>
    </row>
    <row r="2002" spans="6:6" x14ac:dyDescent="0.25">
      <c r="F2002" s="281"/>
    </row>
    <row r="2003" spans="6:6" x14ac:dyDescent="0.25">
      <c r="F2003" s="281"/>
    </row>
    <row r="2004" spans="6:6" x14ac:dyDescent="0.25">
      <c r="F2004" s="281"/>
    </row>
    <row r="2005" spans="6:6" x14ac:dyDescent="0.25">
      <c r="F2005" s="281"/>
    </row>
    <row r="2006" spans="6:6" x14ac:dyDescent="0.25">
      <c r="F2006" s="281"/>
    </row>
    <row r="2007" spans="6:6" x14ac:dyDescent="0.25">
      <c r="F2007" s="281"/>
    </row>
    <row r="2008" spans="6:6" x14ac:dyDescent="0.25">
      <c r="F2008" s="281"/>
    </row>
    <row r="2009" spans="6:6" x14ac:dyDescent="0.25">
      <c r="F2009" s="281"/>
    </row>
    <row r="2010" spans="6:6" x14ac:dyDescent="0.25">
      <c r="F2010" s="281"/>
    </row>
    <row r="2011" spans="6:6" x14ac:dyDescent="0.25">
      <c r="F2011" s="281"/>
    </row>
    <row r="2012" spans="6:6" x14ac:dyDescent="0.25">
      <c r="F2012" s="281"/>
    </row>
    <row r="2013" spans="6:6" x14ac:dyDescent="0.25">
      <c r="F2013" s="281"/>
    </row>
    <row r="2014" spans="6:6" x14ac:dyDescent="0.25">
      <c r="F2014" s="281"/>
    </row>
    <row r="2015" spans="6:6" x14ac:dyDescent="0.25">
      <c r="F2015" s="281"/>
    </row>
    <row r="2016" spans="6:6" x14ac:dyDescent="0.25">
      <c r="F2016" s="281"/>
    </row>
    <row r="2017" spans="6:6" x14ac:dyDescent="0.25">
      <c r="F2017" s="281"/>
    </row>
    <row r="2018" spans="6:6" x14ac:dyDescent="0.25">
      <c r="F2018" s="281"/>
    </row>
    <row r="2019" spans="6:6" x14ac:dyDescent="0.25">
      <c r="F2019" s="281"/>
    </row>
    <row r="2020" spans="6:6" x14ac:dyDescent="0.25">
      <c r="F2020" s="281"/>
    </row>
    <row r="2021" spans="6:6" x14ac:dyDescent="0.25">
      <c r="F2021" s="281"/>
    </row>
    <row r="2022" spans="6:6" x14ac:dyDescent="0.25">
      <c r="F2022" s="281"/>
    </row>
    <row r="2023" spans="6:6" x14ac:dyDescent="0.25">
      <c r="F2023" s="281"/>
    </row>
    <row r="2024" spans="6:6" x14ac:dyDescent="0.25">
      <c r="F2024" s="281"/>
    </row>
    <row r="2025" spans="6:6" x14ac:dyDescent="0.25">
      <c r="F2025" s="281"/>
    </row>
    <row r="2026" spans="6:6" x14ac:dyDescent="0.25">
      <c r="F2026" s="281"/>
    </row>
    <row r="2027" spans="6:6" x14ac:dyDescent="0.25">
      <c r="F2027" s="281"/>
    </row>
    <row r="2028" spans="6:6" x14ac:dyDescent="0.25">
      <c r="F2028" s="281"/>
    </row>
    <row r="2029" spans="6:6" x14ac:dyDescent="0.25">
      <c r="F2029" s="281"/>
    </row>
    <row r="2030" spans="6:6" x14ac:dyDescent="0.25">
      <c r="F2030" s="281"/>
    </row>
    <row r="2031" spans="6:6" x14ac:dyDescent="0.25">
      <c r="F2031" s="281"/>
    </row>
    <row r="2032" spans="6:6" x14ac:dyDescent="0.25">
      <c r="F2032" s="281"/>
    </row>
    <row r="2033" spans="6:6" x14ac:dyDescent="0.25">
      <c r="F2033" s="281"/>
    </row>
    <row r="2034" spans="6:6" x14ac:dyDescent="0.25">
      <c r="F2034" s="281"/>
    </row>
    <row r="2035" spans="6:6" x14ac:dyDescent="0.25">
      <c r="F2035" s="281"/>
    </row>
    <row r="2036" spans="6:6" x14ac:dyDescent="0.25">
      <c r="F2036" s="281"/>
    </row>
    <row r="2037" spans="6:6" x14ac:dyDescent="0.25">
      <c r="F2037" s="281"/>
    </row>
    <row r="2038" spans="6:6" x14ac:dyDescent="0.25">
      <c r="F2038" s="281"/>
    </row>
    <row r="2039" spans="6:6" x14ac:dyDescent="0.25">
      <c r="F2039" s="281"/>
    </row>
    <row r="2040" spans="6:6" x14ac:dyDescent="0.25">
      <c r="F2040" s="281"/>
    </row>
    <row r="2041" spans="6:6" x14ac:dyDescent="0.25">
      <c r="F2041" s="281"/>
    </row>
    <row r="2042" spans="6:6" x14ac:dyDescent="0.25">
      <c r="F2042" s="281"/>
    </row>
    <row r="2043" spans="6:6" x14ac:dyDescent="0.25">
      <c r="F2043" s="281"/>
    </row>
    <row r="2044" spans="6:6" x14ac:dyDescent="0.25">
      <c r="F2044" s="281"/>
    </row>
    <row r="2045" spans="6:6" x14ac:dyDescent="0.25">
      <c r="F2045" s="281"/>
    </row>
    <row r="2046" spans="6:6" x14ac:dyDescent="0.25">
      <c r="F2046" s="281"/>
    </row>
    <row r="2047" spans="6:6" x14ac:dyDescent="0.25">
      <c r="F2047" s="281"/>
    </row>
    <row r="2048" spans="6:6" x14ac:dyDescent="0.25">
      <c r="F2048" s="281"/>
    </row>
    <row r="2049" spans="6:6" x14ac:dyDescent="0.25">
      <c r="F2049" s="281"/>
    </row>
    <row r="2050" spans="6:6" x14ac:dyDescent="0.25">
      <c r="F2050" s="281"/>
    </row>
    <row r="2051" spans="6:6" x14ac:dyDescent="0.25">
      <c r="F2051" s="281"/>
    </row>
    <row r="2052" spans="6:6" x14ac:dyDescent="0.25">
      <c r="F2052" s="281"/>
    </row>
    <row r="2053" spans="6:6" x14ac:dyDescent="0.25">
      <c r="F2053" s="281"/>
    </row>
    <row r="2054" spans="6:6" x14ac:dyDescent="0.25">
      <c r="F2054" s="281"/>
    </row>
    <row r="2055" spans="6:6" x14ac:dyDescent="0.25">
      <c r="F2055" s="281"/>
    </row>
    <row r="2056" spans="6:6" x14ac:dyDescent="0.25">
      <c r="F2056" s="281"/>
    </row>
    <row r="2057" spans="6:6" x14ac:dyDescent="0.25">
      <c r="F2057" s="281"/>
    </row>
    <row r="2058" spans="6:6" x14ac:dyDescent="0.25">
      <c r="F2058" s="281"/>
    </row>
    <row r="2059" spans="6:6" x14ac:dyDescent="0.25">
      <c r="F2059" s="281"/>
    </row>
    <row r="2060" spans="6:6" x14ac:dyDescent="0.25">
      <c r="F2060" s="281"/>
    </row>
    <row r="2061" spans="6:6" x14ac:dyDescent="0.25">
      <c r="F2061" s="281"/>
    </row>
    <row r="2062" spans="6:6" x14ac:dyDescent="0.25">
      <c r="F2062" s="281"/>
    </row>
    <row r="2063" spans="6:6" x14ac:dyDescent="0.25">
      <c r="F2063" s="281"/>
    </row>
    <row r="2064" spans="6:6" x14ac:dyDescent="0.25">
      <c r="F2064" s="281"/>
    </row>
    <row r="2065" spans="6:6" x14ac:dyDescent="0.25">
      <c r="F2065" s="281"/>
    </row>
    <row r="2066" spans="6:6" x14ac:dyDescent="0.25">
      <c r="F2066" s="281"/>
    </row>
    <row r="2067" spans="6:6" x14ac:dyDescent="0.25">
      <c r="F2067" s="281"/>
    </row>
    <row r="2068" spans="6:6" x14ac:dyDescent="0.25">
      <c r="F2068" s="281"/>
    </row>
    <row r="2069" spans="6:6" x14ac:dyDescent="0.25">
      <c r="F2069" s="281"/>
    </row>
    <row r="2070" spans="6:6" x14ac:dyDescent="0.25">
      <c r="F2070" s="281"/>
    </row>
    <row r="2071" spans="6:6" x14ac:dyDescent="0.25">
      <c r="F2071" s="281"/>
    </row>
    <row r="2072" spans="6:6" x14ac:dyDescent="0.25">
      <c r="F2072" s="281"/>
    </row>
    <row r="2073" spans="6:6" x14ac:dyDescent="0.25">
      <c r="F2073" s="281"/>
    </row>
    <row r="2074" spans="6:6" x14ac:dyDescent="0.25">
      <c r="F2074" s="281"/>
    </row>
    <row r="2075" spans="6:6" x14ac:dyDescent="0.25">
      <c r="F2075" s="281"/>
    </row>
    <row r="2076" spans="6:6" x14ac:dyDescent="0.25">
      <c r="F2076" s="281"/>
    </row>
    <row r="2077" spans="6:6" x14ac:dyDescent="0.25">
      <c r="F2077" s="281"/>
    </row>
    <row r="2078" spans="6:6" x14ac:dyDescent="0.25">
      <c r="F2078" s="281"/>
    </row>
    <row r="2079" spans="6:6" x14ac:dyDescent="0.25">
      <c r="F2079" s="281"/>
    </row>
    <row r="2080" spans="6:6" x14ac:dyDescent="0.25">
      <c r="F2080" s="281"/>
    </row>
    <row r="2081" spans="6:6" x14ac:dyDescent="0.25">
      <c r="F2081" s="281"/>
    </row>
    <row r="2082" spans="6:6" x14ac:dyDescent="0.25">
      <c r="F2082" s="281"/>
    </row>
    <row r="2083" spans="6:6" x14ac:dyDescent="0.25">
      <c r="F2083" s="281"/>
    </row>
    <row r="2084" spans="6:6" x14ac:dyDescent="0.25">
      <c r="F2084" s="281"/>
    </row>
    <row r="2085" spans="6:6" x14ac:dyDescent="0.25">
      <c r="F2085" s="281"/>
    </row>
    <row r="2086" spans="6:6" x14ac:dyDescent="0.25">
      <c r="F2086" s="281"/>
    </row>
    <row r="2087" spans="6:6" x14ac:dyDescent="0.25">
      <c r="F2087" s="281"/>
    </row>
    <row r="2088" spans="6:6" x14ac:dyDescent="0.25">
      <c r="F2088" s="281"/>
    </row>
    <row r="2089" spans="6:6" x14ac:dyDescent="0.25">
      <c r="F2089" s="281"/>
    </row>
    <row r="2090" spans="6:6" x14ac:dyDescent="0.25">
      <c r="F2090" s="281"/>
    </row>
    <row r="2091" spans="6:6" x14ac:dyDescent="0.25">
      <c r="F2091" s="281"/>
    </row>
    <row r="2092" spans="6:6" x14ac:dyDescent="0.25">
      <c r="F2092" s="281"/>
    </row>
    <row r="2093" spans="6:6" x14ac:dyDescent="0.25">
      <c r="F2093" s="281"/>
    </row>
    <row r="2094" spans="6:6" x14ac:dyDescent="0.25">
      <c r="F2094" s="281"/>
    </row>
    <row r="2095" spans="6:6" x14ac:dyDescent="0.25">
      <c r="F2095" s="281"/>
    </row>
    <row r="2096" spans="6:6" x14ac:dyDescent="0.25">
      <c r="F2096" s="281"/>
    </row>
    <row r="2097" spans="6:6" x14ac:dyDescent="0.25">
      <c r="F2097" s="281"/>
    </row>
    <row r="2098" spans="6:6" x14ac:dyDescent="0.25">
      <c r="F2098" s="281"/>
    </row>
    <row r="2099" spans="6:6" x14ac:dyDescent="0.25">
      <c r="F2099" s="281"/>
    </row>
    <row r="2100" spans="6:6" x14ac:dyDescent="0.25">
      <c r="F2100" s="281"/>
    </row>
    <row r="2101" spans="6:6" x14ac:dyDescent="0.25">
      <c r="F2101" s="281"/>
    </row>
    <row r="2102" spans="6:6" x14ac:dyDescent="0.25">
      <c r="F2102" s="281"/>
    </row>
    <row r="2103" spans="6:6" x14ac:dyDescent="0.25">
      <c r="F2103" s="281"/>
    </row>
    <row r="2104" spans="6:6" x14ac:dyDescent="0.25">
      <c r="F2104" s="281"/>
    </row>
    <row r="2105" spans="6:6" x14ac:dyDescent="0.25">
      <c r="F2105" s="281"/>
    </row>
    <row r="2106" spans="6:6" x14ac:dyDescent="0.25">
      <c r="F2106" s="281"/>
    </row>
    <row r="2107" spans="6:6" x14ac:dyDescent="0.25">
      <c r="F2107" s="281"/>
    </row>
    <row r="2108" spans="6:6" x14ac:dyDescent="0.25">
      <c r="F2108" s="281"/>
    </row>
    <row r="2109" spans="6:6" x14ac:dyDescent="0.25">
      <c r="F2109" s="281"/>
    </row>
    <row r="2110" spans="6:6" x14ac:dyDescent="0.25">
      <c r="F2110" s="281"/>
    </row>
    <row r="2111" spans="6:6" x14ac:dyDescent="0.25">
      <c r="F2111" s="281"/>
    </row>
    <row r="2112" spans="6:6" x14ac:dyDescent="0.25">
      <c r="F2112" s="281"/>
    </row>
    <row r="2113" spans="6:6" x14ac:dyDescent="0.25">
      <c r="F2113" s="281"/>
    </row>
    <row r="2114" spans="6:6" x14ac:dyDescent="0.25">
      <c r="F2114" s="281"/>
    </row>
    <row r="2115" spans="6:6" x14ac:dyDescent="0.25">
      <c r="F2115" s="281"/>
    </row>
    <row r="2116" spans="6:6" x14ac:dyDescent="0.25">
      <c r="F2116" s="281"/>
    </row>
    <row r="2117" spans="6:6" x14ac:dyDescent="0.25">
      <c r="F2117" s="281"/>
    </row>
    <row r="2118" spans="6:6" x14ac:dyDescent="0.25">
      <c r="F2118" s="281"/>
    </row>
    <row r="2119" spans="6:6" x14ac:dyDescent="0.25">
      <c r="F2119" s="281"/>
    </row>
    <row r="2120" spans="6:6" x14ac:dyDescent="0.25">
      <c r="F2120" s="281"/>
    </row>
    <row r="2121" spans="6:6" x14ac:dyDescent="0.25">
      <c r="F2121" s="281"/>
    </row>
    <row r="2122" spans="6:6" x14ac:dyDescent="0.25">
      <c r="F2122" s="281"/>
    </row>
    <row r="2123" spans="6:6" x14ac:dyDescent="0.25">
      <c r="F2123" s="281"/>
    </row>
    <row r="2124" spans="6:6" x14ac:dyDescent="0.25">
      <c r="F2124" s="281"/>
    </row>
    <row r="2125" spans="6:6" x14ac:dyDescent="0.25">
      <c r="F2125" s="281"/>
    </row>
    <row r="2126" spans="6:6" x14ac:dyDescent="0.25">
      <c r="F2126" s="281"/>
    </row>
    <row r="2127" spans="6:6" x14ac:dyDescent="0.25">
      <c r="F2127" s="281"/>
    </row>
    <row r="2128" spans="6:6" x14ac:dyDescent="0.25">
      <c r="F2128" s="281"/>
    </row>
    <row r="2129" spans="6:6" x14ac:dyDescent="0.25">
      <c r="F2129" s="281"/>
    </row>
    <row r="2130" spans="6:6" x14ac:dyDescent="0.25">
      <c r="F2130" s="281"/>
    </row>
    <row r="2131" spans="6:6" x14ac:dyDescent="0.25">
      <c r="F2131" s="281"/>
    </row>
    <row r="2132" spans="6:6" x14ac:dyDescent="0.25">
      <c r="F2132" s="281"/>
    </row>
    <row r="2133" spans="6:6" x14ac:dyDescent="0.25">
      <c r="F2133" s="281"/>
    </row>
    <row r="2134" spans="6:6" x14ac:dyDescent="0.25">
      <c r="F2134" s="281"/>
    </row>
    <row r="2135" spans="6:6" x14ac:dyDescent="0.25">
      <c r="F2135" s="281"/>
    </row>
    <row r="2136" spans="6:6" x14ac:dyDescent="0.25">
      <c r="F2136" s="281"/>
    </row>
    <row r="2137" spans="6:6" x14ac:dyDescent="0.25">
      <c r="F2137" s="281"/>
    </row>
    <row r="2138" spans="6:6" x14ac:dyDescent="0.25">
      <c r="F2138" s="281"/>
    </row>
    <row r="2139" spans="6:6" x14ac:dyDescent="0.25">
      <c r="F2139" s="281"/>
    </row>
    <row r="2140" spans="6:6" x14ac:dyDescent="0.25">
      <c r="F2140" s="281"/>
    </row>
    <row r="2141" spans="6:6" x14ac:dyDescent="0.25">
      <c r="F2141" s="281"/>
    </row>
    <row r="2142" spans="6:6" x14ac:dyDescent="0.25">
      <c r="F2142" s="281"/>
    </row>
    <row r="2143" spans="6:6" x14ac:dyDescent="0.25">
      <c r="F2143" s="281"/>
    </row>
    <row r="2144" spans="6:6" x14ac:dyDescent="0.25">
      <c r="F2144" s="281"/>
    </row>
    <row r="2145" spans="6:6" x14ac:dyDescent="0.25">
      <c r="F2145" s="281"/>
    </row>
    <row r="2146" spans="6:6" x14ac:dyDescent="0.25">
      <c r="F2146" s="281"/>
    </row>
    <row r="2147" spans="6:6" x14ac:dyDescent="0.25">
      <c r="F2147" s="281"/>
    </row>
    <row r="2148" spans="6:6" x14ac:dyDescent="0.25">
      <c r="F2148" s="281"/>
    </row>
    <row r="2149" spans="6:6" x14ac:dyDescent="0.25">
      <c r="F2149" s="281"/>
    </row>
    <row r="2150" spans="6:6" x14ac:dyDescent="0.25">
      <c r="F2150" s="281"/>
    </row>
    <row r="2151" spans="6:6" x14ac:dyDescent="0.25">
      <c r="F2151" s="281"/>
    </row>
    <row r="2152" spans="6:6" x14ac:dyDescent="0.25">
      <c r="F2152" s="281"/>
    </row>
    <row r="2153" spans="6:6" x14ac:dyDescent="0.25">
      <c r="F2153" s="281"/>
    </row>
    <row r="2154" spans="6:6" x14ac:dyDescent="0.25">
      <c r="F2154" s="281"/>
    </row>
    <row r="2155" spans="6:6" x14ac:dyDescent="0.25">
      <c r="F2155" s="281"/>
    </row>
    <row r="2156" spans="6:6" x14ac:dyDescent="0.25">
      <c r="F2156" s="281"/>
    </row>
    <row r="2157" spans="6:6" x14ac:dyDescent="0.25">
      <c r="F2157" s="281"/>
    </row>
    <row r="2158" spans="6:6" x14ac:dyDescent="0.25">
      <c r="F2158" s="281"/>
    </row>
    <row r="2159" spans="6:6" x14ac:dyDescent="0.25">
      <c r="F2159" s="281"/>
    </row>
    <row r="2160" spans="6:6" x14ac:dyDescent="0.25">
      <c r="F2160" s="281"/>
    </row>
    <row r="2161" spans="6:6" x14ac:dyDescent="0.25">
      <c r="F2161" s="281"/>
    </row>
    <row r="2162" spans="6:6" x14ac:dyDescent="0.25">
      <c r="F2162" s="281"/>
    </row>
    <row r="2163" spans="6:6" x14ac:dyDescent="0.25">
      <c r="F2163" s="281"/>
    </row>
    <row r="2164" spans="6:6" x14ac:dyDescent="0.25">
      <c r="F2164" s="281"/>
    </row>
    <row r="2165" spans="6:6" x14ac:dyDescent="0.25">
      <c r="F2165" s="281"/>
    </row>
    <row r="2166" spans="6:6" x14ac:dyDescent="0.25">
      <c r="F2166" s="281"/>
    </row>
    <row r="2167" spans="6:6" x14ac:dyDescent="0.25">
      <c r="F2167" s="281"/>
    </row>
    <row r="2168" spans="6:6" x14ac:dyDescent="0.25">
      <c r="F2168" s="281"/>
    </row>
    <row r="2169" spans="6:6" x14ac:dyDescent="0.25">
      <c r="F2169" s="281"/>
    </row>
    <row r="2170" spans="6:6" x14ac:dyDescent="0.25">
      <c r="F2170" s="281"/>
    </row>
    <row r="2171" spans="6:6" x14ac:dyDescent="0.25">
      <c r="F2171" s="281"/>
    </row>
    <row r="2172" spans="6:6" x14ac:dyDescent="0.25">
      <c r="F2172" s="281"/>
    </row>
    <row r="2173" spans="6:6" x14ac:dyDescent="0.25">
      <c r="F2173" s="281"/>
    </row>
    <row r="2174" spans="6:6" x14ac:dyDescent="0.25">
      <c r="F2174" s="281"/>
    </row>
    <row r="2175" spans="6:6" x14ac:dyDescent="0.25">
      <c r="F2175" s="281"/>
    </row>
    <row r="2176" spans="6:6" x14ac:dyDescent="0.25">
      <c r="F2176" s="281"/>
    </row>
    <row r="2177" spans="6:6" x14ac:dyDescent="0.25">
      <c r="F2177" s="281"/>
    </row>
    <row r="2178" spans="6:6" x14ac:dyDescent="0.25">
      <c r="F2178" s="281"/>
    </row>
    <row r="2179" spans="6:6" x14ac:dyDescent="0.25">
      <c r="F2179" s="281"/>
    </row>
    <row r="2180" spans="6:6" x14ac:dyDescent="0.25">
      <c r="F2180" s="281"/>
    </row>
    <row r="2181" spans="6:6" x14ac:dyDescent="0.25">
      <c r="F2181" s="281"/>
    </row>
    <row r="2182" spans="6:6" x14ac:dyDescent="0.25">
      <c r="F2182" s="281"/>
    </row>
    <row r="2183" spans="6:6" x14ac:dyDescent="0.25">
      <c r="F2183" s="281"/>
    </row>
    <row r="2184" spans="6:6" x14ac:dyDescent="0.25">
      <c r="F2184" s="281"/>
    </row>
    <row r="2185" spans="6:6" x14ac:dyDescent="0.25">
      <c r="F2185" s="281"/>
    </row>
    <row r="2186" spans="6:6" x14ac:dyDescent="0.25">
      <c r="F2186" s="281"/>
    </row>
    <row r="2187" spans="6:6" x14ac:dyDescent="0.25">
      <c r="F2187" s="281"/>
    </row>
    <row r="2188" spans="6:6" x14ac:dyDescent="0.25">
      <c r="F2188" s="281"/>
    </row>
    <row r="2189" spans="6:6" x14ac:dyDescent="0.25">
      <c r="F2189" s="281"/>
    </row>
    <row r="2190" spans="6:6" x14ac:dyDescent="0.25">
      <c r="F2190" s="281"/>
    </row>
    <row r="2191" spans="6:6" x14ac:dyDescent="0.25">
      <c r="F2191" s="281"/>
    </row>
    <row r="2192" spans="6:6" x14ac:dyDescent="0.25">
      <c r="F2192" s="281"/>
    </row>
    <row r="2193" spans="6:6" x14ac:dyDescent="0.25">
      <c r="F2193" s="281"/>
    </row>
    <row r="2194" spans="6:6" x14ac:dyDescent="0.25">
      <c r="F2194" s="281"/>
    </row>
    <row r="2195" spans="6:6" x14ac:dyDescent="0.25">
      <c r="F2195" s="281"/>
    </row>
    <row r="2196" spans="6:6" x14ac:dyDescent="0.25">
      <c r="F2196" s="281"/>
    </row>
    <row r="2197" spans="6:6" x14ac:dyDescent="0.25">
      <c r="F2197" s="281"/>
    </row>
    <row r="2198" spans="6:6" x14ac:dyDescent="0.25">
      <c r="F2198" s="281"/>
    </row>
    <row r="2199" spans="6:6" x14ac:dyDescent="0.25">
      <c r="F2199" s="281"/>
    </row>
    <row r="2200" spans="6:6" x14ac:dyDescent="0.25">
      <c r="F2200" s="281"/>
    </row>
    <row r="2201" spans="6:6" x14ac:dyDescent="0.25">
      <c r="F2201" s="281"/>
    </row>
    <row r="2202" spans="6:6" x14ac:dyDescent="0.25">
      <c r="F2202" s="281"/>
    </row>
    <row r="2203" spans="6:6" x14ac:dyDescent="0.25">
      <c r="F2203" s="281"/>
    </row>
    <row r="2204" spans="6:6" x14ac:dyDescent="0.25">
      <c r="F2204" s="281"/>
    </row>
    <row r="2205" spans="6:6" x14ac:dyDescent="0.25">
      <c r="F2205" s="281"/>
    </row>
    <row r="2206" spans="6:6" x14ac:dyDescent="0.25">
      <c r="F2206" s="281"/>
    </row>
    <row r="2207" spans="6:6" x14ac:dyDescent="0.25">
      <c r="F2207" s="281"/>
    </row>
    <row r="2208" spans="6:6" x14ac:dyDescent="0.25">
      <c r="F2208" s="281"/>
    </row>
    <row r="2209" spans="6:6" x14ac:dyDescent="0.25">
      <c r="F2209" s="281"/>
    </row>
    <row r="2210" spans="6:6" x14ac:dyDescent="0.25">
      <c r="F2210" s="281"/>
    </row>
    <row r="2211" spans="6:6" x14ac:dyDescent="0.25">
      <c r="F2211" s="281"/>
    </row>
    <row r="2212" spans="6:6" x14ac:dyDescent="0.25">
      <c r="F2212" s="281"/>
    </row>
    <row r="2213" spans="6:6" x14ac:dyDescent="0.25">
      <c r="F2213" s="281"/>
    </row>
    <row r="2214" spans="6:6" x14ac:dyDescent="0.25">
      <c r="F2214" s="281"/>
    </row>
    <row r="2215" spans="6:6" x14ac:dyDescent="0.25">
      <c r="F2215" s="281"/>
    </row>
    <row r="2216" spans="6:6" x14ac:dyDescent="0.25">
      <c r="F2216" s="281"/>
    </row>
    <row r="2217" spans="6:6" x14ac:dyDescent="0.25">
      <c r="F2217" s="281"/>
    </row>
    <row r="2218" spans="6:6" x14ac:dyDescent="0.25">
      <c r="F2218" s="281"/>
    </row>
    <row r="2219" spans="6:6" x14ac:dyDescent="0.25">
      <c r="F2219" s="281"/>
    </row>
    <row r="2220" spans="6:6" x14ac:dyDescent="0.25">
      <c r="F2220" s="281"/>
    </row>
    <row r="2221" spans="6:6" x14ac:dyDescent="0.25">
      <c r="F2221" s="281"/>
    </row>
    <row r="2222" spans="6:6" x14ac:dyDescent="0.25">
      <c r="F2222" s="281"/>
    </row>
    <row r="2223" spans="6:6" x14ac:dyDescent="0.25">
      <c r="F2223" s="281"/>
    </row>
    <row r="2224" spans="6:6" x14ac:dyDescent="0.25">
      <c r="F2224" s="281"/>
    </row>
    <row r="2225" spans="6:6" x14ac:dyDescent="0.25">
      <c r="F2225" s="281"/>
    </row>
    <row r="2226" spans="6:6" x14ac:dyDescent="0.25">
      <c r="F2226" s="281"/>
    </row>
    <row r="2227" spans="6:6" x14ac:dyDescent="0.25">
      <c r="F2227" s="281"/>
    </row>
    <row r="2228" spans="6:6" x14ac:dyDescent="0.25">
      <c r="F2228" s="281"/>
    </row>
    <row r="2229" spans="6:6" x14ac:dyDescent="0.25">
      <c r="F2229" s="281"/>
    </row>
    <row r="2230" spans="6:6" x14ac:dyDescent="0.25">
      <c r="F2230" s="281"/>
    </row>
    <row r="2231" spans="6:6" x14ac:dyDescent="0.25">
      <c r="F2231" s="281"/>
    </row>
    <row r="2232" spans="6:6" x14ac:dyDescent="0.25">
      <c r="F2232" s="281"/>
    </row>
    <row r="2233" spans="6:6" x14ac:dyDescent="0.25">
      <c r="F2233" s="281"/>
    </row>
    <row r="2234" spans="6:6" x14ac:dyDescent="0.25">
      <c r="F2234" s="281"/>
    </row>
    <row r="2235" spans="6:6" x14ac:dyDescent="0.25">
      <c r="F2235" s="281"/>
    </row>
    <row r="2236" spans="6:6" x14ac:dyDescent="0.25">
      <c r="F2236" s="281"/>
    </row>
    <row r="2237" spans="6:6" x14ac:dyDescent="0.25">
      <c r="F2237" s="281"/>
    </row>
    <row r="2238" spans="6:6" x14ac:dyDescent="0.25">
      <c r="F2238" s="281"/>
    </row>
    <row r="2239" spans="6:6" x14ac:dyDescent="0.25">
      <c r="F2239" s="281"/>
    </row>
    <row r="2240" spans="6:6" x14ac:dyDescent="0.25">
      <c r="F2240" s="281"/>
    </row>
    <row r="2241" spans="6:6" x14ac:dyDescent="0.25">
      <c r="F2241" s="281"/>
    </row>
    <row r="2242" spans="6:6" x14ac:dyDescent="0.25">
      <c r="F2242" s="281"/>
    </row>
    <row r="2243" spans="6:6" x14ac:dyDescent="0.25">
      <c r="F2243" s="281"/>
    </row>
    <row r="2244" spans="6:6" x14ac:dyDescent="0.25">
      <c r="F2244" s="281"/>
    </row>
    <row r="2245" spans="6:6" x14ac:dyDescent="0.25">
      <c r="F2245" s="281"/>
    </row>
    <row r="2246" spans="6:6" x14ac:dyDescent="0.25">
      <c r="F2246" s="281"/>
    </row>
    <row r="2247" spans="6:6" x14ac:dyDescent="0.25">
      <c r="F2247" s="281"/>
    </row>
    <row r="2248" spans="6:6" x14ac:dyDescent="0.25">
      <c r="F2248" s="281"/>
    </row>
    <row r="2249" spans="6:6" x14ac:dyDescent="0.25">
      <c r="F2249" s="281"/>
    </row>
    <row r="2250" spans="6:6" x14ac:dyDescent="0.25">
      <c r="F2250" s="281"/>
    </row>
    <row r="2251" spans="6:6" x14ac:dyDescent="0.25">
      <c r="F2251" s="281"/>
    </row>
    <row r="2252" spans="6:6" x14ac:dyDescent="0.25">
      <c r="F2252" s="281"/>
    </row>
    <row r="2253" spans="6:6" x14ac:dyDescent="0.25">
      <c r="F2253" s="281"/>
    </row>
    <row r="2254" spans="6:6" x14ac:dyDescent="0.25">
      <c r="F2254" s="281"/>
    </row>
    <row r="2255" spans="6:6" x14ac:dyDescent="0.25">
      <c r="F2255" s="281"/>
    </row>
    <row r="2256" spans="6:6" x14ac:dyDescent="0.25">
      <c r="F2256" s="281"/>
    </row>
    <row r="2257" spans="6:6" x14ac:dyDescent="0.25">
      <c r="F2257" s="281"/>
    </row>
    <row r="2258" spans="6:6" x14ac:dyDescent="0.25">
      <c r="F2258" s="281"/>
    </row>
    <row r="2259" spans="6:6" x14ac:dyDescent="0.25">
      <c r="F2259" s="281"/>
    </row>
    <row r="2260" spans="6:6" x14ac:dyDescent="0.25">
      <c r="F2260" s="281"/>
    </row>
    <row r="2261" spans="6:6" x14ac:dyDescent="0.25">
      <c r="F2261" s="281"/>
    </row>
    <row r="2262" spans="6:6" x14ac:dyDescent="0.25">
      <c r="F2262" s="281"/>
    </row>
    <row r="2263" spans="6:6" x14ac:dyDescent="0.25">
      <c r="F2263" s="281"/>
    </row>
    <row r="2264" spans="6:6" x14ac:dyDescent="0.25">
      <c r="F2264" s="281"/>
    </row>
    <row r="2265" spans="6:6" x14ac:dyDescent="0.25">
      <c r="F2265" s="281"/>
    </row>
    <row r="2266" spans="6:6" x14ac:dyDescent="0.25">
      <c r="F2266" s="281"/>
    </row>
    <row r="2267" spans="6:6" x14ac:dyDescent="0.25">
      <c r="F2267" s="281"/>
    </row>
    <row r="2268" spans="6:6" x14ac:dyDescent="0.25">
      <c r="F2268" s="281"/>
    </row>
    <row r="2269" spans="6:6" x14ac:dyDescent="0.25">
      <c r="F2269" s="281"/>
    </row>
    <row r="2270" spans="6:6" x14ac:dyDescent="0.25">
      <c r="F2270" s="281"/>
    </row>
    <row r="2271" spans="6:6" x14ac:dyDescent="0.25">
      <c r="F2271" s="281"/>
    </row>
    <row r="2272" spans="6:6" x14ac:dyDescent="0.25">
      <c r="F2272" s="281"/>
    </row>
    <row r="2273" spans="6:6" x14ac:dyDescent="0.25">
      <c r="F2273" s="281"/>
    </row>
    <row r="2274" spans="6:6" x14ac:dyDescent="0.25">
      <c r="F2274" s="281"/>
    </row>
    <row r="2275" spans="6:6" x14ac:dyDescent="0.25">
      <c r="F2275" s="281"/>
    </row>
    <row r="2276" spans="6:6" x14ac:dyDescent="0.25">
      <c r="F2276" s="281"/>
    </row>
    <row r="2277" spans="6:6" x14ac:dyDescent="0.25">
      <c r="F2277" s="281"/>
    </row>
    <row r="2278" spans="6:6" x14ac:dyDescent="0.25">
      <c r="F2278" s="281"/>
    </row>
    <row r="2279" spans="6:6" x14ac:dyDescent="0.25">
      <c r="F2279" s="281"/>
    </row>
    <row r="2280" spans="6:6" x14ac:dyDescent="0.25">
      <c r="F2280" s="281"/>
    </row>
    <row r="2281" spans="6:6" x14ac:dyDescent="0.25">
      <c r="F2281" s="281"/>
    </row>
    <row r="2282" spans="6:6" x14ac:dyDescent="0.25">
      <c r="F2282" s="281"/>
    </row>
    <row r="2283" spans="6:6" x14ac:dyDescent="0.25">
      <c r="F2283" s="281"/>
    </row>
    <row r="2284" spans="6:6" x14ac:dyDescent="0.25">
      <c r="F2284" s="281"/>
    </row>
    <row r="2285" spans="6:6" x14ac:dyDescent="0.25">
      <c r="F2285" s="281"/>
    </row>
    <row r="2286" spans="6:6" x14ac:dyDescent="0.25">
      <c r="F2286" s="281"/>
    </row>
    <row r="2287" spans="6:6" x14ac:dyDescent="0.25">
      <c r="F2287" s="281"/>
    </row>
    <row r="2288" spans="6:6" x14ac:dyDescent="0.25">
      <c r="F2288" s="281"/>
    </row>
    <row r="2289" spans="6:6" x14ac:dyDescent="0.25">
      <c r="F2289" s="281"/>
    </row>
    <row r="2290" spans="6:6" x14ac:dyDescent="0.25">
      <c r="F2290" s="281"/>
    </row>
    <row r="2291" spans="6:6" x14ac:dyDescent="0.25">
      <c r="F2291" s="281"/>
    </row>
    <row r="2292" spans="6:6" x14ac:dyDescent="0.25">
      <c r="F2292" s="281"/>
    </row>
    <row r="2293" spans="6:6" x14ac:dyDescent="0.25">
      <c r="F2293" s="281"/>
    </row>
    <row r="2294" spans="6:6" x14ac:dyDescent="0.25">
      <c r="F2294" s="281"/>
    </row>
    <row r="2295" spans="6:6" x14ac:dyDescent="0.25">
      <c r="F2295" s="281"/>
    </row>
    <row r="2296" spans="6:6" x14ac:dyDescent="0.25">
      <c r="F2296" s="281"/>
    </row>
    <row r="2297" spans="6:6" x14ac:dyDescent="0.25">
      <c r="F2297" s="281"/>
    </row>
    <row r="2298" spans="6:6" x14ac:dyDescent="0.25">
      <c r="F2298" s="281"/>
    </row>
    <row r="2299" spans="6:6" x14ac:dyDescent="0.25">
      <c r="F2299" s="281"/>
    </row>
    <row r="2300" spans="6:6" x14ac:dyDescent="0.25">
      <c r="F2300" s="281"/>
    </row>
    <row r="2301" spans="6:6" x14ac:dyDescent="0.25">
      <c r="F2301" s="281"/>
    </row>
    <row r="2302" spans="6:6" x14ac:dyDescent="0.25">
      <c r="F2302" s="281"/>
    </row>
    <row r="2303" spans="6:6" x14ac:dyDescent="0.25">
      <c r="F2303" s="281"/>
    </row>
    <row r="2304" spans="6:6" x14ac:dyDescent="0.25">
      <c r="F2304" s="281"/>
    </row>
    <row r="2305" spans="6:6" x14ac:dyDescent="0.25">
      <c r="F2305" s="281"/>
    </row>
    <row r="2306" spans="6:6" x14ac:dyDescent="0.25">
      <c r="F2306" s="281"/>
    </row>
    <row r="2307" spans="6:6" x14ac:dyDescent="0.25">
      <c r="F2307" s="281"/>
    </row>
    <row r="2308" spans="6:6" x14ac:dyDescent="0.25">
      <c r="F2308" s="281"/>
    </row>
    <row r="2309" spans="6:6" x14ac:dyDescent="0.25">
      <c r="F2309" s="281"/>
    </row>
    <row r="2310" spans="6:6" x14ac:dyDescent="0.25">
      <c r="F2310" s="281"/>
    </row>
    <row r="2311" spans="6:6" x14ac:dyDescent="0.25">
      <c r="F2311" s="281"/>
    </row>
    <row r="2312" spans="6:6" x14ac:dyDescent="0.25">
      <c r="F2312" s="281"/>
    </row>
    <row r="2313" spans="6:6" x14ac:dyDescent="0.25">
      <c r="F2313" s="281"/>
    </row>
    <row r="2314" spans="6:6" x14ac:dyDescent="0.25">
      <c r="F2314" s="281"/>
    </row>
    <row r="2315" spans="6:6" x14ac:dyDescent="0.25">
      <c r="F2315" s="281"/>
    </row>
    <row r="2316" spans="6:6" x14ac:dyDescent="0.25">
      <c r="F2316" s="281"/>
    </row>
    <row r="2317" spans="6:6" x14ac:dyDescent="0.25">
      <c r="F2317" s="281"/>
    </row>
    <row r="2318" spans="6:6" x14ac:dyDescent="0.25">
      <c r="F2318" s="281"/>
    </row>
    <row r="2319" spans="6:6" x14ac:dyDescent="0.25">
      <c r="F2319" s="281"/>
    </row>
    <row r="2320" spans="6:6" x14ac:dyDescent="0.25">
      <c r="F2320" s="281"/>
    </row>
    <row r="2321" spans="6:6" x14ac:dyDescent="0.25">
      <c r="F2321" s="281"/>
    </row>
    <row r="2322" spans="6:6" x14ac:dyDescent="0.25">
      <c r="F2322" s="281"/>
    </row>
    <row r="2323" spans="6:6" x14ac:dyDescent="0.25">
      <c r="F2323" s="281"/>
    </row>
    <row r="2324" spans="6:6" x14ac:dyDescent="0.25">
      <c r="F2324" s="281"/>
    </row>
    <row r="2325" spans="6:6" x14ac:dyDescent="0.25">
      <c r="F2325" s="281"/>
    </row>
    <row r="2326" spans="6:6" x14ac:dyDescent="0.25">
      <c r="F2326" s="281"/>
    </row>
    <row r="2327" spans="6:6" x14ac:dyDescent="0.25">
      <c r="F2327" s="281"/>
    </row>
    <row r="2328" spans="6:6" x14ac:dyDescent="0.25">
      <c r="F2328" s="281"/>
    </row>
    <row r="2329" spans="6:6" x14ac:dyDescent="0.25">
      <c r="F2329" s="281"/>
    </row>
    <row r="2330" spans="6:6" x14ac:dyDescent="0.25">
      <c r="F2330" s="281"/>
    </row>
    <row r="2331" spans="6:6" x14ac:dyDescent="0.25">
      <c r="F2331" s="281"/>
    </row>
    <row r="2332" spans="6:6" x14ac:dyDescent="0.25">
      <c r="F2332" s="281"/>
    </row>
    <row r="2333" spans="6:6" x14ac:dyDescent="0.25">
      <c r="F2333" s="281"/>
    </row>
    <row r="2334" spans="6:6" x14ac:dyDescent="0.25">
      <c r="F2334" s="281"/>
    </row>
    <row r="2335" spans="6:6" x14ac:dyDescent="0.25">
      <c r="F2335" s="281"/>
    </row>
    <row r="2336" spans="6:6" x14ac:dyDescent="0.25">
      <c r="F2336" s="281"/>
    </row>
    <row r="2337" spans="6:6" x14ac:dyDescent="0.25">
      <c r="F2337" s="281"/>
    </row>
    <row r="2338" spans="6:6" x14ac:dyDescent="0.25">
      <c r="F2338" s="281"/>
    </row>
    <row r="2339" spans="6:6" x14ac:dyDescent="0.25">
      <c r="F2339" s="281"/>
    </row>
    <row r="2340" spans="6:6" x14ac:dyDescent="0.25">
      <c r="F2340" s="281"/>
    </row>
    <row r="2341" spans="6:6" x14ac:dyDescent="0.25">
      <c r="F2341" s="281"/>
    </row>
    <row r="2342" spans="6:6" x14ac:dyDescent="0.25">
      <c r="F2342" s="281"/>
    </row>
    <row r="2343" spans="6:6" x14ac:dyDescent="0.25">
      <c r="F2343" s="281"/>
    </row>
    <row r="2344" spans="6:6" x14ac:dyDescent="0.25">
      <c r="F2344" s="281"/>
    </row>
    <row r="2345" spans="6:6" x14ac:dyDescent="0.25">
      <c r="F2345" s="281"/>
    </row>
    <row r="2346" spans="6:6" x14ac:dyDescent="0.25">
      <c r="F2346" s="281"/>
    </row>
    <row r="2347" spans="6:6" x14ac:dyDescent="0.25">
      <c r="F2347" s="281"/>
    </row>
    <row r="2348" spans="6:6" x14ac:dyDescent="0.25">
      <c r="F2348" s="281"/>
    </row>
    <row r="2349" spans="6:6" x14ac:dyDescent="0.25">
      <c r="F2349" s="281"/>
    </row>
    <row r="2350" spans="6:6" x14ac:dyDescent="0.25">
      <c r="F2350" s="281"/>
    </row>
    <row r="2351" spans="6:6" x14ac:dyDescent="0.25">
      <c r="F2351" s="281"/>
    </row>
    <row r="2352" spans="6:6" x14ac:dyDescent="0.25">
      <c r="F2352" s="281"/>
    </row>
    <row r="2353" spans="6:6" x14ac:dyDescent="0.25">
      <c r="F2353" s="281"/>
    </row>
    <row r="2354" spans="6:6" x14ac:dyDescent="0.25">
      <c r="F2354" s="281"/>
    </row>
    <row r="2355" spans="6:6" x14ac:dyDescent="0.25">
      <c r="F2355" s="281"/>
    </row>
    <row r="2356" spans="6:6" x14ac:dyDescent="0.25">
      <c r="F2356" s="281"/>
    </row>
    <row r="2357" spans="6:6" x14ac:dyDescent="0.25">
      <c r="F2357" s="281"/>
    </row>
    <row r="2358" spans="6:6" x14ac:dyDescent="0.25">
      <c r="F2358" s="281"/>
    </row>
    <row r="2359" spans="6:6" x14ac:dyDescent="0.25">
      <c r="F2359" s="281"/>
    </row>
    <row r="2360" spans="6:6" x14ac:dyDescent="0.25">
      <c r="F2360" s="281"/>
    </row>
    <row r="2361" spans="6:6" x14ac:dyDescent="0.25">
      <c r="F2361" s="281"/>
    </row>
    <row r="2362" spans="6:6" x14ac:dyDescent="0.25">
      <c r="F2362" s="281"/>
    </row>
    <row r="2363" spans="6:6" x14ac:dyDescent="0.25">
      <c r="F2363" s="281"/>
    </row>
    <row r="2364" spans="6:6" x14ac:dyDescent="0.25">
      <c r="F2364" s="281"/>
    </row>
    <row r="2365" spans="6:6" x14ac:dyDescent="0.25">
      <c r="F2365" s="281"/>
    </row>
    <row r="2366" spans="6:6" x14ac:dyDescent="0.25">
      <c r="F2366" s="281"/>
    </row>
    <row r="2367" spans="6:6" x14ac:dyDescent="0.25">
      <c r="F2367" s="281"/>
    </row>
    <row r="2368" spans="6:6" x14ac:dyDescent="0.25">
      <c r="F2368" s="281"/>
    </row>
    <row r="2369" spans="6:6" x14ac:dyDescent="0.25">
      <c r="F2369" s="281"/>
    </row>
    <row r="2370" spans="6:6" x14ac:dyDescent="0.25">
      <c r="F2370" s="281"/>
    </row>
    <row r="2371" spans="6:6" x14ac:dyDescent="0.25">
      <c r="F2371" s="281"/>
    </row>
    <row r="2372" spans="6:6" x14ac:dyDescent="0.25">
      <c r="F2372" s="281"/>
    </row>
    <row r="2373" spans="6:6" x14ac:dyDescent="0.25">
      <c r="F2373" s="281"/>
    </row>
    <row r="2374" spans="6:6" x14ac:dyDescent="0.25">
      <c r="F2374" s="281"/>
    </row>
    <row r="2375" spans="6:6" x14ac:dyDescent="0.25">
      <c r="F2375" s="281"/>
    </row>
    <row r="2376" spans="6:6" x14ac:dyDescent="0.25">
      <c r="F2376" s="281"/>
    </row>
    <row r="2377" spans="6:6" x14ac:dyDescent="0.25">
      <c r="F2377" s="281"/>
    </row>
    <row r="2378" spans="6:6" x14ac:dyDescent="0.25">
      <c r="F2378" s="281"/>
    </row>
    <row r="2379" spans="6:6" x14ac:dyDescent="0.25">
      <c r="F2379" s="281"/>
    </row>
    <row r="2380" spans="6:6" x14ac:dyDescent="0.25">
      <c r="F2380" s="281"/>
    </row>
    <row r="2381" spans="6:6" x14ac:dyDescent="0.25">
      <c r="F2381" s="281"/>
    </row>
    <row r="2382" spans="6:6" x14ac:dyDescent="0.25">
      <c r="F2382" s="281"/>
    </row>
    <row r="2383" spans="6:6" x14ac:dyDescent="0.25">
      <c r="F2383" s="281"/>
    </row>
    <row r="2384" spans="6:6" x14ac:dyDescent="0.25">
      <c r="F2384" s="281"/>
    </row>
    <row r="2385" spans="6:6" x14ac:dyDescent="0.25">
      <c r="F2385" s="281"/>
    </row>
    <row r="2386" spans="6:6" x14ac:dyDescent="0.25">
      <c r="F2386" s="281"/>
    </row>
    <row r="2387" spans="6:6" x14ac:dyDescent="0.25">
      <c r="F2387" s="281"/>
    </row>
    <row r="2388" spans="6:6" x14ac:dyDescent="0.25">
      <c r="F2388" s="281"/>
    </row>
    <row r="2389" spans="6:6" x14ac:dyDescent="0.25">
      <c r="F2389" s="281"/>
    </row>
    <row r="2390" spans="6:6" x14ac:dyDescent="0.25">
      <c r="F2390" s="281"/>
    </row>
    <row r="2391" spans="6:6" x14ac:dyDescent="0.25">
      <c r="F2391" s="281"/>
    </row>
    <row r="2392" spans="6:6" x14ac:dyDescent="0.25">
      <c r="F2392" s="281"/>
    </row>
    <row r="2393" spans="6:6" x14ac:dyDescent="0.25">
      <c r="F2393" s="281"/>
    </row>
    <row r="2394" spans="6:6" x14ac:dyDescent="0.25">
      <c r="F2394" s="281"/>
    </row>
    <row r="2395" spans="6:6" x14ac:dyDescent="0.25">
      <c r="F2395" s="281"/>
    </row>
    <row r="2396" spans="6:6" x14ac:dyDescent="0.25">
      <c r="F2396" s="281"/>
    </row>
    <row r="2397" spans="6:6" x14ac:dyDescent="0.25">
      <c r="F2397" s="281"/>
    </row>
    <row r="2398" spans="6:6" x14ac:dyDescent="0.25">
      <c r="F2398" s="281"/>
    </row>
    <row r="2399" spans="6:6" x14ac:dyDescent="0.25">
      <c r="F2399" s="281"/>
    </row>
    <row r="2400" spans="6:6" x14ac:dyDescent="0.25">
      <c r="F2400" s="281"/>
    </row>
    <row r="2401" spans="6:6" x14ac:dyDescent="0.25">
      <c r="F2401" s="281"/>
    </row>
    <row r="2402" spans="6:6" x14ac:dyDescent="0.25">
      <c r="F2402" s="281"/>
    </row>
    <row r="2403" spans="6:6" x14ac:dyDescent="0.25">
      <c r="F2403" s="281"/>
    </row>
    <row r="2404" spans="6:6" x14ac:dyDescent="0.25">
      <c r="F2404" s="281"/>
    </row>
    <row r="2405" spans="6:6" x14ac:dyDescent="0.25">
      <c r="F2405" s="281"/>
    </row>
    <row r="2406" spans="6:6" x14ac:dyDescent="0.25">
      <c r="F2406" s="281"/>
    </row>
    <row r="2407" spans="6:6" x14ac:dyDescent="0.25">
      <c r="F2407" s="281"/>
    </row>
    <row r="2408" spans="6:6" x14ac:dyDescent="0.25">
      <c r="F2408" s="281"/>
    </row>
    <row r="2409" spans="6:6" x14ac:dyDescent="0.25">
      <c r="F2409" s="281"/>
    </row>
    <row r="2410" spans="6:6" x14ac:dyDescent="0.25">
      <c r="F2410" s="281"/>
    </row>
    <row r="2411" spans="6:6" x14ac:dyDescent="0.25">
      <c r="F2411" s="281"/>
    </row>
    <row r="2412" spans="6:6" x14ac:dyDescent="0.25">
      <c r="F2412" s="281"/>
    </row>
    <row r="2413" spans="6:6" x14ac:dyDescent="0.25">
      <c r="F2413" s="281"/>
    </row>
    <row r="2414" spans="6:6" x14ac:dyDescent="0.25">
      <c r="F2414" s="281"/>
    </row>
    <row r="2415" spans="6:6" x14ac:dyDescent="0.25">
      <c r="F2415" s="281"/>
    </row>
    <row r="2416" spans="6:6" x14ac:dyDescent="0.25">
      <c r="F2416" s="281"/>
    </row>
    <row r="2417" spans="6:6" x14ac:dyDescent="0.25">
      <c r="F2417" s="281"/>
    </row>
    <row r="2418" spans="6:6" x14ac:dyDescent="0.25">
      <c r="F2418" s="281"/>
    </row>
    <row r="2419" spans="6:6" x14ac:dyDescent="0.25">
      <c r="F2419" s="281"/>
    </row>
    <row r="2420" spans="6:6" x14ac:dyDescent="0.25">
      <c r="F2420" s="281"/>
    </row>
    <row r="2421" spans="6:6" x14ac:dyDescent="0.25">
      <c r="F2421" s="281"/>
    </row>
    <row r="2422" spans="6:6" x14ac:dyDescent="0.25">
      <c r="F2422" s="281"/>
    </row>
    <row r="2423" spans="6:6" x14ac:dyDescent="0.25">
      <c r="F2423" s="281"/>
    </row>
    <row r="2424" spans="6:6" x14ac:dyDescent="0.25">
      <c r="F2424" s="281"/>
    </row>
    <row r="2425" spans="6:6" x14ac:dyDescent="0.25">
      <c r="F2425" s="281"/>
    </row>
    <row r="2426" spans="6:6" x14ac:dyDescent="0.25">
      <c r="F2426" s="281"/>
    </row>
    <row r="2427" spans="6:6" x14ac:dyDescent="0.25">
      <c r="F2427" s="281"/>
    </row>
    <row r="2428" spans="6:6" x14ac:dyDescent="0.25">
      <c r="F2428" s="281"/>
    </row>
    <row r="2429" spans="6:6" x14ac:dyDescent="0.25">
      <c r="F2429" s="281"/>
    </row>
    <row r="2430" spans="6:6" x14ac:dyDescent="0.25">
      <c r="F2430" s="281"/>
    </row>
    <row r="2431" spans="6:6" x14ac:dyDescent="0.25">
      <c r="F2431" s="281"/>
    </row>
    <row r="2432" spans="6:6" x14ac:dyDescent="0.25">
      <c r="F2432" s="281"/>
    </row>
    <row r="2433" spans="6:6" x14ac:dyDescent="0.25">
      <c r="F2433" s="281"/>
    </row>
    <row r="2434" spans="6:6" x14ac:dyDescent="0.25">
      <c r="F2434" s="281"/>
    </row>
    <row r="2435" spans="6:6" x14ac:dyDescent="0.25">
      <c r="F2435" s="281"/>
    </row>
    <row r="2436" spans="6:6" x14ac:dyDescent="0.25">
      <c r="F2436" s="281"/>
    </row>
    <row r="2437" spans="6:6" x14ac:dyDescent="0.25">
      <c r="F2437" s="281"/>
    </row>
    <row r="2438" spans="6:6" x14ac:dyDescent="0.25">
      <c r="F2438" s="281"/>
    </row>
    <row r="2439" spans="6:6" x14ac:dyDescent="0.25">
      <c r="F2439" s="281"/>
    </row>
    <row r="2440" spans="6:6" x14ac:dyDescent="0.25">
      <c r="F2440" s="281"/>
    </row>
    <row r="2441" spans="6:6" x14ac:dyDescent="0.25">
      <c r="F2441" s="281"/>
    </row>
    <row r="2442" spans="6:6" x14ac:dyDescent="0.25">
      <c r="F2442" s="281"/>
    </row>
    <row r="2443" spans="6:6" x14ac:dyDescent="0.25">
      <c r="F2443" s="281"/>
    </row>
    <row r="2444" spans="6:6" x14ac:dyDescent="0.25">
      <c r="F2444" s="281"/>
    </row>
    <row r="2445" spans="6:6" x14ac:dyDescent="0.25">
      <c r="F2445" s="281"/>
    </row>
    <row r="2446" spans="6:6" x14ac:dyDescent="0.25">
      <c r="F2446" s="281"/>
    </row>
    <row r="2447" spans="6:6" x14ac:dyDescent="0.25">
      <c r="F2447" s="281"/>
    </row>
    <row r="2448" spans="6:6" x14ac:dyDescent="0.25">
      <c r="F2448" s="281"/>
    </row>
    <row r="2449" spans="6:6" x14ac:dyDescent="0.25">
      <c r="F2449" s="281"/>
    </row>
    <row r="2450" spans="6:6" x14ac:dyDescent="0.25">
      <c r="F2450" s="281"/>
    </row>
    <row r="2451" spans="6:6" x14ac:dyDescent="0.25">
      <c r="F2451" s="281"/>
    </row>
    <row r="2452" spans="6:6" x14ac:dyDescent="0.25">
      <c r="F2452" s="281"/>
    </row>
    <row r="2453" spans="6:6" x14ac:dyDescent="0.25">
      <c r="F2453" s="281"/>
    </row>
    <row r="2454" spans="6:6" x14ac:dyDescent="0.25">
      <c r="F2454" s="281"/>
    </row>
    <row r="2455" spans="6:6" x14ac:dyDescent="0.25">
      <c r="F2455" s="281"/>
    </row>
    <row r="2456" spans="6:6" x14ac:dyDescent="0.25">
      <c r="F2456" s="281"/>
    </row>
    <row r="2457" spans="6:6" x14ac:dyDescent="0.25">
      <c r="F2457" s="281"/>
    </row>
    <row r="2458" spans="6:6" x14ac:dyDescent="0.25">
      <c r="F2458" s="281"/>
    </row>
    <row r="2459" spans="6:6" x14ac:dyDescent="0.25">
      <c r="F2459" s="281"/>
    </row>
    <row r="2460" spans="6:6" x14ac:dyDescent="0.25">
      <c r="F2460" s="281"/>
    </row>
    <row r="2461" spans="6:6" x14ac:dyDescent="0.25">
      <c r="F2461" s="281"/>
    </row>
    <row r="2462" spans="6:6" x14ac:dyDescent="0.25">
      <c r="F2462" s="281"/>
    </row>
    <row r="2463" spans="6:6" x14ac:dyDescent="0.25">
      <c r="F2463" s="281"/>
    </row>
    <row r="2464" spans="6:6" x14ac:dyDescent="0.25">
      <c r="F2464" s="281"/>
    </row>
    <row r="2465" spans="6:6" x14ac:dyDescent="0.25">
      <c r="F2465" s="281"/>
    </row>
    <row r="2466" spans="6:6" x14ac:dyDescent="0.25">
      <c r="F2466" s="281"/>
    </row>
    <row r="2467" spans="6:6" x14ac:dyDescent="0.25">
      <c r="F2467" s="281"/>
    </row>
    <row r="2468" spans="6:6" x14ac:dyDescent="0.25">
      <c r="F2468" s="281"/>
    </row>
    <row r="2469" spans="6:6" x14ac:dyDescent="0.25">
      <c r="F2469" s="281"/>
    </row>
    <row r="2470" spans="6:6" x14ac:dyDescent="0.25">
      <c r="F2470" s="281"/>
    </row>
    <row r="2471" spans="6:6" x14ac:dyDescent="0.25">
      <c r="F2471" s="281"/>
    </row>
    <row r="2472" spans="6:6" x14ac:dyDescent="0.25">
      <c r="F2472" s="281"/>
    </row>
    <row r="2473" spans="6:6" x14ac:dyDescent="0.25">
      <c r="F2473" s="281"/>
    </row>
    <row r="2474" spans="6:6" x14ac:dyDescent="0.25">
      <c r="F2474" s="281"/>
    </row>
    <row r="2475" spans="6:6" x14ac:dyDescent="0.25">
      <c r="F2475" s="281"/>
    </row>
    <row r="2476" spans="6:6" x14ac:dyDescent="0.25">
      <c r="F2476" s="281"/>
    </row>
    <row r="2477" spans="6:6" x14ac:dyDescent="0.25">
      <c r="F2477" s="281"/>
    </row>
    <row r="2478" spans="6:6" x14ac:dyDescent="0.25">
      <c r="F2478" s="281"/>
    </row>
    <row r="2479" spans="6:6" x14ac:dyDescent="0.25">
      <c r="F2479" s="281"/>
    </row>
    <row r="2480" spans="6:6" x14ac:dyDescent="0.25">
      <c r="F2480" s="281"/>
    </row>
    <row r="2481" spans="6:6" x14ac:dyDescent="0.25">
      <c r="F2481" s="281"/>
    </row>
    <row r="2482" spans="6:6" x14ac:dyDescent="0.25">
      <c r="F2482" s="281"/>
    </row>
    <row r="2483" spans="6:6" x14ac:dyDescent="0.25">
      <c r="F2483" s="281"/>
    </row>
    <row r="2484" spans="6:6" x14ac:dyDescent="0.25">
      <c r="F2484" s="281"/>
    </row>
    <row r="2485" spans="6:6" x14ac:dyDescent="0.25">
      <c r="F2485" s="281"/>
    </row>
    <row r="2486" spans="6:6" x14ac:dyDescent="0.25">
      <c r="F2486" s="281"/>
    </row>
    <row r="2487" spans="6:6" x14ac:dyDescent="0.25">
      <c r="F2487" s="281"/>
    </row>
    <row r="2488" spans="6:6" x14ac:dyDescent="0.25">
      <c r="F2488" s="281"/>
    </row>
    <row r="2489" spans="6:6" x14ac:dyDescent="0.25">
      <c r="F2489" s="281"/>
    </row>
    <row r="2490" spans="6:6" x14ac:dyDescent="0.25">
      <c r="F2490" s="281"/>
    </row>
    <row r="2491" spans="6:6" x14ac:dyDescent="0.25">
      <c r="F2491" s="281"/>
    </row>
    <row r="2492" spans="6:6" x14ac:dyDescent="0.25">
      <c r="F2492" s="281"/>
    </row>
    <row r="2493" spans="6:6" x14ac:dyDescent="0.25">
      <c r="F2493" s="281"/>
    </row>
    <row r="2494" spans="6:6" x14ac:dyDescent="0.25">
      <c r="F2494" s="281"/>
    </row>
    <row r="2495" spans="6:6" x14ac:dyDescent="0.25">
      <c r="F2495" s="281"/>
    </row>
    <row r="2496" spans="6:6" x14ac:dyDescent="0.25">
      <c r="F2496" s="281"/>
    </row>
    <row r="2497" spans="6:6" x14ac:dyDescent="0.25">
      <c r="F2497" s="281"/>
    </row>
    <row r="2498" spans="6:6" x14ac:dyDescent="0.25">
      <c r="F2498" s="281"/>
    </row>
    <row r="2499" spans="6:6" x14ac:dyDescent="0.25">
      <c r="F2499" s="281"/>
    </row>
    <row r="2500" spans="6:6" x14ac:dyDescent="0.25">
      <c r="F2500" s="281"/>
    </row>
    <row r="2501" spans="6:6" x14ac:dyDescent="0.25">
      <c r="F2501" s="281"/>
    </row>
    <row r="2502" spans="6:6" x14ac:dyDescent="0.25">
      <c r="F2502" s="281"/>
    </row>
    <row r="2503" spans="6:6" x14ac:dyDescent="0.25">
      <c r="F2503" s="281"/>
    </row>
    <row r="2504" spans="6:6" x14ac:dyDescent="0.25">
      <c r="F2504" s="281"/>
    </row>
    <row r="2505" spans="6:6" x14ac:dyDescent="0.25">
      <c r="F2505" s="281"/>
    </row>
    <row r="2506" spans="6:6" x14ac:dyDescent="0.25">
      <c r="F2506" s="281"/>
    </row>
    <row r="2507" spans="6:6" x14ac:dyDescent="0.25">
      <c r="F2507" s="281"/>
    </row>
    <row r="2508" spans="6:6" x14ac:dyDescent="0.25">
      <c r="F2508" s="281"/>
    </row>
    <row r="2509" spans="6:6" x14ac:dyDescent="0.25">
      <c r="F2509" s="281"/>
    </row>
    <row r="2510" spans="6:6" x14ac:dyDescent="0.25">
      <c r="F2510" s="281"/>
    </row>
    <row r="2511" spans="6:6" x14ac:dyDescent="0.25">
      <c r="F2511" s="281"/>
    </row>
    <row r="2512" spans="6:6" x14ac:dyDescent="0.25">
      <c r="F2512" s="281"/>
    </row>
    <row r="2513" spans="6:6" x14ac:dyDescent="0.25">
      <c r="F2513" s="281"/>
    </row>
    <row r="2514" spans="6:6" x14ac:dyDescent="0.25">
      <c r="F2514" s="281"/>
    </row>
    <row r="2515" spans="6:6" x14ac:dyDescent="0.25">
      <c r="F2515" s="281"/>
    </row>
    <row r="2516" spans="6:6" x14ac:dyDescent="0.25">
      <c r="F2516" s="281"/>
    </row>
    <row r="2517" spans="6:6" x14ac:dyDescent="0.25">
      <c r="F2517" s="281"/>
    </row>
    <row r="2518" spans="6:6" x14ac:dyDescent="0.25">
      <c r="F2518" s="281"/>
    </row>
    <row r="2519" spans="6:6" x14ac:dyDescent="0.25">
      <c r="F2519" s="281"/>
    </row>
    <row r="2520" spans="6:6" x14ac:dyDescent="0.25">
      <c r="F2520" s="281"/>
    </row>
    <row r="2521" spans="6:6" x14ac:dyDescent="0.25">
      <c r="F2521" s="281"/>
    </row>
    <row r="2522" spans="6:6" x14ac:dyDescent="0.25">
      <c r="F2522" s="281"/>
    </row>
    <row r="2523" spans="6:6" x14ac:dyDescent="0.25">
      <c r="F2523" s="281"/>
    </row>
    <row r="2524" spans="6:6" x14ac:dyDescent="0.25">
      <c r="F2524" s="281"/>
    </row>
    <row r="2525" spans="6:6" x14ac:dyDescent="0.25">
      <c r="F2525" s="281"/>
    </row>
    <row r="2526" spans="6:6" x14ac:dyDescent="0.25">
      <c r="F2526" s="281"/>
    </row>
    <row r="2527" spans="6:6" x14ac:dyDescent="0.25">
      <c r="F2527" s="281"/>
    </row>
    <row r="2528" spans="6:6" x14ac:dyDescent="0.25">
      <c r="F2528" s="281"/>
    </row>
    <row r="2529" spans="6:6" x14ac:dyDescent="0.25">
      <c r="F2529" s="281"/>
    </row>
    <row r="2530" spans="6:6" x14ac:dyDescent="0.25">
      <c r="F2530" s="281"/>
    </row>
    <row r="2531" spans="6:6" x14ac:dyDescent="0.25">
      <c r="F2531" s="281"/>
    </row>
    <row r="2532" spans="6:6" x14ac:dyDescent="0.25">
      <c r="F2532" s="281"/>
    </row>
    <row r="2533" spans="6:6" x14ac:dyDescent="0.25">
      <c r="F2533" s="281"/>
    </row>
    <row r="2534" spans="6:6" x14ac:dyDescent="0.25">
      <c r="F2534" s="281"/>
    </row>
    <row r="2535" spans="6:6" x14ac:dyDescent="0.25">
      <c r="F2535" s="281"/>
    </row>
    <row r="2536" spans="6:6" x14ac:dyDescent="0.25">
      <c r="F2536" s="281"/>
    </row>
    <row r="2537" spans="6:6" x14ac:dyDescent="0.25">
      <c r="F2537" s="281"/>
    </row>
    <row r="2538" spans="6:6" x14ac:dyDescent="0.25">
      <c r="F2538" s="281"/>
    </row>
    <row r="2539" spans="6:6" x14ac:dyDescent="0.25">
      <c r="F2539" s="281"/>
    </row>
    <row r="2540" spans="6:6" x14ac:dyDescent="0.25">
      <c r="F2540" s="281"/>
    </row>
    <row r="2541" spans="6:6" x14ac:dyDescent="0.25">
      <c r="F2541" s="281"/>
    </row>
    <row r="2542" spans="6:6" x14ac:dyDescent="0.25">
      <c r="F2542" s="281"/>
    </row>
    <row r="2543" spans="6:6" x14ac:dyDescent="0.25">
      <c r="F2543" s="281"/>
    </row>
    <row r="2544" spans="6:6" x14ac:dyDescent="0.25">
      <c r="F2544" s="281"/>
    </row>
    <row r="2545" spans="6:6" x14ac:dyDescent="0.25">
      <c r="F2545" s="281"/>
    </row>
    <row r="2546" spans="6:6" x14ac:dyDescent="0.25">
      <c r="F2546" s="281"/>
    </row>
    <row r="2547" spans="6:6" x14ac:dyDescent="0.25">
      <c r="F2547" s="281"/>
    </row>
    <row r="2548" spans="6:6" x14ac:dyDescent="0.25">
      <c r="F2548" s="281"/>
    </row>
    <row r="2549" spans="6:6" x14ac:dyDescent="0.25">
      <c r="F2549" s="281"/>
    </row>
    <row r="2550" spans="6:6" x14ac:dyDescent="0.25">
      <c r="F2550" s="281"/>
    </row>
    <row r="2551" spans="6:6" x14ac:dyDescent="0.25">
      <c r="F2551" s="281"/>
    </row>
    <row r="2552" spans="6:6" x14ac:dyDescent="0.25">
      <c r="F2552" s="281"/>
    </row>
    <row r="2553" spans="6:6" x14ac:dyDescent="0.25">
      <c r="F2553" s="281"/>
    </row>
    <row r="2554" spans="6:6" x14ac:dyDescent="0.25">
      <c r="F2554" s="281"/>
    </row>
    <row r="2555" spans="6:6" x14ac:dyDescent="0.25">
      <c r="F2555" s="281"/>
    </row>
    <row r="2556" spans="6:6" x14ac:dyDescent="0.25">
      <c r="F2556" s="281"/>
    </row>
    <row r="2557" spans="6:6" x14ac:dyDescent="0.25">
      <c r="F2557" s="281"/>
    </row>
    <row r="2558" spans="6:6" x14ac:dyDescent="0.25">
      <c r="F2558" s="281"/>
    </row>
    <row r="2559" spans="6:6" x14ac:dyDescent="0.25">
      <c r="F2559" s="281"/>
    </row>
    <row r="2560" spans="6:6" x14ac:dyDescent="0.25">
      <c r="F2560" s="281"/>
    </row>
    <row r="2561" spans="6:6" x14ac:dyDescent="0.25">
      <c r="F2561" s="281"/>
    </row>
    <row r="2562" spans="6:6" x14ac:dyDescent="0.25">
      <c r="F2562" s="281"/>
    </row>
    <row r="2563" spans="6:6" x14ac:dyDescent="0.25">
      <c r="F2563" s="281"/>
    </row>
    <row r="2564" spans="6:6" x14ac:dyDescent="0.25">
      <c r="F2564" s="281"/>
    </row>
    <row r="2565" spans="6:6" x14ac:dyDescent="0.25">
      <c r="F2565" s="281"/>
    </row>
    <row r="2566" spans="6:6" x14ac:dyDescent="0.25">
      <c r="F2566" s="281"/>
    </row>
    <row r="2567" spans="6:6" x14ac:dyDescent="0.25">
      <c r="F2567" s="281"/>
    </row>
    <row r="2568" spans="6:6" x14ac:dyDescent="0.25">
      <c r="F2568" s="281"/>
    </row>
    <row r="2569" spans="6:6" x14ac:dyDescent="0.25">
      <c r="F2569" s="281"/>
    </row>
    <row r="2570" spans="6:6" x14ac:dyDescent="0.25">
      <c r="F2570" s="281"/>
    </row>
    <row r="2571" spans="6:6" x14ac:dyDescent="0.25">
      <c r="F2571" s="281"/>
    </row>
    <row r="2572" spans="6:6" x14ac:dyDescent="0.25">
      <c r="F2572" s="281"/>
    </row>
    <row r="2573" spans="6:6" x14ac:dyDescent="0.25">
      <c r="F2573" s="281"/>
    </row>
    <row r="2574" spans="6:6" x14ac:dyDescent="0.25">
      <c r="F2574" s="281"/>
    </row>
    <row r="2575" spans="6:6" x14ac:dyDescent="0.25">
      <c r="F2575" s="281"/>
    </row>
    <row r="2576" spans="6:6" x14ac:dyDescent="0.25">
      <c r="F2576" s="281"/>
    </row>
    <row r="2577" spans="6:6" x14ac:dyDescent="0.25">
      <c r="F2577" s="281"/>
    </row>
    <row r="2578" spans="6:6" x14ac:dyDescent="0.25">
      <c r="F2578" s="281"/>
    </row>
    <row r="2579" spans="6:6" x14ac:dyDescent="0.25">
      <c r="F2579" s="281"/>
    </row>
    <row r="2580" spans="6:6" x14ac:dyDescent="0.25">
      <c r="F2580" s="281"/>
    </row>
    <row r="2581" spans="6:6" x14ac:dyDescent="0.25">
      <c r="F2581" s="281"/>
    </row>
    <row r="2582" spans="6:6" x14ac:dyDescent="0.25">
      <c r="F2582" s="281"/>
    </row>
    <row r="2583" spans="6:6" x14ac:dyDescent="0.25">
      <c r="F2583" s="281"/>
    </row>
    <row r="2584" spans="6:6" x14ac:dyDescent="0.25">
      <c r="F2584" s="281"/>
    </row>
    <row r="2585" spans="6:6" x14ac:dyDescent="0.25">
      <c r="F2585" s="281"/>
    </row>
    <row r="2586" spans="6:6" x14ac:dyDescent="0.25">
      <c r="F2586" s="281"/>
    </row>
    <row r="2587" spans="6:6" x14ac:dyDescent="0.25">
      <c r="F2587" s="281"/>
    </row>
    <row r="2588" spans="6:6" x14ac:dyDescent="0.25">
      <c r="F2588" s="281"/>
    </row>
    <row r="2589" spans="6:6" x14ac:dyDescent="0.25">
      <c r="F2589" s="281"/>
    </row>
    <row r="2590" spans="6:6" x14ac:dyDescent="0.25">
      <c r="F2590" s="281"/>
    </row>
    <row r="2591" spans="6:6" x14ac:dyDescent="0.25">
      <c r="F2591" s="281"/>
    </row>
    <row r="2592" spans="6:6" x14ac:dyDescent="0.25">
      <c r="F2592" s="281"/>
    </row>
    <row r="2593" spans="6:6" x14ac:dyDescent="0.25">
      <c r="F2593" s="281"/>
    </row>
    <row r="2594" spans="6:6" x14ac:dyDescent="0.25">
      <c r="F2594" s="281"/>
    </row>
    <row r="2595" spans="6:6" x14ac:dyDescent="0.25">
      <c r="F2595" s="281"/>
    </row>
    <row r="2596" spans="6:6" x14ac:dyDescent="0.25">
      <c r="F2596" s="281"/>
    </row>
    <row r="2597" spans="6:6" x14ac:dyDescent="0.25">
      <c r="F2597" s="281"/>
    </row>
    <row r="2598" spans="6:6" x14ac:dyDescent="0.25">
      <c r="F2598" s="281"/>
    </row>
    <row r="2599" spans="6:6" x14ac:dyDescent="0.25">
      <c r="F2599" s="281"/>
    </row>
    <row r="2600" spans="6:6" x14ac:dyDescent="0.25">
      <c r="F2600" s="281"/>
    </row>
    <row r="2601" spans="6:6" x14ac:dyDescent="0.25">
      <c r="F2601" s="281"/>
    </row>
    <row r="2602" spans="6:6" x14ac:dyDescent="0.25">
      <c r="F2602" s="281"/>
    </row>
    <row r="2603" spans="6:6" x14ac:dyDescent="0.25">
      <c r="F2603" s="281"/>
    </row>
    <row r="2604" spans="6:6" x14ac:dyDescent="0.25">
      <c r="F2604" s="281"/>
    </row>
    <row r="2605" spans="6:6" x14ac:dyDescent="0.25">
      <c r="F2605" s="281"/>
    </row>
    <row r="2606" spans="6:6" x14ac:dyDescent="0.25">
      <c r="F2606" s="281"/>
    </row>
    <row r="2607" spans="6:6" x14ac:dyDescent="0.25">
      <c r="F2607" s="281"/>
    </row>
    <row r="2608" spans="6:6" x14ac:dyDescent="0.25">
      <c r="F2608" s="281"/>
    </row>
    <row r="2609" spans="6:6" x14ac:dyDescent="0.25">
      <c r="F2609" s="281"/>
    </row>
    <row r="2610" spans="6:6" x14ac:dyDescent="0.25">
      <c r="F2610" s="281"/>
    </row>
    <row r="2611" spans="6:6" x14ac:dyDescent="0.25">
      <c r="F2611" s="281"/>
    </row>
    <row r="2612" spans="6:6" x14ac:dyDescent="0.25">
      <c r="F2612" s="281"/>
    </row>
    <row r="2613" spans="6:6" x14ac:dyDescent="0.25">
      <c r="F2613" s="281"/>
    </row>
    <row r="2614" spans="6:6" x14ac:dyDescent="0.25">
      <c r="F2614" s="281"/>
    </row>
    <row r="2615" spans="6:6" x14ac:dyDescent="0.25">
      <c r="F2615" s="281"/>
    </row>
    <row r="2616" spans="6:6" x14ac:dyDescent="0.25">
      <c r="F2616" s="281"/>
    </row>
    <row r="2617" spans="6:6" x14ac:dyDescent="0.25">
      <c r="F2617" s="281"/>
    </row>
    <row r="2618" spans="6:6" x14ac:dyDescent="0.25">
      <c r="F2618" s="281"/>
    </row>
    <row r="2619" spans="6:6" x14ac:dyDescent="0.25">
      <c r="F2619" s="281"/>
    </row>
    <row r="2620" spans="6:6" x14ac:dyDescent="0.25">
      <c r="F2620" s="281"/>
    </row>
    <row r="2621" spans="6:6" x14ac:dyDescent="0.25">
      <c r="F2621" s="281"/>
    </row>
    <row r="2622" spans="6:6" x14ac:dyDescent="0.25">
      <c r="F2622" s="281"/>
    </row>
    <row r="2623" spans="6:6" x14ac:dyDescent="0.25">
      <c r="F2623" s="281"/>
    </row>
    <row r="2624" spans="6:6" x14ac:dyDescent="0.25">
      <c r="F2624" s="281"/>
    </row>
    <row r="2625" spans="6:6" x14ac:dyDescent="0.25">
      <c r="F2625" s="281"/>
    </row>
    <row r="2626" spans="6:6" x14ac:dyDescent="0.25">
      <c r="F2626" s="281"/>
    </row>
    <row r="2627" spans="6:6" x14ac:dyDescent="0.25">
      <c r="F2627" s="281"/>
    </row>
    <row r="2628" spans="6:6" x14ac:dyDescent="0.25">
      <c r="F2628" s="281"/>
    </row>
    <row r="2629" spans="6:6" x14ac:dyDescent="0.25">
      <c r="F2629" s="281"/>
    </row>
    <row r="2630" spans="6:6" x14ac:dyDescent="0.25">
      <c r="F2630" s="281"/>
    </row>
    <row r="2631" spans="6:6" x14ac:dyDescent="0.25">
      <c r="F2631" s="281"/>
    </row>
    <row r="2632" spans="6:6" x14ac:dyDescent="0.25">
      <c r="F2632" s="281"/>
    </row>
    <row r="2633" spans="6:6" x14ac:dyDescent="0.25">
      <c r="F2633" s="281"/>
    </row>
    <row r="2634" spans="6:6" x14ac:dyDescent="0.25">
      <c r="F2634" s="281"/>
    </row>
    <row r="2635" spans="6:6" x14ac:dyDescent="0.25">
      <c r="F2635" s="281"/>
    </row>
    <row r="2636" spans="6:6" x14ac:dyDescent="0.25">
      <c r="F2636" s="281"/>
    </row>
    <row r="2637" spans="6:6" x14ac:dyDescent="0.25">
      <c r="F2637" s="281"/>
    </row>
    <row r="2638" spans="6:6" x14ac:dyDescent="0.25">
      <c r="F2638" s="281"/>
    </row>
    <row r="2639" spans="6:6" x14ac:dyDescent="0.25">
      <c r="F2639" s="281"/>
    </row>
    <row r="2640" spans="6:6" x14ac:dyDescent="0.25">
      <c r="F2640" s="281"/>
    </row>
    <row r="2641" spans="6:6" x14ac:dyDescent="0.25">
      <c r="F2641" s="281"/>
    </row>
    <row r="2642" spans="6:6" x14ac:dyDescent="0.25">
      <c r="F2642" s="281"/>
    </row>
    <row r="2643" spans="6:6" x14ac:dyDescent="0.25">
      <c r="F2643" s="281"/>
    </row>
    <row r="2644" spans="6:6" x14ac:dyDescent="0.25">
      <c r="F2644" s="281"/>
    </row>
    <row r="2645" spans="6:6" x14ac:dyDescent="0.25">
      <c r="F2645" s="281"/>
    </row>
    <row r="2646" spans="6:6" x14ac:dyDescent="0.25">
      <c r="F2646" s="281"/>
    </row>
    <row r="2647" spans="6:6" x14ac:dyDescent="0.25">
      <c r="F2647" s="281"/>
    </row>
    <row r="2648" spans="6:6" x14ac:dyDescent="0.25">
      <c r="F2648" s="281"/>
    </row>
    <row r="2649" spans="6:6" x14ac:dyDescent="0.25">
      <c r="F2649" s="281"/>
    </row>
    <row r="2650" spans="6:6" x14ac:dyDescent="0.25">
      <c r="F2650" s="281"/>
    </row>
    <row r="2651" spans="6:6" x14ac:dyDescent="0.25">
      <c r="F2651" s="281"/>
    </row>
    <row r="2652" spans="6:6" x14ac:dyDescent="0.25">
      <c r="F2652" s="281"/>
    </row>
    <row r="2653" spans="6:6" x14ac:dyDescent="0.25">
      <c r="F2653" s="281"/>
    </row>
    <row r="2654" spans="6:6" x14ac:dyDescent="0.25">
      <c r="F2654" s="281"/>
    </row>
    <row r="2655" spans="6:6" x14ac:dyDescent="0.25">
      <c r="F2655" s="281"/>
    </row>
    <row r="2656" spans="6:6" x14ac:dyDescent="0.25">
      <c r="F2656" s="281"/>
    </row>
    <row r="2657" spans="6:6" x14ac:dyDescent="0.25">
      <c r="F2657" s="281"/>
    </row>
    <row r="2658" spans="6:6" x14ac:dyDescent="0.25">
      <c r="F2658" s="281"/>
    </row>
    <row r="2659" spans="6:6" x14ac:dyDescent="0.25">
      <c r="F2659" s="281"/>
    </row>
    <row r="2660" spans="6:6" x14ac:dyDescent="0.25">
      <c r="F2660" s="281"/>
    </row>
    <row r="2661" spans="6:6" x14ac:dyDescent="0.25">
      <c r="F2661" s="281"/>
    </row>
    <row r="2662" spans="6:6" x14ac:dyDescent="0.25">
      <c r="F2662" s="281"/>
    </row>
    <row r="2663" spans="6:6" x14ac:dyDescent="0.25">
      <c r="F2663" s="281"/>
    </row>
    <row r="2664" spans="6:6" x14ac:dyDescent="0.25">
      <c r="F2664" s="281"/>
    </row>
    <row r="2665" spans="6:6" x14ac:dyDescent="0.25">
      <c r="F2665" s="281"/>
    </row>
    <row r="2666" spans="6:6" x14ac:dyDescent="0.25">
      <c r="F2666" s="281"/>
    </row>
    <row r="2667" spans="6:6" x14ac:dyDescent="0.25">
      <c r="F2667" s="281"/>
    </row>
    <row r="2668" spans="6:6" x14ac:dyDescent="0.25">
      <c r="F2668" s="281"/>
    </row>
    <row r="2669" spans="6:6" x14ac:dyDescent="0.25">
      <c r="F2669" s="281"/>
    </row>
    <row r="2670" spans="6:6" x14ac:dyDescent="0.25">
      <c r="F2670" s="281"/>
    </row>
    <row r="2671" spans="6:6" x14ac:dyDescent="0.25">
      <c r="F2671" s="281"/>
    </row>
    <row r="2672" spans="6:6" x14ac:dyDescent="0.25">
      <c r="F2672" s="281"/>
    </row>
    <row r="2673" spans="6:6" x14ac:dyDescent="0.25">
      <c r="F2673" s="281"/>
    </row>
    <row r="2674" spans="6:6" x14ac:dyDescent="0.25">
      <c r="F2674" s="281"/>
    </row>
    <row r="2675" spans="6:6" x14ac:dyDescent="0.25">
      <c r="F2675" s="281"/>
    </row>
    <row r="2676" spans="6:6" x14ac:dyDescent="0.25">
      <c r="F2676" s="281"/>
    </row>
    <row r="2677" spans="6:6" x14ac:dyDescent="0.25">
      <c r="F2677" s="281"/>
    </row>
    <row r="2678" spans="6:6" x14ac:dyDescent="0.25">
      <c r="F2678" s="281"/>
    </row>
    <row r="2679" spans="6:6" x14ac:dyDescent="0.25">
      <c r="F2679" s="281"/>
    </row>
    <row r="2680" spans="6:6" x14ac:dyDescent="0.25">
      <c r="F2680" s="281"/>
    </row>
    <row r="2681" spans="6:6" x14ac:dyDescent="0.25">
      <c r="F2681" s="281"/>
    </row>
    <row r="2682" spans="6:6" x14ac:dyDescent="0.25">
      <c r="F2682" s="281"/>
    </row>
    <row r="2683" spans="6:6" x14ac:dyDescent="0.25">
      <c r="F2683" s="281"/>
    </row>
    <row r="2684" spans="6:6" x14ac:dyDescent="0.25">
      <c r="F2684" s="281"/>
    </row>
    <row r="2685" spans="6:6" x14ac:dyDescent="0.25">
      <c r="F2685" s="281"/>
    </row>
    <row r="2686" spans="6:6" x14ac:dyDescent="0.25">
      <c r="F2686" s="281"/>
    </row>
    <row r="2687" spans="6:6" x14ac:dyDescent="0.25">
      <c r="F2687" s="281"/>
    </row>
    <row r="2688" spans="6:6" x14ac:dyDescent="0.25">
      <c r="F2688" s="281"/>
    </row>
    <row r="2689" spans="6:6" x14ac:dyDescent="0.25">
      <c r="F2689" s="281"/>
    </row>
    <row r="2690" spans="6:6" x14ac:dyDescent="0.25">
      <c r="F2690" s="281"/>
    </row>
    <row r="2691" spans="6:6" x14ac:dyDescent="0.25">
      <c r="F2691" s="281"/>
    </row>
    <row r="2692" spans="6:6" x14ac:dyDescent="0.25">
      <c r="F2692" s="281"/>
    </row>
    <row r="2693" spans="6:6" x14ac:dyDescent="0.25">
      <c r="F2693" s="281"/>
    </row>
    <row r="2694" spans="6:6" x14ac:dyDescent="0.25">
      <c r="F2694" s="281"/>
    </row>
    <row r="2695" spans="6:6" x14ac:dyDescent="0.25">
      <c r="F2695" s="281"/>
    </row>
    <row r="2696" spans="6:6" x14ac:dyDescent="0.25">
      <c r="F2696" s="281"/>
    </row>
    <row r="2697" spans="6:6" x14ac:dyDescent="0.25">
      <c r="F2697" s="281"/>
    </row>
    <row r="2698" spans="6:6" x14ac:dyDescent="0.25">
      <c r="F2698" s="281"/>
    </row>
    <row r="2699" spans="6:6" x14ac:dyDescent="0.25">
      <c r="F2699" s="281"/>
    </row>
    <row r="2700" spans="6:6" x14ac:dyDescent="0.25">
      <c r="F2700" s="281"/>
    </row>
    <row r="2701" spans="6:6" x14ac:dyDescent="0.25">
      <c r="F2701" s="281"/>
    </row>
    <row r="2702" spans="6:6" x14ac:dyDescent="0.25">
      <c r="F2702" s="281"/>
    </row>
    <row r="2703" spans="6:6" x14ac:dyDescent="0.25">
      <c r="F2703" s="281"/>
    </row>
    <row r="2704" spans="6:6" x14ac:dyDescent="0.25">
      <c r="F2704" s="281"/>
    </row>
    <row r="2705" spans="6:6" x14ac:dyDescent="0.25">
      <c r="F2705" s="281"/>
    </row>
    <row r="2706" spans="6:6" x14ac:dyDescent="0.25">
      <c r="F2706" s="281"/>
    </row>
    <row r="2707" spans="6:6" x14ac:dyDescent="0.25">
      <c r="F2707" s="281"/>
    </row>
    <row r="2708" spans="6:6" x14ac:dyDescent="0.25">
      <c r="F2708" s="281"/>
    </row>
    <row r="2709" spans="6:6" x14ac:dyDescent="0.25">
      <c r="F2709" s="281"/>
    </row>
    <row r="2710" spans="6:6" x14ac:dyDescent="0.25">
      <c r="F2710" s="281"/>
    </row>
    <row r="2711" spans="6:6" x14ac:dyDescent="0.25">
      <c r="F2711" s="281"/>
    </row>
    <row r="2712" spans="6:6" x14ac:dyDescent="0.25">
      <c r="F2712" s="281"/>
    </row>
    <row r="2713" spans="6:6" x14ac:dyDescent="0.25">
      <c r="F2713" s="281"/>
    </row>
    <row r="2714" spans="6:6" x14ac:dyDescent="0.25">
      <c r="F2714" s="281"/>
    </row>
    <row r="2715" spans="6:6" x14ac:dyDescent="0.25">
      <c r="F2715" s="281"/>
    </row>
    <row r="2716" spans="6:6" x14ac:dyDescent="0.25">
      <c r="F2716" s="281"/>
    </row>
    <row r="2717" spans="6:6" x14ac:dyDescent="0.25">
      <c r="F2717" s="281"/>
    </row>
    <row r="2718" spans="6:6" x14ac:dyDescent="0.25">
      <c r="F2718" s="281"/>
    </row>
    <row r="2719" spans="6:6" x14ac:dyDescent="0.25">
      <c r="F2719" s="281"/>
    </row>
    <row r="2720" spans="6:6" x14ac:dyDescent="0.25">
      <c r="F2720" s="281"/>
    </row>
    <row r="2721" spans="6:6" x14ac:dyDescent="0.25">
      <c r="F2721" s="281"/>
    </row>
    <row r="2722" spans="6:6" x14ac:dyDescent="0.25">
      <c r="F2722" s="281"/>
    </row>
    <row r="2723" spans="6:6" x14ac:dyDescent="0.25">
      <c r="F2723" s="281"/>
    </row>
    <row r="2724" spans="6:6" x14ac:dyDescent="0.25">
      <c r="F2724" s="281"/>
    </row>
    <row r="2725" spans="6:6" x14ac:dyDescent="0.25">
      <c r="F2725" s="281"/>
    </row>
    <row r="2726" spans="6:6" x14ac:dyDescent="0.25">
      <c r="F2726" s="281"/>
    </row>
    <row r="2727" spans="6:6" x14ac:dyDescent="0.25">
      <c r="F2727" s="281"/>
    </row>
    <row r="2728" spans="6:6" x14ac:dyDescent="0.25">
      <c r="F2728" s="281"/>
    </row>
    <row r="2729" spans="6:6" x14ac:dyDescent="0.25">
      <c r="F2729" s="281"/>
    </row>
    <row r="2730" spans="6:6" x14ac:dyDescent="0.25">
      <c r="F2730" s="281"/>
    </row>
    <row r="2731" spans="6:6" x14ac:dyDescent="0.25">
      <c r="F2731" s="281"/>
    </row>
    <row r="2732" spans="6:6" x14ac:dyDescent="0.25">
      <c r="F2732" s="281"/>
    </row>
    <row r="2733" spans="6:6" x14ac:dyDescent="0.25">
      <c r="F2733" s="281"/>
    </row>
    <row r="2734" spans="6:6" x14ac:dyDescent="0.25">
      <c r="F2734" s="281"/>
    </row>
    <row r="2735" spans="6:6" x14ac:dyDescent="0.25">
      <c r="F2735" s="281"/>
    </row>
    <row r="2736" spans="6:6" x14ac:dyDescent="0.25">
      <c r="F2736" s="281"/>
    </row>
    <row r="2737" spans="6:6" x14ac:dyDescent="0.25">
      <c r="F2737" s="281"/>
    </row>
    <row r="2738" spans="6:6" x14ac:dyDescent="0.25">
      <c r="F2738" s="281"/>
    </row>
    <row r="2739" spans="6:6" x14ac:dyDescent="0.25">
      <c r="F2739" s="281"/>
    </row>
    <row r="2740" spans="6:6" x14ac:dyDescent="0.25">
      <c r="F2740" s="281"/>
    </row>
    <row r="2741" spans="6:6" x14ac:dyDescent="0.25">
      <c r="F2741" s="281"/>
    </row>
    <row r="2742" spans="6:6" x14ac:dyDescent="0.25">
      <c r="F2742" s="281"/>
    </row>
    <row r="2743" spans="6:6" x14ac:dyDescent="0.25">
      <c r="F2743" s="281"/>
    </row>
    <row r="2744" spans="6:6" x14ac:dyDescent="0.25">
      <c r="F2744" s="281"/>
    </row>
    <row r="2745" spans="6:6" x14ac:dyDescent="0.25">
      <c r="F2745" s="281"/>
    </row>
    <row r="2746" spans="6:6" x14ac:dyDescent="0.25">
      <c r="F2746" s="281"/>
    </row>
    <row r="2747" spans="6:6" x14ac:dyDescent="0.25">
      <c r="F2747" s="281"/>
    </row>
    <row r="2748" spans="6:6" x14ac:dyDescent="0.25">
      <c r="F2748" s="281"/>
    </row>
    <row r="2749" spans="6:6" x14ac:dyDescent="0.25">
      <c r="F2749" s="281"/>
    </row>
    <row r="2750" spans="6:6" x14ac:dyDescent="0.25">
      <c r="F2750" s="281"/>
    </row>
    <row r="2751" spans="6:6" x14ac:dyDescent="0.25">
      <c r="F2751" s="281"/>
    </row>
    <row r="2752" spans="6:6" x14ac:dyDescent="0.25">
      <c r="F2752" s="281"/>
    </row>
    <row r="2753" spans="6:6" x14ac:dyDescent="0.25">
      <c r="F2753" s="281"/>
    </row>
    <row r="2754" spans="6:6" x14ac:dyDescent="0.25">
      <c r="F2754" s="281"/>
    </row>
    <row r="2755" spans="6:6" x14ac:dyDescent="0.25">
      <c r="F2755" s="281"/>
    </row>
    <row r="2756" spans="6:6" x14ac:dyDescent="0.25">
      <c r="F2756" s="281"/>
    </row>
    <row r="2757" spans="6:6" x14ac:dyDescent="0.25">
      <c r="F2757" s="281"/>
    </row>
    <row r="2758" spans="6:6" x14ac:dyDescent="0.25">
      <c r="F2758" s="281"/>
    </row>
    <row r="2759" spans="6:6" x14ac:dyDescent="0.25">
      <c r="F2759" s="281"/>
    </row>
    <row r="2760" spans="6:6" x14ac:dyDescent="0.25">
      <c r="F2760" s="281"/>
    </row>
    <row r="2761" spans="6:6" x14ac:dyDescent="0.25">
      <c r="F2761" s="281"/>
    </row>
    <row r="2762" spans="6:6" x14ac:dyDescent="0.25">
      <c r="F2762" s="281"/>
    </row>
    <row r="2763" spans="6:6" x14ac:dyDescent="0.25">
      <c r="F2763" s="281"/>
    </row>
    <row r="2764" spans="6:6" x14ac:dyDescent="0.25">
      <c r="F2764" s="281"/>
    </row>
    <row r="2765" spans="6:6" x14ac:dyDescent="0.25">
      <c r="F2765" s="281"/>
    </row>
    <row r="2766" spans="6:6" x14ac:dyDescent="0.25">
      <c r="F2766" s="281"/>
    </row>
    <row r="2767" spans="6:6" x14ac:dyDescent="0.25">
      <c r="F2767" s="281"/>
    </row>
    <row r="2768" spans="6:6" x14ac:dyDescent="0.25">
      <c r="F2768" s="281"/>
    </row>
    <row r="2769" spans="6:6" x14ac:dyDescent="0.25">
      <c r="F2769" s="281"/>
    </row>
    <row r="2770" spans="6:6" x14ac:dyDescent="0.25">
      <c r="F2770" s="281"/>
    </row>
    <row r="2771" spans="6:6" x14ac:dyDescent="0.25">
      <c r="F2771" s="281"/>
    </row>
    <row r="2772" spans="6:6" x14ac:dyDescent="0.25">
      <c r="F2772" s="281"/>
    </row>
    <row r="2773" spans="6:6" x14ac:dyDescent="0.25">
      <c r="F2773" s="281"/>
    </row>
    <row r="2774" spans="6:6" x14ac:dyDescent="0.25">
      <c r="F2774" s="281"/>
    </row>
    <row r="2775" spans="6:6" x14ac:dyDescent="0.25">
      <c r="F2775" s="281"/>
    </row>
    <row r="2776" spans="6:6" x14ac:dyDescent="0.25">
      <c r="F2776" s="281"/>
    </row>
    <row r="2777" spans="6:6" x14ac:dyDescent="0.25">
      <c r="F2777" s="281"/>
    </row>
    <row r="2778" spans="6:6" x14ac:dyDescent="0.25">
      <c r="F2778" s="281"/>
    </row>
    <row r="2779" spans="6:6" x14ac:dyDescent="0.25">
      <c r="F2779" s="281"/>
    </row>
    <row r="2780" spans="6:6" x14ac:dyDescent="0.25">
      <c r="F2780" s="281"/>
    </row>
    <row r="2781" spans="6:6" x14ac:dyDescent="0.25">
      <c r="F2781" s="281"/>
    </row>
    <row r="2782" spans="6:6" x14ac:dyDescent="0.25">
      <c r="F2782" s="281"/>
    </row>
    <row r="2783" spans="6:6" x14ac:dyDescent="0.25">
      <c r="F2783" s="281"/>
    </row>
    <row r="2784" spans="6:6" x14ac:dyDescent="0.25">
      <c r="F2784" s="281"/>
    </row>
    <row r="2785" spans="6:6" x14ac:dyDescent="0.25">
      <c r="F2785" s="281"/>
    </row>
    <row r="2786" spans="6:6" x14ac:dyDescent="0.25">
      <c r="F2786" s="281"/>
    </row>
    <row r="2787" spans="6:6" x14ac:dyDescent="0.25">
      <c r="F2787" s="281"/>
    </row>
    <row r="2788" spans="6:6" x14ac:dyDescent="0.25">
      <c r="F2788" s="281"/>
    </row>
    <row r="2789" spans="6:6" x14ac:dyDescent="0.25">
      <c r="F2789" s="281"/>
    </row>
    <row r="2790" spans="6:6" x14ac:dyDescent="0.25">
      <c r="F2790" s="281"/>
    </row>
    <row r="2791" spans="6:6" x14ac:dyDescent="0.25">
      <c r="F2791" s="281"/>
    </row>
    <row r="2792" spans="6:6" x14ac:dyDescent="0.25">
      <c r="F2792" s="281"/>
    </row>
    <row r="2793" spans="6:6" x14ac:dyDescent="0.25">
      <c r="F2793" s="281"/>
    </row>
    <row r="2794" spans="6:6" x14ac:dyDescent="0.25">
      <c r="F2794" s="281"/>
    </row>
    <row r="2795" spans="6:6" x14ac:dyDescent="0.25">
      <c r="F2795" s="281"/>
    </row>
    <row r="2796" spans="6:6" x14ac:dyDescent="0.25">
      <c r="F2796" s="281"/>
    </row>
    <row r="2797" spans="6:6" x14ac:dyDescent="0.25">
      <c r="F2797" s="281"/>
    </row>
    <row r="2798" spans="6:6" x14ac:dyDescent="0.25">
      <c r="F2798" s="281"/>
    </row>
    <row r="2799" spans="6:6" x14ac:dyDescent="0.25">
      <c r="F2799" s="281"/>
    </row>
    <row r="2800" spans="6:6" x14ac:dyDescent="0.25">
      <c r="F2800" s="281"/>
    </row>
    <row r="2801" spans="6:6" x14ac:dyDescent="0.25">
      <c r="F2801" s="281"/>
    </row>
    <row r="2802" spans="6:6" x14ac:dyDescent="0.25">
      <c r="F2802" s="281"/>
    </row>
    <row r="2803" spans="6:6" x14ac:dyDescent="0.25">
      <c r="F2803" s="281"/>
    </row>
    <row r="2804" spans="6:6" x14ac:dyDescent="0.25">
      <c r="F2804" s="281"/>
    </row>
    <row r="2805" spans="6:6" x14ac:dyDescent="0.25">
      <c r="F2805" s="281"/>
    </row>
    <row r="2806" spans="6:6" x14ac:dyDescent="0.25">
      <c r="F2806" s="281"/>
    </row>
    <row r="2807" spans="6:6" x14ac:dyDescent="0.25">
      <c r="F2807" s="281"/>
    </row>
    <row r="2808" spans="6:6" x14ac:dyDescent="0.25">
      <c r="F2808" s="281"/>
    </row>
    <row r="2809" spans="6:6" x14ac:dyDescent="0.25">
      <c r="F2809" s="281"/>
    </row>
    <row r="2810" spans="6:6" x14ac:dyDescent="0.25">
      <c r="F2810" s="281"/>
    </row>
    <row r="2811" spans="6:6" x14ac:dyDescent="0.25">
      <c r="F2811" s="281"/>
    </row>
    <row r="2812" spans="6:6" x14ac:dyDescent="0.25">
      <c r="F2812" s="281"/>
    </row>
    <row r="2813" spans="6:6" x14ac:dyDescent="0.25">
      <c r="F2813" s="281"/>
    </row>
    <row r="2814" spans="6:6" x14ac:dyDescent="0.25">
      <c r="F2814" s="281"/>
    </row>
    <row r="2815" spans="6:6" x14ac:dyDescent="0.25">
      <c r="F2815" s="281"/>
    </row>
    <row r="2816" spans="6:6" x14ac:dyDescent="0.25">
      <c r="F2816" s="281"/>
    </row>
    <row r="2817" spans="6:6" x14ac:dyDescent="0.25">
      <c r="F2817" s="281"/>
    </row>
    <row r="2818" spans="6:6" x14ac:dyDescent="0.25">
      <c r="F2818" s="281"/>
    </row>
    <row r="2819" spans="6:6" x14ac:dyDescent="0.25">
      <c r="F2819" s="281"/>
    </row>
    <row r="2820" spans="6:6" x14ac:dyDescent="0.25">
      <c r="F2820" s="281"/>
    </row>
    <row r="2821" spans="6:6" x14ac:dyDescent="0.25">
      <c r="F2821" s="281"/>
    </row>
    <row r="2822" spans="6:6" x14ac:dyDescent="0.25">
      <c r="F2822" s="281"/>
    </row>
    <row r="2823" spans="6:6" x14ac:dyDescent="0.25">
      <c r="F2823" s="281"/>
    </row>
    <row r="2824" spans="6:6" x14ac:dyDescent="0.25">
      <c r="F2824" s="281"/>
    </row>
    <row r="2825" spans="6:6" x14ac:dyDescent="0.25">
      <c r="F2825" s="281"/>
    </row>
    <row r="2826" spans="6:6" x14ac:dyDescent="0.25">
      <c r="F2826" s="281"/>
    </row>
    <row r="2827" spans="6:6" x14ac:dyDescent="0.25">
      <c r="F2827" s="281"/>
    </row>
    <row r="2828" spans="6:6" x14ac:dyDescent="0.25">
      <c r="F2828" s="281"/>
    </row>
    <row r="2829" spans="6:6" x14ac:dyDescent="0.25">
      <c r="F2829" s="281"/>
    </row>
    <row r="2830" spans="6:6" x14ac:dyDescent="0.25">
      <c r="F2830" s="281"/>
    </row>
    <row r="2831" spans="6:6" x14ac:dyDescent="0.25">
      <c r="F2831" s="281"/>
    </row>
    <row r="2832" spans="6:6" x14ac:dyDescent="0.25">
      <c r="F2832" s="281"/>
    </row>
    <row r="2833" spans="6:6" x14ac:dyDescent="0.25">
      <c r="F2833" s="281"/>
    </row>
    <row r="2834" spans="6:6" x14ac:dyDescent="0.25">
      <c r="F2834" s="281"/>
    </row>
    <row r="2835" spans="6:6" x14ac:dyDescent="0.25">
      <c r="F2835" s="281"/>
    </row>
    <row r="2836" spans="6:6" x14ac:dyDescent="0.25">
      <c r="F2836" s="281"/>
    </row>
    <row r="2837" spans="6:6" x14ac:dyDescent="0.25">
      <c r="F2837" s="281"/>
    </row>
    <row r="2838" spans="6:6" x14ac:dyDescent="0.25">
      <c r="F2838" s="281"/>
    </row>
    <row r="2839" spans="6:6" x14ac:dyDescent="0.25">
      <c r="F2839" s="281"/>
    </row>
    <row r="2840" spans="6:6" x14ac:dyDescent="0.25">
      <c r="F2840" s="281"/>
    </row>
    <row r="2841" spans="6:6" x14ac:dyDescent="0.25">
      <c r="F2841" s="281"/>
    </row>
    <row r="2842" spans="6:6" x14ac:dyDescent="0.25">
      <c r="F2842" s="281"/>
    </row>
    <row r="2843" spans="6:6" x14ac:dyDescent="0.25">
      <c r="F2843" s="281"/>
    </row>
    <row r="2844" spans="6:6" x14ac:dyDescent="0.25">
      <c r="F2844" s="281"/>
    </row>
    <row r="2845" spans="6:6" x14ac:dyDescent="0.25">
      <c r="F2845" s="281"/>
    </row>
    <row r="2846" spans="6:6" x14ac:dyDescent="0.25">
      <c r="F2846" s="281"/>
    </row>
    <row r="2847" spans="6:6" x14ac:dyDescent="0.25">
      <c r="F2847" s="281"/>
    </row>
    <row r="2848" spans="6:6" x14ac:dyDescent="0.25">
      <c r="F2848" s="281"/>
    </row>
    <row r="2849" spans="6:6" x14ac:dyDescent="0.25">
      <c r="F2849" s="281"/>
    </row>
    <row r="2850" spans="6:6" x14ac:dyDescent="0.25">
      <c r="F2850" s="281"/>
    </row>
    <row r="2851" spans="6:6" x14ac:dyDescent="0.25">
      <c r="F2851" s="281"/>
    </row>
    <row r="2852" spans="6:6" x14ac:dyDescent="0.25">
      <c r="F2852" s="281"/>
    </row>
    <row r="2853" spans="6:6" x14ac:dyDescent="0.25">
      <c r="F2853" s="281"/>
    </row>
    <row r="2854" spans="6:6" x14ac:dyDescent="0.25">
      <c r="F2854" s="281"/>
    </row>
    <row r="2855" spans="6:6" x14ac:dyDescent="0.25">
      <c r="F2855" s="281"/>
    </row>
    <row r="2856" spans="6:6" x14ac:dyDescent="0.25">
      <c r="F2856" s="281"/>
    </row>
    <row r="2857" spans="6:6" x14ac:dyDescent="0.25">
      <c r="F2857" s="281"/>
    </row>
    <row r="2858" spans="6:6" x14ac:dyDescent="0.25">
      <c r="F2858" s="281"/>
    </row>
    <row r="2859" spans="6:6" x14ac:dyDescent="0.25">
      <c r="F2859" s="281"/>
    </row>
    <row r="2860" spans="6:6" x14ac:dyDescent="0.25">
      <c r="F2860" s="281"/>
    </row>
    <row r="2861" spans="6:6" x14ac:dyDescent="0.25">
      <c r="F2861" s="281"/>
    </row>
    <row r="2862" spans="6:6" x14ac:dyDescent="0.25">
      <c r="F2862" s="281"/>
    </row>
    <row r="2863" spans="6:6" x14ac:dyDescent="0.25">
      <c r="F2863" s="281"/>
    </row>
    <row r="2864" spans="6:6" x14ac:dyDescent="0.25">
      <c r="F2864" s="281"/>
    </row>
    <row r="2865" spans="6:6" x14ac:dyDescent="0.25">
      <c r="F2865" s="281"/>
    </row>
    <row r="2866" spans="6:6" x14ac:dyDescent="0.25">
      <c r="F2866" s="281"/>
    </row>
    <row r="2867" spans="6:6" x14ac:dyDescent="0.25">
      <c r="F2867" s="281"/>
    </row>
    <row r="2868" spans="6:6" x14ac:dyDescent="0.25">
      <c r="F2868" s="281"/>
    </row>
    <row r="2869" spans="6:6" x14ac:dyDescent="0.25">
      <c r="F2869" s="281"/>
    </row>
    <row r="2870" spans="6:6" x14ac:dyDescent="0.25">
      <c r="F2870" s="281"/>
    </row>
    <row r="2871" spans="6:6" x14ac:dyDescent="0.25">
      <c r="F2871" s="281"/>
    </row>
    <row r="2872" spans="6:6" x14ac:dyDescent="0.25">
      <c r="F2872" s="281"/>
    </row>
    <row r="2873" spans="6:6" x14ac:dyDescent="0.25">
      <c r="F2873" s="281"/>
    </row>
    <row r="2874" spans="6:6" x14ac:dyDescent="0.25">
      <c r="F2874" s="281"/>
    </row>
    <row r="2875" spans="6:6" x14ac:dyDescent="0.25">
      <c r="F2875" s="281"/>
    </row>
    <row r="2876" spans="6:6" x14ac:dyDescent="0.25">
      <c r="F2876" s="281"/>
    </row>
    <row r="2877" spans="6:6" x14ac:dyDescent="0.25">
      <c r="F2877" s="281"/>
    </row>
    <row r="2878" spans="6:6" x14ac:dyDescent="0.25">
      <c r="F2878" s="281"/>
    </row>
    <row r="2879" spans="6:6" x14ac:dyDescent="0.25">
      <c r="F2879" s="281"/>
    </row>
    <row r="2880" spans="6:6" x14ac:dyDescent="0.25">
      <c r="F2880" s="281"/>
    </row>
    <row r="2881" spans="6:6" x14ac:dyDescent="0.25">
      <c r="F2881" s="281"/>
    </row>
    <row r="2882" spans="6:6" x14ac:dyDescent="0.25">
      <c r="F2882" s="281"/>
    </row>
    <row r="2883" spans="6:6" x14ac:dyDescent="0.25">
      <c r="F2883" s="281"/>
    </row>
    <row r="2884" spans="6:6" x14ac:dyDescent="0.25">
      <c r="F2884" s="281"/>
    </row>
    <row r="2885" spans="6:6" x14ac:dyDescent="0.25">
      <c r="F2885" s="281"/>
    </row>
    <row r="2886" spans="6:6" x14ac:dyDescent="0.25">
      <c r="F2886" s="281"/>
    </row>
    <row r="2887" spans="6:6" x14ac:dyDescent="0.25">
      <c r="F2887" s="281"/>
    </row>
    <row r="2888" spans="6:6" x14ac:dyDescent="0.25">
      <c r="F2888" s="281"/>
    </row>
    <row r="2889" spans="6:6" x14ac:dyDescent="0.25">
      <c r="F2889" s="281"/>
    </row>
    <row r="2890" spans="6:6" x14ac:dyDescent="0.25">
      <c r="F2890" s="281"/>
    </row>
    <row r="2891" spans="6:6" x14ac:dyDescent="0.25">
      <c r="F2891" s="281"/>
    </row>
    <row r="2892" spans="6:6" x14ac:dyDescent="0.25">
      <c r="F2892" s="281"/>
    </row>
    <row r="2893" spans="6:6" x14ac:dyDescent="0.25">
      <c r="F2893" s="281"/>
    </row>
    <row r="2894" spans="6:6" x14ac:dyDescent="0.25">
      <c r="F2894" s="281"/>
    </row>
    <row r="2895" spans="6:6" x14ac:dyDescent="0.25">
      <c r="F2895" s="281"/>
    </row>
    <row r="2896" spans="6:6" x14ac:dyDescent="0.25">
      <c r="F2896" s="281"/>
    </row>
    <row r="2897" spans="6:6" x14ac:dyDescent="0.25">
      <c r="F2897" s="281"/>
    </row>
    <row r="2898" spans="6:6" x14ac:dyDescent="0.25">
      <c r="F2898" s="281"/>
    </row>
    <row r="2899" spans="6:6" x14ac:dyDescent="0.25">
      <c r="F2899" s="281"/>
    </row>
    <row r="2900" spans="6:6" x14ac:dyDescent="0.25">
      <c r="F2900" s="281"/>
    </row>
    <row r="2901" spans="6:6" x14ac:dyDescent="0.25">
      <c r="F2901" s="281"/>
    </row>
    <row r="2902" spans="6:6" x14ac:dyDescent="0.25">
      <c r="F2902" s="281"/>
    </row>
    <row r="2903" spans="6:6" x14ac:dyDescent="0.25">
      <c r="F2903" s="281"/>
    </row>
    <row r="2904" spans="6:6" x14ac:dyDescent="0.25">
      <c r="F2904" s="281"/>
    </row>
    <row r="2905" spans="6:6" x14ac:dyDescent="0.25">
      <c r="F2905" s="281"/>
    </row>
    <row r="2906" spans="6:6" x14ac:dyDescent="0.25">
      <c r="F2906" s="281"/>
    </row>
    <row r="2907" spans="6:6" x14ac:dyDescent="0.25">
      <c r="F2907" s="281"/>
    </row>
    <row r="2908" spans="6:6" x14ac:dyDescent="0.25">
      <c r="F2908" s="281"/>
    </row>
    <row r="2909" spans="6:6" x14ac:dyDescent="0.25">
      <c r="F2909" s="281"/>
    </row>
    <row r="2910" spans="6:6" x14ac:dyDescent="0.25">
      <c r="F2910" s="281"/>
    </row>
    <row r="2911" spans="6:6" x14ac:dyDescent="0.25">
      <c r="F2911" s="281"/>
    </row>
    <row r="2912" spans="6:6" x14ac:dyDescent="0.25">
      <c r="F2912" s="281"/>
    </row>
    <row r="2913" spans="6:6" x14ac:dyDescent="0.25">
      <c r="F2913" s="281"/>
    </row>
    <row r="2914" spans="6:6" x14ac:dyDescent="0.25">
      <c r="F2914" s="281"/>
    </row>
    <row r="2915" spans="6:6" x14ac:dyDescent="0.25">
      <c r="F2915" s="281"/>
    </row>
    <row r="2916" spans="6:6" x14ac:dyDescent="0.25">
      <c r="F2916" s="281"/>
    </row>
    <row r="2917" spans="6:6" x14ac:dyDescent="0.25">
      <c r="F2917" s="281"/>
    </row>
    <row r="2918" spans="6:6" x14ac:dyDescent="0.25">
      <c r="F2918" s="281"/>
    </row>
    <row r="2919" spans="6:6" x14ac:dyDescent="0.25">
      <c r="F2919" s="281"/>
    </row>
    <row r="2920" spans="6:6" x14ac:dyDescent="0.25">
      <c r="F2920" s="281"/>
    </row>
    <row r="2921" spans="6:6" x14ac:dyDescent="0.25">
      <c r="F2921" s="281"/>
    </row>
    <row r="2922" spans="6:6" x14ac:dyDescent="0.25">
      <c r="F2922" s="281"/>
    </row>
    <row r="2923" spans="6:6" x14ac:dyDescent="0.25">
      <c r="F2923" s="281"/>
    </row>
    <row r="2924" spans="6:6" x14ac:dyDescent="0.25">
      <c r="F2924" s="281"/>
    </row>
    <row r="2925" spans="6:6" x14ac:dyDescent="0.25">
      <c r="F2925" s="281"/>
    </row>
    <row r="2926" spans="6:6" x14ac:dyDescent="0.25">
      <c r="F2926" s="281"/>
    </row>
    <row r="2927" spans="6:6" x14ac:dyDescent="0.25">
      <c r="F2927" s="281"/>
    </row>
    <row r="2928" spans="6:6" x14ac:dyDescent="0.25">
      <c r="F2928" s="281"/>
    </row>
    <row r="2929" spans="6:6" x14ac:dyDescent="0.25">
      <c r="F2929" s="281"/>
    </row>
    <row r="2930" spans="6:6" x14ac:dyDescent="0.25">
      <c r="F2930" s="281"/>
    </row>
    <row r="2931" spans="6:6" x14ac:dyDescent="0.25">
      <c r="F2931" s="281"/>
    </row>
    <row r="2932" spans="6:6" x14ac:dyDescent="0.25">
      <c r="F2932" s="281"/>
    </row>
    <row r="2933" spans="6:6" x14ac:dyDescent="0.25">
      <c r="F2933" s="281"/>
    </row>
    <row r="2934" spans="6:6" x14ac:dyDescent="0.25">
      <c r="F2934" s="281"/>
    </row>
    <row r="2935" spans="6:6" x14ac:dyDescent="0.25">
      <c r="F2935" s="281"/>
    </row>
    <row r="2936" spans="6:6" x14ac:dyDescent="0.25">
      <c r="F2936" s="281"/>
    </row>
    <row r="2937" spans="6:6" x14ac:dyDescent="0.25">
      <c r="F2937" s="281"/>
    </row>
    <row r="2938" spans="6:6" x14ac:dyDescent="0.25">
      <c r="F2938" s="281"/>
    </row>
    <row r="2939" spans="6:6" x14ac:dyDescent="0.25">
      <c r="F2939" s="281"/>
    </row>
    <row r="2940" spans="6:6" x14ac:dyDescent="0.25">
      <c r="F2940" s="281"/>
    </row>
    <row r="2941" spans="6:6" x14ac:dyDescent="0.25">
      <c r="F2941" s="281"/>
    </row>
    <row r="2942" spans="6:6" x14ac:dyDescent="0.25">
      <c r="F2942" s="281"/>
    </row>
    <row r="2943" spans="6:6" x14ac:dyDescent="0.25">
      <c r="F2943" s="281"/>
    </row>
    <row r="2944" spans="6:6" x14ac:dyDescent="0.25">
      <c r="F2944" s="281"/>
    </row>
    <row r="2945" spans="6:6" x14ac:dyDescent="0.25">
      <c r="F2945" s="281"/>
    </row>
    <row r="2946" spans="6:6" x14ac:dyDescent="0.25">
      <c r="F2946" s="281"/>
    </row>
    <row r="2947" spans="6:6" x14ac:dyDescent="0.25">
      <c r="F2947" s="281"/>
    </row>
    <row r="2948" spans="6:6" x14ac:dyDescent="0.25">
      <c r="F2948" s="281"/>
    </row>
    <row r="2949" spans="6:6" x14ac:dyDescent="0.25">
      <c r="F2949" s="281"/>
    </row>
    <row r="2950" spans="6:6" x14ac:dyDescent="0.25">
      <c r="F2950" s="281"/>
    </row>
    <row r="2951" spans="6:6" x14ac:dyDescent="0.25">
      <c r="F2951" s="281"/>
    </row>
    <row r="2952" spans="6:6" x14ac:dyDescent="0.25">
      <c r="F2952" s="281"/>
    </row>
    <row r="2953" spans="6:6" x14ac:dyDescent="0.25">
      <c r="F2953" s="281"/>
    </row>
    <row r="2954" spans="6:6" x14ac:dyDescent="0.25">
      <c r="F2954" s="281"/>
    </row>
    <row r="2955" spans="6:6" x14ac:dyDescent="0.25">
      <c r="F2955" s="281"/>
    </row>
    <row r="2956" spans="6:6" x14ac:dyDescent="0.25">
      <c r="F2956" s="281"/>
    </row>
    <row r="2957" spans="6:6" x14ac:dyDescent="0.25">
      <c r="F2957" s="281"/>
    </row>
    <row r="2958" spans="6:6" x14ac:dyDescent="0.25">
      <c r="F2958" s="281"/>
    </row>
    <row r="2959" spans="6:6" x14ac:dyDescent="0.25">
      <c r="F2959" s="281"/>
    </row>
    <row r="2960" spans="6:6" x14ac:dyDescent="0.25">
      <c r="F2960" s="281"/>
    </row>
    <row r="2961" spans="6:6" x14ac:dyDescent="0.25">
      <c r="F2961" s="281"/>
    </row>
    <row r="2962" spans="6:6" x14ac:dyDescent="0.25">
      <c r="F2962" s="281"/>
    </row>
    <row r="2963" spans="6:6" x14ac:dyDescent="0.25">
      <c r="F2963" s="281"/>
    </row>
    <row r="2964" spans="6:6" x14ac:dyDescent="0.25">
      <c r="F2964" s="281"/>
    </row>
    <row r="2965" spans="6:6" x14ac:dyDescent="0.25">
      <c r="F2965" s="281"/>
    </row>
    <row r="2966" spans="6:6" x14ac:dyDescent="0.25">
      <c r="F2966" s="281"/>
    </row>
    <row r="2967" spans="6:6" x14ac:dyDescent="0.25">
      <c r="F2967" s="281"/>
    </row>
    <row r="2968" spans="6:6" x14ac:dyDescent="0.25">
      <c r="F2968" s="281"/>
    </row>
    <row r="2969" spans="6:6" x14ac:dyDescent="0.25">
      <c r="F2969" s="281"/>
    </row>
    <row r="2970" spans="6:6" x14ac:dyDescent="0.25">
      <c r="F2970" s="281"/>
    </row>
    <row r="2971" spans="6:6" x14ac:dyDescent="0.25">
      <c r="F2971" s="281"/>
    </row>
    <row r="2972" spans="6:6" x14ac:dyDescent="0.25">
      <c r="F2972" s="281"/>
    </row>
    <row r="2973" spans="6:6" x14ac:dyDescent="0.25">
      <c r="F2973" s="281"/>
    </row>
    <row r="2974" spans="6:6" x14ac:dyDescent="0.25">
      <c r="F2974" s="281"/>
    </row>
    <row r="2975" spans="6:6" x14ac:dyDescent="0.25">
      <c r="F2975" s="281"/>
    </row>
    <row r="2976" spans="6:6" x14ac:dyDescent="0.25">
      <c r="F2976" s="281"/>
    </row>
    <row r="2977" spans="6:6" x14ac:dyDescent="0.25">
      <c r="F2977" s="281"/>
    </row>
    <row r="2978" spans="6:6" x14ac:dyDescent="0.25">
      <c r="F2978" s="281"/>
    </row>
    <row r="2979" spans="6:6" x14ac:dyDescent="0.25">
      <c r="F2979" s="281"/>
    </row>
    <row r="2980" spans="6:6" x14ac:dyDescent="0.25">
      <c r="F2980" s="281"/>
    </row>
    <row r="2981" spans="6:6" x14ac:dyDescent="0.25">
      <c r="F2981" s="281"/>
    </row>
    <row r="2982" spans="6:6" x14ac:dyDescent="0.25">
      <c r="F2982" s="281"/>
    </row>
    <row r="2983" spans="6:6" x14ac:dyDescent="0.25">
      <c r="F2983" s="281"/>
    </row>
    <row r="2984" spans="6:6" x14ac:dyDescent="0.25">
      <c r="F2984" s="281"/>
    </row>
    <row r="2985" spans="6:6" x14ac:dyDescent="0.25">
      <c r="F2985" s="281"/>
    </row>
    <row r="2986" spans="6:6" x14ac:dyDescent="0.25">
      <c r="F2986" s="281"/>
    </row>
    <row r="2987" spans="6:6" x14ac:dyDescent="0.25">
      <c r="F2987" s="281"/>
    </row>
    <row r="2988" spans="6:6" x14ac:dyDescent="0.25">
      <c r="F2988" s="281"/>
    </row>
    <row r="2989" spans="6:6" x14ac:dyDescent="0.25">
      <c r="F2989" s="281"/>
    </row>
    <row r="2990" spans="6:6" x14ac:dyDescent="0.25">
      <c r="F2990" s="281"/>
    </row>
    <row r="2991" spans="6:6" x14ac:dyDescent="0.25">
      <c r="F2991" s="281"/>
    </row>
    <row r="2992" spans="6:6" x14ac:dyDescent="0.25">
      <c r="F2992" s="281"/>
    </row>
    <row r="2993" spans="6:6" x14ac:dyDescent="0.25">
      <c r="F2993" s="281"/>
    </row>
    <row r="2994" spans="6:6" x14ac:dyDescent="0.25">
      <c r="F2994" s="281"/>
    </row>
    <row r="2995" spans="6:6" x14ac:dyDescent="0.25">
      <c r="F2995" s="281"/>
    </row>
    <row r="2996" spans="6:6" x14ac:dyDescent="0.25">
      <c r="F2996" s="281"/>
    </row>
    <row r="2997" spans="6:6" x14ac:dyDescent="0.25">
      <c r="F2997" s="281"/>
    </row>
    <row r="2998" spans="6:6" x14ac:dyDescent="0.25">
      <c r="F2998" s="281"/>
    </row>
    <row r="2999" spans="6:6" x14ac:dyDescent="0.25">
      <c r="F2999" s="281"/>
    </row>
    <row r="3000" spans="6:6" x14ac:dyDescent="0.25">
      <c r="F3000" s="281"/>
    </row>
    <row r="3001" spans="6:6" x14ac:dyDescent="0.25">
      <c r="F3001" s="281"/>
    </row>
    <row r="3002" spans="6:6" x14ac:dyDescent="0.25">
      <c r="F3002" s="281"/>
    </row>
    <row r="3003" spans="6:6" x14ac:dyDescent="0.25">
      <c r="F3003" s="281"/>
    </row>
    <row r="3004" spans="6:6" x14ac:dyDescent="0.25">
      <c r="F3004" s="281"/>
    </row>
    <row r="3005" spans="6:6" x14ac:dyDescent="0.25">
      <c r="F3005" s="281"/>
    </row>
    <row r="3006" spans="6:6" x14ac:dyDescent="0.25">
      <c r="F3006" s="281"/>
    </row>
    <row r="3007" spans="6:6" x14ac:dyDescent="0.25">
      <c r="F3007" s="281"/>
    </row>
    <row r="3008" spans="6:6" x14ac:dyDescent="0.25">
      <c r="F3008" s="281"/>
    </row>
    <row r="3009" spans="6:6" x14ac:dyDescent="0.25">
      <c r="F3009" s="281"/>
    </row>
    <row r="3010" spans="6:6" x14ac:dyDescent="0.25">
      <c r="F3010" s="281"/>
    </row>
    <row r="3011" spans="6:6" x14ac:dyDescent="0.25">
      <c r="F3011" s="281"/>
    </row>
    <row r="3012" spans="6:6" x14ac:dyDescent="0.25">
      <c r="F3012" s="281"/>
    </row>
    <row r="3013" spans="6:6" x14ac:dyDescent="0.25">
      <c r="F3013" s="281"/>
    </row>
    <row r="3014" spans="6:6" x14ac:dyDescent="0.25">
      <c r="F3014" s="281"/>
    </row>
    <row r="3015" spans="6:6" x14ac:dyDescent="0.25">
      <c r="F3015" s="281"/>
    </row>
    <row r="3016" spans="6:6" x14ac:dyDescent="0.25">
      <c r="F3016" s="281"/>
    </row>
    <row r="3017" spans="6:6" x14ac:dyDescent="0.25">
      <c r="F3017" s="281"/>
    </row>
    <row r="3018" spans="6:6" x14ac:dyDescent="0.25">
      <c r="F3018" s="281"/>
    </row>
    <row r="3019" spans="6:6" x14ac:dyDescent="0.25">
      <c r="F3019" s="281"/>
    </row>
    <row r="3020" spans="6:6" x14ac:dyDescent="0.25">
      <c r="F3020" s="281"/>
    </row>
    <row r="3021" spans="6:6" x14ac:dyDescent="0.25">
      <c r="F3021" s="281"/>
    </row>
    <row r="3022" spans="6:6" x14ac:dyDescent="0.25">
      <c r="F3022" s="281"/>
    </row>
    <row r="3023" spans="6:6" x14ac:dyDescent="0.25">
      <c r="F3023" s="281"/>
    </row>
    <row r="3024" spans="6:6" x14ac:dyDescent="0.25">
      <c r="F3024" s="281"/>
    </row>
    <row r="3025" spans="6:6" x14ac:dyDescent="0.25">
      <c r="F3025" s="281"/>
    </row>
    <row r="3026" spans="6:6" x14ac:dyDescent="0.25">
      <c r="F3026" s="281"/>
    </row>
    <row r="3027" spans="6:6" x14ac:dyDescent="0.25">
      <c r="F3027" s="281"/>
    </row>
    <row r="3028" spans="6:6" x14ac:dyDescent="0.25">
      <c r="F3028" s="281"/>
    </row>
    <row r="3029" spans="6:6" x14ac:dyDescent="0.25">
      <c r="F3029" s="281"/>
    </row>
    <row r="3030" spans="6:6" x14ac:dyDescent="0.25">
      <c r="F3030" s="281"/>
    </row>
    <row r="3031" spans="6:6" x14ac:dyDescent="0.25">
      <c r="F3031" s="281"/>
    </row>
    <row r="3032" spans="6:6" x14ac:dyDescent="0.25">
      <c r="F3032" s="281"/>
    </row>
    <row r="3033" spans="6:6" x14ac:dyDescent="0.25">
      <c r="F3033" s="281"/>
    </row>
    <row r="3034" spans="6:6" x14ac:dyDescent="0.25">
      <c r="F3034" s="281"/>
    </row>
    <row r="3035" spans="6:6" x14ac:dyDescent="0.25">
      <c r="F3035" s="281"/>
    </row>
    <row r="3036" spans="6:6" x14ac:dyDescent="0.25">
      <c r="F3036" s="281"/>
    </row>
    <row r="3037" spans="6:6" x14ac:dyDescent="0.25">
      <c r="F3037" s="281"/>
    </row>
    <row r="3038" spans="6:6" x14ac:dyDescent="0.25">
      <c r="F3038" s="281"/>
    </row>
    <row r="3039" spans="6:6" x14ac:dyDescent="0.25">
      <c r="F3039" s="281"/>
    </row>
    <row r="3040" spans="6:6" x14ac:dyDescent="0.25">
      <c r="F3040" s="281"/>
    </row>
    <row r="3041" spans="6:6" x14ac:dyDescent="0.25">
      <c r="F3041" s="281"/>
    </row>
    <row r="3042" spans="6:6" x14ac:dyDescent="0.25">
      <c r="F3042" s="281"/>
    </row>
    <row r="3043" spans="6:6" x14ac:dyDescent="0.25">
      <c r="F3043" s="281"/>
    </row>
    <row r="3044" spans="6:6" x14ac:dyDescent="0.25">
      <c r="F3044" s="281"/>
    </row>
    <row r="3045" spans="6:6" x14ac:dyDescent="0.25">
      <c r="F3045" s="281"/>
    </row>
    <row r="3046" spans="6:6" x14ac:dyDescent="0.25">
      <c r="F3046" s="281"/>
    </row>
    <row r="3047" spans="6:6" x14ac:dyDescent="0.25">
      <c r="F3047" s="281"/>
    </row>
    <row r="3048" spans="6:6" x14ac:dyDescent="0.25">
      <c r="F3048" s="281"/>
    </row>
    <row r="3049" spans="6:6" x14ac:dyDescent="0.25">
      <c r="F3049" s="281"/>
    </row>
    <row r="3050" spans="6:6" x14ac:dyDescent="0.25">
      <c r="F3050" s="281"/>
    </row>
    <row r="3051" spans="6:6" x14ac:dyDescent="0.25">
      <c r="F3051" s="281"/>
    </row>
    <row r="3052" spans="6:6" x14ac:dyDescent="0.25">
      <c r="F3052" s="281"/>
    </row>
    <row r="3053" spans="6:6" x14ac:dyDescent="0.25">
      <c r="F3053" s="281"/>
    </row>
    <row r="3054" spans="6:6" x14ac:dyDescent="0.25">
      <c r="F3054" s="281"/>
    </row>
    <row r="3055" spans="6:6" x14ac:dyDescent="0.25">
      <c r="F3055" s="281"/>
    </row>
    <row r="3056" spans="6:6" x14ac:dyDescent="0.25">
      <c r="F3056" s="281"/>
    </row>
    <row r="3057" spans="6:6" x14ac:dyDescent="0.25">
      <c r="F3057" s="281"/>
    </row>
    <row r="3058" spans="6:6" x14ac:dyDescent="0.25">
      <c r="F3058" s="281"/>
    </row>
    <row r="3059" spans="6:6" x14ac:dyDescent="0.25">
      <c r="F3059" s="281"/>
    </row>
    <row r="3060" spans="6:6" x14ac:dyDescent="0.25">
      <c r="F3060" s="281"/>
    </row>
    <row r="3061" spans="6:6" x14ac:dyDescent="0.25">
      <c r="F3061" s="281"/>
    </row>
    <row r="3062" spans="6:6" x14ac:dyDescent="0.25">
      <c r="F3062" s="281"/>
    </row>
    <row r="3063" spans="6:6" x14ac:dyDescent="0.25">
      <c r="F3063" s="281"/>
    </row>
    <row r="3064" spans="6:6" x14ac:dyDescent="0.25">
      <c r="F3064" s="281"/>
    </row>
    <row r="3065" spans="6:6" x14ac:dyDescent="0.25">
      <c r="F3065" s="281"/>
    </row>
    <row r="3066" spans="6:6" x14ac:dyDescent="0.25">
      <c r="F3066" s="281"/>
    </row>
    <row r="3067" spans="6:6" x14ac:dyDescent="0.25">
      <c r="F3067" s="281"/>
    </row>
    <row r="3068" spans="6:6" x14ac:dyDescent="0.25">
      <c r="F3068" s="281"/>
    </row>
    <row r="3069" spans="6:6" x14ac:dyDescent="0.25">
      <c r="F3069" s="281"/>
    </row>
    <row r="3070" spans="6:6" x14ac:dyDescent="0.25">
      <c r="F3070" s="281"/>
    </row>
    <row r="3071" spans="6:6" x14ac:dyDescent="0.25">
      <c r="F3071" s="281"/>
    </row>
    <row r="3072" spans="6:6" x14ac:dyDescent="0.25">
      <c r="F3072" s="281"/>
    </row>
    <row r="3073" spans="6:6" x14ac:dyDescent="0.25">
      <c r="F3073" s="281"/>
    </row>
    <row r="3074" spans="6:6" x14ac:dyDescent="0.25">
      <c r="F3074" s="281"/>
    </row>
    <row r="3075" spans="6:6" x14ac:dyDescent="0.25">
      <c r="F3075" s="281"/>
    </row>
    <row r="3076" spans="6:6" x14ac:dyDescent="0.25">
      <c r="F3076" s="281"/>
    </row>
    <row r="3077" spans="6:6" x14ac:dyDescent="0.25">
      <c r="F3077" s="281"/>
    </row>
    <row r="3078" spans="6:6" x14ac:dyDescent="0.25">
      <c r="F3078" s="281"/>
    </row>
    <row r="3079" spans="6:6" x14ac:dyDescent="0.25">
      <c r="F3079" s="281"/>
    </row>
    <row r="3080" spans="6:6" x14ac:dyDescent="0.25">
      <c r="F3080" s="281"/>
    </row>
    <row r="3081" spans="6:6" x14ac:dyDescent="0.25">
      <c r="F3081" s="281"/>
    </row>
    <row r="3082" spans="6:6" x14ac:dyDescent="0.25">
      <c r="F3082" s="281"/>
    </row>
    <row r="3083" spans="6:6" x14ac:dyDescent="0.25">
      <c r="F3083" s="281"/>
    </row>
    <row r="3084" spans="6:6" x14ac:dyDescent="0.25">
      <c r="F3084" s="281"/>
    </row>
    <row r="3085" spans="6:6" x14ac:dyDescent="0.25">
      <c r="F3085" s="281"/>
    </row>
    <row r="3086" spans="6:6" x14ac:dyDescent="0.25">
      <c r="F3086" s="281"/>
    </row>
    <row r="3087" spans="6:6" x14ac:dyDescent="0.25">
      <c r="F3087" s="281"/>
    </row>
    <row r="3088" spans="6:6" x14ac:dyDescent="0.25">
      <c r="F3088" s="281"/>
    </row>
    <row r="3089" spans="6:6" x14ac:dyDescent="0.25">
      <c r="F3089" s="281"/>
    </row>
    <row r="3090" spans="6:6" x14ac:dyDescent="0.25">
      <c r="F3090" s="281"/>
    </row>
    <row r="3091" spans="6:6" x14ac:dyDescent="0.25">
      <c r="F3091" s="281"/>
    </row>
    <row r="3092" spans="6:6" x14ac:dyDescent="0.25">
      <c r="F3092" s="281"/>
    </row>
    <row r="3093" spans="6:6" x14ac:dyDescent="0.25">
      <c r="F3093" s="281"/>
    </row>
    <row r="3094" spans="6:6" x14ac:dyDescent="0.25">
      <c r="F3094" s="281"/>
    </row>
    <row r="3095" spans="6:6" x14ac:dyDescent="0.25">
      <c r="F3095" s="281"/>
    </row>
    <row r="3096" spans="6:6" x14ac:dyDescent="0.25">
      <c r="F3096" s="281"/>
    </row>
    <row r="3097" spans="6:6" x14ac:dyDescent="0.25">
      <c r="F3097" s="281"/>
    </row>
    <row r="3098" spans="6:6" x14ac:dyDescent="0.25">
      <c r="F3098" s="281"/>
    </row>
    <row r="3099" spans="6:6" x14ac:dyDescent="0.25">
      <c r="F3099" s="281"/>
    </row>
    <row r="3100" spans="6:6" x14ac:dyDescent="0.25">
      <c r="F3100" s="281"/>
    </row>
    <row r="3101" spans="6:6" x14ac:dyDescent="0.25">
      <c r="F3101" s="281"/>
    </row>
    <row r="3102" spans="6:6" x14ac:dyDescent="0.25">
      <c r="F3102" s="281"/>
    </row>
    <row r="3103" spans="6:6" x14ac:dyDescent="0.25">
      <c r="F3103" s="281"/>
    </row>
    <row r="3104" spans="6:6" x14ac:dyDescent="0.25">
      <c r="F3104" s="281"/>
    </row>
    <row r="3105" spans="6:6" x14ac:dyDescent="0.25">
      <c r="F3105" s="281"/>
    </row>
    <row r="3106" spans="6:6" x14ac:dyDescent="0.25">
      <c r="F3106" s="281"/>
    </row>
    <row r="3107" spans="6:6" x14ac:dyDescent="0.25">
      <c r="F3107" s="281"/>
    </row>
    <row r="3108" spans="6:6" x14ac:dyDescent="0.25">
      <c r="F3108" s="281"/>
    </row>
    <row r="3109" spans="6:6" x14ac:dyDescent="0.25">
      <c r="F3109" s="281"/>
    </row>
    <row r="3110" spans="6:6" x14ac:dyDescent="0.25">
      <c r="F3110" s="281"/>
    </row>
    <row r="3111" spans="6:6" x14ac:dyDescent="0.25">
      <c r="F3111" s="281"/>
    </row>
    <row r="3112" spans="6:6" x14ac:dyDescent="0.25">
      <c r="F3112" s="281"/>
    </row>
    <row r="3113" spans="6:6" x14ac:dyDescent="0.25">
      <c r="F3113" s="281"/>
    </row>
    <row r="3114" spans="6:6" x14ac:dyDescent="0.25">
      <c r="F3114" s="281"/>
    </row>
    <row r="3115" spans="6:6" x14ac:dyDescent="0.25">
      <c r="F3115" s="281"/>
    </row>
    <row r="3116" spans="6:6" x14ac:dyDescent="0.25">
      <c r="F3116" s="281"/>
    </row>
    <row r="3117" spans="6:6" x14ac:dyDescent="0.25">
      <c r="F3117" s="281"/>
    </row>
    <row r="3118" spans="6:6" x14ac:dyDescent="0.25">
      <c r="F3118" s="281"/>
    </row>
    <row r="3119" spans="6:6" x14ac:dyDescent="0.25">
      <c r="F3119" s="281"/>
    </row>
    <row r="3120" spans="6:6" x14ac:dyDescent="0.25">
      <c r="F3120" s="281"/>
    </row>
    <row r="3121" spans="6:6" x14ac:dyDescent="0.25">
      <c r="F3121" s="281"/>
    </row>
    <row r="3122" spans="6:6" x14ac:dyDescent="0.25">
      <c r="F3122" s="281"/>
    </row>
    <row r="3123" spans="6:6" x14ac:dyDescent="0.25">
      <c r="F3123" s="281"/>
    </row>
    <row r="3124" spans="6:6" x14ac:dyDescent="0.25">
      <c r="F3124" s="281"/>
    </row>
    <row r="3125" spans="6:6" x14ac:dyDescent="0.25">
      <c r="F3125" s="281"/>
    </row>
    <row r="3126" spans="6:6" x14ac:dyDescent="0.25">
      <c r="F3126" s="281"/>
    </row>
    <row r="3127" spans="6:6" x14ac:dyDescent="0.25">
      <c r="F3127" s="281"/>
    </row>
    <row r="3128" spans="6:6" x14ac:dyDescent="0.25">
      <c r="F3128" s="281"/>
    </row>
    <row r="3129" spans="6:6" x14ac:dyDescent="0.25">
      <c r="F3129" s="281"/>
    </row>
    <row r="3130" spans="6:6" x14ac:dyDescent="0.25">
      <c r="F3130" s="281"/>
    </row>
    <row r="3131" spans="6:6" x14ac:dyDescent="0.25">
      <c r="F3131" s="281"/>
    </row>
    <row r="3132" spans="6:6" x14ac:dyDescent="0.25">
      <c r="F3132" s="281"/>
    </row>
    <row r="3133" spans="6:6" x14ac:dyDescent="0.25">
      <c r="F3133" s="281"/>
    </row>
    <row r="3134" spans="6:6" x14ac:dyDescent="0.25">
      <c r="F3134" s="281"/>
    </row>
    <row r="3135" spans="6:6" x14ac:dyDescent="0.25">
      <c r="F3135" s="281"/>
    </row>
    <row r="3136" spans="6:6" x14ac:dyDescent="0.25">
      <c r="F3136" s="281"/>
    </row>
    <row r="3137" spans="6:6" x14ac:dyDescent="0.25">
      <c r="F3137" s="281"/>
    </row>
    <row r="3138" spans="6:6" x14ac:dyDescent="0.25">
      <c r="F3138" s="281"/>
    </row>
    <row r="3139" spans="6:6" x14ac:dyDescent="0.25">
      <c r="F3139" s="281"/>
    </row>
    <row r="3140" spans="6:6" x14ac:dyDescent="0.25">
      <c r="F3140" s="281"/>
    </row>
    <row r="3141" spans="6:6" x14ac:dyDescent="0.25">
      <c r="F3141" s="281"/>
    </row>
    <row r="3142" spans="6:6" x14ac:dyDescent="0.25">
      <c r="F3142" s="281"/>
    </row>
    <row r="3143" spans="6:6" x14ac:dyDescent="0.25">
      <c r="F3143" s="281"/>
    </row>
    <row r="3144" spans="6:6" x14ac:dyDescent="0.25">
      <c r="F3144" s="281"/>
    </row>
    <row r="3145" spans="6:6" x14ac:dyDescent="0.25">
      <c r="F3145" s="281"/>
    </row>
    <row r="3146" spans="6:6" x14ac:dyDescent="0.25">
      <c r="F3146" s="281"/>
    </row>
    <row r="3147" spans="6:6" x14ac:dyDescent="0.25">
      <c r="F3147" s="281"/>
    </row>
    <row r="3148" spans="6:6" x14ac:dyDescent="0.25">
      <c r="F3148" s="281"/>
    </row>
    <row r="3149" spans="6:6" x14ac:dyDescent="0.25">
      <c r="F3149" s="281"/>
    </row>
    <row r="3150" spans="6:6" x14ac:dyDescent="0.25">
      <c r="F3150" s="281"/>
    </row>
    <row r="3151" spans="6:6" x14ac:dyDescent="0.25">
      <c r="F3151" s="281"/>
    </row>
    <row r="3152" spans="6:6" x14ac:dyDescent="0.25">
      <c r="F3152" s="281"/>
    </row>
    <row r="3153" spans="6:6" x14ac:dyDescent="0.25">
      <c r="F3153" s="281"/>
    </row>
    <row r="3154" spans="6:6" x14ac:dyDescent="0.25">
      <c r="F3154" s="281"/>
    </row>
    <row r="3155" spans="6:6" x14ac:dyDescent="0.25">
      <c r="F3155" s="281"/>
    </row>
    <row r="3156" spans="6:6" x14ac:dyDescent="0.25">
      <c r="F3156" s="281"/>
    </row>
    <row r="3157" spans="6:6" x14ac:dyDescent="0.25">
      <c r="F3157" s="281"/>
    </row>
    <row r="3158" spans="6:6" x14ac:dyDescent="0.25">
      <c r="F3158" s="281"/>
    </row>
    <row r="3159" spans="6:6" x14ac:dyDescent="0.25">
      <c r="F3159" s="281"/>
    </row>
    <row r="3160" spans="6:6" x14ac:dyDescent="0.25">
      <c r="F3160" s="281"/>
    </row>
    <row r="3161" spans="6:6" x14ac:dyDescent="0.25">
      <c r="F3161" s="281"/>
    </row>
    <row r="3162" spans="6:6" x14ac:dyDescent="0.25">
      <c r="F3162" s="281"/>
    </row>
    <row r="3163" spans="6:6" x14ac:dyDescent="0.25">
      <c r="F3163" s="281"/>
    </row>
    <row r="3164" spans="6:6" x14ac:dyDescent="0.25">
      <c r="F3164" s="281"/>
    </row>
    <row r="3165" spans="6:6" x14ac:dyDescent="0.25">
      <c r="F3165" s="281"/>
    </row>
    <row r="3166" spans="6:6" x14ac:dyDescent="0.25">
      <c r="F3166" s="281"/>
    </row>
    <row r="3167" spans="6:6" x14ac:dyDescent="0.25">
      <c r="F3167" s="281"/>
    </row>
    <row r="3168" spans="6:6" x14ac:dyDescent="0.25">
      <c r="F3168" s="281"/>
    </row>
    <row r="3169" spans="6:6" x14ac:dyDescent="0.25">
      <c r="F3169" s="281"/>
    </row>
    <row r="3170" spans="6:6" x14ac:dyDescent="0.25">
      <c r="F3170" s="281"/>
    </row>
    <row r="3171" spans="6:6" x14ac:dyDescent="0.25">
      <c r="F3171" s="281"/>
    </row>
    <row r="3172" spans="6:6" x14ac:dyDescent="0.25">
      <c r="F3172" s="281"/>
    </row>
    <row r="3173" spans="6:6" x14ac:dyDescent="0.25">
      <c r="F3173" s="281"/>
    </row>
    <row r="3174" spans="6:6" x14ac:dyDescent="0.25">
      <c r="F3174" s="281"/>
    </row>
    <row r="3175" spans="6:6" x14ac:dyDescent="0.25">
      <c r="F3175" s="281"/>
    </row>
    <row r="3176" spans="6:6" x14ac:dyDescent="0.25">
      <c r="F3176" s="281"/>
    </row>
    <row r="3177" spans="6:6" x14ac:dyDescent="0.25">
      <c r="F3177" s="281"/>
    </row>
    <row r="3178" spans="6:6" x14ac:dyDescent="0.25">
      <c r="F3178" s="281"/>
    </row>
    <row r="3179" spans="6:6" x14ac:dyDescent="0.25">
      <c r="F3179" s="281"/>
    </row>
    <row r="3180" spans="6:6" x14ac:dyDescent="0.25">
      <c r="F3180" s="281"/>
    </row>
    <row r="3181" spans="6:6" x14ac:dyDescent="0.25">
      <c r="F3181" s="281"/>
    </row>
    <row r="3182" spans="6:6" x14ac:dyDescent="0.25">
      <c r="F3182" s="281"/>
    </row>
    <row r="3183" spans="6:6" x14ac:dyDescent="0.25">
      <c r="F3183" s="281"/>
    </row>
    <row r="3184" spans="6:6" x14ac:dyDescent="0.25">
      <c r="F3184" s="281"/>
    </row>
    <row r="3185" spans="6:6" x14ac:dyDescent="0.25">
      <c r="F3185" s="281"/>
    </row>
    <row r="3186" spans="6:6" x14ac:dyDescent="0.25">
      <c r="F3186" s="281"/>
    </row>
    <row r="3187" spans="6:6" x14ac:dyDescent="0.25">
      <c r="F3187" s="281"/>
    </row>
    <row r="3188" spans="6:6" x14ac:dyDescent="0.25">
      <c r="F3188" s="281"/>
    </row>
    <row r="3189" spans="6:6" x14ac:dyDescent="0.25">
      <c r="F3189" s="281"/>
    </row>
    <row r="3190" spans="6:6" x14ac:dyDescent="0.25">
      <c r="F3190" s="281"/>
    </row>
    <row r="3191" spans="6:6" x14ac:dyDescent="0.25">
      <c r="F3191" s="281"/>
    </row>
    <row r="3192" spans="6:6" x14ac:dyDescent="0.25">
      <c r="F3192" s="281"/>
    </row>
    <row r="3193" spans="6:6" x14ac:dyDescent="0.25">
      <c r="F3193" s="281"/>
    </row>
    <row r="3194" spans="6:6" x14ac:dyDescent="0.25">
      <c r="F3194" s="281"/>
    </row>
    <row r="3195" spans="6:6" x14ac:dyDescent="0.25">
      <c r="F3195" s="281"/>
    </row>
    <row r="3196" spans="6:6" x14ac:dyDescent="0.25">
      <c r="F3196" s="281"/>
    </row>
    <row r="3197" spans="6:6" x14ac:dyDescent="0.25">
      <c r="F3197" s="281"/>
    </row>
    <row r="3198" spans="6:6" x14ac:dyDescent="0.25">
      <c r="F3198" s="281"/>
    </row>
    <row r="3199" spans="6:6" x14ac:dyDescent="0.25">
      <c r="F3199" s="281"/>
    </row>
    <row r="3200" spans="6:6" x14ac:dyDescent="0.25">
      <c r="F3200" s="281"/>
    </row>
    <row r="3201" spans="6:6" x14ac:dyDescent="0.25">
      <c r="F3201" s="281"/>
    </row>
    <row r="3202" spans="6:6" x14ac:dyDescent="0.25">
      <c r="F3202" s="281"/>
    </row>
    <row r="3203" spans="6:6" x14ac:dyDescent="0.25">
      <c r="F3203" s="281"/>
    </row>
    <row r="3204" spans="6:6" x14ac:dyDescent="0.25">
      <c r="F3204" s="281"/>
    </row>
    <row r="3205" spans="6:6" x14ac:dyDescent="0.25">
      <c r="F3205" s="281"/>
    </row>
    <row r="3206" spans="6:6" x14ac:dyDescent="0.25">
      <c r="F3206" s="281"/>
    </row>
    <row r="3207" spans="6:6" x14ac:dyDescent="0.25">
      <c r="F3207" s="281"/>
    </row>
    <row r="3208" spans="6:6" x14ac:dyDescent="0.25">
      <c r="F3208" s="281"/>
    </row>
    <row r="3209" spans="6:6" x14ac:dyDescent="0.25">
      <c r="F3209" s="281"/>
    </row>
    <row r="3210" spans="6:6" x14ac:dyDescent="0.25">
      <c r="F3210" s="281"/>
    </row>
    <row r="3211" spans="6:6" x14ac:dyDescent="0.25">
      <c r="F3211" s="281"/>
    </row>
    <row r="3212" spans="6:6" x14ac:dyDescent="0.25">
      <c r="F3212" s="281"/>
    </row>
    <row r="3213" spans="6:6" x14ac:dyDescent="0.25">
      <c r="F3213" s="281"/>
    </row>
    <row r="3214" spans="6:6" x14ac:dyDescent="0.25">
      <c r="F3214" s="281"/>
    </row>
    <row r="3215" spans="6:6" x14ac:dyDescent="0.25">
      <c r="F3215" s="281"/>
    </row>
    <row r="3216" spans="6:6" x14ac:dyDescent="0.25">
      <c r="F3216" s="281"/>
    </row>
    <row r="3217" spans="6:6" x14ac:dyDescent="0.25">
      <c r="F3217" s="281"/>
    </row>
    <row r="3218" spans="6:6" x14ac:dyDescent="0.25">
      <c r="F3218" s="281"/>
    </row>
    <row r="3219" spans="6:6" x14ac:dyDescent="0.25">
      <c r="F3219" s="281"/>
    </row>
    <row r="3220" spans="6:6" x14ac:dyDescent="0.25">
      <c r="F3220" s="281"/>
    </row>
    <row r="3221" spans="6:6" x14ac:dyDescent="0.25">
      <c r="F3221" s="281"/>
    </row>
    <row r="3222" spans="6:6" x14ac:dyDescent="0.25">
      <c r="F3222" s="281"/>
    </row>
    <row r="3223" spans="6:6" x14ac:dyDescent="0.25">
      <c r="F3223" s="281"/>
    </row>
    <row r="3224" spans="6:6" x14ac:dyDescent="0.25">
      <c r="F3224" s="281"/>
    </row>
    <row r="3225" spans="6:6" x14ac:dyDescent="0.25">
      <c r="F3225" s="281"/>
    </row>
    <row r="3226" spans="6:6" x14ac:dyDescent="0.25">
      <c r="F3226" s="281"/>
    </row>
    <row r="3227" spans="6:6" x14ac:dyDescent="0.25">
      <c r="F3227" s="281"/>
    </row>
    <row r="3228" spans="6:6" x14ac:dyDescent="0.25">
      <c r="F3228" s="281"/>
    </row>
    <row r="3229" spans="6:6" x14ac:dyDescent="0.25">
      <c r="F3229" s="281"/>
    </row>
    <row r="3230" spans="6:6" x14ac:dyDescent="0.25">
      <c r="F3230" s="281"/>
    </row>
    <row r="3231" spans="6:6" x14ac:dyDescent="0.25">
      <c r="F3231" s="281"/>
    </row>
    <row r="3232" spans="6:6" x14ac:dyDescent="0.25">
      <c r="F3232" s="281"/>
    </row>
    <row r="3233" spans="6:6" x14ac:dyDescent="0.25">
      <c r="F3233" s="281"/>
    </row>
    <row r="3234" spans="6:6" x14ac:dyDescent="0.25">
      <c r="F3234" s="281"/>
    </row>
    <row r="3235" spans="6:6" x14ac:dyDescent="0.25">
      <c r="F3235" s="281"/>
    </row>
    <row r="3236" spans="6:6" x14ac:dyDescent="0.25">
      <c r="F3236" s="281"/>
    </row>
    <row r="3237" spans="6:6" x14ac:dyDescent="0.25">
      <c r="F3237" s="281"/>
    </row>
    <row r="3238" spans="6:6" x14ac:dyDescent="0.25">
      <c r="F3238" s="281"/>
    </row>
    <row r="3239" spans="6:6" x14ac:dyDescent="0.25">
      <c r="F3239" s="281"/>
    </row>
    <row r="3240" spans="6:6" x14ac:dyDescent="0.25">
      <c r="F3240" s="281"/>
    </row>
    <row r="3241" spans="6:6" x14ac:dyDescent="0.25">
      <c r="F3241" s="281"/>
    </row>
    <row r="3242" spans="6:6" x14ac:dyDescent="0.25">
      <c r="F3242" s="281"/>
    </row>
    <row r="3243" spans="6:6" x14ac:dyDescent="0.25">
      <c r="F3243" s="281"/>
    </row>
    <row r="3244" spans="6:6" x14ac:dyDescent="0.25">
      <c r="F3244" s="281"/>
    </row>
    <row r="3245" spans="6:6" x14ac:dyDescent="0.25">
      <c r="F3245" s="281"/>
    </row>
    <row r="3246" spans="6:6" x14ac:dyDescent="0.25">
      <c r="F3246" s="281"/>
    </row>
    <row r="3247" spans="6:6" x14ac:dyDescent="0.25">
      <c r="F3247" s="281"/>
    </row>
    <row r="3248" spans="6:6" x14ac:dyDescent="0.25">
      <c r="F3248" s="281"/>
    </row>
    <row r="3249" spans="6:6" x14ac:dyDescent="0.25">
      <c r="F3249" s="281"/>
    </row>
    <row r="3250" spans="6:6" x14ac:dyDescent="0.25">
      <c r="F3250" s="281"/>
    </row>
    <row r="3251" spans="6:6" x14ac:dyDescent="0.25">
      <c r="F3251" s="281"/>
    </row>
    <row r="3252" spans="6:6" x14ac:dyDescent="0.25">
      <c r="F3252" s="281"/>
    </row>
    <row r="3253" spans="6:6" x14ac:dyDescent="0.25">
      <c r="F3253" s="281"/>
    </row>
    <row r="3254" spans="6:6" x14ac:dyDescent="0.25">
      <c r="F3254" s="281"/>
    </row>
    <row r="3255" spans="6:6" x14ac:dyDescent="0.25">
      <c r="F3255" s="281"/>
    </row>
    <row r="3256" spans="6:6" x14ac:dyDescent="0.25">
      <c r="F3256" s="281"/>
    </row>
    <row r="3257" spans="6:6" x14ac:dyDescent="0.25">
      <c r="F3257" s="281"/>
    </row>
    <row r="3258" spans="6:6" x14ac:dyDescent="0.25">
      <c r="F3258" s="281"/>
    </row>
    <row r="3259" spans="6:6" x14ac:dyDescent="0.25">
      <c r="F3259" s="281"/>
    </row>
    <row r="3260" spans="6:6" x14ac:dyDescent="0.25">
      <c r="F3260" s="281"/>
    </row>
    <row r="3261" spans="6:6" x14ac:dyDescent="0.25">
      <c r="F3261" s="281"/>
    </row>
    <row r="3262" spans="6:6" x14ac:dyDescent="0.25">
      <c r="F3262" s="281"/>
    </row>
    <row r="3263" spans="6:6" x14ac:dyDescent="0.25">
      <c r="F3263" s="281"/>
    </row>
    <row r="3264" spans="6:6" x14ac:dyDescent="0.25">
      <c r="F3264" s="281"/>
    </row>
    <row r="3265" spans="6:6" x14ac:dyDescent="0.25">
      <c r="F3265" s="281"/>
    </row>
    <row r="3266" spans="6:6" x14ac:dyDescent="0.25">
      <c r="F3266" s="281"/>
    </row>
    <row r="3267" spans="6:6" x14ac:dyDescent="0.25">
      <c r="F3267" s="281"/>
    </row>
    <row r="3268" spans="6:6" x14ac:dyDescent="0.25">
      <c r="F3268" s="281"/>
    </row>
    <row r="3269" spans="6:6" x14ac:dyDescent="0.25">
      <c r="F3269" s="281"/>
    </row>
    <row r="3270" spans="6:6" x14ac:dyDescent="0.25">
      <c r="F3270" s="281"/>
    </row>
    <row r="3271" spans="6:6" x14ac:dyDescent="0.25">
      <c r="F3271" s="281"/>
    </row>
    <row r="3272" spans="6:6" x14ac:dyDescent="0.25">
      <c r="F3272" s="281"/>
    </row>
    <row r="3273" spans="6:6" x14ac:dyDescent="0.25">
      <c r="F3273" s="281"/>
    </row>
    <row r="3274" spans="6:6" x14ac:dyDescent="0.25">
      <c r="F3274" s="281"/>
    </row>
    <row r="3275" spans="6:6" x14ac:dyDescent="0.25">
      <c r="F3275" s="281"/>
    </row>
    <row r="3276" spans="6:6" x14ac:dyDescent="0.25">
      <c r="F3276" s="281"/>
    </row>
    <row r="3277" spans="6:6" x14ac:dyDescent="0.25">
      <c r="F3277" s="281"/>
    </row>
    <row r="3278" spans="6:6" x14ac:dyDescent="0.25">
      <c r="F3278" s="281"/>
    </row>
    <row r="3279" spans="6:6" x14ac:dyDescent="0.25">
      <c r="F3279" s="281"/>
    </row>
    <row r="3280" spans="6:6" x14ac:dyDescent="0.25">
      <c r="F3280" s="281"/>
    </row>
    <row r="3281" spans="6:6" x14ac:dyDescent="0.25">
      <c r="F3281" s="281"/>
    </row>
    <row r="3282" spans="6:6" x14ac:dyDescent="0.25">
      <c r="F3282" s="281"/>
    </row>
    <row r="3283" spans="6:6" x14ac:dyDescent="0.25">
      <c r="F3283" s="281"/>
    </row>
    <row r="3284" spans="6:6" x14ac:dyDescent="0.25">
      <c r="F3284" s="281"/>
    </row>
    <row r="3285" spans="6:6" x14ac:dyDescent="0.25">
      <c r="F3285" s="281"/>
    </row>
    <row r="3286" spans="6:6" x14ac:dyDescent="0.25">
      <c r="F3286" s="281"/>
    </row>
    <row r="3287" spans="6:6" x14ac:dyDescent="0.25">
      <c r="F3287" s="281"/>
    </row>
    <row r="3288" spans="6:6" x14ac:dyDescent="0.25">
      <c r="F3288" s="281"/>
    </row>
    <row r="3289" spans="6:6" x14ac:dyDescent="0.25">
      <c r="F3289" s="281"/>
    </row>
    <row r="3290" spans="6:6" x14ac:dyDescent="0.25">
      <c r="F3290" s="281"/>
    </row>
    <row r="3291" spans="6:6" x14ac:dyDescent="0.25">
      <c r="F3291" s="281"/>
    </row>
    <row r="3292" spans="6:6" x14ac:dyDescent="0.25">
      <c r="F3292" s="281"/>
    </row>
    <row r="3293" spans="6:6" x14ac:dyDescent="0.25">
      <c r="F3293" s="281"/>
    </row>
    <row r="3294" spans="6:6" x14ac:dyDescent="0.25">
      <c r="F3294" s="281"/>
    </row>
    <row r="3295" spans="6:6" x14ac:dyDescent="0.25">
      <c r="F3295" s="281"/>
    </row>
    <row r="3296" spans="6:6" x14ac:dyDescent="0.25">
      <c r="F3296" s="281"/>
    </row>
    <row r="3297" spans="6:6" x14ac:dyDescent="0.25">
      <c r="F3297" s="281"/>
    </row>
    <row r="3298" spans="6:6" x14ac:dyDescent="0.25">
      <c r="F3298" s="281"/>
    </row>
    <row r="3299" spans="6:6" x14ac:dyDescent="0.25">
      <c r="F3299" s="281"/>
    </row>
    <row r="3300" spans="6:6" x14ac:dyDescent="0.25">
      <c r="F3300" s="281"/>
    </row>
    <row r="3301" spans="6:6" x14ac:dyDescent="0.25">
      <c r="F3301" s="281"/>
    </row>
    <row r="3302" spans="6:6" x14ac:dyDescent="0.25">
      <c r="F3302" s="281"/>
    </row>
    <row r="3303" spans="6:6" x14ac:dyDescent="0.25">
      <c r="F3303" s="281"/>
    </row>
    <row r="3304" spans="6:6" x14ac:dyDescent="0.25">
      <c r="F3304" s="281"/>
    </row>
    <row r="3305" spans="6:6" x14ac:dyDescent="0.25">
      <c r="F3305" s="281"/>
    </row>
    <row r="3306" spans="6:6" x14ac:dyDescent="0.25">
      <c r="F3306" s="281"/>
    </row>
    <row r="3307" spans="6:6" x14ac:dyDescent="0.25">
      <c r="F3307" s="281"/>
    </row>
    <row r="3308" spans="6:6" x14ac:dyDescent="0.25">
      <c r="F3308" s="281"/>
    </row>
    <row r="3309" spans="6:6" x14ac:dyDescent="0.25">
      <c r="F3309" s="281"/>
    </row>
    <row r="3310" spans="6:6" x14ac:dyDescent="0.25">
      <c r="F3310" s="281"/>
    </row>
    <row r="3311" spans="6:6" x14ac:dyDescent="0.25">
      <c r="F3311" s="281"/>
    </row>
    <row r="3312" spans="6:6" x14ac:dyDescent="0.25">
      <c r="F3312" s="281"/>
    </row>
    <row r="3313" spans="6:6" x14ac:dyDescent="0.25">
      <c r="F3313" s="281"/>
    </row>
    <row r="3314" spans="6:6" x14ac:dyDescent="0.25">
      <c r="F3314" s="281"/>
    </row>
    <row r="3315" spans="6:6" x14ac:dyDescent="0.25">
      <c r="F3315" s="281"/>
    </row>
    <row r="3316" spans="6:6" x14ac:dyDescent="0.25">
      <c r="F3316" s="281"/>
    </row>
    <row r="3317" spans="6:6" x14ac:dyDescent="0.25">
      <c r="F3317" s="281"/>
    </row>
    <row r="3318" spans="6:6" x14ac:dyDescent="0.25">
      <c r="F3318" s="281"/>
    </row>
    <row r="3319" spans="6:6" x14ac:dyDescent="0.25">
      <c r="F3319" s="281"/>
    </row>
    <row r="3320" spans="6:6" x14ac:dyDescent="0.25">
      <c r="F3320" s="281"/>
    </row>
    <row r="3321" spans="6:6" x14ac:dyDescent="0.25">
      <c r="F3321" s="281"/>
    </row>
    <row r="3322" spans="6:6" x14ac:dyDescent="0.25">
      <c r="F3322" s="281"/>
    </row>
    <row r="3323" spans="6:6" x14ac:dyDescent="0.25">
      <c r="F3323" s="281"/>
    </row>
    <row r="3324" spans="6:6" x14ac:dyDescent="0.25">
      <c r="F3324" s="281"/>
    </row>
    <row r="3325" spans="6:6" x14ac:dyDescent="0.25">
      <c r="F3325" s="281"/>
    </row>
    <row r="3326" spans="6:6" x14ac:dyDescent="0.25">
      <c r="F3326" s="281"/>
    </row>
    <row r="3327" spans="6:6" x14ac:dyDescent="0.25">
      <c r="F3327" s="281"/>
    </row>
    <row r="3328" spans="6:6" x14ac:dyDescent="0.25">
      <c r="F3328" s="281"/>
    </row>
    <row r="3329" spans="6:6" x14ac:dyDescent="0.25">
      <c r="F3329" s="281"/>
    </row>
    <row r="3330" spans="6:6" x14ac:dyDescent="0.25">
      <c r="F3330" s="281"/>
    </row>
    <row r="3331" spans="6:6" x14ac:dyDescent="0.25">
      <c r="F3331" s="281"/>
    </row>
    <row r="3332" spans="6:6" x14ac:dyDescent="0.25">
      <c r="F3332" s="281"/>
    </row>
    <row r="3333" spans="6:6" x14ac:dyDescent="0.25">
      <c r="F3333" s="281"/>
    </row>
    <row r="3334" spans="6:6" x14ac:dyDescent="0.25">
      <c r="F3334" s="281"/>
    </row>
    <row r="3335" spans="6:6" x14ac:dyDescent="0.25">
      <c r="F3335" s="281"/>
    </row>
    <row r="3336" spans="6:6" x14ac:dyDescent="0.25">
      <c r="F3336" s="281"/>
    </row>
    <row r="3337" spans="6:6" x14ac:dyDescent="0.25">
      <c r="F3337" s="281"/>
    </row>
    <row r="3338" spans="6:6" x14ac:dyDescent="0.25">
      <c r="F3338" s="281"/>
    </row>
    <row r="3339" spans="6:6" x14ac:dyDescent="0.25">
      <c r="F3339" s="281"/>
    </row>
    <row r="3340" spans="6:6" x14ac:dyDescent="0.25">
      <c r="F3340" s="281"/>
    </row>
    <row r="3341" spans="6:6" x14ac:dyDescent="0.25">
      <c r="F3341" s="281"/>
    </row>
    <row r="3342" spans="6:6" x14ac:dyDescent="0.25">
      <c r="F3342" s="281"/>
    </row>
    <row r="3343" spans="6:6" x14ac:dyDescent="0.25">
      <c r="F3343" s="281"/>
    </row>
    <row r="3344" spans="6:6" x14ac:dyDescent="0.25">
      <c r="F3344" s="281"/>
    </row>
    <row r="3345" spans="6:6" x14ac:dyDescent="0.25">
      <c r="F3345" s="281"/>
    </row>
    <row r="3346" spans="6:6" x14ac:dyDescent="0.25">
      <c r="F3346" s="281"/>
    </row>
    <row r="3347" spans="6:6" x14ac:dyDescent="0.25">
      <c r="F3347" s="281"/>
    </row>
    <row r="3348" spans="6:6" x14ac:dyDescent="0.25">
      <c r="F3348" s="281"/>
    </row>
    <row r="3349" spans="6:6" x14ac:dyDescent="0.25">
      <c r="F3349" s="281"/>
    </row>
    <row r="3350" spans="6:6" x14ac:dyDescent="0.25">
      <c r="F3350" s="281"/>
    </row>
    <row r="3351" spans="6:6" x14ac:dyDescent="0.25">
      <c r="F3351" s="281"/>
    </row>
    <row r="3352" spans="6:6" x14ac:dyDescent="0.25">
      <c r="F3352" s="281"/>
    </row>
    <row r="3353" spans="6:6" x14ac:dyDescent="0.25">
      <c r="F3353" s="281"/>
    </row>
    <row r="3354" spans="6:6" x14ac:dyDescent="0.25">
      <c r="F3354" s="281"/>
    </row>
    <row r="3355" spans="6:6" x14ac:dyDescent="0.25">
      <c r="F3355" s="281"/>
    </row>
    <row r="3356" spans="6:6" x14ac:dyDescent="0.25">
      <c r="F3356" s="281"/>
    </row>
    <row r="3357" spans="6:6" x14ac:dyDescent="0.25">
      <c r="F3357" s="281"/>
    </row>
    <row r="3358" spans="6:6" x14ac:dyDescent="0.25">
      <c r="F3358" s="281"/>
    </row>
    <row r="3359" spans="6:6" x14ac:dyDescent="0.25">
      <c r="F3359" s="281"/>
    </row>
    <row r="3360" spans="6:6" x14ac:dyDescent="0.25">
      <c r="F3360" s="281"/>
    </row>
    <row r="3361" spans="6:6" x14ac:dyDescent="0.25">
      <c r="F3361" s="281"/>
    </row>
    <row r="3362" spans="6:6" x14ac:dyDescent="0.25">
      <c r="F3362" s="281"/>
    </row>
    <row r="3363" spans="6:6" x14ac:dyDescent="0.25">
      <c r="F3363" s="281"/>
    </row>
    <row r="3364" spans="6:6" x14ac:dyDescent="0.25">
      <c r="F3364" s="281"/>
    </row>
    <row r="3365" spans="6:6" x14ac:dyDescent="0.25">
      <c r="F3365" s="281"/>
    </row>
    <row r="3366" spans="6:6" x14ac:dyDescent="0.25">
      <c r="F3366" s="281"/>
    </row>
    <row r="3367" spans="6:6" x14ac:dyDescent="0.25">
      <c r="F3367" s="281"/>
    </row>
    <row r="3368" spans="6:6" x14ac:dyDescent="0.25">
      <c r="F3368" s="281"/>
    </row>
    <row r="3369" spans="6:6" x14ac:dyDescent="0.25">
      <c r="F3369" s="281"/>
    </row>
    <row r="3370" spans="6:6" x14ac:dyDescent="0.25">
      <c r="F3370" s="281"/>
    </row>
    <row r="3371" spans="6:6" x14ac:dyDescent="0.25">
      <c r="F3371" s="281"/>
    </row>
    <row r="3372" spans="6:6" x14ac:dyDescent="0.25">
      <c r="F3372" s="281"/>
    </row>
    <row r="3373" spans="6:6" x14ac:dyDescent="0.25">
      <c r="F3373" s="281"/>
    </row>
    <row r="3374" spans="6:6" x14ac:dyDescent="0.25">
      <c r="F3374" s="281"/>
    </row>
    <row r="3375" spans="6:6" x14ac:dyDescent="0.25">
      <c r="F3375" s="281"/>
    </row>
    <row r="3376" spans="6:6" x14ac:dyDescent="0.25">
      <c r="F3376" s="281"/>
    </row>
    <row r="3377" spans="6:6" x14ac:dyDescent="0.25">
      <c r="F3377" s="281"/>
    </row>
    <row r="3378" spans="6:6" x14ac:dyDescent="0.25">
      <c r="F3378" s="281"/>
    </row>
    <row r="3379" spans="6:6" x14ac:dyDescent="0.25">
      <c r="F3379" s="281"/>
    </row>
    <row r="3380" spans="6:6" x14ac:dyDescent="0.25">
      <c r="F3380" s="281"/>
    </row>
    <row r="3381" spans="6:6" x14ac:dyDescent="0.25">
      <c r="F3381" s="281"/>
    </row>
    <row r="3382" spans="6:6" x14ac:dyDescent="0.25">
      <c r="F3382" s="281"/>
    </row>
    <row r="3383" spans="6:6" x14ac:dyDescent="0.25">
      <c r="F3383" s="281"/>
    </row>
    <row r="3384" spans="6:6" x14ac:dyDescent="0.25">
      <c r="F3384" s="281"/>
    </row>
    <row r="3385" spans="6:6" x14ac:dyDescent="0.25">
      <c r="F3385" s="281"/>
    </row>
    <row r="3386" spans="6:6" x14ac:dyDescent="0.25">
      <c r="F3386" s="281"/>
    </row>
    <row r="3387" spans="6:6" x14ac:dyDescent="0.25">
      <c r="F3387" s="281"/>
    </row>
    <row r="3388" spans="6:6" x14ac:dyDescent="0.25">
      <c r="F3388" s="281"/>
    </row>
    <row r="3389" spans="6:6" x14ac:dyDescent="0.25">
      <c r="F3389" s="281"/>
    </row>
    <row r="3390" spans="6:6" x14ac:dyDescent="0.25">
      <c r="F3390" s="281"/>
    </row>
    <row r="3391" spans="6:6" x14ac:dyDescent="0.25">
      <c r="F3391" s="281"/>
    </row>
    <row r="3392" spans="6:6" x14ac:dyDescent="0.25">
      <c r="F3392" s="281"/>
    </row>
    <row r="3393" spans="6:6" x14ac:dyDescent="0.25">
      <c r="F3393" s="281"/>
    </row>
    <row r="3394" spans="6:6" x14ac:dyDescent="0.25">
      <c r="F3394" s="281"/>
    </row>
    <row r="3395" spans="6:6" x14ac:dyDescent="0.25">
      <c r="F3395" s="281"/>
    </row>
    <row r="3396" spans="6:6" x14ac:dyDescent="0.25">
      <c r="F3396" s="281"/>
    </row>
    <row r="3397" spans="6:6" x14ac:dyDescent="0.25">
      <c r="F3397" s="281"/>
    </row>
    <row r="3398" spans="6:6" x14ac:dyDescent="0.25">
      <c r="F3398" s="281"/>
    </row>
    <row r="3399" spans="6:6" x14ac:dyDescent="0.25">
      <c r="F3399" s="281"/>
    </row>
    <row r="3400" spans="6:6" x14ac:dyDescent="0.25">
      <c r="F3400" s="281"/>
    </row>
    <row r="3401" spans="6:6" x14ac:dyDescent="0.25">
      <c r="F3401" s="281"/>
    </row>
    <row r="3402" spans="6:6" x14ac:dyDescent="0.25">
      <c r="F3402" s="281"/>
    </row>
    <row r="3403" spans="6:6" x14ac:dyDescent="0.25">
      <c r="F3403" s="281"/>
    </row>
    <row r="3404" spans="6:6" x14ac:dyDescent="0.25">
      <c r="F3404" s="281"/>
    </row>
    <row r="3405" spans="6:6" x14ac:dyDescent="0.25">
      <c r="F3405" s="281"/>
    </row>
    <row r="3406" spans="6:6" x14ac:dyDescent="0.25">
      <c r="F3406" s="281"/>
    </row>
    <row r="3407" spans="6:6" x14ac:dyDescent="0.25">
      <c r="F3407" s="281"/>
    </row>
    <row r="3408" spans="6:6" x14ac:dyDescent="0.25">
      <c r="F3408" s="281"/>
    </row>
    <row r="3409" spans="6:6" x14ac:dyDescent="0.25">
      <c r="F3409" s="281"/>
    </row>
    <row r="3410" spans="6:6" x14ac:dyDescent="0.25">
      <c r="F3410" s="281"/>
    </row>
    <row r="3411" spans="6:6" x14ac:dyDescent="0.25">
      <c r="F3411" s="281"/>
    </row>
    <row r="3412" spans="6:6" x14ac:dyDescent="0.25">
      <c r="F3412" s="281"/>
    </row>
    <row r="3413" spans="6:6" x14ac:dyDescent="0.25">
      <c r="F3413" s="281"/>
    </row>
    <row r="3414" spans="6:6" x14ac:dyDescent="0.25">
      <c r="F3414" s="281"/>
    </row>
    <row r="3415" spans="6:6" x14ac:dyDescent="0.25">
      <c r="F3415" s="281"/>
    </row>
    <row r="3416" spans="6:6" x14ac:dyDescent="0.25">
      <c r="F3416" s="281"/>
    </row>
    <row r="3417" spans="6:6" x14ac:dyDescent="0.25">
      <c r="F3417" s="281"/>
    </row>
    <row r="3418" spans="6:6" x14ac:dyDescent="0.25">
      <c r="F3418" s="281"/>
    </row>
    <row r="3419" spans="6:6" x14ac:dyDescent="0.25">
      <c r="F3419" s="281"/>
    </row>
    <row r="3420" spans="6:6" x14ac:dyDescent="0.25">
      <c r="F3420" s="281"/>
    </row>
    <row r="3421" spans="6:6" x14ac:dyDescent="0.25">
      <c r="F3421" s="281"/>
    </row>
    <row r="3422" spans="6:6" x14ac:dyDescent="0.25">
      <c r="F3422" s="281"/>
    </row>
    <row r="3423" spans="6:6" x14ac:dyDescent="0.25">
      <c r="F3423" s="281"/>
    </row>
    <row r="3424" spans="6:6" x14ac:dyDescent="0.25">
      <c r="F3424" s="281"/>
    </row>
    <row r="3425" spans="6:6" x14ac:dyDescent="0.25">
      <c r="F3425" s="281"/>
    </row>
    <row r="3426" spans="6:6" x14ac:dyDescent="0.25">
      <c r="F3426" s="281"/>
    </row>
    <row r="3427" spans="6:6" x14ac:dyDescent="0.25">
      <c r="F3427" s="281"/>
    </row>
    <row r="3428" spans="6:6" x14ac:dyDescent="0.25">
      <c r="F3428" s="281"/>
    </row>
    <row r="3429" spans="6:6" x14ac:dyDescent="0.25">
      <c r="F3429" s="281"/>
    </row>
    <row r="3430" spans="6:6" x14ac:dyDescent="0.25">
      <c r="F3430" s="281"/>
    </row>
    <row r="3431" spans="6:6" x14ac:dyDescent="0.25">
      <c r="F3431" s="281"/>
    </row>
    <row r="3432" spans="6:6" x14ac:dyDescent="0.25">
      <c r="F3432" s="281"/>
    </row>
    <row r="3433" spans="6:6" x14ac:dyDescent="0.25">
      <c r="F3433" s="281"/>
    </row>
    <row r="3434" spans="6:6" x14ac:dyDescent="0.25">
      <c r="F3434" s="281"/>
    </row>
    <row r="3435" spans="6:6" x14ac:dyDescent="0.25">
      <c r="F3435" s="281"/>
    </row>
    <row r="3436" spans="6:6" x14ac:dyDescent="0.25">
      <c r="F3436" s="281"/>
    </row>
    <row r="3437" spans="6:6" x14ac:dyDescent="0.25">
      <c r="F3437" s="281"/>
    </row>
    <row r="3438" spans="6:6" x14ac:dyDescent="0.25">
      <c r="F3438" s="281"/>
    </row>
    <row r="3439" spans="6:6" x14ac:dyDescent="0.25">
      <c r="F3439" s="281"/>
    </row>
    <row r="3440" spans="6:6" x14ac:dyDescent="0.25">
      <c r="F3440" s="281"/>
    </row>
    <row r="3441" spans="6:6" x14ac:dyDescent="0.25">
      <c r="F3441" s="281"/>
    </row>
    <row r="3442" spans="6:6" x14ac:dyDescent="0.25">
      <c r="F3442" s="281"/>
    </row>
    <row r="3443" spans="6:6" x14ac:dyDescent="0.25">
      <c r="F3443" s="281"/>
    </row>
    <row r="3444" spans="6:6" x14ac:dyDescent="0.25">
      <c r="F3444" s="281"/>
    </row>
    <row r="3445" spans="6:6" x14ac:dyDescent="0.25">
      <c r="F3445" s="281"/>
    </row>
    <row r="3446" spans="6:6" x14ac:dyDescent="0.25">
      <c r="F3446" s="281"/>
    </row>
    <row r="3447" spans="6:6" x14ac:dyDescent="0.25">
      <c r="F3447" s="281"/>
    </row>
    <row r="3448" spans="6:6" x14ac:dyDescent="0.25">
      <c r="F3448" s="281"/>
    </row>
    <row r="3449" spans="6:6" x14ac:dyDescent="0.25">
      <c r="F3449" s="281"/>
    </row>
    <row r="3450" spans="6:6" x14ac:dyDescent="0.25">
      <c r="F3450" s="281"/>
    </row>
    <row r="3451" spans="6:6" x14ac:dyDescent="0.25">
      <c r="F3451" s="281"/>
    </row>
    <row r="3452" spans="6:6" x14ac:dyDescent="0.25">
      <c r="F3452" s="281"/>
    </row>
    <row r="3453" spans="6:6" x14ac:dyDescent="0.25">
      <c r="F3453" s="281"/>
    </row>
    <row r="3454" spans="6:6" x14ac:dyDescent="0.25">
      <c r="F3454" s="281"/>
    </row>
    <row r="3455" spans="6:6" x14ac:dyDescent="0.25">
      <c r="F3455" s="281"/>
    </row>
    <row r="3456" spans="6:6" x14ac:dyDescent="0.25">
      <c r="F3456" s="281"/>
    </row>
    <row r="3457" spans="6:6" x14ac:dyDescent="0.25">
      <c r="F3457" s="281"/>
    </row>
    <row r="3458" spans="6:6" x14ac:dyDescent="0.25">
      <c r="F3458" s="281"/>
    </row>
    <row r="3459" spans="6:6" x14ac:dyDescent="0.25">
      <c r="F3459" s="281"/>
    </row>
    <row r="3460" spans="6:6" x14ac:dyDescent="0.25">
      <c r="F3460" s="281"/>
    </row>
    <row r="3461" spans="6:6" x14ac:dyDescent="0.25">
      <c r="F3461" s="281"/>
    </row>
    <row r="3462" spans="6:6" x14ac:dyDescent="0.25">
      <c r="F3462" s="281"/>
    </row>
    <row r="3463" spans="6:6" x14ac:dyDescent="0.25">
      <c r="F3463" s="281"/>
    </row>
    <row r="3464" spans="6:6" x14ac:dyDescent="0.25">
      <c r="F3464" s="281"/>
    </row>
    <row r="3465" spans="6:6" x14ac:dyDescent="0.25">
      <c r="F3465" s="281"/>
    </row>
    <row r="3466" spans="6:6" x14ac:dyDescent="0.25">
      <c r="F3466" s="281"/>
    </row>
    <row r="3467" spans="6:6" x14ac:dyDescent="0.25">
      <c r="F3467" s="281"/>
    </row>
    <row r="3468" spans="6:6" x14ac:dyDescent="0.25">
      <c r="F3468" s="281"/>
    </row>
    <row r="3469" spans="6:6" x14ac:dyDescent="0.25">
      <c r="F3469" s="281"/>
    </row>
    <row r="3470" spans="6:6" x14ac:dyDescent="0.25">
      <c r="F3470" s="281"/>
    </row>
    <row r="3471" spans="6:6" x14ac:dyDescent="0.25">
      <c r="F3471" s="281"/>
    </row>
    <row r="3472" spans="6:6" x14ac:dyDescent="0.25">
      <c r="F3472" s="281"/>
    </row>
    <row r="3473" spans="6:6" x14ac:dyDescent="0.25">
      <c r="F3473" s="281"/>
    </row>
    <row r="3474" spans="6:6" x14ac:dyDescent="0.25">
      <c r="F3474" s="281"/>
    </row>
    <row r="3475" spans="6:6" x14ac:dyDescent="0.25">
      <c r="F3475" s="281"/>
    </row>
    <row r="3476" spans="6:6" x14ac:dyDescent="0.25">
      <c r="F3476" s="281"/>
    </row>
    <row r="3477" spans="6:6" x14ac:dyDescent="0.25">
      <c r="F3477" s="281"/>
    </row>
    <row r="3478" spans="6:6" x14ac:dyDescent="0.25">
      <c r="F3478" s="281"/>
    </row>
    <row r="3479" spans="6:6" x14ac:dyDescent="0.25">
      <c r="F3479" s="281"/>
    </row>
    <row r="3480" spans="6:6" x14ac:dyDescent="0.25">
      <c r="F3480" s="281"/>
    </row>
    <row r="3481" spans="6:6" x14ac:dyDescent="0.25">
      <c r="F3481" s="281"/>
    </row>
    <row r="3482" spans="6:6" x14ac:dyDescent="0.25">
      <c r="F3482" s="281"/>
    </row>
    <row r="3483" spans="6:6" x14ac:dyDescent="0.25">
      <c r="F3483" s="281"/>
    </row>
    <row r="3484" spans="6:6" x14ac:dyDescent="0.25">
      <c r="F3484" s="281"/>
    </row>
    <row r="3485" spans="6:6" x14ac:dyDescent="0.25">
      <c r="F3485" s="281"/>
    </row>
    <row r="3486" spans="6:6" x14ac:dyDescent="0.25">
      <c r="F3486" s="281"/>
    </row>
    <row r="3487" spans="6:6" x14ac:dyDescent="0.25">
      <c r="F3487" s="281"/>
    </row>
    <row r="3488" spans="6:6" x14ac:dyDescent="0.25">
      <c r="F3488" s="281"/>
    </row>
    <row r="3489" spans="6:6" x14ac:dyDescent="0.25">
      <c r="F3489" s="281"/>
    </row>
    <row r="3490" spans="6:6" x14ac:dyDescent="0.25">
      <c r="F3490" s="281"/>
    </row>
    <row r="3491" spans="6:6" x14ac:dyDescent="0.25">
      <c r="F3491" s="281"/>
    </row>
    <row r="3492" spans="6:6" x14ac:dyDescent="0.25">
      <c r="F3492" s="281"/>
    </row>
    <row r="3493" spans="6:6" x14ac:dyDescent="0.25">
      <c r="F3493" s="281"/>
    </row>
    <row r="3494" spans="6:6" x14ac:dyDescent="0.25">
      <c r="F3494" s="281"/>
    </row>
    <row r="3495" spans="6:6" x14ac:dyDescent="0.25">
      <c r="F3495" s="281"/>
    </row>
    <row r="3496" spans="6:6" x14ac:dyDescent="0.25">
      <c r="F3496" s="281"/>
    </row>
    <row r="3497" spans="6:6" x14ac:dyDescent="0.25">
      <c r="F3497" s="281"/>
    </row>
    <row r="3498" spans="6:6" x14ac:dyDescent="0.25">
      <c r="F3498" s="281"/>
    </row>
    <row r="3499" spans="6:6" x14ac:dyDescent="0.25">
      <c r="F3499" s="281"/>
    </row>
    <row r="3500" spans="6:6" x14ac:dyDescent="0.25">
      <c r="F3500" s="281"/>
    </row>
    <row r="3501" spans="6:6" x14ac:dyDescent="0.25">
      <c r="F3501" s="281"/>
    </row>
    <row r="3502" spans="6:6" x14ac:dyDescent="0.25">
      <c r="F3502" s="281"/>
    </row>
    <row r="3503" spans="6:6" x14ac:dyDescent="0.25">
      <c r="F3503" s="281"/>
    </row>
    <row r="3504" spans="6:6" x14ac:dyDescent="0.25">
      <c r="F3504" s="281"/>
    </row>
    <row r="3505" spans="6:6" x14ac:dyDescent="0.25">
      <c r="F3505" s="281"/>
    </row>
    <row r="3506" spans="6:6" x14ac:dyDescent="0.25">
      <c r="F3506" s="281"/>
    </row>
    <row r="3507" spans="6:6" x14ac:dyDescent="0.25">
      <c r="F3507" s="281"/>
    </row>
    <row r="3508" spans="6:6" x14ac:dyDescent="0.25">
      <c r="F3508" s="281"/>
    </row>
    <row r="3509" spans="6:6" x14ac:dyDescent="0.25">
      <c r="F3509" s="281"/>
    </row>
    <row r="3510" spans="6:6" x14ac:dyDescent="0.25">
      <c r="F3510" s="281"/>
    </row>
    <row r="3511" spans="6:6" x14ac:dyDescent="0.25">
      <c r="F3511" s="281"/>
    </row>
    <row r="3512" spans="6:6" x14ac:dyDescent="0.25">
      <c r="F3512" s="281"/>
    </row>
    <row r="3513" spans="6:6" x14ac:dyDescent="0.25">
      <c r="F3513" s="281"/>
    </row>
    <row r="3514" spans="6:6" x14ac:dyDescent="0.25">
      <c r="F3514" s="281"/>
    </row>
    <row r="3515" spans="6:6" x14ac:dyDescent="0.25">
      <c r="F3515" s="281"/>
    </row>
    <row r="3516" spans="6:6" x14ac:dyDescent="0.25">
      <c r="F3516" s="281"/>
    </row>
    <row r="3517" spans="6:6" x14ac:dyDescent="0.25">
      <c r="F3517" s="281"/>
    </row>
    <row r="3518" spans="6:6" x14ac:dyDescent="0.25">
      <c r="F3518" s="281"/>
    </row>
    <row r="3519" spans="6:6" x14ac:dyDescent="0.25">
      <c r="F3519" s="281"/>
    </row>
    <row r="3520" spans="6:6" x14ac:dyDescent="0.25">
      <c r="F3520" s="281"/>
    </row>
    <row r="3521" spans="6:6" x14ac:dyDescent="0.25">
      <c r="F3521" s="281"/>
    </row>
    <row r="3522" spans="6:6" x14ac:dyDescent="0.25">
      <c r="F3522" s="281"/>
    </row>
    <row r="3523" spans="6:6" x14ac:dyDescent="0.25">
      <c r="F3523" s="281"/>
    </row>
    <row r="3524" spans="6:6" x14ac:dyDescent="0.25">
      <c r="F3524" s="281"/>
    </row>
    <row r="3525" spans="6:6" x14ac:dyDescent="0.25">
      <c r="F3525" s="281"/>
    </row>
    <row r="3526" spans="6:6" x14ac:dyDescent="0.25">
      <c r="F3526" s="281"/>
    </row>
    <row r="3527" spans="6:6" x14ac:dyDescent="0.25">
      <c r="F3527" s="281"/>
    </row>
    <row r="3528" spans="6:6" x14ac:dyDescent="0.25">
      <c r="F3528" s="281"/>
    </row>
    <row r="3529" spans="6:6" x14ac:dyDescent="0.25">
      <c r="F3529" s="281"/>
    </row>
    <row r="3530" spans="6:6" x14ac:dyDescent="0.25">
      <c r="F3530" s="281"/>
    </row>
    <row r="3531" spans="6:6" x14ac:dyDescent="0.25">
      <c r="F3531" s="281"/>
    </row>
    <row r="3532" spans="6:6" x14ac:dyDescent="0.25">
      <c r="F3532" s="281"/>
    </row>
    <row r="3533" spans="6:6" x14ac:dyDescent="0.25">
      <c r="F3533" s="281"/>
    </row>
    <row r="3534" spans="6:6" x14ac:dyDescent="0.25">
      <c r="F3534" s="281"/>
    </row>
    <row r="3535" spans="6:6" x14ac:dyDescent="0.25">
      <c r="F3535" s="281"/>
    </row>
    <row r="3536" spans="6:6" x14ac:dyDescent="0.25">
      <c r="F3536" s="281"/>
    </row>
    <row r="3537" spans="6:6" x14ac:dyDescent="0.25">
      <c r="F3537" s="281"/>
    </row>
    <row r="3538" spans="6:6" x14ac:dyDescent="0.25">
      <c r="F3538" s="281"/>
    </row>
    <row r="3539" spans="6:6" x14ac:dyDescent="0.25">
      <c r="F3539" s="281"/>
    </row>
    <row r="3540" spans="6:6" x14ac:dyDescent="0.25">
      <c r="F3540" s="281"/>
    </row>
    <row r="3541" spans="6:6" x14ac:dyDescent="0.25">
      <c r="F3541" s="281"/>
    </row>
    <row r="3542" spans="6:6" x14ac:dyDescent="0.25">
      <c r="F3542" s="281"/>
    </row>
    <row r="3543" spans="6:6" x14ac:dyDescent="0.25">
      <c r="F3543" s="281"/>
    </row>
    <row r="3544" spans="6:6" x14ac:dyDescent="0.25">
      <c r="F3544" s="281"/>
    </row>
    <row r="3545" spans="6:6" x14ac:dyDescent="0.25">
      <c r="F3545" s="281"/>
    </row>
    <row r="3546" spans="6:6" x14ac:dyDescent="0.25">
      <c r="F3546" s="281"/>
    </row>
    <row r="3547" spans="6:6" x14ac:dyDescent="0.25">
      <c r="F3547" s="281"/>
    </row>
    <row r="3548" spans="6:6" x14ac:dyDescent="0.25">
      <c r="F3548" s="281"/>
    </row>
    <row r="3549" spans="6:6" x14ac:dyDescent="0.25">
      <c r="F3549" s="281"/>
    </row>
    <row r="3550" spans="6:6" x14ac:dyDescent="0.25">
      <c r="F3550" s="281"/>
    </row>
    <row r="3551" spans="6:6" x14ac:dyDescent="0.25">
      <c r="F3551" s="281"/>
    </row>
    <row r="3552" spans="6:6" x14ac:dyDescent="0.25">
      <c r="F3552" s="281"/>
    </row>
    <row r="3553" spans="6:6" x14ac:dyDescent="0.25">
      <c r="F3553" s="281"/>
    </row>
    <row r="3554" spans="6:6" x14ac:dyDescent="0.25">
      <c r="F3554" s="281"/>
    </row>
    <row r="3555" spans="6:6" x14ac:dyDescent="0.25">
      <c r="F3555" s="281"/>
    </row>
    <row r="3556" spans="6:6" x14ac:dyDescent="0.25">
      <c r="F3556" s="281"/>
    </row>
    <row r="3557" spans="6:6" x14ac:dyDescent="0.25">
      <c r="F3557" s="281"/>
    </row>
    <row r="3558" spans="6:6" x14ac:dyDescent="0.25">
      <c r="F3558" s="281"/>
    </row>
    <row r="3559" spans="6:6" x14ac:dyDescent="0.25">
      <c r="F3559" s="281"/>
    </row>
    <row r="3560" spans="6:6" x14ac:dyDescent="0.25">
      <c r="F3560" s="281"/>
    </row>
    <row r="3561" spans="6:6" x14ac:dyDescent="0.25">
      <c r="F3561" s="281"/>
    </row>
    <row r="3562" spans="6:6" x14ac:dyDescent="0.25">
      <c r="F3562" s="281"/>
    </row>
    <row r="3563" spans="6:6" x14ac:dyDescent="0.25">
      <c r="F3563" s="281"/>
    </row>
    <row r="3564" spans="6:6" x14ac:dyDescent="0.25">
      <c r="F3564" s="281"/>
    </row>
    <row r="3565" spans="6:6" x14ac:dyDescent="0.25">
      <c r="F3565" s="281"/>
    </row>
    <row r="3566" spans="6:6" x14ac:dyDescent="0.25">
      <c r="F3566" s="281"/>
    </row>
    <row r="3567" spans="6:6" x14ac:dyDescent="0.25">
      <c r="F3567" s="281"/>
    </row>
    <row r="3568" spans="6:6" x14ac:dyDescent="0.25">
      <c r="F3568" s="281"/>
    </row>
    <row r="3569" spans="6:6" x14ac:dyDescent="0.25">
      <c r="F3569" s="281"/>
    </row>
    <row r="3570" spans="6:6" x14ac:dyDescent="0.25">
      <c r="F3570" s="281"/>
    </row>
    <row r="3571" spans="6:6" x14ac:dyDescent="0.25">
      <c r="F3571" s="281"/>
    </row>
    <row r="3572" spans="6:6" x14ac:dyDescent="0.25">
      <c r="F3572" s="281"/>
    </row>
    <row r="3573" spans="6:6" x14ac:dyDescent="0.25">
      <c r="F3573" s="281"/>
    </row>
    <row r="3574" spans="6:6" x14ac:dyDescent="0.25">
      <c r="F3574" s="281"/>
    </row>
    <row r="3575" spans="6:6" x14ac:dyDescent="0.25">
      <c r="F3575" s="281"/>
    </row>
    <row r="3576" spans="6:6" x14ac:dyDescent="0.25">
      <c r="F3576" s="281"/>
    </row>
    <row r="3577" spans="6:6" x14ac:dyDescent="0.25">
      <c r="F3577" s="281"/>
    </row>
    <row r="3578" spans="6:6" x14ac:dyDescent="0.25">
      <c r="F3578" s="281"/>
    </row>
    <row r="3579" spans="6:6" x14ac:dyDescent="0.25">
      <c r="F3579" s="281"/>
    </row>
    <row r="3580" spans="6:6" x14ac:dyDescent="0.25">
      <c r="F3580" s="281"/>
    </row>
    <row r="3581" spans="6:6" x14ac:dyDescent="0.25">
      <c r="F3581" s="281"/>
    </row>
    <row r="3582" spans="6:6" x14ac:dyDescent="0.25">
      <c r="F3582" s="281"/>
    </row>
    <row r="3583" spans="6:6" x14ac:dyDescent="0.25">
      <c r="F3583" s="281"/>
    </row>
    <row r="3584" spans="6:6" x14ac:dyDescent="0.25">
      <c r="F3584" s="281"/>
    </row>
    <row r="3585" spans="6:6" x14ac:dyDescent="0.25">
      <c r="F3585" s="281"/>
    </row>
    <row r="3586" spans="6:6" x14ac:dyDescent="0.25">
      <c r="F3586" s="281"/>
    </row>
    <row r="3587" spans="6:6" x14ac:dyDescent="0.25">
      <c r="F3587" s="281"/>
    </row>
    <row r="3588" spans="6:6" x14ac:dyDescent="0.25">
      <c r="F3588" s="281"/>
    </row>
    <row r="3589" spans="6:6" x14ac:dyDescent="0.25">
      <c r="F3589" s="281"/>
    </row>
    <row r="3590" spans="6:6" x14ac:dyDescent="0.25">
      <c r="F3590" s="281"/>
    </row>
    <row r="3591" spans="6:6" x14ac:dyDescent="0.25">
      <c r="F3591" s="281"/>
    </row>
    <row r="3592" spans="6:6" x14ac:dyDescent="0.25">
      <c r="F3592" s="281"/>
    </row>
    <row r="3593" spans="6:6" x14ac:dyDescent="0.25">
      <c r="F3593" s="281"/>
    </row>
    <row r="3594" spans="6:6" x14ac:dyDescent="0.25">
      <c r="F3594" s="281"/>
    </row>
    <row r="3595" spans="6:6" x14ac:dyDescent="0.25">
      <c r="F3595" s="281"/>
    </row>
    <row r="3596" spans="6:6" x14ac:dyDescent="0.25">
      <c r="F3596" s="281"/>
    </row>
    <row r="3597" spans="6:6" x14ac:dyDescent="0.25">
      <c r="F3597" s="281"/>
    </row>
    <row r="3598" spans="6:6" x14ac:dyDescent="0.25">
      <c r="F3598" s="281"/>
    </row>
    <row r="3599" spans="6:6" x14ac:dyDescent="0.25">
      <c r="F3599" s="281"/>
    </row>
    <row r="3600" spans="6:6" x14ac:dyDescent="0.25">
      <c r="F3600" s="281"/>
    </row>
    <row r="3601" spans="6:6" x14ac:dyDescent="0.25">
      <c r="F3601" s="281"/>
    </row>
    <row r="3602" spans="6:6" x14ac:dyDescent="0.25">
      <c r="F3602" s="281"/>
    </row>
    <row r="3603" spans="6:6" x14ac:dyDescent="0.25">
      <c r="F3603" s="281"/>
    </row>
    <row r="3604" spans="6:6" x14ac:dyDescent="0.25">
      <c r="F3604" s="281"/>
    </row>
    <row r="3605" spans="6:6" x14ac:dyDescent="0.25">
      <c r="F3605" s="281"/>
    </row>
    <row r="3606" spans="6:6" x14ac:dyDescent="0.25">
      <c r="F3606" s="281"/>
    </row>
    <row r="3607" spans="6:6" x14ac:dyDescent="0.25">
      <c r="F3607" s="281"/>
    </row>
    <row r="3608" spans="6:6" x14ac:dyDescent="0.25">
      <c r="F3608" s="281"/>
    </row>
    <row r="3609" spans="6:6" x14ac:dyDescent="0.25">
      <c r="F3609" s="281"/>
    </row>
    <row r="3610" spans="6:6" x14ac:dyDescent="0.25">
      <c r="F3610" s="281"/>
    </row>
    <row r="3611" spans="6:6" x14ac:dyDescent="0.25">
      <c r="F3611" s="281"/>
    </row>
    <row r="3612" spans="6:6" x14ac:dyDescent="0.25">
      <c r="F3612" s="281"/>
    </row>
    <row r="3613" spans="6:6" x14ac:dyDescent="0.25">
      <c r="F3613" s="281"/>
    </row>
    <row r="3614" spans="6:6" x14ac:dyDescent="0.25">
      <c r="F3614" s="281"/>
    </row>
    <row r="3615" spans="6:6" x14ac:dyDescent="0.25">
      <c r="F3615" s="281"/>
    </row>
    <row r="3616" spans="6:6" x14ac:dyDescent="0.25">
      <c r="F3616" s="281"/>
    </row>
    <row r="3617" spans="6:6" x14ac:dyDescent="0.25">
      <c r="F3617" s="281"/>
    </row>
    <row r="3618" spans="6:6" x14ac:dyDescent="0.25">
      <c r="F3618" s="281"/>
    </row>
    <row r="3619" spans="6:6" x14ac:dyDescent="0.25">
      <c r="F3619" s="281"/>
    </row>
    <row r="3620" spans="6:6" x14ac:dyDescent="0.25">
      <c r="F3620" s="281"/>
    </row>
    <row r="3621" spans="6:6" x14ac:dyDescent="0.25">
      <c r="F3621" s="281"/>
    </row>
    <row r="3622" spans="6:6" x14ac:dyDescent="0.25">
      <c r="F3622" s="281"/>
    </row>
    <row r="3623" spans="6:6" x14ac:dyDescent="0.25">
      <c r="F3623" s="281"/>
    </row>
    <row r="3624" spans="6:6" x14ac:dyDescent="0.25">
      <c r="F3624" s="281"/>
    </row>
    <row r="3625" spans="6:6" x14ac:dyDescent="0.25">
      <c r="F3625" s="281"/>
    </row>
    <row r="3626" spans="6:6" x14ac:dyDescent="0.25">
      <c r="F3626" s="281"/>
    </row>
    <row r="3627" spans="6:6" x14ac:dyDescent="0.25">
      <c r="F3627" s="281"/>
    </row>
    <row r="3628" spans="6:6" x14ac:dyDescent="0.25">
      <c r="F3628" s="281"/>
    </row>
    <row r="3629" spans="6:6" x14ac:dyDescent="0.25">
      <c r="F3629" s="281"/>
    </row>
    <row r="3630" spans="6:6" x14ac:dyDescent="0.25">
      <c r="F3630" s="281"/>
    </row>
    <row r="3631" spans="6:6" x14ac:dyDescent="0.25">
      <c r="F3631" s="281"/>
    </row>
    <row r="3632" spans="6:6" x14ac:dyDescent="0.25">
      <c r="F3632" s="281"/>
    </row>
    <row r="3633" spans="6:6" x14ac:dyDescent="0.25">
      <c r="F3633" s="281"/>
    </row>
    <row r="3634" spans="6:6" x14ac:dyDescent="0.25">
      <c r="F3634" s="281"/>
    </row>
    <row r="3635" spans="6:6" x14ac:dyDescent="0.25">
      <c r="F3635" s="281"/>
    </row>
    <row r="3636" spans="6:6" x14ac:dyDescent="0.25">
      <c r="F3636" s="281"/>
    </row>
    <row r="3637" spans="6:6" x14ac:dyDescent="0.25">
      <c r="F3637" s="281"/>
    </row>
    <row r="3638" spans="6:6" x14ac:dyDescent="0.25">
      <c r="F3638" s="281"/>
    </row>
    <row r="3639" spans="6:6" x14ac:dyDescent="0.25">
      <c r="F3639" s="281"/>
    </row>
    <row r="3640" spans="6:6" x14ac:dyDescent="0.25">
      <c r="F3640" s="281"/>
    </row>
    <row r="3641" spans="6:6" x14ac:dyDescent="0.25">
      <c r="F3641" s="281"/>
    </row>
    <row r="3642" spans="6:6" x14ac:dyDescent="0.25">
      <c r="F3642" s="281"/>
    </row>
    <row r="3643" spans="6:6" x14ac:dyDescent="0.25">
      <c r="F3643" s="281"/>
    </row>
    <row r="3644" spans="6:6" x14ac:dyDescent="0.25">
      <c r="F3644" s="281"/>
    </row>
    <row r="3645" spans="6:6" x14ac:dyDescent="0.25">
      <c r="F3645" s="281"/>
    </row>
    <row r="3646" spans="6:6" x14ac:dyDescent="0.25">
      <c r="F3646" s="281"/>
    </row>
    <row r="3647" spans="6:6" x14ac:dyDescent="0.25">
      <c r="F3647" s="281"/>
    </row>
    <row r="3648" spans="6:6" x14ac:dyDescent="0.25">
      <c r="F3648" s="281"/>
    </row>
    <row r="3649" spans="6:6" x14ac:dyDescent="0.25">
      <c r="F3649" s="281"/>
    </row>
    <row r="3650" spans="6:6" x14ac:dyDescent="0.25">
      <c r="F3650" s="281"/>
    </row>
    <row r="3651" spans="6:6" x14ac:dyDescent="0.25">
      <c r="F3651" s="281"/>
    </row>
    <row r="3652" spans="6:6" x14ac:dyDescent="0.25">
      <c r="F3652" s="281"/>
    </row>
    <row r="3653" spans="6:6" x14ac:dyDescent="0.25">
      <c r="F3653" s="281"/>
    </row>
    <row r="3654" spans="6:6" x14ac:dyDescent="0.25">
      <c r="F3654" s="281"/>
    </row>
    <row r="3655" spans="6:6" x14ac:dyDescent="0.25">
      <c r="F3655" s="281"/>
    </row>
    <row r="3656" spans="6:6" x14ac:dyDescent="0.25">
      <c r="F3656" s="281"/>
    </row>
    <row r="3657" spans="6:6" x14ac:dyDescent="0.25">
      <c r="F3657" s="281"/>
    </row>
    <row r="3658" spans="6:6" x14ac:dyDescent="0.25">
      <c r="F3658" s="281"/>
    </row>
    <row r="3659" spans="6:6" x14ac:dyDescent="0.25">
      <c r="F3659" s="281"/>
    </row>
    <row r="3660" spans="6:6" x14ac:dyDescent="0.25">
      <c r="F3660" s="281"/>
    </row>
    <row r="3661" spans="6:6" x14ac:dyDescent="0.25">
      <c r="F3661" s="281"/>
    </row>
    <row r="3662" spans="6:6" x14ac:dyDescent="0.25">
      <c r="F3662" s="281"/>
    </row>
    <row r="3663" spans="6:6" x14ac:dyDescent="0.25">
      <c r="F3663" s="281"/>
    </row>
    <row r="3664" spans="6:6" x14ac:dyDescent="0.25">
      <c r="F3664" s="281"/>
    </row>
    <row r="3665" spans="6:6" x14ac:dyDescent="0.25">
      <c r="F3665" s="281"/>
    </row>
    <row r="3666" spans="6:6" x14ac:dyDescent="0.25">
      <c r="F3666" s="281"/>
    </row>
    <row r="3667" spans="6:6" x14ac:dyDescent="0.25">
      <c r="F3667" s="281"/>
    </row>
    <row r="3668" spans="6:6" x14ac:dyDescent="0.25">
      <c r="F3668" s="281"/>
    </row>
    <row r="3669" spans="6:6" x14ac:dyDescent="0.25">
      <c r="F3669" s="281"/>
    </row>
    <row r="3670" spans="6:6" x14ac:dyDescent="0.25">
      <c r="F3670" s="281"/>
    </row>
    <row r="3671" spans="6:6" x14ac:dyDescent="0.25">
      <c r="F3671" s="281"/>
    </row>
    <row r="3672" spans="6:6" x14ac:dyDescent="0.25">
      <c r="F3672" s="281"/>
    </row>
    <row r="3673" spans="6:6" x14ac:dyDescent="0.25">
      <c r="F3673" s="281"/>
    </row>
    <row r="3674" spans="6:6" x14ac:dyDescent="0.25">
      <c r="F3674" s="281"/>
    </row>
    <row r="3675" spans="6:6" x14ac:dyDescent="0.25">
      <c r="F3675" s="281"/>
    </row>
    <row r="3676" spans="6:6" x14ac:dyDescent="0.25">
      <c r="F3676" s="281"/>
    </row>
    <row r="3677" spans="6:6" x14ac:dyDescent="0.25">
      <c r="F3677" s="281"/>
    </row>
    <row r="3678" spans="6:6" x14ac:dyDescent="0.25">
      <c r="F3678" s="281"/>
    </row>
    <row r="3679" spans="6:6" x14ac:dyDescent="0.25">
      <c r="F3679" s="281"/>
    </row>
    <row r="3680" spans="6:6" x14ac:dyDescent="0.25">
      <c r="F3680" s="281"/>
    </row>
    <row r="3681" spans="6:6" x14ac:dyDescent="0.25">
      <c r="F3681" s="281"/>
    </row>
    <row r="3682" spans="6:6" x14ac:dyDescent="0.25">
      <c r="F3682" s="281"/>
    </row>
    <row r="3683" spans="6:6" x14ac:dyDescent="0.25">
      <c r="F3683" s="281"/>
    </row>
    <row r="3684" spans="6:6" x14ac:dyDescent="0.25">
      <c r="F3684" s="281"/>
    </row>
    <row r="3685" spans="6:6" x14ac:dyDescent="0.25">
      <c r="F3685" s="281"/>
    </row>
    <row r="3686" spans="6:6" x14ac:dyDescent="0.25">
      <c r="F3686" s="281"/>
    </row>
    <row r="3687" spans="6:6" x14ac:dyDescent="0.25">
      <c r="F3687" s="281"/>
    </row>
    <row r="3688" spans="6:6" x14ac:dyDescent="0.25">
      <c r="F3688" s="281"/>
    </row>
    <row r="3689" spans="6:6" x14ac:dyDescent="0.25">
      <c r="F3689" s="281"/>
    </row>
    <row r="3690" spans="6:6" x14ac:dyDescent="0.25">
      <c r="F3690" s="281"/>
    </row>
    <row r="3691" spans="6:6" x14ac:dyDescent="0.25">
      <c r="F3691" s="281"/>
    </row>
    <row r="3692" spans="6:6" x14ac:dyDescent="0.25">
      <c r="F3692" s="281"/>
    </row>
    <row r="3693" spans="6:6" x14ac:dyDescent="0.25">
      <c r="F3693" s="281"/>
    </row>
    <row r="3694" spans="6:6" x14ac:dyDescent="0.25">
      <c r="F3694" s="281"/>
    </row>
    <row r="3695" spans="6:6" x14ac:dyDescent="0.25">
      <c r="F3695" s="281"/>
    </row>
    <row r="3696" spans="6:6" x14ac:dyDescent="0.25">
      <c r="F3696" s="281"/>
    </row>
    <row r="3697" spans="6:6" x14ac:dyDescent="0.25">
      <c r="F3697" s="281"/>
    </row>
    <row r="3698" spans="6:6" x14ac:dyDescent="0.25">
      <c r="F3698" s="281"/>
    </row>
    <row r="3699" spans="6:6" x14ac:dyDescent="0.25">
      <c r="F3699" s="281"/>
    </row>
    <row r="3700" spans="6:6" x14ac:dyDescent="0.25">
      <c r="F3700" s="281"/>
    </row>
    <row r="3701" spans="6:6" x14ac:dyDescent="0.25">
      <c r="F3701" s="281"/>
    </row>
    <row r="3702" spans="6:6" x14ac:dyDescent="0.25">
      <c r="F3702" s="281"/>
    </row>
    <row r="3703" spans="6:6" x14ac:dyDescent="0.25">
      <c r="F3703" s="281"/>
    </row>
    <row r="3704" spans="6:6" x14ac:dyDescent="0.25">
      <c r="F3704" s="281"/>
    </row>
    <row r="3705" spans="6:6" x14ac:dyDescent="0.25">
      <c r="F3705" s="281"/>
    </row>
    <row r="3706" spans="6:6" x14ac:dyDescent="0.25">
      <c r="F3706" s="281"/>
    </row>
    <row r="3707" spans="6:6" x14ac:dyDescent="0.25">
      <c r="F3707" s="281"/>
    </row>
    <row r="3708" spans="6:6" x14ac:dyDescent="0.25">
      <c r="F3708" s="281"/>
    </row>
    <row r="3709" spans="6:6" x14ac:dyDescent="0.25">
      <c r="F3709" s="281"/>
    </row>
    <row r="3710" spans="6:6" x14ac:dyDescent="0.25">
      <c r="F3710" s="281"/>
    </row>
    <row r="3711" spans="6:6" x14ac:dyDescent="0.25">
      <c r="F3711" s="281"/>
    </row>
    <row r="3712" spans="6:6" x14ac:dyDescent="0.25">
      <c r="F3712" s="281"/>
    </row>
    <row r="3713" spans="6:6" x14ac:dyDescent="0.25">
      <c r="F3713" s="281"/>
    </row>
    <row r="3714" spans="6:6" x14ac:dyDescent="0.25">
      <c r="F3714" s="281"/>
    </row>
    <row r="3715" spans="6:6" x14ac:dyDescent="0.25">
      <c r="F3715" s="281"/>
    </row>
    <row r="3716" spans="6:6" x14ac:dyDescent="0.25">
      <c r="F3716" s="281"/>
    </row>
    <row r="3717" spans="6:6" x14ac:dyDescent="0.25">
      <c r="F3717" s="281"/>
    </row>
    <row r="3718" spans="6:6" x14ac:dyDescent="0.25">
      <c r="F3718" s="281"/>
    </row>
    <row r="3719" spans="6:6" x14ac:dyDescent="0.25">
      <c r="F3719" s="281"/>
    </row>
    <row r="3720" spans="6:6" x14ac:dyDescent="0.25">
      <c r="F3720" s="281"/>
    </row>
    <row r="3721" spans="6:6" x14ac:dyDescent="0.25">
      <c r="F3721" s="281"/>
    </row>
    <row r="3722" spans="6:6" x14ac:dyDescent="0.25">
      <c r="F3722" s="281"/>
    </row>
    <row r="3723" spans="6:6" x14ac:dyDescent="0.25">
      <c r="F3723" s="281"/>
    </row>
    <row r="3724" spans="6:6" x14ac:dyDescent="0.25">
      <c r="F3724" s="281"/>
    </row>
    <row r="3725" spans="6:6" x14ac:dyDescent="0.25">
      <c r="F3725" s="281"/>
    </row>
    <row r="3726" spans="6:6" x14ac:dyDescent="0.25">
      <c r="F3726" s="281"/>
    </row>
    <row r="3727" spans="6:6" x14ac:dyDescent="0.25">
      <c r="F3727" s="281"/>
    </row>
    <row r="3728" spans="6:6" x14ac:dyDescent="0.25">
      <c r="F3728" s="281"/>
    </row>
    <row r="3729" spans="6:6" x14ac:dyDescent="0.25">
      <c r="F3729" s="281"/>
    </row>
    <row r="3730" spans="6:6" x14ac:dyDescent="0.25">
      <c r="F3730" s="281"/>
    </row>
    <row r="3731" spans="6:6" x14ac:dyDescent="0.25">
      <c r="F3731" s="281"/>
    </row>
    <row r="3732" spans="6:6" x14ac:dyDescent="0.25">
      <c r="F3732" s="281"/>
    </row>
    <row r="3733" spans="6:6" x14ac:dyDescent="0.25">
      <c r="F3733" s="281"/>
    </row>
    <row r="3734" spans="6:6" x14ac:dyDescent="0.25">
      <c r="F3734" s="281"/>
    </row>
    <row r="3735" spans="6:6" x14ac:dyDescent="0.25">
      <c r="F3735" s="281"/>
    </row>
    <row r="3736" spans="6:6" x14ac:dyDescent="0.25">
      <c r="F3736" s="281"/>
    </row>
    <row r="3737" spans="6:6" x14ac:dyDescent="0.25">
      <c r="F3737" s="281"/>
    </row>
    <row r="3738" spans="6:6" x14ac:dyDescent="0.25">
      <c r="F3738" s="281"/>
    </row>
    <row r="3739" spans="6:6" x14ac:dyDescent="0.25">
      <c r="F3739" s="281"/>
    </row>
    <row r="3740" spans="6:6" x14ac:dyDescent="0.25">
      <c r="F3740" s="281"/>
    </row>
    <row r="3741" spans="6:6" x14ac:dyDescent="0.25">
      <c r="F3741" s="281"/>
    </row>
    <row r="3742" spans="6:6" x14ac:dyDescent="0.25">
      <c r="F3742" s="281"/>
    </row>
    <row r="3743" spans="6:6" x14ac:dyDescent="0.25">
      <c r="F3743" s="281"/>
    </row>
    <row r="3744" spans="6:6" x14ac:dyDescent="0.25">
      <c r="F3744" s="281"/>
    </row>
    <row r="3745" spans="6:6" x14ac:dyDescent="0.25">
      <c r="F3745" s="281"/>
    </row>
    <row r="3746" spans="6:6" x14ac:dyDescent="0.25">
      <c r="F3746" s="281"/>
    </row>
    <row r="3747" spans="6:6" x14ac:dyDescent="0.25">
      <c r="F3747" s="281"/>
    </row>
    <row r="3748" spans="6:6" x14ac:dyDescent="0.25">
      <c r="F3748" s="281"/>
    </row>
    <row r="3749" spans="6:6" x14ac:dyDescent="0.25">
      <c r="F3749" s="281"/>
    </row>
    <row r="3750" spans="6:6" x14ac:dyDescent="0.25">
      <c r="F3750" s="281"/>
    </row>
    <row r="3751" spans="6:6" x14ac:dyDescent="0.25">
      <c r="F3751" s="281"/>
    </row>
    <row r="3752" spans="6:6" x14ac:dyDescent="0.25">
      <c r="F3752" s="281"/>
    </row>
    <row r="3753" spans="6:6" x14ac:dyDescent="0.25">
      <c r="F3753" s="281"/>
    </row>
    <row r="3754" spans="6:6" x14ac:dyDescent="0.25">
      <c r="F3754" s="281"/>
    </row>
    <row r="3755" spans="6:6" x14ac:dyDescent="0.25">
      <c r="F3755" s="281"/>
    </row>
    <row r="3756" spans="6:6" x14ac:dyDescent="0.25">
      <c r="F3756" s="281"/>
    </row>
    <row r="3757" spans="6:6" x14ac:dyDescent="0.25">
      <c r="F3757" s="281"/>
    </row>
    <row r="3758" spans="6:6" x14ac:dyDescent="0.25">
      <c r="F3758" s="281"/>
    </row>
    <row r="3759" spans="6:6" x14ac:dyDescent="0.25">
      <c r="F3759" s="281"/>
    </row>
    <row r="3760" spans="6:6" x14ac:dyDescent="0.25">
      <c r="F3760" s="281"/>
    </row>
    <row r="3761" spans="6:6" x14ac:dyDescent="0.25">
      <c r="F3761" s="281"/>
    </row>
    <row r="3762" spans="6:6" x14ac:dyDescent="0.25">
      <c r="F3762" s="281"/>
    </row>
    <row r="3763" spans="6:6" x14ac:dyDescent="0.25">
      <c r="F3763" s="281"/>
    </row>
    <row r="3764" spans="6:6" x14ac:dyDescent="0.25">
      <c r="F3764" s="281"/>
    </row>
    <row r="3765" spans="6:6" x14ac:dyDescent="0.25">
      <c r="F3765" s="281"/>
    </row>
    <row r="3766" spans="6:6" x14ac:dyDescent="0.25">
      <c r="F3766" s="281"/>
    </row>
    <row r="3767" spans="6:6" x14ac:dyDescent="0.25">
      <c r="F3767" s="281"/>
    </row>
    <row r="3768" spans="6:6" x14ac:dyDescent="0.25">
      <c r="F3768" s="281"/>
    </row>
    <row r="3769" spans="6:6" x14ac:dyDescent="0.25">
      <c r="F3769" s="281"/>
    </row>
    <row r="3770" spans="6:6" x14ac:dyDescent="0.25">
      <c r="F3770" s="281"/>
    </row>
    <row r="3771" spans="6:6" x14ac:dyDescent="0.25">
      <c r="F3771" s="281"/>
    </row>
    <row r="3772" spans="6:6" x14ac:dyDescent="0.25">
      <c r="F3772" s="281"/>
    </row>
    <row r="3773" spans="6:6" x14ac:dyDescent="0.25">
      <c r="F3773" s="281"/>
    </row>
    <row r="3774" spans="6:6" x14ac:dyDescent="0.25">
      <c r="F3774" s="281"/>
    </row>
    <row r="3775" spans="6:6" x14ac:dyDescent="0.25">
      <c r="F3775" s="281"/>
    </row>
    <row r="3776" spans="6:6" x14ac:dyDescent="0.25">
      <c r="F3776" s="281"/>
    </row>
    <row r="3777" spans="6:6" x14ac:dyDescent="0.25">
      <c r="F3777" s="281"/>
    </row>
    <row r="3778" spans="6:6" x14ac:dyDescent="0.25">
      <c r="F3778" s="281"/>
    </row>
    <row r="3779" spans="6:6" x14ac:dyDescent="0.25">
      <c r="F3779" s="281"/>
    </row>
    <row r="3780" spans="6:6" x14ac:dyDescent="0.25">
      <c r="F3780" s="281"/>
    </row>
    <row r="3781" spans="6:6" x14ac:dyDescent="0.25">
      <c r="F3781" s="281"/>
    </row>
    <row r="3782" spans="6:6" x14ac:dyDescent="0.25">
      <c r="F3782" s="281"/>
    </row>
    <row r="3783" spans="6:6" x14ac:dyDescent="0.25">
      <c r="F3783" s="281"/>
    </row>
    <row r="3784" spans="6:6" x14ac:dyDescent="0.25">
      <c r="F3784" s="281"/>
    </row>
    <row r="3785" spans="6:6" x14ac:dyDescent="0.25">
      <c r="F3785" s="281"/>
    </row>
    <row r="3786" spans="6:6" x14ac:dyDescent="0.25">
      <c r="F3786" s="281"/>
    </row>
    <row r="3787" spans="6:6" x14ac:dyDescent="0.25">
      <c r="F3787" s="281"/>
    </row>
    <row r="3788" spans="6:6" x14ac:dyDescent="0.25">
      <c r="F3788" s="281"/>
    </row>
    <row r="3789" spans="6:6" x14ac:dyDescent="0.25">
      <c r="F3789" s="281"/>
    </row>
    <row r="3790" spans="6:6" x14ac:dyDescent="0.25">
      <c r="F3790" s="281"/>
    </row>
    <row r="3791" spans="6:6" x14ac:dyDescent="0.25">
      <c r="F3791" s="281"/>
    </row>
    <row r="3792" spans="6:6" x14ac:dyDescent="0.25">
      <c r="F3792" s="281"/>
    </row>
    <row r="3793" spans="6:6" x14ac:dyDescent="0.25">
      <c r="F3793" s="281"/>
    </row>
    <row r="3794" spans="6:6" x14ac:dyDescent="0.25">
      <c r="F3794" s="281"/>
    </row>
    <row r="3795" spans="6:6" x14ac:dyDescent="0.25">
      <c r="F3795" s="281"/>
    </row>
    <row r="3796" spans="6:6" x14ac:dyDescent="0.25">
      <c r="F3796" s="281"/>
    </row>
    <row r="3797" spans="6:6" x14ac:dyDescent="0.25">
      <c r="F3797" s="281"/>
    </row>
    <row r="3798" spans="6:6" x14ac:dyDescent="0.25">
      <c r="F3798" s="281"/>
    </row>
    <row r="3799" spans="6:6" x14ac:dyDescent="0.25">
      <c r="F3799" s="281"/>
    </row>
    <row r="3800" spans="6:6" x14ac:dyDescent="0.25">
      <c r="F3800" s="281"/>
    </row>
    <row r="3801" spans="6:6" x14ac:dyDescent="0.25">
      <c r="F3801" s="281"/>
    </row>
    <row r="3802" spans="6:6" x14ac:dyDescent="0.25">
      <c r="F3802" s="281"/>
    </row>
    <row r="3803" spans="6:6" x14ac:dyDescent="0.25">
      <c r="F3803" s="281"/>
    </row>
    <row r="3804" spans="6:6" x14ac:dyDescent="0.25">
      <c r="F3804" s="281"/>
    </row>
    <row r="3805" spans="6:6" x14ac:dyDescent="0.25">
      <c r="F3805" s="281"/>
    </row>
    <row r="3806" spans="6:6" x14ac:dyDescent="0.25">
      <c r="F3806" s="281"/>
    </row>
    <row r="3807" spans="6:6" x14ac:dyDescent="0.25">
      <c r="F3807" s="281"/>
    </row>
    <row r="3808" spans="6:6" x14ac:dyDescent="0.25">
      <c r="F3808" s="281"/>
    </row>
    <row r="3809" spans="6:6" x14ac:dyDescent="0.25">
      <c r="F3809" s="281"/>
    </row>
    <row r="3810" spans="6:6" x14ac:dyDescent="0.25">
      <c r="F3810" s="281"/>
    </row>
    <row r="3811" spans="6:6" x14ac:dyDescent="0.25">
      <c r="F3811" s="281"/>
    </row>
  </sheetData>
  <autoFilter ref="A7:AI521" xr:uid="{00000000-0009-0000-0000-000000000000}"/>
  <dataConsolidate link="1"/>
  <mergeCells count="379">
    <mergeCell ref="B281:B287"/>
    <mergeCell ref="C293:C296"/>
    <mergeCell ref="C288:C291"/>
    <mergeCell ref="B288:B291"/>
    <mergeCell ref="B293:B298"/>
    <mergeCell ref="C297:C298"/>
    <mergeCell ref="B330:B335"/>
    <mergeCell ref="C334:C335"/>
    <mergeCell ref="B336:B337"/>
    <mergeCell ref="C300:C302"/>
    <mergeCell ref="C281:C285"/>
    <mergeCell ref="E318:E319"/>
    <mergeCell ref="D380:D400"/>
    <mergeCell ref="E354:E363"/>
    <mergeCell ref="F354:F363"/>
    <mergeCell ref="D304:D320"/>
    <mergeCell ref="C364:C366"/>
    <mergeCell ref="C346:C353"/>
    <mergeCell ref="C354:C363"/>
    <mergeCell ref="B346:B366"/>
    <mergeCell ref="B338:B339"/>
    <mergeCell ref="C338:C339"/>
    <mergeCell ref="C340:C344"/>
    <mergeCell ref="B340:B344"/>
    <mergeCell ref="E338:E339"/>
    <mergeCell ref="D321:D339"/>
    <mergeCell ref="D369:D370"/>
    <mergeCell ref="F321:F329"/>
    <mergeCell ref="H334:H335"/>
    <mergeCell ref="E347:E348"/>
    <mergeCell ref="F347:F348"/>
    <mergeCell ref="E349:E352"/>
    <mergeCell ref="F349:F352"/>
    <mergeCell ref="F334:F335"/>
    <mergeCell ref="E334:E335"/>
    <mergeCell ref="F332:F333"/>
    <mergeCell ref="E340:E344"/>
    <mergeCell ref="H167:H169"/>
    <mergeCell ref="F282:F283"/>
    <mergeCell ref="F439:F440"/>
    <mergeCell ref="D260:D280"/>
    <mergeCell ref="H401:H403"/>
    <mergeCell ref="H404:H406"/>
    <mergeCell ref="F401:F406"/>
    <mergeCell ref="E401:E406"/>
    <mergeCell ref="H371:H379"/>
    <mergeCell ref="D371:D379"/>
    <mergeCell ref="E367:E368"/>
    <mergeCell ref="F367:F368"/>
    <mergeCell ref="E364:E366"/>
    <mergeCell ref="F364:F366"/>
    <mergeCell ref="E332:E333"/>
    <mergeCell ref="H433:H438"/>
    <mergeCell ref="E194:E196"/>
    <mergeCell ref="E151:E178"/>
    <mergeCell ref="H349:H352"/>
    <mergeCell ref="F380:F400"/>
    <mergeCell ref="H380:H400"/>
    <mergeCell ref="F212:F220"/>
    <mergeCell ref="E183:E187"/>
    <mergeCell ref="H321:H329"/>
    <mergeCell ref="F441:F444"/>
    <mergeCell ref="C408:C444"/>
    <mergeCell ref="C371:C379"/>
    <mergeCell ref="B371:B379"/>
    <mergeCell ref="C380:C400"/>
    <mergeCell ref="B380:B400"/>
    <mergeCell ref="B212:B220"/>
    <mergeCell ref="B190:B193"/>
    <mergeCell ref="B299:B303"/>
    <mergeCell ref="B316:B320"/>
    <mergeCell ref="C316:C320"/>
    <mergeCell ref="B304:B314"/>
    <mergeCell ref="C304:C314"/>
    <mergeCell ref="B321:B329"/>
    <mergeCell ref="C321:C329"/>
    <mergeCell ref="C330:C333"/>
    <mergeCell ref="B367:B368"/>
    <mergeCell ref="C367:C368"/>
    <mergeCell ref="B194:B197"/>
    <mergeCell ref="E198:E211"/>
    <mergeCell ref="D401:D406"/>
    <mergeCell ref="C194:C197"/>
    <mergeCell ref="D281:D287"/>
    <mergeCell ref="E321:E329"/>
    <mergeCell ref="S523:W524"/>
    <mergeCell ref="I388:I392"/>
    <mergeCell ref="I395:I396"/>
    <mergeCell ref="I399:I400"/>
    <mergeCell ref="D346:D368"/>
    <mergeCell ref="F371:F379"/>
    <mergeCell ref="E371:E379"/>
    <mergeCell ref="H418:H429"/>
    <mergeCell ref="H409:H411"/>
    <mergeCell ref="F412:F417"/>
    <mergeCell ref="F418:F429"/>
    <mergeCell ref="E412:E429"/>
    <mergeCell ref="H412:H417"/>
    <mergeCell ref="F409:F411"/>
    <mergeCell ref="E408:E411"/>
    <mergeCell ref="I354:I363"/>
    <mergeCell ref="H364:H366"/>
    <mergeCell ref="E380:E400"/>
    <mergeCell ref="H430:H431"/>
    <mergeCell ref="F430:F431"/>
    <mergeCell ref="F433:F438"/>
    <mergeCell ref="Q520:T520"/>
    <mergeCell ref="E430:E444"/>
    <mergeCell ref="F446:F449"/>
    <mergeCell ref="X523:X524"/>
    <mergeCell ref="P5:P6"/>
    <mergeCell ref="V5:X5"/>
    <mergeCell ref="Q5:T5"/>
    <mergeCell ref="A523:H524"/>
    <mergeCell ref="D183:D187"/>
    <mergeCell ref="D135:D178"/>
    <mergeCell ref="D190:D220"/>
    <mergeCell ref="D288:D303"/>
    <mergeCell ref="A407:L407"/>
    <mergeCell ref="A253:A400"/>
    <mergeCell ref="E99:E102"/>
    <mergeCell ref="F99:F102"/>
    <mergeCell ref="Q523:R524"/>
    <mergeCell ref="A520:L520"/>
    <mergeCell ref="I523:P524"/>
    <mergeCell ref="D340:D345"/>
    <mergeCell ref="A252:L252"/>
    <mergeCell ref="I380:I387"/>
    <mergeCell ref="H282:H283"/>
    <mergeCell ref="H221:H244"/>
    <mergeCell ref="E286:E287"/>
    <mergeCell ref="E190:E193"/>
    <mergeCell ref="F191:F193"/>
    <mergeCell ref="AE5:AG5"/>
    <mergeCell ref="A1:AF4"/>
    <mergeCell ref="I5:I6"/>
    <mergeCell ref="K5:K6"/>
    <mergeCell ref="L5:L6"/>
    <mergeCell ref="F5:F6"/>
    <mergeCell ref="A5:A6"/>
    <mergeCell ref="B5:B6"/>
    <mergeCell ref="C5:C6"/>
    <mergeCell ref="N5:N6"/>
    <mergeCell ref="J5:J6"/>
    <mergeCell ref="D5:D6"/>
    <mergeCell ref="E5:E6"/>
    <mergeCell ref="O5:O6"/>
    <mergeCell ref="M5:M6"/>
    <mergeCell ref="G5:G6"/>
    <mergeCell ref="H5:H6"/>
    <mergeCell ref="Y5:AA5"/>
    <mergeCell ref="AB5:AD5"/>
    <mergeCell ref="F183:F187"/>
    <mergeCell ref="B188:B189"/>
    <mergeCell ref="D188:D189"/>
    <mergeCell ref="B198:B211"/>
    <mergeCell ref="C198:C211"/>
    <mergeCell ref="C260:C279"/>
    <mergeCell ref="C28:C32"/>
    <mergeCell ref="B28:B32"/>
    <mergeCell ref="D33:D42"/>
    <mergeCell ref="F172:F173"/>
    <mergeCell ref="F48:F55"/>
    <mergeCell ref="E48:E55"/>
    <mergeCell ref="E33:E42"/>
    <mergeCell ref="E249:E251"/>
    <mergeCell ref="D56:D67"/>
    <mergeCell ref="D253:D259"/>
    <mergeCell ref="E254:E259"/>
    <mergeCell ref="C254:C259"/>
    <mergeCell ref="B254:B259"/>
    <mergeCell ref="B260:B279"/>
    <mergeCell ref="C183:C187"/>
    <mergeCell ref="D221:D251"/>
    <mergeCell ref="B143:B178"/>
    <mergeCell ref="C143:C178"/>
    <mergeCell ref="A8:A104"/>
    <mergeCell ref="H15:H22"/>
    <mergeCell ref="H23:H25"/>
    <mergeCell ref="E23:E25"/>
    <mergeCell ref="F23:F25"/>
    <mergeCell ref="D15:D25"/>
    <mergeCell ref="C99:C102"/>
    <mergeCell ref="H87:H94"/>
    <mergeCell ref="H43:H47"/>
    <mergeCell ref="F43:F47"/>
    <mergeCell ref="E43:E47"/>
    <mergeCell ref="H40:H41"/>
    <mergeCell ref="G26:G27"/>
    <mergeCell ref="H33:H38"/>
    <mergeCell ref="H28:H32"/>
    <mergeCell ref="F15:F22"/>
    <mergeCell ref="F40:F41"/>
    <mergeCell ref="E15:E22"/>
    <mergeCell ref="C8:C14"/>
    <mergeCell ref="D8:D14"/>
    <mergeCell ref="B8:B14"/>
    <mergeCell ref="C68:C98"/>
    <mergeCell ref="B68:B98"/>
    <mergeCell ref="H8:H14"/>
    <mergeCell ref="I81:I82"/>
    <mergeCell ref="D48:D55"/>
    <mergeCell ref="F95:F97"/>
    <mergeCell ref="B43:B47"/>
    <mergeCell ref="C43:C47"/>
    <mergeCell ref="C15:C22"/>
    <mergeCell ref="B15:B25"/>
    <mergeCell ref="C23:C25"/>
    <mergeCell ref="D28:D32"/>
    <mergeCell ref="D43:D47"/>
    <mergeCell ref="B26:B27"/>
    <mergeCell ref="C26:C27"/>
    <mergeCell ref="F33:F38"/>
    <mergeCell ref="E28:E32"/>
    <mergeCell ref="D26:D27"/>
    <mergeCell ref="D68:D98"/>
    <mergeCell ref="C33:C42"/>
    <mergeCell ref="B33:B42"/>
    <mergeCell ref="B56:B60"/>
    <mergeCell ref="B61:B64"/>
    <mergeCell ref="B65:B67"/>
    <mergeCell ref="C56:C60"/>
    <mergeCell ref="C61:C64"/>
    <mergeCell ref="C65:C67"/>
    <mergeCell ref="H179:H181"/>
    <mergeCell ref="F179:F181"/>
    <mergeCell ref="E8:E14"/>
    <mergeCell ref="F8:F14"/>
    <mergeCell ref="E135:E142"/>
    <mergeCell ref="E143:E145"/>
    <mergeCell ref="E146:E147"/>
    <mergeCell ref="E68:E86"/>
    <mergeCell ref="H146:H147"/>
    <mergeCell ref="F146:F147"/>
    <mergeCell ref="E26:E27"/>
    <mergeCell ref="F26:F27"/>
    <mergeCell ref="H26:H27"/>
    <mergeCell ref="F28:F32"/>
    <mergeCell ref="F87:F94"/>
    <mergeCell ref="F138:F139"/>
    <mergeCell ref="G138:G139"/>
    <mergeCell ref="H95:H97"/>
    <mergeCell ref="E107:E131"/>
    <mergeCell ref="F107:F131"/>
    <mergeCell ref="H140:H141"/>
    <mergeCell ref="E56:E60"/>
    <mergeCell ref="F56:F60"/>
    <mergeCell ref="E61:E64"/>
    <mergeCell ref="Q252:T252"/>
    <mergeCell ref="Q106:T106"/>
    <mergeCell ref="B48:B55"/>
    <mergeCell ref="C48:C55"/>
    <mergeCell ref="I304:I314"/>
    <mergeCell ref="E300:E302"/>
    <mergeCell ref="F300:F302"/>
    <mergeCell ref="E297:E298"/>
    <mergeCell ref="E288:E291"/>
    <mergeCell ref="B132:B134"/>
    <mergeCell ref="C132:C134"/>
    <mergeCell ref="D107:D134"/>
    <mergeCell ref="F148:F150"/>
    <mergeCell ref="F167:F169"/>
    <mergeCell ref="F174:F175"/>
    <mergeCell ref="F176:F178"/>
    <mergeCell ref="E132:E134"/>
    <mergeCell ref="F132:F134"/>
    <mergeCell ref="H107:H134"/>
    <mergeCell ref="E87:E98"/>
    <mergeCell ref="F136:F137"/>
    <mergeCell ref="G136:G137"/>
    <mergeCell ref="H56:H60"/>
    <mergeCell ref="H61:H64"/>
    <mergeCell ref="Q254:T254"/>
    <mergeCell ref="Q263:T263"/>
    <mergeCell ref="F254:F256"/>
    <mergeCell ref="F257:F258"/>
    <mergeCell ref="F260:F261"/>
    <mergeCell ref="E260:E279"/>
    <mergeCell ref="H257:H258"/>
    <mergeCell ref="I316:I317"/>
    <mergeCell ref="E304:E314"/>
    <mergeCell ref="F304:F314"/>
    <mergeCell ref="H304:H314"/>
    <mergeCell ref="H288:H290"/>
    <mergeCell ref="F297:F298"/>
    <mergeCell ref="E284:E285"/>
    <mergeCell ref="F284:F285"/>
    <mergeCell ref="E282:E283"/>
    <mergeCell ref="F288:F290"/>
    <mergeCell ref="H446:H449"/>
    <mergeCell ref="H485:H487"/>
    <mergeCell ref="I172:I173"/>
    <mergeCell ref="H267:H279"/>
    <mergeCell ref="F263:F265"/>
    <mergeCell ref="H263:H265"/>
    <mergeCell ref="H245:H247"/>
    <mergeCell ref="H254:H256"/>
    <mergeCell ref="F266:F279"/>
    <mergeCell ref="H191:H193"/>
    <mergeCell ref="F221:F244"/>
    <mergeCell ref="F198:F211"/>
    <mergeCell ref="H174:H175"/>
    <mergeCell ref="F245:F248"/>
    <mergeCell ref="H176:H178"/>
    <mergeCell ref="H260:H261"/>
    <mergeCell ref="H198:H211"/>
    <mergeCell ref="H212:H220"/>
    <mergeCell ref="I340:I344"/>
    <mergeCell ref="F340:F344"/>
    <mergeCell ref="H340:H344"/>
    <mergeCell ref="I288:I290"/>
    <mergeCell ref="F316:F317"/>
    <mergeCell ref="H316:H317"/>
    <mergeCell ref="F513:F519"/>
    <mergeCell ref="D512:D519"/>
    <mergeCell ref="H513:H519"/>
    <mergeCell ref="E513:E519"/>
    <mergeCell ref="F488:F511"/>
    <mergeCell ref="H488:H511"/>
    <mergeCell ref="F485:F487"/>
    <mergeCell ref="F450:F483"/>
    <mergeCell ref="H450:H484"/>
    <mergeCell ref="H65:H67"/>
    <mergeCell ref="E103:E105"/>
    <mergeCell ref="F103:F105"/>
    <mergeCell ref="H103:H105"/>
    <mergeCell ref="H48:H54"/>
    <mergeCell ref="F68:F86"/>
    <mergeCell ref="H68:H86"/>
    <mergeCell ref="F61:F63"/>
    <mergeCell ref="E65:E67"/>
    <mergeCell ref="H143:H145"/>
    <mergeCell ref="F140:F141"/>
    <mergeCell ref="F143:F145"/>
    <mergeCell ref="H99:H102"/>
    <mergeCell ref="D179:D181"/>
    <mergeCell ref="B179:B181"/>
    <mergeCell ref="C190:C193"/>
    <mergeCell ref="A250:A251"/>
    <mergeCell ref="B107:B131"/>
    <mergeCell ref="C107:C131"/>
    <mergeCell ref="D99:D105"/>
    <mergeCell ref="G172:G173"/>
    <mergeCell ref="F151:F166"/>
    <mergeCell ref="B183:B187"/>
    <mergeCell ref="C103:C105"/>
    <mergeCell ref="B99:B105"/>
    <mergeCell ref="A106:L106"/>
    <mergeCell ref="A107:A249"/>
    <mergeCell ref="H151:H166"/>
    <mergeCell ref="H183:H187"/>
    <mergeCell ref="E148:E150"/>
    <mergeCell ref="B135:B142"/>
    <mergeCell ref="C135:C142"/>
    <mergeCell ref="E221:E248"/>
    <mergeCell ref="A408:A519"/>
    <mergeCell ref="E488:E511"/>
    <mergeCell ref="D488:D511"/>
    <mergeCell ref="B488:B511"/>
    <mergeCell ref="C488:C511"/>
    <mergeCell ref="D445:D487"/>
    <mergeCell ref="E446:E487"/>
    <mergeCell ref="C179:C181"/>
    <mergeCell ref="E179:E181"/>
    <mergeCell ref="B408:B444"/>
    <mergeCell ref="D408:D429"/>
    <mergeCell ref="D430:D444"/>
    <mergeCell ref="B401:B406"/>
    <mergeCell ref="C401:C406"/>
    <mergeCell ref="C286:C287"/>
    <mergeCell ref="B512:B519"/>
    <mergeCell ref="C512:C519"/>
    <mergeCell ref="B445:B487"/>
    <mergeCell ref="C445:C487"/>
    <mergeCell ref="E316:E317"/>
    <mergeCell ref="C221:C251"/>
    <mergeCell ref="B221:B251"/>
    <mergeCell ref="C212:C220"/>
    <mergeCell ref="E212:E220"/>
  </mergeCells>
  <conditionalFormatting sqref="O520">
    <cfRule type="colorScale" priority="595">
      <colorScale>
        <cfvo type="num" val="50"/>
        <cfvo type="num" val="70"/>
        <cfvo type="num" val="90"/>
        <color rgb="FFF8696B"/>
        <color rgb="FFFFEB84"/>
        <color rgb="FF63BE7B"/>
      </colorScale>
    </cfRule>
    <cfRule type="colorScale" priority="596">
      <colorScale>
        <cfvo type="min"/>
        <cfvo type="percentile" val="50"/>
        <cfvo type="max"/>
        <color rgb="FFF8696B"/>
        <color rgb="FFFFEB84"/>
        <color rgb="FF63BE7B"/>
      </colorScale>
    </cfRule>
  </conditionalFormatting>
  <conditionalFormatting sqref="P520">
    <cfRule type="colorScale" priority="572">
      <colorScale>
        <cfvo type="num" val="50"/>
        <cfvo type="num" val="70"/>
        <cfvo type="num" val="90"/>
        <color rgb="FFF8696B"/>
        <color rgb="FFFFEB84"/>
        <color rgb="FF63BE7B"/>
      </colorScale>
    </cfRule>
    <cfRule type="colorScale" priority="573">
      <colorScale>
        <cfvo type="min"/>
        <cfvo type="percentile" val="50"/>
        <cfvo type="max"/>
        <color rgb="FFF8696B"/>
        <color rgb="FFFFEB84"/>
        <color rgb="FF63BE7B"/>
      </colorScale>
    </cfRule>
  </conditionalFormatting>
  <conditionalFormatting sqref="W8:W14">
    <cfRule type="iconSet" priority="526">
      <iconSet iconSet="3Symbols">
        <cfvo type="percent" val="0"/>
        <cfvo type="percent" val="33"/>
        <cfvo type="percent" val="67"/>
      </iconSet>
    </cfRule>
  </conditionalFormatting>
  <conditionalFormatting sqref="Y242:Y243">
    <cfRule type="iconSet" priority="515">
      <iconSet iconSet="3Symbols" showValue="0">
        <cfvo type="percent" val="0"/>
        <cfvo type="num" val="65"/>
        <cfvo type="num" val="90"/>
      </iconSet>
    </cfRule>
  </conditionalFormatting>
  <conditionalFormatting sqref="Y236:Y237 Y230:Y233">
    <cfRule type="iconSet" priority="510">
      <iconSet iconSet="3Symbols" showValue="0">
        <cfvo type="percent" val="0"/>
        <cfvo type="num" val="65"/>
        <cfvo type="num" val="90"/>
      </iconSet>
    </cfRule>
  </conditionalFormatting>
  <conditionalFormatting sqref="Y234:Y235">
    <cfRule type="iconSet" priority="505">
      <iconSet iconSet="3Symbols" showValue="0">
        <cfvo type="percent" val="0"/>
        <cfvo type="num" val="65"/>
        <cfvo type="num" val="90"/>
      </iconSet>
    </cfRule>
  </conditionalFormatting>
  <conditionalFormatting sqref="Y228:Y229 Y223:Y225">
    <cfRule type="iconSet" priority="500">
      <iconSet iconSet="3Symbols" showValue="0">
        <cfvo type="percent" val="0"/>
        <cfvo type="num" val="65"/>
        <cfvo type="num" val="90"/>
      </iconSet>
    </cfRule>
  </conditionalFormatting>
  <conditionalFormatting sqref="Y226:Y227">
    <cfRule type="iconSet" priority="495">
      <iconSet iconSet="3Symbols" showValue="0">
        <cfvo type="percent" val="0"/>
        <cfvo type="num" val="65"/>
        <cfvo type="num" val="90"/>
      </iconSet>
    </cfRule>
  </conditionalFormatting>
  <conditionalFormatting sqref="Y70:Y78">
    <cfRule type="iconSet" priority="480">
      <iconSet iconSet="3Symbols" showValue="0">
        <cfvo type="percent" val="0"/>
        <cfvo type="num" val="65"/>
        <cfvo type="num" val="90"/>
      </iconSet>
    </cfRule>
  </conditionalFormatting>
  <conditionalFormatting sqref="Y221:Y222">
    <cfRule type="iconSet" priority="1909">
      <iconSet iconSet="3Symbols" showValue="0">
        <cfvo type="percent" val="0"/>
        <cfvo type="num" val="65"/>
        <cfvo type="num" val="90"/>
      </iconSet>
    </cfRule>
  </conditionalFormatting>
  <conditionalFormatting sqref="Y398:Y399 Y390">
    <cfRule type="iconSet" priority="468">
      <iconSet iconSet="3Symbols" showValue="0">
        <cfvo type="percent" val="0"/>
        <cfvo type="num" val="65"/>
        <cfvo type="num" val="90"/>
      </iconSet>
    </cfRule>
  </conditionalFormatting>
  <conditionalFormatting sqref="Y392">
    <cfRule type="iconSet" priority="458">
      <iconSet iconSet="3Symbols" showValue="0">
        <cfvo type="percent" val="0"/>
        <cfvo type="num" val="65"/>
        <cfvo type="num" val="90"/>
      </iconSet>
    </cfRule>
  </conditionalFormatting>
  <conditionalFormatting sqref="Y391">
    <cfRule type="iconSet" priority="453">
      <iconSet iconSet="3Symbols" showValue="0">
        <cfvo type="percent" val="0"/>
        <cfvo type="num" val="65"/>
        <cfvo type="num" val="90"/>
      </iconSet>
    </cfRule>
  </conditionalFormatting>
  <conditionalFormatting sqref="Y393:Y397">
    <cfRule type="iconSet" priority="1984">
      <iconSet iconSet="3Symbols" showValue="0">
        <cfvo type="percent" val="0"/>
        <cfvo type="num" val="65"/>
        <cfvo type="num" val="90"/>
      </iconSet>
    </cfRule>
  </conditionalFormatting>
  <conditionalFormatting sqref="Y216:Y219">
    <cfRule type="iconSet" priority="448">
      <iconSet iconSet="3Symbols" showValue="0">
        <cfvo type="percent" val="0"/>
        <cfvo type="num" val="65"/>
        <cfvo type="num" val="90"/>
      </iconSet>
    </cfRule>
  </conditionalFormatting>
  <conditionalFormatting sqref="Y438:Y444">
    <cfRule type="iconSet" priority="2034">
      <iconSet iconSet="3Symbols" showValue="0">
        <cfvo type="percent" val="0"/>
        <cfvo type="num" val="65"/>
        <cfvo type="num" val="90"/>
      </iconSet>
    </cfRule>
  </conditionalFormatting>
  <conditionalFormatting sqref="Y406">
    <cfRule type="iconSet" priority="433">
      <iconSet iconSet="3Symbols" showValue="0">
        <cfvo type="percent" val="0"/>
        <cfvo type="num" val="65"/>
        <cfvo type="num" val="90"/>
      </iconSet>
    </cfRule>
  </conditionalFormatting>
  <conditionalFormatting sqref="Y401:Y405">
    <cfRule type="iconSet" priority="428">
      <iconSet iconSet="3Symbols" showValue="0">
        <cfvo type="percent" val="0"/>
        <cfvo type="num" val="65"/>
        <cfvo type="num" val="90"/>
      </iconSet>
    </cfRule>
  </conditionalFormatting>
  <conditionalFormatting sqref="Y400 Y386:Y389">
    <cfRule type="iconSet" priority="2039">
      <iconSet iconSet="3Symbols" showValue="0">
        <cfvo type="percent" val="0"/>
        <cfvo type="num" val="65"/>
        <cfvo type="num" val="90"/>
      </iconSet>
    </cfRule>
  </conditionalFormatting>
  <conditionalFormatting sqref="Y159:Y166">
    <cfRule type="iconSet" priority="413">
      <iconSet iconSet="3Symbols" showValue="0">
        <cfvo type="percent" val="0"/>
        <cfvo type="num" val="65"/>
        <cfvo type="num" val="90"/>
      </iconSet>
    </cfRule>
  </conditionalFormatting>
  <conditionalFormatting sqref="Y246:Y251">
    <cfRule type="iconSet" priority="2120">
      <iconSet iconSet="3Symbols" showValue="0">
        <cfvo type="percent" val="0"/>
        <cfvo type="num" val="65"/>
        <cfvo type="num" val="90"/>
      </iconSet>
    </cfRule>
  </conditionalFormatting>
  <conditionalFormatting sqref="Y117:Y120">
    <cfRule type="iconSet" priority="392">
      <iconSet iconSet="3Symbols" showValue="0">
        <cfvo type="percent" val="0"/>
        <cfvo type="num" val="65"/>
        <cfvo type="num" val="90"/>
      </iconSet>
    </cfRule>
  </conditionalFormatting>
  <conditionalFormatting sqref="Y114:Y116">
    <cfRule type="iconSet" priority="387">
      <iconSet iconSet="3Symbols" showValue="0">
        <cfvo type="percent" val="0"/>
        <cfvo type="num" val="65"/>
        <cfvo type="num" val="90"/>
      </iconSet>
    </cfRule>
  </conditionalFormatting>
  <conditionalFormatting sqref="Y136:Y153">
    <cfRule type="iconSet" priority="2256">
      <iconSet iconSet="3Symbols" showValue="0">
        <cfvo type="percent" val="0"/>
        <cfvo type="num" val="65"/>
        <cfvo type="num" val="90"/>
      </iconSet>
    </cfRule>
  </conditionalFormatting>
  <conditionalFormatting sqref="Y167:Y177">
    <cfRule type="iconSet" priority="2401">
      <iconSet iconSet="3Symbols" showValue="0">
        <cfvo type="percent" val="0"/>
        <cfvo type="num" val="65"/>
        <cfvo type="num" val="90"/>
      </iconSet>
    </cfRule>
  </conditionalFormatting>
  <conditionalFormatting sqref="O407">
    <cfRule type="colorScale" priority="385">
      <colorScale>
        <cfvo type="num" val="50"/>
        <cfvo type="num" val="70"/>
        <cfvo type="num" val="90"/>
        <color rgb="FFF8696B"/>
        <color rgb="FFFFEB84"/>
        <color rgb="FF63BE7B"/>
      </colorScale>
    </cfRule>
    <cfRule type="colorScale" priority="386">
      <colorScale>
        <cfvo type="min"/>
        <cfvo type="percentile" val="50"/>
        <cfvo type="max"/>
        <color rgb="FFF8696B"/>
        <color rgb="FFFFEB84"/>
        <color rgb="FF63BE7B"/>
      </colorScale>
    </cfRule>
  </conditionalFormatting>
  <conditionalFormatting sqref="P407">
    <cfRule type="colorScale" priority="383">
      <colorScale>
        <cfvo type="num" val="50"/>
        <cfvo type="num" val="70"/>
        <cfvo type="num" val="90"/>
        <color rgb="FFF8696B"/>
        <color rgb="FFFFEB84"/>
        <color rgb="FF63BE7B"/>
      </colorScale>
    </cfRule>
    <cfRule type="colorScale" priority="384">
      <colorScale>
        <cfvo type="min"/>
        <cfvo type="percentile" val="50"/>
        <cfvo type="max"/>
        <color rgb="FFF8696B"/>
        <color rgb="FFFFEB84"/>
        <color rgb="FF63BE7B"/>
      </colorScale>
    </cfRule>
  </conditionalFormatting>
  <conditionalFormatting sqref="O252">
    <cfRule type="colorScale" priority="381">
      <colorScale>
        <cfvo type="num" val="50"/>
        <cfvo type="num" val="70"/>
        <cfvo type="num" val="90"/>
        <color rgb="FFF8696B"/>
        <color rgb="FFFFEB84"/>
        <color rgb="FF63BE7B"/>
      </colorScale>
    </cfRule>
    <cfRule type="colorScale" priority="382">
      <colorScale>
        <cfvo type="min"/>
        <cfvo type="percentile" val="50"/>
        <cfvo type="max"/>
        <color rgb="FFF8696B"/>
        <color rgb="FFFFEB84"/>
        <color rgb="FF63BE7B"/>
      </colorScale>
    </cfRule>
  </conditionalFormatting>
  <conditionalFormatting sqref="P252">
    <cfRule type="colorScale" priority="379">
      <colorScale>
        <cfvo type="num" val="50"/>
        <cfvo type="num" val="70"/>
        <cfvo type="num" val="90"/>
        <color rgb="FFF8696B"/>
        <color rgb="FFFFEB84"/>
        <color rgb="FF63BE7B"/>
      </colorScale>
    </cfRule>
    <cfRule type="colorScale" priority="380">
      <colorScale>
        <cfvo type="min"/>
        <cfvo type="percentile" val="50"/>
        <cfvo type="max"/>
        <color rgb="FFF8696B"/>
        <color rgb="FFFFEB84"/>
        <color rgb="FF63BE7B"/>
      </colorScale>
    </cfRule>
  </conditionalFormatting>
  <conditionalFormatting sqref="Y320">
    <cfRule type="iconSet" priority="2669">
      <iconSet iconSet="3Symbols" showValue="0">
        <cfvo type="percent" val="0"/>
        <cfvo type="num" val="65"/>
        <cfvo type="num" val="90"/>
      </iconSet>
    </cfRule>
  </conditionalFormatting>
  <conditionalFormatting sqref="Y298">
    <cfRule type="iconSet" priority="360">
      <iconSet iconSet="3Symbols" showValue="0">
        <cfvo type="percent" val="0"/>
        <cfvo type="num" val="65"/>
        <cfvo type="num" val="90"/>
      </iconSet>
    </cfRule>
  </conditionalFormatting>
  <conditionalFormatting sqref="Y291">
    <cfRule type="iconSet" priority="355">
      <iconSet iconSet="3Symbols" showValue="0">
        <cfvo type="percent" val="0"/>
        <cfvo type="num" val="65"/>
        <cfvo type="num" val="90"/>
      </iconSet>
    </cfRule>
  </conditionalFormatting>
  <conditionalFormatting sqref="Y327:Y328">
    <cfRule type="iconSet" priority="350">
      <iconSet iconSet="3Symbols" showValue="0">
        <cfvo type="percent" val="0"/>
        <cfvo type="num" val="65"/>
        <cfvo type="num" val="90"/>
      </iconSet>
    </cfRule>
  </conditionalFormatting>
  <conditionalFormatting sqref="Y329">
    <cfRule type="iconSet" priority="340">
      <iconSet iconSet="3Symbols" showValue="0">
        <cfvo type="percent" val="0"/>
        <cfvo type="num" val="65"/>
        <cfvo type="num" val="90"/>
      </iconSet>
    </cfRule>
  </conditionalFormatting>
  <conditionalFormatting sqref="Y355:Y357">
    <cfRule type="iconSet" priority="2916">
      <iconSet iconSet="3Symbols" showValue="0">
        <cfvo type="percent" val="0"/>
        <cfvo type="num" val="65"/>
        <cfvo type="num" val="90"/>
      </iconSet>
    </cfRule>
  </conditionalFormatting>
  <conditionalFormatting sqref="Y358">
    <cfRule type="iconSet" priority="300">
      <iconSet iconSet="3Symbols" showValue="0">
        <cfvo type="percent" val="0"/>
        <cfvo type="num" val="65"/>
        <cfvo type="num" val="90"/>
      </iconSet>
    </cfRule>
  </conditionalFormatting>
  <conditionalFormatting sqref="Y359:Y363">
    <cfRule type="iconSet" priority="295">
      <iconSet iconSet="3Symbols" showValue="0">
        <cfvo type="percent" val="0"/>
        <cfvo type="num" val="65"/>
        <cfvo type="num" val="90"/>
      </iconSet>
    </cfRule>
  </conditionalFormatting>
  <conditionalFormatting sqref="Y365:Y366">
    <cfRule type="iconSet" priority="290">
      <iconSet iconSet="3Symbols" showValue="0">
        <cfvo type="percent" val="0"/>
        <cfvo type="num" val="65"/>
        <cfvo type="num" val="90"/>
      </iconSet>
    </cfRule>
  </conditionalFormatting>
  <conditionalFormatting sqref="Y178">
    <cfRule type="iconSet" priority="3468">
      <iconSet iconSet="3Symbols" showValue="0">
        <cfvo type="percent" val="0"/>
        <cfvo type="num" val="65"/>
        <cfvo type="num" val="90"/>
      </iconSet>
    </cfRule>
  </conditionalFormatting>
  <conditionalFormatting sqref="Y294">
    <cfRule type="iconSet" priority="280">
      <iconSet iconSet="3Symbols" showValue="0">
        <cfvo type="percent" val="0"/>
        <cfvo type="num" val="65"/>
        <cfvo type="num" val="90"/>
      </iconSet>
    </cfRule>
  </conditionalFormatting>
  <conditionalFormatting sqref="Y315">
    <cfRule type="iconSet" priority="265">
      <iconSet iconSet="3Symbols" showValue="0">
        <cfvo type="percent" val="0"/>
        <cfvo type="num" val="65"/>
        <cfvo type="num" val="90"/>
      </iconSet>
    </cfRule>
  </conditionalFormatting>
  <conditionalFormatting sqref="Y309:Y314 Y316:Y317">
    <cfRule type="iconSet" priority="3492">
      <iconSet iconSet="3Symbols" showValue="0">
        <cfvo type="percent" val="0"/>
        <cfvo type="num" val="65"/>
        <cfvo type="num" val="90"/>
      </iconSet>
    </cfRule>
  </conditionalFormatting>
  <conditionalFormatting sqref="Y318:Y319">
    <cfRule type="iconSet" priority="260">
      <iconSet iconSet="3Symbols" showValue="0">
        <cfvo type="percent" val="0"/>
        <cfvo type="num" val="65"/>
        <cfvo type="num" val="90"/>
      </iconSet>
    </cfRule>
  </conditionalFormatting>
  <conditionalFormatting sqref="Y332:Y333">
    <cfRule type="iconSet" priority="255">
      <iconSet iconSet="3Symbols" showValue="0">
        <cfvo type="percent" val="0"/>
        <cfvo type="num" val="65"/>
        <cfvo type="num" val="90"/>
      </iconSet>
    </cfRule>
  </conditionalFormatting>
  <conditionalFormatting sqref="Y337">
    <cfRule type="iconSet" priority="250">
      <iconSet iconSet="3Symbols" showValue="0">
        <cfvo type="percent" val="0"/>
        <cfvo type="num" val="65"/>
        <cfvo type="num" val="90"/>
      </iconSet>
    </cfRule>
  </conditionalFormatting>
  <conditionalFormatting sqref="Y334">
    <cfRule type="iconSet" priority="245">
      <iconSet iconSet="3Symbols" showValue="0">
        <cfvo type="percent" val="0"/>
        <cfvo type="num" val="65"/>
        <cfvo type="num" val="90"/>
      </iconSet>
    </cfRule>
  </conditionalFormatting>
  <conditionalFormatting sqref="Y335">
    <cfRule type="iconSet" priority="240">
      <iconSet iconSet="3Symbols" showValue="0">
        <cfvo type="percent" val="0"/>
        <cfvo type="num" val="65"/>
        <cfvo type="num" val="90"/>
      </iconSet>
    </cfRule>
  </conditionalFormatting>
  <conditionalFormatting sqref="Y347 Y349:Y352">
    <cfRule type="iconSet" priority="215">
      <iconSet iconSet="3Symbols" showValue="0">
        <cfvo type="percent" val="0"/>
        <cfvo type="num" val="65"/>
        <cfvo type="num" val="90"/>
      </iconSet>
    </cfRule>
  </conditionalFormatting>
  <conditionalFormatting sqref="Y348">
    <cfRule type="iconSet" priority="216">
      <iconSet iconSet="3Symbols" showValue="0">
        <cfvo type="percent" val="0"/>
        <cfvo type="num" val="65"/>
        <cfvo type="num" val="90"/>
      </iconSet>
    </cfRule>
  </conditionalFormatting>
  <conditionalFormatting sqref="Y353">
    <cfRule type="iconSet" priority="221">
      <iconSet iconSet="3Symbols" showValue="0">
        <cfvo type="percent" val="0"/>
        <cfvo type="num" val="65"/>
        <cfvo type="num" val="90"/>
      </iconSet>
    </cfRule>
  </conditionalFormatting>
  <conditionalFormatting sqref="Y471:Y473">
    <cfRule type="iconSet" priority="210">
      <iconSet iconSet="3Symbols" showValue="0">
        <cfvo type="percent" val="0"/>
        <cfvo type="num" val="65"/>
        <cfvo type="num" val="90"/>
      </iconSet>
    </cfRule>
  </conditionalFormatting>
  <conditionalFormatting sqref="Y468:Y470">
    <cfRule type="iconSet" priority="205">
      <iconSet iconSet="3Symbols" showValue="0">
        <cfvo type="percent" val="0"/>
        <cfvo type="num" val="65"/>
        <cfvo type="num" val="90"/>
      </iconSet>
    </cfRule>
  </conditionalFormatting>
  <conditionalFormatting sqref="Y465:Y467">
    <cfRule type="iconSet" priority="200">
      <iconSet iconSet="3Symbols" showValue="0">
        <cfvo type="percent" val="0"/>
        <cfvo type="num" val="65"/>
        <cfvo type="num" val="90"/>
      </iconSet>
    </cfRule>
  </conditionalFormatting>
  <conditionalFormatting sqref="Y462:Y464">
    <cfRule type="iconSet" priority="195">
      <iconSet iconSet="3Symbols" showValue="0">
        <cfvo type="percent" val="0"/>
        <cfvo type="num" val="65"/>
        <cfvo type="num" val="90"/>
      </iconSet>
    </cfRule>
  </conditionalFormatting>
  <conditionalFormatting sqref="Y459:Y461">
    <cfRule type="iconSet" priority="190">
      <iconSet iconSet="3Symbols" showValue="0">
        <cfvo type="percent" val="0"/>
        <cfvo type="num" val="65"/>
        <cfvo type="num" val="90"/>
      </iconSet>
    </cfRule>
  </conditionalFormatting>
  <conditionalFormatting sqref="Y483">
    <cfRule type="iconSet" priority="180">
      <iconSet iconSet="3Symbols" showValue="0">
        <cfvo type="percent" val="0"/>
        <cfvo type="num" val="65"/>
        <cfvo type="num" val="90"/>
      </iconSet>
    </cfRule>
  </conditionalFormatting>
  <conditionalFormatting sqref="Y481:Y482">
    <cfRule type="iconSet" priority="175">
      <iconSet iconSet="3Symbols" showValue="0">
        <cfvo type="percent" val="0"/>
        <cfvo type="num" val="65"/>
        <cfvo type="num" val="90"/>
      </iconSet>
    </cfRule>
  </conditionalFormatting>
  <conditionalFormatting sqref="Y480">
    <cfRule type="iconSet" priority="170">
      <iconSet iconSet="3Symbols" showValue="0">
        <cfvo type="percent" val="0"/>
        <cfvo type="num" val="65"/>
        <cfvo type="num" val="90"/>
      </iconSet>
    </cfRule>
  </conditionalFormatting>
  <conditionalFormatting sqref="Y478:Y479">
    <cfRule type="iconSet" priority="165">
      <iconSet iconSet="3Symbols" showValue="0">
        <cfvo type="percent" val="0"/>
        <cfvo type="num" val="65"/>
        <cfvo type="num" val="90"/>
      </iconSet>
    </cfRule>
  </conditionalFormatting>
  <conditionalFormatting sqref="Y514:Y519">
    <cfRule type="iconSet" priority="160">
      <iconSet iconSet="3Symbols" showValue="0">
        <cfvo type="percent" val="0"/>
        <cfvo type="num" val="65"/>
        <cfvo type="num" val="90"/>
      </iconSet>
    </cfRule>
  </conditionalFormatting>
  <conditionalFormatting sqref="Y520 Y484:Y488 Y445:Y458 Y407:Y437 Y244:Y245 Y8:Y52 Y238:Y241 Y79:Y111 Y220 Y154:Y158 Y179:Y181 Y252:Y290 Y133:Y135 Y321:Y326 Y299:Y308 Y292:Y293 Y330:Y331 Y338:Y346 Y364 Y367:Y385 Y295:Y297 Y336 Y354 Y474:Y477 Y512:Y513 Y55 Y68:Y69 Y183:Y215">
    <cfRule type="iconSet" priority="3594">
      <iconSet iconSet="3Symbols" showValue="0">
        <cfvo type="percent" val="0"/>
        <cfvo type="num" val="65"/>
        <cfvo type="num" val="90"/>
      </iconSet>
    </cfRule>
  </conditionalFormatting>
  <conditionalFormatting sqref="Y510:Y511">
    <cfRule type="iconSet" priority="105">
      <iconSet iconSet="3Symbols" showValue="0">
        <cfvo type="percent" val="0"/>
        <cfvo type="num" val="65"/>
        <cfvo type="num" val="90"/>
      </iconSet>
    </cfRule>
  </conditionalFormatting>
  <conditionalFormatting sqref="Y509">
    <cfRule type="iconSet" priority="100">
      <iconSet iconSet="3Symbols" showValue="0">
        <cfvo type="percent" val="0"/>
        <cfvo type="num" val="65"/>
        <cfvo type="num" val="90"/>
      </iconSet>
    </cfRule>
  </conditionalFormatting>
  <conditionalFormatting sqref="Y507:Y508">
    <cfRule type="iconSet" priority="95">
      <iconSet iconSet="3Symbols" showValue="0">
        <cfvo type="percent" val="0"/>
        <cfvo type="num" val="65"/>
        <cfvo type="num" val="90"/>
      </iconSet>
    </cfRule>
  </conditionalFormatting>
  <conditionalFormatting sqref="Y505:Y506">
    <cfRule type="iconSet" priority="90">
      <iconSet iconSet="3Symbols" showValue="0">
        <cfvo type="percent" val="0"/>
        <cfvo type="num" val="65"/>
        <cfvo type="num" val="90"/>
      </iconSet>
    </cfRule>
  </conditionalFormatting>
  <conditionalFormatting sqref="Y503:Y504">
    <cfRule type="iconSet" priority="85">
      <iconSet iconSet="3Symbols" showValue="0">
        <cfvo type="percent" val="0"/>
        <cfvo type="num" val="65"/>
        <cfvo type="num" val="90"/>
      </iconSet>
    </cfRule>
  </conditionalFormatting>
  <conditionalFormatting sqref="Y502">
    <cfRule type="iconSet" priority="80">
      <iconSet iconSet="3Symbols" showValue="0">
        <cfvo type="percent" val="0"/>
        <cfvo type="num" val="65"/>
        <cfvo type="num" val="90"/>
      </iconSet>
    </cfRule>
  </conditionalFormatting>
  <conditionalFormatting sqref="Y500:Y501">
    <cfRule type="iconSet" priority="75">
      <iconSet iconSet="3Symbols" showValue="0">
        <cfvo type="percent" val="0"/>
        <cfvo type="num" val="65"/>
        <cfvo type="num" val="90"/>
      </iconSet>
    </cfRule>
  </conditionalFormatting>
  <conditionalFormatting sqref="Y498:Y499">
    <cfRule type="iconSet" priority="70">
      <iconSet iconSet="3Symbols" showValue="0">
        <cfvo type="percent" val="0"/>
        <cfvo type="num" val="65"/>
        <cfvo type="num" val="90"/>
      </iconSet>
    </cfRule>
  </conditionalFormatting>
  <conditionalFormatting sqref="Y496:Y497">
    <cfRule type="iconSet" priority="65">
      <iconSet iconSet="3Symbols" showValue="0">
        <cfvo type="percent" val="0"/>
        <cfvo type="num" val="65"/>
        <cfvo type="num" val="90"/>
      </iconSet>
    </cfRule>
  </conditionalFormatting>
  <conditionalFormatting sqref="Y495">
    <cfRule type="iconSet" priority="60">
      <iconSet iconSet="3Symbols" showValue="0">
        <cfvo type="percent" val="0"/>
        <cfvo type="num" val="65"/>
        <cfvo type="num" val="90"/>
      </iconSet>
    </cfRule>
  </conditionalFormatting>
  <conditionalFormatting sqref="Y493:Y494">
    <cfRule type="iconSet" priority="55">
      <iconSet iconSet="3Symbols" showValue="0">
        <cfvo type="percent" val="0"/>
        <cfvo type="num" val="65"/>
        <cfvo type="num" val="90"/>
      </iconSet>
    </cfRule>
  </conditionalFormatting>
  <conditionalFormatting sqref="Y491:Y492">
    <cfRule type="iconSet" priority="50">
      <iconSet iconSet="3Symbols" showValue="0">
        <cfvo type="percent" val="0"/>
        <cfvo type="num" val="65"/>
        <cfvo type="num" val="90"/>
      </iconSet>
    </cfRule>
  </conditionalFormatting>
  <conditionalFormatting sqref="Y489:Y490">
    <cfRule type="iconSet" priority="45">
      <iconSet iconSet="3Symbols" showValue="0">
        <cfvo type="percent" val="0"/>
        <cfvo type="num" val="65"/>
        <cfvo type="num" val="90"/>
      </iconSet>
    </cfRule>
  </conditionalFormatting>
  <conditionalFormatting sqref="Y53:Y54">
    <cfRule type="iconSet" priority="40">
      <iconSet iconSet="3Symbols" showValue="0">
        <cfvo type="percent" val="0"/>
        <cfvo type="num" val="65"/>
        <cfvo type="num" val="90"/>
      </iconSet>
    </cfRule>
  </conditionalFormatting>
  <conditionalFormatting sqref="Y63:Y66">
    <cfRule type="iconSet" priority="15">
      <iconSet iconSet="3Symbols" showValue="0">
        <cfvo type="percent" val="0"/>
        <cfvo type="num" val="65"/>
        <cfvo type="num" val="90"/>
      </iconSet>
    </cfRule>
  </conditionalFormatting>
  <conditionalFormatting sqref="Y59:Y62">
    <cfRule type="iconSet" priority="10">
      <iconSet iconSet="3Symbols" showValue="0">
        <cfvo type="percent" val="0"/>
        <cfvo type="num" val="65"/>
        <cfvo type="num" val="90"/>
      </iconSet>
    </cfRule>
  </conditionalFormatting>
  <conditionalFormatting sqref="Y56:Y58">
    <cfRule type="iconSet" priority="5">
      <iconSet iconSet="3Symbols" showValue="0">
        <cfvo type="percent" val="0"/>
        <cfvo type="num" val="65"/>
        <cfvo type="num" val="90"/>
      </iconSet>
    </cfRule>
  </conditionalFormatting>
  <conditionalFormatting sqref="Y67">
    <cfRule type="iconSet" priority="3688">
      <iconSet iconSet="3Symbols" showValue="0">
        <cfvo type="percent" val="0"/>
        <cfvo type="num" val="65"/>
        <cfvo type="num" val="90"/>
      </iconSet>
    </cfRule>
  </conditionalFormatting>
  <conditionalFormatting sqref="Y124:Y131">
    <cfRule type="iconSet" priority="1">
      <iconSet iconSet="3Symbols" showValue="0">
        <cfvo type="percent" val="0"/>
        <cfvo type="num" val="65"/>
        <cfvo type="num" val="90"/>
      </iconSet>
    </cfRule>
  </conditionalFormatting>
  <conditionalFormatting sqref="Y112:Y113 Y121:Y123 Y132">
    <cfRule type="iconSet" priority="3693">
      <iconSet iconSet="3Symbols" showValue="0">
        <cfvo type="percent" val="0"/>
        <cfvo type="num" val="65"/>
        <cfvo type="num" val="90"/>
      </iconSet>
    </cfRule>
  </conditionalFormatting>
  <printOptions gridLinesSet="0"/>
  <pageMargins left="0.75" right="0.75" top="1" bottom="1" header="0.5" footer="0.5"/>
  <pageSetup fitToWidth="0" fitToHeight="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7"/>
  <sheetViews>
    <sheetView topLeftCell="A27" zoomScale="71" workbookViewId="0">
      <selection activeCell="A42" sqref="A42"/>
    </sheetView>
  </sheetViews>
  <sheetFormatPr baseColWidth="10" defaultRowHeight="13.2" x14ac:dyDescent="0.25"/>
  <cols>
    <col min="1" max="1" width="36.44140625" customWidth="1"/>
    <col min="2" max="2" width="36.44140625" style="442" customWidth="1"/>
    <col min="3" max="6" width="64.6640625" style="279" customWidth="1"/>
    <col min="7" max="7" width="64.6640625" style="448" customWidth="1"/>
    <col min="8" max="8" width="33.109375" style="279" customWidth="1"/>
    <col min="9" max="9" width="32.33203125" style="279" customWidth="1"/>
    <col min="10" max="10" width="25.44140625" customWidth="1"/>
    <col min="11" max="11" width="27.109375" customWidth="1"/>
    <col min="12" max="12" width="37.77734375" style="449" customWidth="1"/>
    <col min="13" max="13" width="31.6640625" customWidth="1"/>
    <col min="14" max="14" width="26.44140625" customWidth="1"/>
  </cols>
  <sheetData>
    <row r="1" spans="1:12" x14ac:dyDescent="0.25">
      <c r="A1" t="s">
        <v>21</v>
      </c>
      <c r="B1" s="442" t="s">
        <v>1349</v>
      </c>
      <c r="C1" s="423" t="s">
        <v>1273</v>
      </c>
      <c r="D1" s="423" t="s">
        <v>1274</v>
      </c>
      <c r="E1" s="423" t="s">
        <v>1275</v>
      </c>
      <c r="F1" s="423"/>
      <c r="G1" s="83"/>
      <c r="H1" s="423" t="s">
        <v>13</v>
      </c>
      <c r="I1" s="423" t="s">
        <v>292</v>
      </c>
      <c r="J1" s="423" t="s">
        <v>14</v>
      </c>
      <c r="K1" s="423" t="s">
        <v>1364</v>
      </c>
      <c r="L1" s="449" t="s">
        <v>1268</v>
      </c>
    </row>
    <row r="2" spans="1:12" ht="13.8" thickBot="1" x14ac:dyDescent="0.3">
      <c r="C2" s="423"/>
      <c r="D2" s="423"/>
      <c r="E2" s="423"/>
      <c r="F2" s="423"/>
      <c r="G2" s="83"/>
      <c r="H2" s="423"/>
      <c r="I2" s="423"/>
      <c r="J2" s="423"/>
      <c r="K2" s="423"/>
      <c r="L2" s="450" t="s">
        <v>1366</v>
      </c>
    </row>
    <row r="3" spans="1:12" ht="66" x14ac:dyDescent="0.25">
      <c r="A3" t="s">
        <v>1276</v>
      </c>
      <c r="B3" s="279" t="s">
        <v>1350</v>
      </c>
      <c r="C3" s="424" t="s">
        <v>711</v>
      </c>
      <c r="D3" s="424" t="s">
        <v>186</v>
      </c>
      <c r="E3" s="424" t="s">
        <v>1202</v>
      </c>
      <c r="F3" s="419" t="s">
        <v>1279</v>
      </c>
      <c r="G3" s="443"/>
      <c r="H3" s="279" t="s">
        <v>53</v>
      </c>
      <c r="I3" s="279">
        <v>1</v>
      </c>
      <c r="L3" s="451" t="s">
        <v>149</v>
      </c>
    </row>
    <row r="4" spans="1:12" ht="54" customHeight="1" x14ac:dyDescent="0.25">
      <c r="A4" t="s">
        <v>1277</v>
      </c>
      <c r="B4" s="442" t="s">
        <v>1351</v>
      </c>
      <c r="C4" s="424" t="s">
        <v>443</v>
      </c>
      <c r="D4" s="424" t="s">
        <v>1262</v>
      </c>
      <c r="E4" s="424" t="s">
        <v>671</v>
      </c>
      <c r="F4" s="425" t="s">
        <v>1280</v>
      </c>
      <c r="G4" s="444" t="s">
        <v>13</v>
      </c>
      <c r="H4" s="279" t="s">
        <v>1361</v>
      </c>
      <c r="I4" s="279">
        <v>2</v>
      </c>
      <c r="L4" s="452" t="s">
        <v>1266</v>
      </c>
    </row>
    <row r="5" spans="1:12" ht="52.8" x14ac:dyDescent="0.25">
      <c r="A5" t="s">
        <v>1278</v>
      </c>
      <c r="B5" s="279" t="s">
        <v>1352</v>
      </c>
      <c r="C5" s="424" t="s">
        <v>677</v>
      </c>
      <c r="D5" s="424" t="s">
        <v>1263</v>
      </c>
      <c r="E5" s="424" t="s">
        <v>1207</v>
      </c>
      <c r="F5" s="414" t="s">
        <v>1281</v>
      </c>
      <c r="G5" s="444" t="s">
        <v>292</v>
      </c>
      <c r="H5" s="279" t="s">
        <v>3</v>
      </c>
      <c r="I5" s="279">
        <v>3</v>
      </c>
      <c r="L5" s="453" t="s">
        <v>446</v>
      </c>
    </row>
    <row r="6" spans="1:12" ht="52.8" x14ac:dyDescent="0.25">
      <c r="B6" s="279" t="s">
        <v>1353</v>
      </c>
      <c r="C6" s="424" t="s">
        <v>687</v>
      </c>
      <c r="D6" s="424" t="s">
        <v>1264</v>
      </c>
      <c r="E6" s="424" t="s">
        <v>1213</v>
      </c>
      <c r="F6" s="414" t="s">
        <v>1282</v>
      </c>
      <c r="G6" s="444" t="s">
        <v>14</v>
      </c>
      <c r="H6" s="279" t="s">
        <v>108</v>
      </c>
      <c r="I6" s="279">
        <v>4</v>
      </c>
      <c r="L6" s="453" t="s">
        <v>680</v>
      </c>
    </row>
    <row r="7" spans="1:12" ht="48" customHeight="1" x14ac:dyDescent="0.25">
      <c r="B7" s="279" t="s">
        <v>1354</v>
      </c>
      <c r="C7" s="424" t="s">
        <v>132</v>
      </c>
      <c r="D7" s="424" t="s">
        <v>791</v>
      </c>
      <c r="E7" s="424" t="s">
        <v>1218</v>
      </c>
      <c r="F7" s="417" t="s">
        <v>1283</v>
      </c>
      <c r="G7" s="443" t="s">
        <v>1364</v>
      </c>
      <c r="H7" s="279" t="s">
        <v>120</v>
      </c>
      <c r="I7" s="279">
        <v>5</v>
      </c>
      <c r="L7" s="453" t="s">
        <v>719</v>
      </c>
    </row>
    <row r="8" spans="1:12" ht="45" customHeight="1" x14ac:dyDescent="0.25">
      <c r="B8" s="279" t="s">
        <v>1355</v>
      </c>
      <c r="C8" s="424" t="s">
        <v>721</v>
      </c>
      <c r="D8" s="424" t="s">
        <v>762</v>
      </c>
      <c r="E8" s="424" t="s">
        <v>1265</v>
      </c>
      <c r="F8" s="417" t="s">
        <v>1284</v>
      </c>
      <c r="G8" s="443"/>
      <c r="H8" s="279" t="s">
        <v>145</v>
      </c>
      <c r="I8" s="279">
        <v>6</v>
      </c>
      <c r="L8" s="452" t="s">
        <v>57</v>
      </c>
    </row>
    <row r="9" spans="1:12" ht="55.5" customHeight="1" x14ac:dyDescent="0.25">
      <c r="B9" s="279" t="s">
        <v>1356</v>
      </c>
      <c r="C9" s="424" t="s">
        <v>1124</v>
      </c>
      <c r="D9" s="424" t="s">
        <v>987</v>
      </c>
      <c r="E9" s="424"/>
      <c r="F9" s="417" t="s">
        <v>1285</v>
      </c>
      <c r="G9" s="443"/>
      <c r="H9" s="279" t="s">
        <v>159</v>
      </c>
      <c r="I9" s="279">
        <v>7</v>
      </c>
      <c r="L9" s="454" t="s">
        <v>139</v>
      </c>
    </row>
    <row r="10" spans="1:12" ht="51.75" customHeight="1" x14ac:dyDescent="0.25">
      <c r="B10" s="279" t="s">
        <v>1357</v>
      </c>
      <c r="C10" s="424" t="s">
        <v>1128</v>
      </c>
      <c r="D10" s="424" t="s">
        <v>982</v>
      </c>
      <c r="E10" s="424"/>
      <c r="F10" s="417" t="s">
        <v>1286</v>
      </c>
      <c r="G10" s="443"/>
      <c r="H10" s="279" t="s">
        <v>176</v>
      </c>
      <c r="I10" s="279">
        <v>8</v>
      </c>
      <c r="L10" s="452" t="s">
        <v>275</v>
      </c>
    </row>
    <row r="11" spans="1:12" ht="46.8" x14ac:dyDescent="0.25">
      <c r="B11" s="279" t="s">
        <v>1358</v>
      </c>
      <c r="C11" s="424" t="s">
        <v>548</v>
      </c>
      <c r="D11" s="424"/>
      <c r="E11" s="424"/>
      <c r="F11" s="425" t="s">
        <v>1287</v>
      </c>
      <c r="G11" s="444"/>
      <c r="H11" s="279" t="s">
        <v>203</v>
      </c>
      <c r="I11" s="279">
        <v>9</v>
      </c>
      <c r="L11" s="452" t="s">
        <v>1120</v>
      </c>
    </row>
    <row r="12" spans="1:12" ht="66" x14ac:dyDescent="0.25">
      <c r="B12" s="279" t="s">
        <v>1359</v>
      </c>
      <c r="C12" s="424" t="s">
        <v>295</v>
      </c>
      <c r="D12" s="424"/>
      <c r="E12" s="424"/>
      <c r="F12" s="414" t="s">
        <v>1288</v>
      </c>
      <c r="G12" s="444"/>
      <c r="H12" s="279" t="s">
        <v>272</v>
      </c>
      <c r="I12" s="279">
        <v>10</v>
      </c>
      <c r="L12" s="455" t="s">
        <v>135</v>
      </c>
    </row>
    <row r="13" spans="1:12" ht="53.4" thickBot="1" x14ac:dyDescent="0.3">
      <c r="B13" s="279" t="s">
        <v>1360</v>
      </c>
      <c r="C13" s="424" t="s">
        <v>1260</v>
      </c>
      <c r="D13" s="424"/>
      <c r="E13" s="424"/>
      <c r="F13" s="426" t="s">
        <v>1289</v>
      </c>
      <c r="G13" s="443"/>
      <c r="H13" s="279" t="s">
        <v>294</v>
      </c>
      <c r="I13" s="279">
        <v>11</v>
      </c>
      <c r="L13" s="455" t="s">
        <v>1121</v>
      </c>
    </row>
    <row r="14" spans="1:12" ht="16.2" thickBot="1" x14ac:dyDescent="0.3">
      <c r="C14" s="424" t="s">
        <v>1261</v>
      </c>
      <c r="D14" s="424"/>
      <c r="E14" s="424"/>
      <c r="F14" s="419" t="s">
        <v>1290</v>
      </c>
      <c r="G14" s="443"/>
      <c r="H14" s="279" t="s">
        <v>4</v>
      </c>
      <c r="I14" s="279">
        <v>12</v>
      </c>
      <c r="L14" s="454" t="s">
        <v>723</v>
      </c>
    </row>
    <row r="15" spans="1:12" ht="47.4" thickBot="1" x14ac:dyDescent="0.3">
      <c r="C15" s="424" t="s">
        <v>1138</v>
      </c>
      <c r="D15" s="424"/>
      <c r="E15" s="424"/>
      <c r="F15" s="419" t="s">
        <v>1291</v>
      </c>
      <c r="G15" s="443"/>
      <c r="H15" s="279" t="s">
        <v>433</v>
      </c>
      <c r="I15" s="279">
        <v>13</v>
      </c>
      <c r="L15" s="451" t="s">
        <v>473</v>
      </c>
    </row>
    <row r="16" spans="1:12" ht="26.4" x14ac:dyDescent="0.25">
      <c r="C16" s="424" t="s">
        <v>186</v>
      </c>
      <c r="F16" s="416" t="s">
        <v>1292</v>
      </c>
      <c r="G16" s="444"/>
      <c r="H16" s="279" t="s">
        <v>442</v>
      </c>
      <c r="I16" s="279">
        <v>14</v>
      </c>
      <c r="L16" s="452" t="s">
        <v>486</v>
      </c>
    </row>
    <row r="17" spans="3:12" ht="31.2" x14ac:dyDescent="0.25">
      <c r="C17" s="424" t="s">
        <v>1262</v>
      </c>
      <c r="F17" s="414" t="s">
        <v>1293</v>
      </c>
      <c r="G17" s="444"/>
      <c r="H17" s="279" t="s">
        <v>447</v>
      </c>
      <c r="I17" s="279">
        <v>15</v>
      </c>
      <c r="L17" s="452" t="s">
        <v>489</v>
      </c>
    </row>
    <row r="18" spans="3:12" ht="31.8" thickBot="1" x14ac:dyDescent="0.3">
      <c r="C18" s="424" t="s">
        <v>1263</v>
      </c>
      <c r="F18" s="427" t="s">
        <v>1294</v>
      </c>
      <c r="G18" s="444"/>
      <c r="H18" s="279" t="s">
        <v>461</v>
      </c>
      <c r="I18" s="279">
        <v>16</v>
      </c>
      <c r="L18" s="456" t="s">
        <v>1130</v>
      </c>
    </row>
    <row r="19" spans="3:12" ht="47.4" thickBot="1" x14ac:dyDescent="0.3">
      <c r="C19" s="424" t="s">
        <v>1264</v>
      </c>
      <c r="F19" s="419" t="s">
        <v>1295</v>
      </c>
      <c r="G19" s="443"/>
      <c r="H19" s="279" t="s">
        <v>5</v>
      </c>
      <c r="I19" s="279">
        <v>17</v>
      </c>
      <c r="L19" s="457" t="s">
        <v>1267</v>
      </c>
    </row>
    <row r="20" spans="3:12" ht="31.8" thickBot="1" x14ac:dyDescent="0.3">
      <c r="C20" s="424" t="s">
        <v>791</v>
      </c>
      <c r="F20" s="427" t="s">
        <v>1296</v>
      </c>
      <c r="G20" s="444"/>
      <c r="H20" s="279" t="s">
        <v>1362</v>
      </c>
      <c r="I20" s="279">
        <v>18</v>
      </c>
      <c r="L20" s="451" t="s">
        <v>298</v>
      </c>
    </row>
    <row r="21" spans="3:12" ht="31.8" thickBot="1" x14ac:dyDescent="0.3">
      <c r="C21" s="424" t="s">
        <v>762</v>
      </c>
      <c r="F21" s="417" t="s">
        <v>1297</v>
      </c>
      <c r="G21" s="443"/>
      <c r="H21" s="279" t="s">
        <v>2</v>
      </c>
      <c r="I21" s="279">
        <v>19</v>
      </c>
      <c r="L21" s="458" t="s">
        <v>551</v>
      </c>
    </row>
    <row r="22" spans="3:12" ht="31.2" x14ac:dyDescent="0.25">
      <c r="C22" s="424" t="s">
        <v>987</v>
      </c>
      <c r="F22" s="417" t="s">
        <v>1298</v>
      </c>
      <c r="G22" s="443"/>
      <c r="H22" s="279" t="s">
        <v>601</v>
      </c>
      <c r="I22" s="279">
        <v>20</v>
      </c>
      <c r="L22" s="454" t="s">
        <v>591</v>
      </c>
    </row>
    <row r="23" spans="3:12" ht="31.8" thickBot="1" x14ac:dyDescent="0.3">
      <c r="C23" s="424" t="s">
        <v>982</v>
      </c>
      <c r="F23" s="428" t="s">
        <v>1299</v>
      </c>
      <c r="G23" s="445"/>
      <c r="H23" s="279" t="s">
        <v>6</v>
      </c>
      <c r="I23" s="279">
        <v>21</v>
      </c>
      <c r="L23" s="452" t="s">
        <v>599</v>
      </c>
    </row>
    <row r="24" spans="3:12" ht="31.8" thickBot="1" x14ac:dyDescent="0.3">
      <c r="C24" s="424" t="s">
        <v>1202</v>
      </c>
      <c r="F24" s="417" t="s">
        <v>1300</v>
      </c>
      <c r="G24" s="443"/>
      <c r="H24" s="279" t="s">
        <v>1363</v>
      </c>
      <c r="I24" s="279">
        <v>22</v>
      </c>
      <c r="L24" s="459" t="s">
        <v>286</v>
      </c>
    </row>
    <row r="25" spans="3:12" ht="31.2" x14ac:dyDescent="0.25">
      <c r="C25" s="424" t="s">
        <v>671</v>
      </c>
      <c r="F25" s="417" t="s">
        <v>1301</v>
      </c>
      <c r="G25" s="443"/>
      <c r="H25" s="279" t="s">
        <v>698</v>
      </c>
      <c r="I25" s="279">
        <v>23</v>
      </c>
      <c r="L25" s="452" t="s">
        <v>451</v>
      </c>
    </row>
    <row r="26" spans="3:12" ht="47.4" thickBot="1" x14ac:dyDescent="0.3">
      <c r="C26" s="424" t="s">
        <v>1207</v>
      </c>
      <c r="F26" s="429" t="s">
        <v>1302</v>
      </c>
      <c r="G26" s="443"/>
      <c r="H26" s="279" t="s">
        <v>750</v>
      </c>
      <c r="I26" s="279">
        <v>24</v>
      </c>
      <c r="L26" s="452" t="s">
        <v>105</v>
      </c>
    </row>
    <row r="27" spans="3:12" ht="40.200000000000003" thickBot="1" x14ac:dyDescent="0.3">
      <c r="C27" s="424" t="s">
        <v>1213</v>
      </c>
      <c r="F27" s="431" t="s">
        <v>1303</v>
      </c>
      <c r="G27" s="444"/>
      <c r="H27" s="279" t="s">
        <v>774</v>
      </c>
      <c r="I27" s="279">
        <v>25</v>
      </c>
      <c r="L27" s="459" t="s">
        <v>1140</v>
      </c>
    </row>
    <row r="28" spans="3:12" ht="53.4" thickBot="1" x14ac:dyDescent="0.3">
      <c r="C28" s="424" t="s">
        <v>1218</v>
      </c>
      <c r="F28" s="432" t="s">
        <v>1304</v>
      </c>
      <c r="G28" s="443"/>
      <c r="H28" s="279" t="s">
        <v>802</v>
      </c>
      <c r="I28" s="279">
        <v>26</v>
      </c>
      <c r="L28" s="459" t="s">
        <v>345</v>
      </c>
    </row>
    <row r="29" spans="3:12" ht="47.4" thickBot="1" x14ac:dyDescent="0.3">
      <c r="C29" s="424" t="s">
        <v>1265</v>
      </c>
      <c r="F29" s="429" t="s">
        <v>1305</v>
      </c>
      <c r="G29" s="443"/>
      <c r="H29" t="s">
        <v>815</v>
      </c>
      <c r="I29" s="279">
        <v>27</v>
      </c>
      <c r="L29" s="459" t="s">
        <v>907</v>
      </c>
    </row>
    <row r="30" spans="3:12" ht="47.4" thickBot="1" x14ac:dyDescent="0.3">
      <c r="F30" s="430" t="s">
        <v>1306</v>
      </c>
      <c r="G30" s="444"/>
      <c r="H30" s="279" t="s">
        <v>846</v>
      </c>
      <c r="I30" s="279">
        <v>28</v>
      </c>
      <c r="L30" s="459" t="s">
        <v>354</v>
      </c>
    </row>
    <row r="31" spans="3:12" ht="63" thickBot="1" x14ac:dyDescent="0.3">
      <c r="F31" s="433" t="s">
        <v>1307</v>
      </c>
      <c r="G31" s="446"/>
      <c r="H31" s="279" t="s">
        <v>854</v>
      </c>
      <c r="I31" s="279">
        <v>29</v>
      </c>
      <c r="L31" s="460" t="s">
        <v>358</v>
      </c>
    </row>
    <row r="32" spans="3:12" ht="63" thickBot="1" x14ac:dyDescent="0.3">
      <c r="F32" s="434" t="s">
        <v>1308</v>
      </c>
      <c r="G32" s="446"/>
      <c r="H32" s="279" t="s">
        <v>8</v>
      </c>
      <c r="I32" s="279">
        <v>30</v>
      </c>
      <c r="L32" s="450" t="s">
        <v>1367</v>
      </c>
    </row>
    <row r="33" spans="6:12" ht="46.8" x14ac:dyDescent="0.25">
      <c r="F33" s="435" t="s">
        <v>1309</v>
      </c>
      <c r="G33" s="78"/>
      <c r="H33" s="279" t="s">
        <v>898</v>
      </c>
      <c r="I33" s="279">
        <v>31</v>
      </c>
      <c r="L33" s="461" t="s">
        <v>189</v>
      </c>
    </row>
    <row r="34" spans="6:12" ht="94.2" thickBot="1" x14ac:dyDescent="0.3">
      <c r="F34" s="415" t="s">
        <v>1310</v>
      </c>
      <c r="G34" s="78"/>
      <c r="H34" s="279" t="s">
        <v>9</v>
      </c>
      <c r="I34" s="279">
        <v>32</v>
      </c>
      <c r="L34" s="462" t="s">
        <v>1269</v>
      </c>
    </row>
    <row r="35" spans="6:12" ht="31.8" thickBot="1" x14ac:dyDescent="0.3">
      <c r="F35" s="415" t="s">
        <v>1311</v>
      </c>
      <c r="G35" s="78"/>
      <c r="H35" s="279" t="s">
        <v>956</v>
      </c>
      <c r="I35" s="279">
        <v>33</v>
      </c>
      <c r="L35" s="462" t="s">
        <v>626</v>
      </c>
    </row>
    <row r="36" spans="6:12" ht="15.6" x14ac:dyDescent="0.25">
      <c r="F36" s="416" t="s">
        <v>1312</v>
      </c>
      <c r="G36" s="444"/>
      <c r="H36" s="279" t="s">
        <v>11</v>
      </c>
      <c r="I36" s="279">
        <v>34</v>
      </c>
      <c r="L36" s="463" t="s">
        <v>620</v>
      </c>
    </row>
    <row r="37" spans="6:12" ht="47.4" thickBot="1" x14ac:dyDescent="0.3">
      <c r="F37" s="417" t="s">
        <v>1313</v>
      </c>
      <c r="G37" s="443"/>
      <c r="H37" s="279" t="s">
        <v>10</v>
      </c>
      <c r="I37" s="279">
        <v>35</v>
      </c>
      <c r="L37" s="464" t="s">
        <v>611</v>
      </c>
    </row>
    <row r="38" spans="6:12" ht="46.8" x14ac:dyDescent="0.25">
      <c r="F38" s="426" t="s">
        <v>1314</v>
      </c>
      <c r="G38" s="443"/>
      <c r="H38" s="279" t="s">
        <v>12</v>
      </c>
      <c r="I38" s="279">
        <v>36</v>
      </c>
      <c r="L38" s="465" t="s">
        <v>651</v>
      </c>
    </row>
    <row r="39" spans="6:12" ht="31.8" thickBot="1" x14ac:dyDescent="0.3">
      <c r="F39" s="420" t="s">
        <v>1315</v>
      </c>
      <c r="G39" s="443"/>
      <c r="L39" s="466" t="s">
        <v>642</v>
      </c>
    </row>
    <row r="40" spans="6:12" ht="78" x14ac:dyDescent="0.25">
      <c r="F40" s="419" t="s">
        <v>1316</v>
      </c>
      <c r="G40" s="443"/>
      <c r="L40" s="466" t="s">
        <v>638</v>
      </c>
    </row>
    <row r="41" spans="6:12" ht="63" thickBot="1" x14ac:dyDescent="0.3">
      <c r="F41" s="436" t="s">
        <v>1317</v>
      </c>
      <c r="G41" s="445"/>
      <c r="L41" s="467" t="s">
        <v>632</v>
      </c>
    </row>
    <row r="42" spans="6:12" ht="31.2" x14ac:dyDescent="0.25">
      <c r="F42" s="417" t="s">
        <v>1318</v>
      </c>
      <c r="G42" s="443"/>
      <c r="L42" s="468" t="s">
        <v>1167</v>
      </c>
    </row>
    <row r="43" spans="6:12" ht="31.2" x14ac:dyDescent="0.25">
      <c r="F43" s="436" t="s">
        <v>1319</v>
      </c>
      <c r="G43" s="445"/>
      <c r="L43" s="466" t="s">
        <v>1169</v>
      </c>
    </row>
    <row r="44" spans="6:12" ht="31.8" thickBot="1" x14ac:dyDescent="0.3">
      <c r="F44" s="420" t="s">
        <v>1320</v>
      </c>
      <c r="G44" s="443"/>
      <c r="L44" s="466" t="s">
        <v>1171</v>
      </c>
    </row>
    <row r="45" spans="6:12" ht="46.8" x14ac:dyDescent="0.25">
      <c r="F45" s="416" t="s">
        <v>1321</v>
      </c>
      <c r="G45" s="444"/>
      <c r="L45" s="466" t="s">
        <v>1173</v>
      </c>
    </row>
    <row r="46" spans="6:12" ht="31.8" thickBot="1" x14ac:dyDescent="0.3">
      <c r="F46" s="418" t="s">
        <v>1322</v>
      </c>
      <c r="G46" s="444"/>
      <c r="L46" s="469" t="s">
        <v>1175</v>
      </c>
    </row>
    <row r="47" spans="6:12" ht="62.4" x14ac:dyDescent="0.25">
      <c r="F47" s="419" t="s">
        <v>1323</v>
      </c>
      <c r="G47" s="443"/>
      <c r="L47" s="468" t="s">
        <v>793</v>
      </c>
    </row>
    <row r="48" spans="6:12" ht="47.4" thickBot="1" x14ac:dyDescent="0.3">
      <c r="F48" s="417" t="s">
        <v>1324</v>
      </c>
      <c r="G48" s="443"/>
      <c r="L48" s="469" t="s">
        <v>739</v>
      </c>
    </row>
    <row r="49" spans="6:12" ht="62.4" x14ac:dyDescent="0.25">
      <c r="F49" s="414" t="s">
        <v>1325</v>
      </c>
      <c r="G49" s="444"/>
      <c r="L49" s="468" t="s">
        <v>960</v>
      </c>
    </row>
    <row r="50" spans="6:12" ht="31.2" x14ac:dyDescent="0.25">
      <c r="F50" s="417" t="s">
        <v>1326</v>
      </c>
      <c r="G50" s="443"/>
      <c r="L50" s="466" t="s">
        <v>1181</v>
      </c>
    </row>
    <row r="51" spans="6:12" ht="31.2" x14ac:dyDescent="0.25">
      <c r="F51" s="418" t="s">
        <v>1327</v>
      </c>
      <c r="G51" s="444"/>
      <c r="L51" s="466" t="s">
        <v>765</v>
      </c>
    </row>
    <row r="52" spans="6:12" ht="46.8" x14ac:dyDescent="0.25">
      <c r="F52" s="426" t="s">
        <v>1328</v>
      </c>
      <c r="G52" s="443"/>
      <c r="L52" s="466" t="s">
        <v>1183</v>
      </c>
    </row>
    <row r="53" spans="6:12" ht="46.8" x14ac:dyDescent="0.25">
      <c r="F53" s="417" t="s">
        <v>1329</v>
      </c>
      <c r="G53" s="443"/>
      <c r="L53" s="469" t="s">
        <v>1185</v>
      </c>
    </row>
    <row r="54" spans="6:12" ht="31.2" x14ac:dyDescent="0.25">
      <c r="F54" s="426" t="s">
        <v>1330</v>
      </c>
      <c r="G54" s="443"/>
      <c r="L54" s="466" t="s">
        <v>748</v>
      </c>
    </row>
    <row r="55" spans="6:12" ht="31.2" x14ac:dyDescent="0.25">
      <c r="F55" s="414" t="s">
        <v>1331</v>
      </c>
      <c r="G55" s="444"/>
      <c r="L55" s="466" t="s">
        <v>998</v>
      </c>
    </row>
    <row r="56" spans="6:12" ht="15.6" x14ac:dyDescent="0.25">
      <c r="F56" s="417" t="s">
        <v>1332</v>
      </c>
      <c r="G56" s="443"/>
      <c r="L56" s="466" t="s">
        <v>1189</v>
      </c>
    </row>
    <row r="57" spans="6:12" ht="31.8" thickBot="1" x14ac:dyDescent="0.3">
      <c r="F57" s="437" t="s">
        <v>1333</v>
      </c>
      <c r="G57" s="78"/>
      <c r="L57" s="466" t="s">
        <v>1039</v>
      </c>
    </row>
    <row r="58" spans="6:12" ht="31.8" thickBot="1" x14ac:dyDescent="0.3">
      <c r="F58" s="438" t="s">
        <v>1334</v>
      </c>
      <c r="G58" s="78"/>
      <c r="L58" s="470" t="s">
        <v>985</v>
      </c>
    </row>
    <row r="59" spans="6:12" ht="16.2" thickBot="1" x14ac:dyDescent="0.3">
      <c r="F59" s="421" t="s">
        <v>1335</v>
      </c>
      <c r="G59" s="78"/>
      <c r="L59" s="450" t="s">
        <v>1365</v>
      </c>
    </row>
    <row r="60" spans="6:12" ht="31.2" x14ac:dyDescent="0.25">
      <c r="F60" s="441" t="s">
        <v>1336</v>
      </c>
      <c r="G60" s="78"/>
      <c r="L60" s="471" t="s">
        <v>207</v>
      </c>
    </row>
    <row r="61" spans="6:12" ht="31.8" thickBot="1" x14ac:dyDescent="0.3">
      <c r="F61" s="415" t="s">
        <v>1337</v>
      </c>
      <c r="G61" s="78"/>
      <c r="L61" s="472" t="s">
        <v>1270</v>
      </c>
    </row>
    <row r="62" spans="6:12" ht="31.2" x14ac:dyDescent="0.25">
      <c r="F62" s="415" t="s">
        <v>1338</v>
      </c>
      <c r="G62" s="78"/>
      <c r="L62" s="463" t="s">
        <v>263</v>
      </c>
    </row>
    <row r="63" spans="6:12" ht="12.75" customHeight="1" x14ac:dyDescent="0.25">
      <c r="F63" s="420" t="s">
        <v>1339</v>
      </c>
      <c r="G63" s="443"/>
      <c r="L63" s="473" t="s">
        <v>270</v>
      </c>
    </row>
    <row r="64" spans="6:12" ht="31.2" x14ac:dyDescent="0.25">
      <c r="F64" s="439" t="s">
        <v>1340</v>
      </c>
      <c r="G64" s="78"/>
      <c r="L64" s="463" t="s">
        <v>246</v>
      </c>
    </row>
    <row r="65" spans="6:12" ht="46.8" x14ac:dyDescent="0.25">
      <c r="F65" s="439" t="s">
        <v>1341</v>
      </c>
      <c r="G65" s="78"/>
      <c r="L65" s="463" t="s">
        <v>1215</v>
      </c>
    </row>
    <row r="66" spans="6:12" ht="46.8" x14ac:dyDescent="0.25">
      <c r="F66" s="439" t="s">
        <v>410</v>
      </c>
      <c r="G66" s="78"/>
      <c r="L66" s="463" t="s">
        <v>1217</v>
      </c>
    </row>
    <row r="67" spans="6:12" ht="31.2" x14ac:dyDescent="0.25">
      <c r="F67" s="439" t="s">
        <v>1342</v>
      </c>
      <c r="G67" s="78"/>
      <c r="L67" s="474" t="s">
        <v>384</v>
      </c>
    </row>
    <row r="68" spans="6:12" ht="12.75" customHeight="1" thickBot="1" x14ac:dyDescent="0.3">
      <c r="F68" s="420" t="s">
        <v>1343</v>
      </c>
      <c r="G68" s="443"/>
      <c r="L68" s="474" t="s">
        <v>405</v>
      </c>
    </row>
    <row r="69" spans="6:12" ht="46.8" x14ac:dyDescent="0.25">
      <c r="F69" s="439" t="s">
        <v>1344</v>
      </c>
      <c r="G69" s="78"/>
      <c r="L69" s="471" t="s">
        <v>412</v>
      </c>
    </row>
    <row r="70" spans="6:12" ht="31.8" thickBot="1" x14ac:dyDescent="0.3">
      <c r="F70" s="440" t="s">
        <v>1345</v>
      </c>
      <c r="G70" s="447"/>
      <c r="L70" s="474" t="s">
        <v>1224</v>
      </c>
    </row>
    <row r="71" spans="6:12" ht="47.4" thickBot="1" x14ac:dyDescent="0.3">
      <c r="F71" s="422" t="s">
        <v>1346</v>
      </c>
      <c r="G71" s="446"/>
      <c r="L71" s="474" t="s">
        <v>1226</v>
      </c>
    </row>
    <row r="72" spans="6:12" ht="31.8" thickBot="1" x14ac:dyDescent="0.3">
      <c r="F72" s="422" t="s">
        <v>1347</v>
      </c>
      <c r="G72" s="446"/>
      <c r="L72" s="474" t="s">
        <v>1271</v>
      </c>
    </row>
    <row r="73" spans="6:12" ht="31.8" thickBot="1" x14ac:dyDescent="0.3">
      <c r="F73" s="422" t="s">
        <v>1348</v>
      </c>
      <c r="G73" s="446"/>
      <c r="L73" s="474" t="s">
        <v>1272</v>
      </c>
    </row>
    <row r="74" spans="6:12" ht="47.4" thickBot="1" x14ac:dyDescent="0.3">
      <c r="L74" s="472" t="s">
        <v>428</v>
      </c>
    </row>
    <row r="75" spans="6:12" ht="31.8" thickBot="1" x14ac:dyDescent="0.3">
      <c r="L75" s="475" t="s">
        <v>813</v>
      </c>
    </row>
    <row r="76" spans="6:12" ht="31.8" thickBot="1" x14ac:dyDescent="0.3">
      <c r="L76" s="475" t="s">
        <v>800</v>
      </c>
    </row>
    <row r="77" spans="6:12" ht="31.8" thickBot="1" x14ac:dyDescent="0.3">
      <c r="L77" s="462" t="s">
        <v>709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A494"/>
  <sheetViews>
    <sheetView topLeftCell="D10" zoomScale="55" zoomScaleNormal="55" workbookViewId="0">
      <selection activeCell="D39" sqref="A39:XFD41"/>
    </sheetView>
  </sheetViews>
  <sheetFormatPr baseColWidth="10" defaultColWidth="11.44140625" defaultRowHeight="43.5" customHeight="1" x14ac:dyDescent="0.25"/>
  <cols>
    <col min="1" max="1" width="11.33203125" style="16" hidden="1" customWidth="1"/>
    <col min="2" max="2" width="7" style="16" hidden="1" customWidth="1"/>
    <col min="3" max="3" width="6.44140625" style="16" hidden="1" customWidth="1"/>
    <col min="4" max="4" width="15" style="16" customWidth="1"/>
    <col min="5" max="5" width="12.44140625" style="16" customWidth="1"/>
    <col min="6" max="6" width="20.33203125" style="283" customWidth="1"/>
    <col min="7" max="7" width="35.77734375" style="212" customWidth="1"/>
    <col min="8" max="8" width="23.44140625" style="283" customWidth="1"/>
    <col min="9" max="9" width="10.6640625" style="19" customWidth="1"/>
    <col min="10" max="14" width="9.6640625" style="19" customWidth="1"/>
    <col min="15" max="15" width="14.77734375" style="19" customWidth="1"/>
    <col min="16" max="17" width="9.6640625" style="19" customWidth="1"/>
    <col min="18" max="18" width="14.6640625" style="19" customWidth="1"/>
    <col min="19" max="19" width="12.44140625" style="19" customWidth="1"/>
    <col min="20" max="20" width="9.44140625" style="18" customWidth="1"/>
    <col min="21" max="21" width="13.44140625" style="18" customWidth="1"/>
    <col min="22" max="22" width="9.33203125" style="19" customWidth="1"/>
    <col min="23" max="23" width="13" style="18" customWidth="1"/>
    <col min="24" max="24" width="14.33203125" style="99" customWidth="1"/>
    <col min="25" max="25" width="16.44140625" style="99" customWidth="1"/>
    <col min="26" max="26" width="44.44140625" style="100" customWidth="1"/>
    <col min="27" max="32" width="44.44140625" style="18" customWidth="1"/>
    <col min="33" max="49" width="16.33203125" style="18" customWidth="1"/>
    <col min="50" max="50" width="16.77734375" style="18" customWidth="1"/>
    <col min="51" max="51" width="44.44140625" style="18" customWidth="1"/>
    <col min="52" max="16384" width="11.44140625" style="18"/>
  </cols>
  <sheetData>
    <row r="1" spans="1:339" s="21" customFormat="1" ht="77.25" hidden="1" customHeight="1" thickBot="1" x14ac:dyDescent="0.3">
      <c r="A1" s="23"/>
      <c r="B1" s="24"/>
      <c r="C1" s="24"/>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0"/>
    </row>
    <row r="2" spans="1:339" s="21" customFormat="1" ht="43.5" hidden="1" customHeight="1" thickBot="1" x14ac:dyDescent="0.3">
      <c r="A2" s="23"/>
      <c r="B2" s="24"/>
      <c r="C2" s="24"/>
      <c r="D2" s="1090" t="s">
        <v>1088</v>
      </c>
      <c r="E2" s="1090"/>
      <c r="F2" s="1090"/>
      <c r="G2" s="1090"/>
      <c r="H2" s="1090"/>
      <c r="I2" s="1090"/>
      <c r="J2" s="1090"/>
      <c r="K2" s="1090"/>
      <c r="L2" s="1090"/>
      <c r="M2" s="1090"/>
      <c r="N2" s="1090"/>
      <c r="O2" s="1090"/>
      <c r="P2" s="1090"/>
      <c r="Q2" s="1090"/>
      <c r="R2" s="1090"/>
      <c r="S2" s="1090"/>
      <c r="T2" s="1090"/>
      <c r="U2" s="1090"/>
      <c r="V2" s="1090"/>
      <c r="W2" s="1090"/>
      <c r="X2" s="1090"/>
      <c r="Y2" s="1090"/>
      <c r="Z2" s="1090"/>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0"/>
    </row>
    <row r="3" spans="1:339" s="29" customFormat="1" ht="43.5" hidden="1" customHeight="1" thickBot="1" x14ac:dyDescent="0.4">
      <c r="A3" s="25"/>
      <c r="B3" s="26"/>
      <c r="C3" s="26"/>
      <c r="D3" s="1091" t="s">
        <v>1089</v>
      </c>
      <c r="E3" s="1091"/>
      <c r="F3" s="1091"/>
      <c r="G3" s="1091"/>
      <c r="H3" s="1091"/>
      <c r="I3" s="1091"/>
      <c r="J3" s="1091"/>
      <c r="K3" s="1091"/>
      <c r="L3" s="1091"/>
      <c r="M3" s="1091"/>
      <c r="N3" s="1091"/>
      <c r="O3" s="1091"/>
      <c r="P3" s="1091"/>
      <c r="Q3" s="1091"/>
      <c r="R3" s="1091"/>
      <c r="S3" s="1091"/>
      <c r="T3" s="1091"/>
      <c r="U3" s="1091"/>
      <c r="V3" s="1091"/>
      <c r="W3" s="1091"/>
      <c r="X3" s="1091"/>
      <c r="Y3" s="1091"/>
      <c r="Z3" s="1091"/>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8"/>
    </row>
    <row r="4" spans="1:339" s="29" customFormat="1" ht="62.25" customHeight="1" thickBot="1" x14ac:dyDescent="0.4">
      <c r="D4" s="1096"/>
      <c r="E4" s="1096"/>
      <c r="F4" s="1096"/>
      <c r="G4" s="1096"/>
      <c r="H4" s="1096"/>
      <c r="I4" s="1096"/>
      <c r="J4" s="1096"/>
      <c r="K4" s="1096"/>
      <c r="L4" s="1096"/>
      <c r="M4" s="1096"/>
      <c r="N4" s="1096"/>
      <c r="O4" s="1096"/>
      <c r="P4" s="1096"/>
      <c r="Q4" s="1096"/>
      <c r="R4" s="1096"/>
      <c r="S4" s="1096"/>
      <c r="T4" s="1096"/>
      <c r="U4" s="1096"/>
      <c r="V4" s="1096"/>
      <c r="W4" s="1096"/>
      <c r="X4" s="1096"/>
      <c r="Y4" s="1096"/>
      <c r="Z4" s="1096"/>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8"/>
    </row>
    <row r="5" spans="1:339" s="21" customFormat="1" ht="33.75" customHeight="1" x14ac:dyDescent="0.3">
      <c r="A5" s="30"/>
      <c r="B5" s="30"/>
      <c r="C5" s="30"/>
      <c r="D5" s="1093" t="s">
        <v>1088</v>
      </c>
      <c r="E5" s="1094"/>
      <c r="F5" s="1094"/>
      <c r="G5" s="1094"/>
      <c r="H5" s="1094"/>
      <c r="I5" s="1094"/>
      <c r="J5" s="1094"/>
      <c r="K5" s="1094"/>
      <c r="L5" s="1094"/>
      <c r="M5" s="1094"/>
      <c r="N5" s="1095"/>
      <c r="O5" s="1092" t="s">
        <v>1091</v>
      </c>
      <c r="P5" s="1092"/>
      <c r="Q5" s="1092"/>
      <c r="R5" s="1092" t="s">
        <v>1092</v>
      </c>
      <c r="S5" s="1092"/>
      <c r="T5" s="1092"/>
      <c r="U5" s="1092" t="s">
        <v>1093</v>
      </c>
      <c r="V5" s="1092"/>
      <c r="W5" s="1092"/>
      <c r="X5" s="1092" t="s">
        <v>1094</v>
      </c>
      <c r="Y5" s="1092"/>
      <c r="Z5" s="1092"/>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20"/>
    </row>
    <row r="6" spans="1:339" s="21" customFormat="1" ht="19.5" customHeight="1" x14ac:dyDescent="0.3">
      <c r="A6" s="30"/>
      <c r="B6" s="30"/>
      <c r="C6" s="30"/>
      <c r="D6" s="1057" t="s">
        <v>1252</v>
      </c>
      <c r="E6" s="1058"/>
      <c r="F6" s="1058"/>
      <c r="G6" s="1058"/>
      <c r="H6" s="1058"/>
      <c r="I6" s="1058"/>
      <c r="J6" s="1058"/>
      <c r="K6" s="1058"/>
      <c r="L6" s="1058"/>
      <c r="M6" s="1058"/>
      <c r="N6" s="1059"/>
      <c r="O6" s="365"/>
      <c r="P6" s="365"/>
      <c r="Q6" s="365"/>
      <c r="R6" s="365"/>
      <c r="S6" s="365"/>
      <c r="T6" s="365"/>
      <c r="U6" s="365"/>
      <c r="V6" s="365"/>
      <c r="W6" s="365"/>
      <c r="X6" s="365"/>
      <c r="Y6" s="365"/>
      <c r="Z6" s="365"/>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20"/>
    </row>
    <row r="7" spans="1:339" s="37" customFormat="1" ht="47.25" customHeight="1" x14ac:dyDescent="0.25">
      <c r="A7" s="32" t="s">
        <v>1095</v>
      </c>
      <c r="B7" s="33" t="s">
        <v>1096</v>
      </c>
      <c r="C7" s="34" t="s">
        <v>1097</v>
      </c>
      <c r="D7" s="35" t="s">
        <v>1098</v>
      </c>
      <c r="E7" s="32" t="s">
        <v>1099</v>
      </c>
      <c r="F7" s="32" t="s">
        <v>1100</v>
      </c>
      <c r="G7" s="32" t="s">
        <v>1101</v>
      </c>
      <c r="H7" s="32" t="s">
        <v>1102</v>
      </c>
      <c r="I7" s="32" t="s">
        <v>1103</v>
      </c>
      <c r="J7" s="32" t="s">
        <v>1104</v>
      </c>
      <c r="K7" s="32" t="s">
        <v>1105</v>
      </c>
      <c r="L7" s="32" t="s">
        <v>1106</v>
      </c>
      <c r="M7" s="32"/>
      <c r="N7" s="32" t="s">
        <v>1107</v>
      </c>
      <c r="O7" s="32" t="s">
        <v>1108</v>
      </c>
      <c r="P7" s="32" t="s">
        <v>1109</v>
      </c>
      <c r="Q7" s="32" t="s">
        <v>1110</v>
      </c>
      <c r="R7" s="32" t="s">
        <v>1108</v>
      </c>
      <c r="S7" s="32" t="s">
        <v>1109</v>
      </c>
      <c r="T7" s="32" t="s">
        <v>1110</v>
      </c>
      <c r="U7" s="32" t="s">
        <v>1108</v>
      </c>
      <c r="V7" s="32" t="s">
        <v>1109</v>
      </c>
      <c r="W7" s="32" t="s">
        <v>1110</v>
      </c>
      <c r="X7" s="32" t="s">
        <v>1108</v>
      </c>
      <c r="Y7" s="32" t="s">
        <v>1109</v>
      </c>
      <c r="Z7" s="32" t="s">
        <v>1110</v>
      </c>
      <c r="AA7" s="36"/>
      <c r="AB7" s="36"/>
      <c r="AC7" s="36"/>
      <c r="AD7" s="36"/>
      <c r="AE7" s="36"/>
      <c r="AF7" s="36"/>
      <c r="AG7" s="36"/>
      <c r="AH7" s="36"/>
      <c r="AI7" s="36"/>
      <c r="AJ7" s="36"/>
      <c r="AK7" s="36"/>
      <c r="AL7" s="36"/>
      <c r="AM7" s="36"/>
      <c r="AN7" s="36"/>
      <c r="AO7" s="36"/>
      <c r="AP7" s="36"/>
      <c r="AQ7" s="36"/>
      <c r="AR7" s="36"/>
      <c r="AS7" s="36"/>
      <c r="AT7" s="36"/>
      <c r="AU7" s="36"/>
      <c r="AV7" s="36"/>
      <c r="AW7" s="36"/>
      <c r="AX7" s="36"/>
      <c r="AY7" s="36"/>
    </row>
    <row r="8" spans="1:339" s="48" customFormat="1" ht="58.5" customHeight="1" x14ac:dyDescent="0.3">
      <c r="A8" s="38">
        <v>1</v>
      </c>
      <c r="B8" s="39">
        <v>0</v>
      </c>
      <c r="C8" s="40">
        <v>1</v>
      </c>
      <c r="D8" s="41" t="s">
        <v>1111</v>
      </c>
      <c r="E8" s="42" t="s">
        <v>1112</v>
      </c>
      <c r="F8" s="43" t="s">
        <v>711</v>
      </c>
      <c r="G8" s="43" t="s">
        <v>147</v>
      </c>
      <c r="H8" s="43" t="s">
        <v>149</v>
      </c>
      <c r="I8" s="44">
        <v>0.2</v>
      </c>
      <c r="J8" s="44">
        <v>0.5</v>
      </c>
      <c r="K8" s="44">
        <v>0.5</v>
      </c>
      <c r="L8" s="44">
        <f>'Plan de Acción 2021'!P55</f>
        <v>0.7</v>
      </c>
      <c r="M8" s="44"/>
      <c r="N8" s="44">
        <v>1</v>
      </c>
      <c r="O8" s="44">
        <f>('Plan de Acción 2021'!V43+'Plan de Acción 2021'!V44+'Plan de Acción 2021'!V45+'Plan de Acción 2021'!V46+'Plan de Acción 2021'!V47+'Plan de Acción 2021'!V48+'Plan de Acción 2021'!V49+'Plan de Acción 2021'!V50+'Plan de Acción 2021'!V51+'Plan de Acción 2021'!V52+'Plan de Acción 2021'!V53+'Plan de Acción 2021'!V54+'Plan de Acción 2021'!V55+'Plan de Acción 2021'!V57+'Plan de Acción 2021'!V58+'Plan de Acción 2021'!V59+'Plan de Acción 2021'!V60+'Plan de Acción 2021'!V282+'Plan de Acción 2021'!V283+'Plan de Acción 2021'!V293+'Plan de Acción 2021'!V293+'Plan de Acción 2021'!V320+'Plan de Acción 2021'!V332+'Plan de Acción 2021'!V333+'Plan de Acción 2021'!V349+'Plan de Acción 2021'!V350+'Plan de Acción 2021'!V351+'Plan de Acción 2021'!V352)/28</f>
        <v>0</v>
      </c>
      <c r="P8" s="44">
        <f>(O8*20%)/(L8-K8)</f>
        <v>0</v>
      </c>
      <c r="R8" s="44">
        <f>('Plan de Acción 2021'!Y43+'Plan de Acción 2021'!Y44+'Plan de Acción 2021'!Y45+'Plan de Acción 2021'!Y46+'Plan de Acción 2021'!Y47+'Plan de Acción 2021'!Y48+'Plan de Acción 2021'!Y49+'Plan de Acción 2021'!Y50+'Plan de Acción 2021'!Y51+'Plan de Acción 2021'!Y52+'Plan de Acción 2021'!Y53+'Plan de Acción 2021'!Y54+'Plan de Acción 2021'!Y55+'Plan de Acción 2021'!Y57+'Plan de Acción 2021'!Y58+'Plan de Acción 2021'!Y59+'Plan de Acción 2021'!Y60+'Plan de Acción 2021'!Y282+'Plan de Acción 2021'!Y283+'Plan de Acción 2021'!Y293+'Plan de Acción 2021'!Y293+'Plan de Acción 2021'!Y320+'Plan de Acción 2021'!Y332+'Plan de Acción 2021'!Y333+'Plan de Acción 2021'!Y349+'Plan de Acción 2021'!Y350+'Plan de Acción 2021'!Y351+'Plan de Acción 2021'!Y352)/28</f>
        <v>0</v>
      </c>
      <c r="S8" s="44">
        <f>(R8*100%)/(L8-K8)</f>
        <v>0</v>
      </c>
      <c r="T8" s="43"/>
      <c r="U8" s="44">
        <f>('Plan de Acción 2021'!AB43+'Plan de Acción 2021'!AB44+'Plan de Acción 2021'!AB45+'Plan de Acción 2021'!AB46+'Plan de Acción 2021'!AB47+'Plan de Acción 2021'!AB48+'Plan de Acción 2021'!AB49+'Plan de Acción 2021'!AB50+'Plan de Acción 2021'!AB51+'Plan de Acción 2021'!AB52+'Plan de Acción 2021'!AB53+'Plan de Acción 2021'!AB54+'Plan de Acción 2021'!AB55+'Plan de Acción 2021'!AB57+'Plan de Acción 2021'!AB58+'Plan de Acción 2021'!AB59+'Plan de Acción 2021'!AB60+'Plan de Acción 2021'!AB282+'Plan de Acción 2021'!AB283+'Plan de Acción 2021'!AB293+'Plan de Acción 2021'!AB293+'Plan de Acción 2021'!AB320+'Plan de Acción 2021'!AB332+'Plan de Acción 2021'!AB333+'Plan de Acción 2021'!AB349+'Plan de Acción 2021'!AB350+'Plan de Acción 2021'!AB351+'Plan de Acción 2021'!AB352)/28</f>
        <v>0</v>
      </c>
      <c r="V8" s="44">
        <f>(U8*100%)/(L8-K8)</f>
        <v>0</v>
      </c>
      <c r="W8" s="45"/>
      <c r="X8" s="44">
        <f>('Plan de Acción 2021'!AE43+'Plan de Acción 2021'!AE44+'Plan de Acción 2021'!AE45+'Plan de Acción 2021'!AE46+'Plan de Acción 2021'!AE47+'Plan de Acción 2021'!AE48+'Plan de Acción 2021'!AE49+'Plan de Acción 2021'!AE50+'Plan de Acción 2021'!AE51+'Plan de Acción 2021'!AE52+'Plan de Acción 2021'!AE53+'Plan de Acción 2021'!AE54+'Plan de Acción 2021'!AE55+'Plan de Acción 2021'!AE57+'Plan de Acción 2021'!AE58+'Plan de Acción 2021'!AE59+'Plan de Acción 2021'!AE60+'Plan de Acción 2021'!AE282+'Plan de Acción 2021'!AE283+'Plan de Acción 2021'!AE293+'Plan de Acción 2021'!AE293+'Plan de Acción 2021'!AE320+'Plan de Acción 2021'!AE332+'Plan de Acción 2021'!AE333+'Plan de Acción 2021'!AE349+'Plan de Acción 2021'!AE350+'Plan de Acción 2021'!AE351+'Plan de Acción 2021'!AE352)/28</f>
        <v>0</v>
      </c>
      <c r="Y8" s="44">
        <f>(X8*100%)/(L8-K8)</f>
        <v>0</v>
      </c>
      <c r="Z8" s="46"/>
      <c r="AA8" s="47"/>
      <c r="AB8" s="31"/>
      <c r="AC8" s="31"/>
      <c r="AD8" s="31"/>
      <c r="AE8" s="31"/>
      <c r="AF8" s="31"/>
      <c r="AG8" s="31"/>
      <c r="AH8" s="31"/>
      <c r="AI8" s="31"/>
      <c r="AJ8" s="31"/>
      <c r="AK8" s="31"/>
      <c r="AL8" s="31"/>
      <c r="AM8" s="31"/>
      <c r="AN8" s="31"/>
      <c r="AO8" s="31"/>
      <c r="AP8" s="31"/>
      <c r="AQ8" s="31"/>
      <c r="AR8" s="31"/>
      <c r="AS8" s="31"/>
      <c r="AT8" s="31"/>
      <c r="AU8" s="31"/>
      <c r="AV8" s="31"/>
      <c r="AW8" s="31"/>
      <c r="AX8" s="31"/>
      <c r="AY8" s="31"/>
      <c r="AZ8" s="18"/>
      <c r="BA8" s="18"/>
    </row>
    <row r="9" spans="1:339" s="21" customFormat="1" ht="78.75" customHeight="1" x14ac:dyDescent="0.3">
      <c r="A9" s="49">
        <v>2</v>
      </c>
      <c r="B9" s="49">
        <v>1</v>
      </c>
      <c r="C9" s="50">
        <v>0</v>
      </c>
      <c r="D9" s="51" t="s">
        <v>1113</v>
      </c>
      <c r="E9" s="51" t="s">
        <v>1113</v>
      </c>
      <c r="F9" s="52" t="s">
        <v>443</v>
      </c>
      <c r="G9" s="52" t="s">
        <v>444</v>
      </c>
      <c r="H9" s="52" t="s">
        <v>446</v>
      </c>
      <c r="I9" s="53">
        <v>0</v>
      </c>
      <c r="J9" s="53">
        <v>0.2</v>
      </c>
      <c r="K9" s="42">
        <v>0</v>
      </c>
      <c r="L9" s="44">
        <f>'Plan de Acción 2021'!P182</f>
        <v>0.4</v>
      </c>
      <c r="M9" s="44"/>
      <c r="N9" s="53">
        <v>1</v>
      </c>
      <c r="O9" s="53">
        <f>'Plan de Acción 2021'!V182</f>
        <v>0</v>
      </c>
      <c r="P9" s="44">
        <f>(O9*40%)/(L9-K9)</f>
        <v>0</v>
      </c>
      <c r="Q9" s="53"/>
      <c r="R9" s="53">
        <f>'Plan de Acción 2021'!Y182</f>
        <v>0</v>
      </c>
      <c r="S9" s="44">
        <f>(R9*40%)/(L9-K9)</f>
        <v>0</v>
      </c>
      <c r="T9" s="54"/>
      <c r="U9" s="53">
        <f>'Plan de Acción 2021'!AB182</f>
        <v>0</v>
      </c>
      <c r="V9" s="44">
        <f t="shared" ref="V9:V28" si="0">(U9*100%)/(L9-K9)</f>
        <v>0</v>
      </c>
      <c r="W9" s="55"/>
      <c r="X9" s="53">
        <f>'Plan de Acción 2021'!AE182</f>
        <v>0</v>
      </c>
      <c r="Y9" s="44">
        <f t="shared" ref="Y9:Y28" si="1">(X9*100%)/(L9-K9)</f>
        <v>0</v>
      </c>
      <c r="Z9" s="56"/>
      <c r="AA9" s="57"/>
      <c r="AB9" s="31"/>
      <c r="AC9" s="31"/>
      <c r="AD9" s="31"/>
      <c r="AE9" s="31"/>
      <c r="AF9" s="31"/>
      <c r="AG9" s="31"/>
      <c r="AH9" s="31"/>
      <c r="AI9" s="31"/>
      <c r="AJ9" s="31"/>
      <c r="AK9" s="31"/>
      <c r="AL9" s="31"/>
      <c r="AM9" s="31"/>
      <c r="AN9" s="31"/>
      <c r="AO9" s="31"/>
      <c r="AP9" s="31"/>
      <c r="AQ9" s="31"/>
      <c r="AR9" s="31"/>
      <c r="AS9" s="31"/>
      <c r="AT9" s="31"/>
      <c r="AU9" s="31"/>
      <c r="AV9" s="31"/>
      <c r="AW9" s="31"/>
      <c r="AX9" s="31"/>
      <c r="AY9" s="31"/>
      <c r="AZ9" s="18"/>
      <c r="BA9" s="18"/>
    </row>
    <row r="10" spans="1:339" s="21" customFormat="1" ht="70.5" customHeight="1" x14ac:dyDescent="0.3">
      <c r="A10" s="49">
        <v>3</v>
      </c>
      <c r="B10" s="49">
        <v>1</v>
      </c>
      <c r="C10" s="50">
        <v>0</v>
      </c>
      <c r="D10" s="51" t="s">
        <v>1114</v>
      </c>
      <c r="E10" s="42" t="s">
        <v>1</v>
      </c>
      <c r="F10" s="54" t="s">
        <v>677</v>
      </c>
      <c r="G10" s="52" t="s">
        <v>678</v>
      </c>
      <c r="H10" s="52" t="s">
        <v>680</v>
      </c>
      <c r="I10" s="58">
        <v>0.1</v>
      </c>
      <c r="J10" s="53">
        <v>0.2</v>
      </c>
      <c r="K10" s="58">
        <v>0.2</v>
      </c>
      <c r="L10" s="44">
        <f>'Plan de Acción 2021'!P281</f>
        <v>0.6</v>
      </c>
      <c r="M10" s="44"/>
      <c r="N10" s="58">
        <v>1</v>
      </c>
      <c r="O10" s="58">
        <f>('Plan de Acción 2021'!V281+'Plan de Acción 2021'!V488+'Plan de Acción 2021'!V489+'Plan de Acción 2021'!V490+'Plan de Acción 2021'!V491+'Plan de Acción 2021'!V492+'Plan de Acción 2021'!V493+'Plan de Acción 2021'!V494+'Plan de Acción 2021'!V495+'Plan de Acción 2021'!V496+'Plan de Acción 2021'!V497+'Plan de Acción 2021'!V498+'Plan de Acción 2021'!V499+'Plan de Acción 2021'!V500+'Plan de Acción 2021'!V501+'Plan de Acción 2021'!V502+'Plan de Acción 2021'!V503+'Plan de Acción 2021'!V504+'Plan de Acción 2021'!V505+'Plan de Acción 2021'!V506+'Plan de Acción 2021'!V507+'Plan de Acción 2021'!V508+'Plan de Acción 2021'!V509+'Plan de Acción 2021'!V510+'Plan de Acción 2021'!V511)/25</f>
        <v>0</v>
      </c>
      <c r="P10" s="44">
        <f>(O10*40%)/(L10-K10)</f>
        <v>0</v>
      </c>
      <c r="Q10" s="58"/>
      <c r="R10" s="58">
        <f>('Plan de Acción 2021'!Y281+'Plan de Acción 2021'!Y488+'Plan de Acción 2021'!Y489+'Plan de Acción 2021'!Y490+'Plan de Acción 2021'!Y491+'Plan de Acción 2021'!Y492+'Plan de Acción 2021'!Y493+'Plan de Acción 2021'!Y494+'Plan de Acción 2021'!Y495+'Plan de Acción 2021'!Y496+'Plan de Acción 2021'!Y497+'Plan de Acción 2021'!Y498+'Plan de Acción 2021'!Y499+'Plan de Acción 2021'!Y500+'Plan de Acción 2021'!Y501+'Plan de Acción 2021'!Y502+'Plan de Acción 2021'!Y503+'Plan de Acción 2021'!Y504+'Plan de Acción 2021'!Y505+'Plan de Acción 2021'!Y506+'Plan de Acción 2021'!Y507+'Plan de Acción 2021'!Y508+'Plan de Acción 2021'!Y509+'Plan de Acción 2021'!Y510+'Plan de Acción 2021'!Y511)/25</f>
        <v>0</v>
      </c>
      <c r="S10" s="44">
        <f>(R10*40%)/(L10-K10)</f>
        <v>0</v>
      </c>
      <c r="T10" s="54"/>
      <c r="U10" s="58">
        <f>('Plan de Acción 2021'!AB281+'Plan de Acción 2021'!AB488+'Plan de Acción 2021'!AB489+'Plan de Acción 2021'!AB490+'Plan de Acción 2021'!AB491+'Plan de Acción 2021'!AB492+'Plan de Acción 2021'!AB493+'Plan de Acción 2021'!AB494+'Plan de Acción 2021'!AB495+'Plan de Acción 2021'!AB496+'Plan de Acción 2021'!AB497+'Plan de Acción 2021'!AB498+'Plan de Acción 2021'!AB499+'Plan de Acción 2021'!AB500+'Plan de Acción 2021'!AB501+'Plan de Acción 2021'!AB502+'Plan de Acción 2021'!AB503+'Plan de Acción 2021'!AB504+'Plan de Acción 2021'!AB505+'Plan de Acción 2021'!AB506+'Plan de Acción 2021'!AB507+'Plan de Acción 2021'!AB508+'Plan de Acción 2021'!AB509+'Plan de Acción 2021'!AB510+'Plan de Acción 2021'!AB511)/25</f>
        <v>0</v>
      </c>
      <c r="V10" s="44">
        <f>(U10*40%)/(L10-K10)</f>
        <v>0</v>
      </c>
      <c r="W10" s="59"/>
      <c r="X10" s="58">
        <f>('Plan de Acción 2021'!AE281+'Plan de Acción 2021'!AE488+'Plan de Acción 2021'!AE489+'Plan de Acción 2021'!AE490+'Plan de Acción 2021'!AE491+'Plan de Acción 2021'!AE492+'Plan de Acción 2021'!AE493+'Plan de Acción 2021'!AE494+'Plan de Acción 2021'!AE495+'Plan de Acción 2021'!AE496+'Plan de Acción 2021'!AE497+'Plan de Acción 2021'!AE498+'Plan de Acción 2021'!AE499+'Plan de Acción 2021'!AE500+'Plan de Acción 2021'!AE501+'Plan de Acción 2021'!AE502+'Plan de Acción 2021'!AE503+'Plan de Acción 2021'!AE504+'Plan de Acción 2021'!AE505+'Plan de Acción 2021'!AE506+'Plan de Acción 2021'!AE507+'Plan de Acción 2021'!AE508+'Plan de Acción 2021'!AE509+'Plan de Acción 2021'!AE510+'Plan de Acción 2021'!AE511)/25</f>
        <v>0</v>
      </c>
      <c r="Y10" s="44">
        <f>(X10*40%)/(L10-K10)</f>
        <v>0</v>
      </c>
      <c r="Z10" s="60"/>
      <c r="AA10" s="6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18"/>
      <c r="BA10" s="18"/>
    </row>
    <row r="11" spans="1:339" s="21" customFormat="1" ht="114" customHeight="1" x14ac:dyDescent="0.3">
      <c r="A11" s="62">
        <v>4</v>
      </c>
      <c r="B11" s="49">
        <v>1</v>
      </c>
      <c r="C11" s="50">
        <v>0</v>
      </c>
      <c r="D11" s="51" t="s">
        <v>1114</v>
      </c>
      <c r="E11" s="42" t="s">
        <v>1</v>
      </c>
      <c r="F11" s="52" t="s">
        <v>687</v>
      </c>
      <c r="G11" s="52" t="s">
        <v>688</v>
      </c>
      <c r="H11" s="52" t="s">
        <v>719</v>
      </c>
      <c r="I11" s="53">
        <v>0</v>
      </c>
      <c r="J11" s="53">
        <v>0.3</v>
      </c>
      <c r="K11" s="58">
        <v>0.2</v>
      </c>
      <c r="L11" s="44">
        <f>'Plan de Acción 2021'!P285</f>
        <v>0.6</v>
      </c>
      <c r="M11" s="44"/>
      <c r="N11" s="53">
        <v>1</v>
      </c>
      <c r="O11" s="53">
        <f>('Plan de Acción 2021'!V347+'Plan de Acción 2021'!V348+'Plan de Acción 2021'!V331++'Plan de Acción 2021'!V295+'Plan de Acción 2021'!V284+'Plan de Acción 2021'!V285)/6</f>
        <v>0</v>
      </c>
      <c r="P11" s="44">
        <f>(O11*40%)/(L11-K11)</f>
        <v>0</v>
      </c>
      <c r="Q11" s="53"/>
      <c r="R11" s="53">
        <f>('Plan de Acción 2021'!Y347+'Plan de Acción 2021'!Y348+'Plan de Acción 2021'!Y331++'Plan de Acción 2021'!Y295+'Plan de Acción 2021'!Y284+'Plan de Acción 2021'!Y285)/6</f>
        <v>0</v>
      </c>
      <c r="S11" s="44">
        <f>(R11*40%)/(L11-K11)</f>
        <v>0</v>
      </c>
      <c r="T11" s="54"/>
      <c r="U11" s="53">
        <f>('Plan de Acción 2021'!AB347+'Plan de Acción 2021'!AB348+'Plan de Acción 2021'!AB331++'Plan de Acción 2021'!AB295+'Plan de Acción 2021'!AB284+'Plan de Acción 2021'!AB285)/6</f>
        <v>0</v>
      </c>
      <c r="V11" s="44">
        <f>(U11*40%)/(L11-K11)</f>
        <v>0</v>
      </c>
      <c r="W11" s="59"/>
      <c r="X11" s="53">
        <f>('Plan de Acción 2021'!AE347+'Plan de Acción 2021'!AE348+'Plan de Acción 2021'!AE331++'Plan de Acción 2021'!AE295+'Plan de Acción 2021'!AE284+'Plan de Acción 2021'!AE285)/6</f>
        <v>0</v>
      </c>
      <c r="Y11" s="44">
        <f>(X11*40%)/(L11-K11)</f>
        <v>0</v>
      </c>
      <c r="Z11" s="60"/>
      <c r="AA11" s="63"/>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18"/>
      <c r="BA11" s="18"/>
    </row>
    <row r="12" spans="1:339" s="68" customFormat="1" ht="43.5" customHeight="1" x14ac:dyDescent="0.3">
      <c r="A12" s="1082">
        <v>5</v>
      </c>
      <c r="B12" s="39">
        <v>0</v>
      </c>
      <c r="C12" s="40">
        <v>1</v>
      </c>
      <c r="D12" s="41" t="s">
        <v>1111</v>
      </c>
      <c r="E12" s="42" t="s">
        <v>1115</v>
      </c>
      <c r="F12" s="1076" t="s">
        <v>132</v>
      </c>
      <c r="G12" s="64" t="s">
        <v>55</v>
      </c>
      <c r="H12" s="43" t="s">
        <v>57</v>
      </c>
      <c r="I12" s="65">
        <v>0.754</v>
      </c>
      <c r="J12" s="44">
        <v>0.86</v>
      </c>
      <c r="K12" s="66">
        <v>0.88800000000000001</v>
      </c>
      <c r="L12" s="44">
        <f>'Plan de Acción 2021'!P42</f>
        <v>0.87</v>
      </c>
      <c r="M12" s="44"/>
      <c r="N12" s="44">
        <v>0.9</v>
      </c>
      <c r="O12" s="44">
        <f>'Plan de Acción 2021'!V39</f>
        <v>0</v>
      </c>
      <c r="P12" s="44">
        <f>O12</f>
        <v>0</v>
      </c>
      <c r="Q12" s="44"/>
      <c r="R12" s="44">
        <f>'Plan de Acción 2021'!Y39</f>
        <v>0</v>
      </c>
      <c r="S12" s="44">
        <f>R12</f>
        <v>0</v>
      </c>
      <c r="T12" s="43"/>
      <c r="U12" s="44">
        <f>'Plan de Acción 2021'!AB39</f>
        <v>0</v>
      </c>
      <c r="V12" s="44">
        <f>U12</f>
        <v>0</v>
      </c>
      <c r="W12" s="55"/>
      <c r="X12" s="44">
        <f>'Plan de Acción 2021'!AE39</f>
        <v>0</v>
      </c>
      <c r="Y12" s="44">
        <f>X12</f>
        <v>0</v>
      </c>
      <c r="Z12" s="56"/>
      <c r="AA12" s="67"/>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18"/>
      <c r="BA12" s="1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c r="IW12" s="48"/>
      <c r="IX12" s="48"/>
      <c r="IY12" s="48"/>
      <c r="IZ12" s="48"/>
      <c r="JA12" s="48"/>
      <c r="JB12" s="48"/>
      <c r="JC12" s="48"/>
      <c r="JD12" s="48"/>
      <c r="JE12" s="48"/>
      <c r="JF12" s="48"/>
      <c r="JG12" s="48"/>
      <c r="JH12" s="48"/>
      <c r="JI12" s="48"/>
      <c r="JJ12" s="48"/>
      <c r="JK12" s="48"/>
      <c r="JL12" s="48"/>
      <c r="JM12" s="48"/>
      <c r="JN12" s="48"/>
      <c r="JO12" s="48"/>
      <c r="JP12" s="48"/>
      <c r="JQ12" s="48"/>
      <c r="JR12" s="48"/>
      <c r="JS12" s="48"/>
      <c r="JT12" s="48"/>
      <c r="JU12" s="48"/>
      <c r="JV12" s="48"/>
      <c r="JW12" s="48"/>
      <c r="JX12" s="48"/>
      <c r="JY12" s="48"/>
      <c r="JZ12" s="48"/>
      <c r="KA12" s="48"/>
      <c r="KB12" s="48"/>
      <c r="KC12" s="48"/>
      <c r="KD12" s="48"/>
      <c r="KE12" s="48"/>
      <c r="KF12" s="48"/>
      <c r="KG12" s="48"/>
      <c r="KH12" s="48"/>
      <c r="KI12" s="48"/>
      <c r="KJ12" s="48"/>
      <c r="KK12" s="48"/>
      <c r="KL12" s="48"/>
      <c r="KM12" s="48"/>
      <c r="KN12" s="48"/>
      <c r="KO12" s="48"/>
      <c r="KP12" s="48"/>
      <c r="KQ12" s="48"/>
      <c r="KR12" s="48"/>
      <c r="KS12" s="48"/>
      <c r="KT12" s="48"/>
      <c r="KU12" s="48"/>
      <c r="KV12" s="48"/>
      <c r="KW12" s="48"/>
      <c r="KX12" s="48"/>
      <c r="KY12" s="48"/>
      <c r="KZ12" s="48"/>
      <c r="LA12" s="48"/>
      <c r="LB12" s="48"/>
      <c r="LC12" s="48"/>
      <c r="LD12" s="48"/>
      <c r="LE12" s="48"/>
      <c r="LF12" s="48"/>
      <c r="LG12" s="48"/>
      <c r="LH12" s="48"/>
      <c r="LI12" s="48"/>
      <c r="LJ12" s="48"/>
      <c r="LK12" s="48"/>
      <c r="LL12" s="48"/>
      <c r="LM12" s="48"/>
      <c r="LN12" s="48"/>
      <c r="LO12" s="48"/>
      <c r="LP12" s="48"/>
      <c r="LQ12" s="48"/>
      <c r="LR12" s="48"/>
      <c r="LS12" s="48"/>
      <c r="LT12" s="48"/>
      <c r="LU12" s="48"/>
      <c r="LV12" s="48"/>
      <c r="LW12" s="48"/>
      <c r="LX12" s="48"/>
      <c r="LY12" s="48"/>
      <c r="LZ12" s="48"/>
      <c r="MA12" s="48"/>
    </row>
    <row r="13" spans="1:339" s="68" customFormat="1" ht="43.5" customHeight="1" x14ac:dyDescent="0.3">
      <c r="A13" s="1087"/>
      <c r="B13" s="39">
        <v>0</v>
      </c>
      <c r="C13" s="40">
        <v>1</v>
      </c>
      <c r="D13" s="41" t="s">
        <v>1111</v>
      </c>
      <c r="E13" s="42" t="s">
        <v>1115</v>
      </c>
      <c r="F13" s="1076"/>
      <c r="G13" s="64" t="s">
        <v>1116</v>
      </c>
      <c r="H13" s="43" t="s">
        <v>139</v>
      </c>
      <c r="I13" s="44">
        <v>0</v>
      </c>
      <c r="J13" s="44">
        <v>0.2</v>
      </c>
      <c r="K13" s="44">
        <v>0.05</v>
      </c>
      <c r="L13" s="44">
        <f>'Plan de Acción 2021'!P40</f>
        <v>0.5</v>
      </c>
      <c r="M13" s="44"/>
      <c r="N13" s="44">
        <v>1</v>
      </c>
      <c r="O13" s="44">
        <f>'Plan de Acción 2021'!V40</f>
        <v>0</v>
      </c>
      <c r="P13" s="44">
        <f>(O13*45%)/(L13-K13)</f>
        <v>0</v>
      </c>
      <c r="Q13" s="44"/>
      <c r="R13" s="44">
        <f>'Plan de Acción 2021'!Y40</f>
        <v>0</v>
      </c>
      <c r="S13" s="44">
        <f>(R13*45%)/(L13-K13)</f>
        <v>0</v>
      </c>
      <c r="T13" s="43"/>
      <c r="U13" s="44">
        <f>'Plan de Acción 2021'!AB40</f>
        <v>0</v>
      </c>
      <c r="V13" s="44">
        <f>(U13*45%)/(L13-K13)</f>
        <v>0</v>
      </c>
      <c r="W13" s="45"/>
      <c r="X13" s="44">
        <f>'Plan de Acción 2021'!AE40</f>
        <v>0</v>
      </c>
      <c r="Y13" s="44">
        <f>(X13*45%)/(L13-K13)</f>
        <v>0</v>
      </c>
      <c r="Z13" s="46"/>
      <c r="AA13" s="69"/>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18"/>
      <c r="BA13" s="1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c r="IU13" s="48"/>
      <c r="IV13" s="48"/>
      <c r="IW13" s="48"/>
      <c r="IX13" s="48"/>
      <c r="IY13" s="48"/>
      <c r="IZ13" s="48"/>
      <c r="JA13" s="48"/>
      <c r="JB13" s="48"/>
      <c r="JC13" s="48"/>
      <c r="JD13" s="48"/>
      <c r="JE13" s="48"/>
      <c r="JF13" s="48"/>
      <c r="JG13" s="48"/>
      <c r="JH13" s="48"/>
      <c r="JI13" s="48"/>
      <c r="JJ13" s="48"/>
      <c r="JK13" s="48"/>
      <c r="JL13" s="48"/>
      <c r="JM13" s="48"/>
      <c r="JN13" s="48"/>
      <c r="JO13" s="48"/>
      <c r="JP13" s="48"/>
      <c r="JQ13" s="48"/>
      <c r="JR13" s="48"/>
      <c r="JS13" s="48"/>
      <c r="JT13" s="48"/>
      <c r="JU13" s="48"/>
      <c r="JV13" s="48"/>
      <c r="JW13" s="48"/>
      <c r="JX13" s="48"/>
      <c r="JY13" s="48"/>
      <c r="JZ13" s="48"/>
      <c r="KA13" s="48"/>
      <c r="KB13" s="48"/>
      <c r="KC13" s="48"/>
      <c r="KD13" s="48"/>
      <c r="KE13" s="48"/>
      <c r="KF13" s="48"/>
      <c r="KG13" s="48"/>
      <c r="KH13" s="48"/>
      <c r="KI13" s="48"/>
      <c r="KJ13" s="48"/>
      <c r="KK13" s="48"/>
      <c r="KL13" s="48"/>
      <c r="KM13" s="48"/>
      <c r="KN13" s="48"/>
      <c r="KO13" s="48"/>
      <c r="KP13" s="48"/>
      <c r="KQ13" s="48"/>
      <c r="KR13" s="48"/>
      <c r="KS13" s="48"/>
      <c r="KT13" s="48"/>
      <c r="KU13" s="48"/>
      <c r="KV13" s="48"/>
      <c r="KW13" s="48"/>
      <c r="KX13" s="48"/>
      <c r="KY13" s="48"/>
      <c r="KZ13" s="48"/>
      <c r="LA13" s="48"/>
      <c r="LB13" s="48"/>
      <c r="LC13" s="48"/>
      <c r="LD13" s="48"/>
      <c r="LE13" s="48"/>
      <c r="LF13" s="48"/>
      <c r="LG13" s="48"/>
      <c r="LH13" s="48"/>
      <c r="LI13" s="48"/>
      <c r="LJ13" s="48"/>
      <c r="LK13" s="48"/>
      <c r="LL13" s="48"/>
      <c r="LM13" s="48"/>
      <c r="LN13" s="48"/>
      <c r="LO13" s="48"/>
      <c r="LP13" s="48"/>
      <c r="LQ13" s="48"/>
      <c r="LR13" s="48"/>
      <c r="LS13" s="48"/>
      <c r="LT13" s="48"/>
      <c r="LU13" s="48"/>
      <c r="LV13" s="48"/>
      <c r="LW13" s="48"/>
      <c r="LX13" s="48"/>
      <c r="LY13" s="48"/>
      <c r="LZ13" s="48"/>
      <c r="MA13" s="48"/>
    </row>
    <row r="14" spans="1:339" s="21" customFormat="1" ht="43.5" customHeight="1" x14ac:dyDescent="0.3">
      <c r="A14" s="1085"/>
      <c r="B14" s="39">
        <v>1</v>
      </c>
      <c r="C14" s="40">
        <v>0</v>
      </c>
      <c r="D14" s="41" t="s">
        <v>1111</v>
      </c>
      <c r="E14" s="42" t="s">
        <v>1117</v>
      </c>
      <c r="F14" s="1076"/>
      <c r="G14" s="64" t="s">
        <v>273</v>
      </c>
      <c r="H14" s="43" t="s">
        <v>275</v>
      </c>
      <c r="I14" s="43">
        <f>1+1+1+1+1</f>
        <v>5</v>
      </c>
      <c r="J14" s="43">
        <v>6</v>
      </c>
      <c r="K14" s="43">
        <v>6</v>
      </c>
      <c r="L14" s="43">
        <v>7</v>
      </c>
      <c r="M14" s="43"/>
      <c r="N14" s="43">
        <v>9</v>
      </c>
      <c r="O14" s="44">
        <f>('Plan de Acción 2021'!V99+'Plan de Acción 2021'!V100+'Plan de Acción 2021'!V101+'Plan de Acción 2021'!V102+'Plan de Acción 2021'!V319)/5</f>
        <v>0</v>
      </c>
      <c r="P14" s="44">
        <f t="shared" ref="P14" si="2">(O14*100%)/(L14-K14)</f>
        <v>0</v>
      </c>
      <c r="Q14" s="43"/>
      <c r="R14" s="44">
        <f>('Plan de Acción 2021'!Y99+'Plan de Acción 2021'!Y100+'Plan de Acción 2021'!Y101+'Plan de Acción 2021'!Y102+'Plan de Acción 2021'!Y319)/5</f>
        <v>0</v>
      </c>
      <c r="S14" s="44">
        <f t="shared" ref="S14:S28" si="3">(R14*100%)/(L14-K14)</f>
        <v>0</v>
      </c>
      <c r="T14" s="43"/>
      <c r="U14" s="44">
        <f>('Plan de Acción 2021'!AB99+'Plan de Acción 2021'!AB100+'Plan de Acción 2021'!AB101+'Plan de Acción 2021'!AB102+'Plan de Acción 2021'!AB319)/5</f>
        <v>0</v>
      </c>
      <c r="V14" s="44">
        <f t="shared" si="0"/>
        <v>0</v>
      </c>
      <c r="W14" s="45"/>
      <c r="X14" s="44">
        <f>('Plan de Acción 2021'!AE99+'Plan de Acción 2021'!AE100+'Plan de Acción 2021'!AE101+'Plan de Acción 2021'!AE102+'Plan de Acción 2021'!AE319)/5</f>
        <v>0</v>
      </c>
      <c r="Y14" s="44">
        <f t="shared" si="1"/>
        <v>0</v>
      </c>
      <c r="Z14" s="46"/>
      <c r="AA14" s="69"/>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18"/>
      <c r="BA14" s="1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c r="IU14" s="48"/>
      <c r="IV14" s="48"/>
      <c r="IW14" s="48"/>
      <c r="IX14" s="48"/>
      <c r="IY14" s="48"/>
      <c r="IZ14" s="48"/>
      <c r="JA14" s="48"/>
      <c r="JB14" s="48"/>
      <c r="JC14" s="48"/>
      <c r="JD14" s="48"/>
      <c r="JE14" s="48"/>
      <c r="JF14" s="48"/>
      <c r="JG14" s="48"/>
      <c r="JH14" s="48"/>
      <c r="JI14" s="48"/>
      <c r="JJ14" s="48"/>
      <c r="JK14" s="48"/>
      <c r="JL14" s="48"/>
      <c r="JM14" s="48"/>
      <c r="JN14" s="48"/>
      <c r="JO14" s="48"/>
      <c r="JP14" s="48"/>
      <c r="JQ14" s="48"/>
      <c r="JR14" s="48"/>
      <c r="JS14" s="48"/>
      <c r="JT14" s="48"/>
      <c r="JU14" s="48"/>
      <c r="JV14" s="48"/>
      <c r="JW14" s="48"/>
      <c r="JX14" s="48"/>
      <c r="JY14" s="48"/>
      <c r="JZ14" s="48"/>
      <c r="KA14" s="48"/>
      <c r="KB14" s="48"/>
      <c r="KC14" s="48"/>
      <c r="KD14" s="48"/>
      <c r="KE14" s="48"/>
      <c r="KF14" s="48"/>
      <c r="KG14" s="48"/>
      <c r="KH14" s="48"/>
      <c r="KI14" s="48"/>
      <c r="KJ14" s="48"/>
      <c r="KK14" s="48"/>
      <c r="KL14" s="48"/>
      <c r="KM14" s="48"/>
      <c r="KN14" s="48"/>
      <c r="KO14" s="48"/>
      <c r="KP14" s="48"/>
      <c r="KQ14" s="48"/>
      <c r="KR14" s="48"/>
      <c r="KS14" s="48"/>
      <c r="KT14" s="48"/>
      <c r="KU14" s="48"/>
      <c r="KV14" s="48"/>
      <c r="KW14" s="48"/>
      <c r="KX14" s="48"/>
      <c r="KY14" s="48"/>
      <c r="KZ14" s="48"/>
      <c r="LA14" s="48"/>
      <c r="LB14" s="48"/>
      <c r="LC14" s="48"/>
      <c r="LD14" s="48"/>
      <c r="LE14" s="48"/>
      <c r="LF14" s="48"/>
      <c r="LG14" s="48"/>
      <c r="LH14" s="48"/>
      <c r="LI14" s="48"/>
      <c r="LJ14" s="48"/>
      <c r="LK14" s="48"/>
      <c r="LL14" s="48"/>
      <c r="LM14" s="48"/>
      <c r="LN14" s="48"/>
      <c r="LO14" s="48"/>
      <c r="LP14" s="48"/>
      <c r="LQ14" s="48"/>
      <c r="LR14" s="48"/>
      <c r="LS14" s="48"/>
      <c r="LT14" s="48"/>
      <c r="LU14" s="48"/>
      <c r="LV14" s="48"/>
      <c r="LW14" s="48"/>
      <c r="LX14" s="48"/>
      <c r="LY14" s="48"/>
      <c r="LZ14" s="48"/>
      <c r="MA14" s="48"/>
    </row>
    <row r="15" spans="1:339" s="68" customFormat="1" ht="78" customHeight="1" x14ac:dyDescent="0.3">
      <c r="A15" s="1085"/>
      <c r="B15" s="39">
        <v>0</v>
      </c>
      <c r="C15" s="40">
        <v>1</v>
      </c>
      <c r="D15" s="41" t="s">
        <v>1113</v>
      </c>
      <c r="E15" s="42" t="s">
        <v>1118</v>
      </c>
      <c r="F15" s="1076"/>
      <c r="G15" s="64" t="s">
        <v>1119</v>
      </c>
      <c r="H15" s="43" t="s">
        <v>1120</v>
      </c>
      <c r="I15" s="43">
        <v>0</v>
      </c>
      <c r="J15" s="43">
        <v>0.5</v>
      </c>
      <c r="K15" s="43">
        <v>0.2</v>
      </c>
      <c r="L15" s="43">
        <v>0.7</v>
      </c>
      <c r="M15" s="43"/>
      <c r="N15" s="43">
        <v>1</v>
      </c>
      <c r="O15" s="44">
        <f>'Plan de Acción 2021'!V190</f>
        <v>0</v>
      </c>
      <c r="P15" s="44">
        <f>(O15*50%)/(L15-K15)</f>
        <v>0</v>
      </c>
      <c r="Q15" s="43"/>
      <c r="R15" s="44">
        <f>'Plan de Acción 2021'!Y190</f>
        <v>0</v>
      </c>
      <c r="S15" s="44">
        <f>(R15*50%)/(L15-K15)</f>
        <v>0</v>
      </c>
      <c r="T15" s="43"/>
      <c r="U15" s="44">
        <f>'Plan de Acción 2021'!AB190</f>
        <v>0</v>
      </c>
      <c r="V15" s="44">
        <f>(U15*50%)/(L15-K15)</f>
        <v>0</v>
      </c>
      <c r="W15" s="45"/>
      <c r="X15" s="44">
        <f>'Plan de Acción 2021'!AE190</f>
        <v>0</v>
      </c>
      <c r="Y15" s="44">
        <f>(X15*50%)/(L15-K15)</f>
        <v>0</v>
      </c>
      <c r="Z15" s="46"/>
      <c r="AA15" s="69"/>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18"/>
      <c r="BA15" s="1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c r="IW15" s="48"/>
      <c r="IX15" s="48"/>
      <c r="IY15" s="48"/>
      <c r="IZ15" s="48"/>
      <c r="JA15" s="48"/>
      <c r="JB15" s="48"/>
      <c r="JC15" s="48"/>
      <c r="JD15" s="48"/>
      <c r="JE15" s="48"/>
      <c r="JF15" s="48"/>
      <c r="JG15" s="48"/>
      <c r="JH15" s="48"/>
      <c r="JI15" s="48"/>
      <c r="JJ15" s="48"/>
      <c r="JK15" s="48"/>
      <c r="JL15" s="48"/>
      <c r="JM15" s="48"/>
      <c r="JN15" s="48"/>
      <c r="JO15" s="48"/>
      <c r="JP15" s="48"/>
      <c r="JQ15" s="48"/>
      <c r="JR15" s="48"/>
      <c r="JS15" s="48"/>
      <c r="JT15" s="48"/>
      <c r="JU15" s="48"/>
      <c r="JV15" s="48"/>
      <c r="JW15" s="48"/>
      <c r="JX15" s="48"/>
      <c r="JY15" s="48"/>
      <c r="JZ15" s="48"/>
      <c r="KA15" s="48"/>
      <c r="KB15" s="48"/>
      <c r="KC15" s="48"/>
      <c r="KD15" s="48"/>
      <c r="KE15" s="48"/>
      <c r="KF15" s="48"/>
      <c r="KG15" s="48"/>
      <c r="KH15" s="48"/>
      <c r="KI15" s="48"/>
      <c r="KJ15" s="48"/>
      <c r="KK15" s="48"/>
      <c r="KL15" s="48"/>
      <c r="KM15" s="48"/>
      <c r="KN15" s="48"/>
      <c r="KO15" s="48"/>
      <c r="KP15" s="48"/>
      <c r="KQ15" s="48"/>
      <c r="KR15" s="48"/>
      <c r="KS15" s="48"/>
      <c r="KT15" s="48"/>
      <c r="KU15" s="48"/>
      <c r="KV15" s="48"/>
      <c r="KW15" s="48"/>
      <c r="KX15" s="48"/>
      <c r="KY15" s="48"/>
      <c r="KZ15" s="48"/>
      <c r="LA15" s="48"/>
      <c r="LB15" s="48"/>
      <c r="LC15" s="48"/>
      <c r="LD15" s="48"/>
      <c r="LE15" s="48"/>
      <c r="LF15" s="48"/>
      <c r="LG15" s="48"/>
      <c r="LH15" s="48"/>
      <c r="LI15" s="48"/>
      <c r="LJ15" s="48"/>
      <c r="LK15" s="48"/>
      <c r="LL15" s="48"/>
      <c r="LM15" s="48"/>
      <c r="LN15" s="48"/>
      <c r="LO15" s="48"/>
      <c r="LP15" s="48"/>
      <c r="LQ15" s="48"/>
      <c r="LR15" s="48"/>
      <c r="LS15" s="48"/>
      <c r="LT15" s="48"/>
      <c r="LU15" s="48"/>
      <c r="LV15" s="48"/>
      <c r="LW15" s="48"/>
      <c r="LX15" s="48"/>
      <c r="LY15" s="48"/>
      <c r="LZ15" s="48"/>
      <c r="MA15" s="48"/>
    </row>
    <row r="16" spans="1:339" s="68" customFormat="1" ht="87" customHeight="1" x14ac:dyDescent="0.3">
      <c r="A16" s="1085"/>
      <c r="B16" s="39">
        <v>0</v>
      </c>
      <c r="C16" s="40">
        <v>1</v>
      </c>
      <c r="D16" s="41" t="s">
        <v>1111</v>
      </c>
      <c r="E16" s="42" t="s">
        <v>1115</v>
      </c>
      <c r="F16" s="1076"/>
      <c r="G16" s="64" t="s">
        <v>133</v>
      </c>
      <c r="H16" s="64" t="s">
        <v>135</v>
      </c>
      <c r="I16" s="70">
        <v>0</v>
      </c>
      <c r="J16" s="70">
        <v>0.08</v>
      </c>
      <c r="K16" s="72">
        <v>0.06</v>
      </c>
      <c r="L16" s="44">
        <f>'Plan de Acción 2021'!P39</f>
        <v>0.15</v>
      </c>
      <c r="M16" s="44"/>
      <c r="N16" s="70">
        <v>0.25</v>
      </c>
      <c r="O16" s="70">
        <f>'Plan de Acción 2021'!V190</f>
        <v>0</v>
      </c>
      <c r="P16" s="44">
        <f>(O16*9%)/(L16-K16)</f>
        <v>0</v>
      </c>
      <c r="Q16" s="70"/>
      <c r="R16" s="70">
        <f>'Plan de Acción 2021'!Y190</f>
        <v>0</v>
      </c>
      <c r="S16" s="44">
        <f>(R16*9%)/(L16-K16)</f>
        <v>0</v>
      </c>
      <c r="T16" s="64"/>
      <c r="U16" s="70">
        <f>'Plan de Acción 2021'!AB190</f>
        <v>0</v>
      </c>
      <c r="V16" s="44">
        <f>(U16*9%)/(L16-K16)</f>
        <v>0</v>
      </c>
      <c r="W16" s="71"/>
      <c r="X16" s="70">
        <f>'Plan de Acción 2021'!AE190</f>
        <v>0</v>
      </c>
      <c r="Y16" s="44">
        <f>(X16*9%)/(L16-K16)</f>
        <v>0</v>
      </c>
      <c r="Z16" s="73"/>
      <c r="AA16" s="74"/>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18"/>
      <c r="BA16" s="1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c r="JC16" s="48"/>
      <c r="JD16" s="48"/>
      <c r="JE16" s="48"/>
      <c r="JF16" s="48"/>
      <c r="JG16" s="48"/>
      <c r="JH16" s="48"/>
      <c r="JI16" s="48"/>
      <c r="JJ16" s="48"/>
      <c r="JK16" s="48"/>
      <c r="JL16" s="48"/>
      <c r="JM16" s="48"/>
      <c r="JN16" s="48"/>
      <c r="JO16" s="48"/>
      <c r="JP16" s="48"/>
      <c r="JQ16" s="48"/>
      <c r="JR16" s="48"/>
      <c r="JS16" s="48"/>
      <c r="JT16" s="48"/>
      <c r="JU16" s="48"/>
      <c r="JV16" s="48"/>
      <c r="JW16" s="48"/>
      <c r="JX16" s="48"/>
      <c r="JY16" s="48"/>
      <c r="JZ16" s="48"/>
      <c r="KA16" s="48"/>
      <c r="KB16" s="48"/>
      <c r="KC16" s="48"/>
      <c r="KD16" s="48"/>
      <c r="KE16" s="48"/>
      <c r="KF16" s="48"/>
      <c r="KG16" s="48"/>
      <c r="KH16" s="48"/>
      <c r="KI16" s="48"/>
      <c r="KJ16" s="48"/>
      <c r="KK16" s="48"/>
      <c r="KL16" s="48"/>
      <c r="KM16" s="48"/>
      <c r="KN16" s="48"/>
      <c r="KO16" s="48"/>
      <c r="KP16" s="48"/>
      <c r="KQ16" s="48"/>
      <c r="KR16" s="48"/>
      <c r="KS16" s="48"/>
      <c r="KT16" s="48"/>
      <c r="KU16" s="48"/>
      <c r="KV16" s="48"/>
      <c r="KW16" s="48"/>
      <c r="KX16" s="48"/>
      <c r="KY16" s="48"/>
      <c r="KZ16" s="48"/>
      <c r="LA16" s="48"/>
      <c r="LB16" s="48"/>
      <c r="LC16" s="48"/>
      <c r="LD16" s="48"/>
      <c r="LE16" s="48"/>
      <c r="LF16" s="48"/>
      <c r="LG16" s="48"/>
      <c r="LH16" s="48"/>
      <c r="LI16" s="48"/>
      <c r="LJ16" s="48"/>
      <c r="LK16" s="48"/>
      <c r="LL16" s="48"/>
      <c r="LM16" s="48"/>
      <c r="LN16" s="48"/>
      <c r="LO16" s="48"/>
      <c r="LP16" s="48"/>
      <c r="LQ16" s="48"/>
      <c r="LR16" s="48"/>
      <c r="LS16" s="48"/>
      <c r="LT16" s="48"/>
      <c r="LU16" s="48"/>
      <c r="LV16" s="48"/>
      <c r="LW16" s="48"/>
      <c r="LX16" s="48"/>
      <c r="LY16" s="48"/>
      <c r="LZ16" s="48"/>
      <c r="MA16" s="48"/>
    </row>
    <row r="17" spans="1:339" s="68" customFormat="1" ht="77.25" customHeight="1" x14ac:dyDescent="0.3">
      <c r="A17" s="1080"/>
      <c r="B17" s="39">
        <v>0</v>
      </c>
      <c r="C17" s="40">
        <v>1</v>
      </c>
      <c r="D17" s="41" t="s">
        <v>1113</v>
      </c>
      <c r="E17" s="42" t="s">
        <v>1118</v>
      </c>
      <c r="F17" s="1076"/>
      <c r="G17" s="232" t="s">
        <v>471</v>
      </c>
      <c r="H17" s="232" t="s">
        <v>1121</v>
      </c>
      <c r="I17" s="64">
        <v>7.3</v>
      </c>
      <c r="J17" s="64">
        <v>7.5</v>
      </c>
      <c r="K17" s="64">
        <v>8.9</v>
      </c>
      <c r="L17" s="44" t="s">
        <v>59</v>
      </c>
      <c r="M17" s="44"/>
      <c r="N17" s="64">
        <v>8</v>
      </c>
      <c r="O17" s="44" t="s">
        <v>59</v>
      </c>
      <c r="P17" s="44" t="s">
        <v>59</v>
      </c>
      <c r="Q17" s="44" t="s">
        <v>59</v>
      </c>
      <c r="R17" s="44" t="s">
        <v>59</v>
      </c>
      <c r="S17" s="44" t="s">
        <v>59</v>
      </c>
      <c r="T17" s="44" t="s">
        <v>59</v>
      </c>
      <c r="U17" s="44" t="s">
        <v>59</v>
      </c>
      <c r="V17" s="44" t="s">
        <v>59</v>
      </c>
      <c r="W17" s="44" t="s">
        <v>59</v>
      </c>
      <c r="X17" s="44" t="s">
        <v>59</v>
      </c>
      <c r="Y17" s="44" t="s">
        <v>59</v>
      </c>
      <c r="Z17" s="44" t="s">
        <v>59</v>
      </c>
      <c r="AA17" s="77"/>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18"/>
      <c r="BA17" s="18"/>
      <c r="BB17" s="7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c r="IU17" s="48"/>
      <c r="IV17" s="48"/>
      <c r="IW17" s="48"/>
      <c r="IX17" s="48"/>
      <c r="IY17" s="48"/>
      <c r="IZ17" s="48"/>
      <c r="JA17" s="48"/>
      <c r="JB17" s="48"/>
      <c r="JC17" s="48"/>
      <c r="JD17" s="48"/>
      <c r="JE17" s="48"/>
      <c r="JF17" s="48"/>
      <c r="JG17" s="48"/>
      <c r="JH17" s="48"/>
      <c r="JI17" s="48"/>
      <c r="JJ17" s="48"/>
      <c r="JK17" s="48"/>
      <c r="JL17" s="48"/>
      <c r="JM17" s="48"/>
      <c r="JN17" s="48"/>
      <c r="JO17" s="48"/>
      <c r="JP17" s="48"/>
      <c r="JQ17" s="48"/>
      <c r="JR17" s="48"/>
      <c r="JS17" s="48"/>
      <c r="JT17" s="48"/>
      <c r="JU17" s="48"/>
      <c r="JV17" s="48"/>
      <c r="JW17" s="48"/>
      <c r="JX17" s="48"/>
      <c r="JY17" s="48"/>
      <c r="JZ17" s="48"/>
      <c r="KA17" s="48"/>
      <c r="KB17" s="48"/>
      <c r="KC17" s="48"/>
      <c r="KD17" s="48"/>
      <c r="KE17" s="48"/>
      <c r="KF17" s="48"/>
      <c r="KG17" s="48"/>
      <c r="KH17" s="48"/>
      <c r="KI17" s="48"/>
      <c r="KJ17" s="48"/>
      <c r="KK17" s="48"/>
      <c r="KL17" s="48"/>
      <c r="KM17" s="48"/>
      <c r="KN17" s="48"/>
      <c r="KO17" s="48"/>
      <c r="KP17" s="48"/>
      <c r="KQ17" s="48"/>
      <c r="KR17" s="48"/>
      <c r="KS17" s="48"/>
      <c r="KT17" s="48"/>
      <c r="KU17" s="48"/>
      <c r="KV17" s="48"/>
      <c r="KW17" s="48"/>
      <c r="KX17" s="48"/>
      <c r="KY17" s="48"/>
      <c r="KZ17" s="48"/>
      <c r="LA17" s="48"/>
      <c r="LB17" s="48"/>
      <c r="LC17" s="48"/>
      <c r="LD17" s="48"/>
      <c r="LE17" s="48"/>
      <c r="LF17" s="48"/>
      <c r="LG17" s="48"/>
      <c r="LH17" s="48"/>
      <c r="LI17" s="48"/>
      <c r="LJ17" s="48"/>
      <c r="LK17" s="48"/>
      <c r="LL17" s="48"/>
      <c r="LM17" s="48"/>
      <c r="LN17" s="48"/>
      <c r="LO17" s="48"/>
      <c r="LP17" s="48"/>
      <c r="LQ17" s="48"/>
      <c r="LR17" s="48"/>
      <c r="LS17" s="48"/>
      <c r="LT17" s="48"/>
      <c r="LU17" s="48"/>
      <c r="LV17" s="48"/>
      <c r="LW17" s="48"/>
      <c r="LX17" s="48"/>
      <c r="LY17" s="48"/>
      <c r="LZ17" s="48"/>
      <c r="MA17" s="48"/>
    </row>
    <row r="18" spans="1:339" s="68" customFormat="1" ht="90.75" customHeight="1" thickBot="1" x14ac:dyDescent="0.35">
      <c r="A18" s="79">
        <v>6</v>
      </c>
      <c r="B18" s="39">
        <v>0</v>
      </c>
      <c r="C18" s="40">
        <v>1</v>
      </c>
      <c r="D18" s="41" t="s">
        <v>1122</v>
      </c>
      <c r="E18" s="42" t="s">
        <v>1123</v>
      </c>
      <c r="F18" s="43" t="s">
        <v>721</v>
      </c>
      <c r="G18" s="232" t="s">
        <v>767</v>
      </c>
      <c r="H18" s="233" t="s">
        <v>723</v>
      </c>
      <c r="I18" s="44">
        <v>0</v>
      </c>
      <c r="J18" s="44">
        <v>0.2</v>
      </c>
      <c r="K18" s="44">
        <v>0.2</v>
      </c>
      <c r="L18" s="44" t="str">
        <f>'Plan de Acción 2021'!P513</f>
        <v>N/A</v>
      </c>
      <c r="M18" s="44"/>
      <c r="N18" s="44">
        <v>1</v>
      </c>
      <c r="O18" s="44" t="s">
        <v>59</v>
      </c>
      <c r="P18" s="44" t="s">
        <v>59</v>
      </c>
      <c r="Q18" s="44" t="s">
        <v>59</v>
      </c>
      <c r="R18" s="44" t="s">
        <v>59</v>
      </c>
      <c r="S18" s="44" t="s">
        <v>59</v>
      </c>
      <c r="T18" s="44" t="s">
        <v>59</v>
      </c>
      <c r="U18" s="44" t="s">
        <v>59</v>
      </c>
      <c r="V18" s="44" t="s">
        <v>59</v>
      </c>
      <c r="W18" s="44" t="s">
        <v>59</v>
      </c>
      <c r="X18" s="44" t="s">
        <v>59</v>
      </c>
      <c r="Y18" s="44" t="s">
        <v>59</v>
      </c>
      <c r="Z18" s="44" t="s">
        <v>59</v>
      </c>
      <c r="AA18" s="69"/>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8"/>
      <c r="BA18" s="1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c r="IV18" s="48"/>
      <c r="IW18" s="48"/>
      <c r="IX18" s="48"/>
      <c r="IY18" s="48"/>
      <c r="IZ18" s="48"/>
      <c r="JA18" s="48"/>
      <c r="JB18" s="48"/>
      <c r="JC18" s="48"/>
      <c r="JD18" s="48"/>
      <c r="JE18" s="48"/>
      <c r="JF18" s="48"/>
      <c r="JG18" s="48"/>
      <c r="JH18" s="48"/>
      <c r="JI18" s="48"/>
      <c r="JJ18" s="48"/>
      <c r="JK18" s="48"/>
      <c r="JL18" s="48"/>
      <c r="JM18" s="48"/>
      <c r="JN18" s="48"/>
      <c r="JO18" s="48"/>
      <c r="JP18" s="48"/>
      <c r="JQ18" s="48"/>
      <c r="JR18" s="48"/>
      <c r="JS18" s="48"/>
      <c r="JT18" s="48"/>
      <c r="JU18" s="48"/>
      <c r="JV18" s="48"/>
      <c r="JW18" s="48"/>
      <c r="JX18" s="48"/>
      <c r="JY18" s="48"/>
      <c r="JZ18" s="48"/>
      <c r="KA18" s="48"/>
      <c r="KB18" s="48"/>
      <c r="KC18" s="48"/>
      <c r="KD18" s="48"/>
      <c r="KE18" s="48"/>
      <c r="KF18" s="48"/>
      <c r="KG18" s="48"/>
      <c r="KH18" s="48"/>
      <c r="KI18" s="48"/>
      <c r="KJ18" s="48"/>
      <c r="KK18" s="48"/>
      <c r="KL18" s="48"/>
      <c r="KM18" s="48"/>
      <c r="KN18" s="48"/>
      <c r="KO18" s="48"/>
      <c r="KP18" s="48"/>
      <c r="KQ18" s="48"/>
      <c r="KR18" s="48"/>
      <c r="KS18" s="48"/>
      <c r="KT18" s="48"/>
      <c r="KU18" s="48"/>
      <c r="KV18" s="48"/>
      <c r="KW18" s="48"/>
      <c r="KX18" s="48"/>
      <c r="KY18" s="48"/>
      <c r="KZ18" s="48"/>
      <c r="LA18" s="48"/>
      <c r="LB18" s="48"/>
      <c r="LC18" s="48"/>
      <c r="LD18" s="48"/>
      <c r="LE18" s="48"/>
      <c r="LF18" s="48"/>
      <c r="LG18" s="48"/>
      <c r="LH18" s="48"/>
      <c r="LI18" s="48"/>
      <c r="LJ18" s="48"/>
      <c r="LK18" s="48"/>
      <c r="LL18" s="48"/>
      <c r="LM18" s="48"/>
      <c r="LN18" s="48"/>
      <c r="LO18" s="48"/>
      <c r="LP18" s="48"/>
      <c r="LQ18" s="48"/>
      <c r="LR18" s="48"/>
      <c r="LS18" s="48"/>
      <c r="LT18" s="48"/>
      <c r="LU18" s="48"/>
      <c r="LV18" s="48"/>
      <c r="LW18" s="48"/>
      <c r="LX18" s="48"/>
      <c r="LY18" s="48"/>
      <c r="LZ18" s="48"/>
      <c r="MA18" s="48"/>
    </row>
    <row r="19" spans="1:339" s="68" customFormat="1" ht="81.75" customHeight="1" x14ac:dyDescent="0.3">
      <c r="A19" s="1079">
        <v>7</v>
      </c>
      <c r="B19" s="39">
        <v>0</v>
      </c>
      <c r="C19" s="40">
        <v>1</v>
      </c>
      <c r="D19" s="41" t="s">
        <v>1111</v>
      </c>
      <c r="E19" s="43" t="s">
        <v>1115</v>
      </c>
      <c r="F19" s="1076" t="s">
        <v>1124</v>
      </c>
      <c r="G19" s="43" t="s">
        <v>497</v>
      </c>
      <c r="H19" s="43" t="s">
        <v>473</v>
      </c>
      <c r="I19" s="44">
        <v>1</v>
      </c>
      <c r="J19" s="44">
        <v>1</v>
      </c>
      <c r="K19" s="44">
        <v>1</v>
      </c>
      <c r="L19" s="44">
        <f>'Plan de Acción 2021'!P194</f>
        <v>1</v>
      </c>
      <c r="M19" s="44"/>
      <c r="N19" s="44">
        <v>1</v>
      </c>
      <c r="O19" s="44">
        <f>('Plan de Acción 2021'!V23+'Plan de Acción 2021'!V24+'Plan de Acción 2021'!V25+'Plan de Acción 2021'!V194+'Plan de Acción 2021'!V198+'Plan de Acción 2021'!V199+'Plan de Acción 2021'!V200+'Plan de Acción 2021'!V201+'Plan de Acción 2021'!V202+'Plan de Acción 2021'!V203+'Plan de Acción 2021'!V204+'Plan de Acción 2021'!V205+'Plan de Acción 2021'!V206+'Plan de Acción 2021'!V207+'Plan de Acción 2021'!V208+'Plan de Acción 2021'!V209+'Plan de Acción 2021'!V210+'Plan de Acción 2021'!V211)/18</f>
        <v>0</v>
      </c>
      <c r="P19" s="227">
        <f>(O19*100%)/L19</f>
        <v>0</v>
      </c>
      <c r="Q19" s="123"/>
      <c r="R19" s="44">
        <f>('Plan de Acción 2021'!Y23+'Plan de Acción 2021'!Y24+'Plan de Acción 2021'!Y25+'Plan de Acción 2021'!Y194+'Plan de Acción 2021'!Y198+'Plan de Acción 2021'!Y199+'Plan de Acción 2021'!Y200+'Plan de Acción 2021'!Y201+'Plan de Acción 2021'!Y202+'Plan de Acción 2021'!Y203+'Plan de Acción 2021'!Y204+'Plan de Acción 2021'!Y205+'Plan de Acción 2021'!Y206+'Plan de Acción 2021'!Y207+'Plan de Acción 2021'!Y208+'Plan de Acción 2021'!Y209+'Plan de Acción 2021'!Y210+'Plan de Acción 2021'!Y211)/18</f>
        <v>0</v>
      </c>
      <c r="S19" s="227">
        <f>(R19*100%)/L19</f>
        <v>0</v>
      </c>
      <c r="T19" s="123"/>
      <c r="U19" s="44">
        <f>('Plan de Acción 2021'!AB23+'Plan de Acción 2021'!AB24+'Plan de Acción 2021'!AB25+'Plan de Acción 2021'!AB194+'Plan de Acción 2021'!AB198+'Plan de Acción 2021'!AB199+'Plan de Acción 2021'!AB200+'Plan de Acción 2021'!AB201+'Plan de Acción 2021'!AB202+'Plan de Acción 2021'!AB203+'Plan de Acción 2021'!AB204+'Plan de Acción 2021'!AB205+'Plan de Acción 2021'!AB206+'Plan de Acción 2021'!AB207+'Plan de Acción 2021'!AB208+'Plan de Acción 2021'!AB209+'Plan de Acción 2021'!AB210+'Plan de Acción 2021'!AB211)/18</f>
        <v>0</v>
      </c>
      <c r="V19" s="227">
        <f>(U19*100%)/L19</f>
        <v>0</v>
      </c>
      <c r="W19" s="130"/>
      <c r="X19" s="44">
        <f>('Plan de Acción 2021'!AE23+'Plan de Acción 2021'!AE24+'Plan de Acción 2021'!AE25+'Plan de Acción 2021'!AE194+'Plan de Acción 2021'!AE198+'Plan de Acción 2021'!AE199+'Plan de Acción 2021'!AE200+'Plan de Acción 2021'!AE201+'Plan de Acción 2021'!AE202+'Plan de Acción 2021'!AE203+'Plan de Acción 2021'!AE204+'Plan de Acción 2021'!AE205+'Plan de Acción 2021'!AE206+'Plan de Acción 2021'!AE207+'Plan de Acción 2021'!AE208+'Plan de Acción 2021'!AE209+'Plan de Acción 2021'!AE210+'Plan de Acción 2021'!AE211)/18</f>
        <v>0</v>
      </c>
      <c r="Y19" s="227">
        <f>(X19*100%)/L19</f>
        <v>0</v>
      </c>
      <c r="Z19" s="132"/>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8"/>
      <c r="BA19" s="1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c r="IW19" s="48"/>
      <c r="IX19" s="48"/>
      <c r="IY19" s="48"/>
      <c r="IZ19" s="48"/>
      <c r="JA19" s="48"/>
      <c r="JB19" s="48"/>
      <c r="JC19" s="48"/>
      <c r="JD19" s="48"/>
      <c r="JE19" s="48"/>
      <c r="JF19" s="48"/>
      <c r="JG19" s="48"/>
      <c r="JH19" s="48"/>
      <c r="JI19" s="48"/>
      <c r="JJ19" s="48"/>
      <c r="JK19" s="48"/>
      <c r="JL19" s="48"/>
      <c r="JM19" s="48"/>
      <c r="JN19" s="48"/>
      <c r="JO19" s="48"/>
      <c r="JP19" s="48"/>
      <c r="JQ19" s="48"/>
      <c r="JR19" s="48"/>
      <c r="JS19" s="48"/>
      <c r="JT19" s="48"/>
      <c r="JU19" s="48"/>
      <c r="JV19" s="48"/>
      <c r="JW19" s="48"/>
      <c r="JX19" s="48"/>
      <c r="JY19" s="48"/>
      <c r="JZ19" s="48"/>
      <c r="KA19" s="48"/>
      <c r="KB19" s="48"/>
      <c r="KC19" s="48"/>
      <c r="KD19" s="48"/>
      <c r="KE19" s="48"/>
      <c r="KF19" s="48"/>
      <c r="KG19" s="48"/>
      <c r="KH19" s="48"/>
      <c r="KI19" s="48"/>
      <c r="KJ19" s="48"/>
      <c r="KK19" s="48"/>
      <c r="KL19" s="48"/>
      <c r="KM19" s="48"/>
      <c r="KN19" s="48"/>
      <c r="KO19" s="48"/>
      <c r="KP19" s="48"/>
      <c r="KQ19" s="48"/>
      <c r="KR19" s="48"/>
      <c r="KS19" s="48"/>
      <c r="KT19" s="48"/>
      <c r="KU19" s="48"/>
      <c r="KV19" s="48"/>
      <c r="KW19" s="48"/>
      <c r="KX19" s="48"/>
      <c r="KY19" s="48"/>
      <c r="KZ19" s="48"/>
      <c r="LA19" s="48"/>
      <c r="LB19" s="48"/>
      <c r="LC19" s="48"/>
      <c r="LD19" s="48"/>
      <c r="LE19" s="48"/>
      <c r="LF19" s="48"/>
      <c r="LG19" s="48"/>
      <c r="LH19" s="48"/>
      <c r="LI19" s="48"/>
      <c r="LJ19" s="48"/>
      <c r="LK19" s="48"/>
      <c r="LL19" s="48"/>
      <c r="LM19" s="48"/>
      <c r="LN19" s="48"/>
      <c r="LO19" s="48"/>
      <c r="LP19" s="48"/>
      <c r="LQ19" s="48"/>
      <c r="LR19" s="48"/>
      <c r="LS19" s="48"/>
      <c r="LT19" s="48"/>
      <c r="LU19" s="48"/>
      <c r="LV19" s="48"/>
      <c r="LW19" s="48"/>
      <c r="LX19" s="48"/>
      <c r="LY19" s="48"/>
      <c r="LZ19" s="48"/>
      <c r="MA19" s="48"/>
    </row>
    <row r="20" spans="1:339" s="21" customFormat="1" ht="120.75" customHeight="1" x14ac:dyDescent="0.3">
      <c r="A20" s="1085"/>
      <c r="B20" s="39">
        <v>1</v>
      </c>
      <c r="C20" s="40">
        <v>0</v>
      </c>
      <c r="D20" s="41" t="s">
        <v>1125</v>
      </c>
      <c r="E20" s="42" t="s">
        <v>1118</v>
      </c>
      <c r="F20" s="1076"/>
      <c r="G20" s="43" t="s">
        <v>1126</v>
      </c>
      <c r="H20" s="43" t="s">
        <v>486</v>
      </c>
      <c r="I20" s="70">
        <v>0.2</v>
      </c>
      <c r="J20" s="44">
        <v>1</v>
      </c>
      <c r="K20" s="80">
        <v>0.6</v>
      </c>
      <c r="L20" s="44">
        <f>'Plan de Acción 2021'!P195</f>
        <v>1</v>
      </c>
      <c r="M20" s="44"/>
      <c r="N20" s="44">
        <v>1</v>
      </c>
      <c r="O20" s="44">
        <f>'Plan de Acción 2021'!V195</f>
        <v>0</v>
      </c>
      <c r="P20" s="44">
        <f>(O20*40%)/(L20-K20)</f>
        <v>0</v>
      </c>
      <c r="Q20" s="44"/>
      <c r="R20" s="44">
        <f>'Plan de Acción 2021'!Y195</f>
        <v>0</v>
      </c>
      <c r="S20" s="44">
        <f>(R20*40%)/(L20-K20)</f>
        <v>0</v>
      </c>
      <c r="T20" s="43"/>
      <c r="U20" s="44">
        <f>'Plan de Acción 2021'!AB195</f>
        <v>0</v>
      </c>
      <c r="V20" s="44">
        <f>(U20*40%)/(L20-K20)</f>
        <v>0</v>
      </c>
      <c r="W20" s="45"/>
      <c r="X20" s="44">
        <f>'Plan de Acción 2021'!AE195</f>
        <v>0</v>
      </c>
      <c r="Y20" s="44">
        <f>(X20*40%)/(L20-K20)</f>
        <v>0</v>
      </c>
      <c r="Z20" s="8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18"/>
      <c r="BA20" s="1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c r="IW20" s="48"/>
      <c r="IX20" s="48"/>
      <c r="IY20" s="48"/>
      <c r="IZ20" s="48"/>
      <c r="JA20" s="48"/>
      <c r="JB20" s="48"/>
      <c r="JC20" s="48"/>
      <c r="JD20" s="48"/>
      <c r="JE20" s="48"/>
      <c r="JF20" s="48"/>
      <c r="JG20" s="48"/>
      <c r="JH20" s="48"/>
      <c r="JI20" s="48"/>
      <c r="JJ20" s="48"/>
      <c r="JK20" s="48"/>
      <c r="JL20" s="48"/>
      <c r="JM20" s="48"/>
      <c r="JN20" s="48"/>
      <c r="JO20" s="48"/>
      <c r="JP20" s="48"/>
      <c r="JQ20" s="48"/>
      <c r="JR20" s="48"/>
      <c r="JS20" s="48"/>
      <c r="JT20" s="48"/>
      <c r="JU20" s="48"/>
      <c r="JV20" s="48"/>
      <c r="JW20" s="48"/>
      <c r="JX20" s="48"/>
      <c r="JY20" s="48"/>
      <c r="JZ20" s="48"/>
      <c r="KA20" s="48"/>
      <c r="KB20" s="48"/>
      <c r="KC20" s="48"/>
      <c r="KD20" s="48"/>
      <c r="KE20" s="48"/>
      <c r="KF20" s="48"/>
      <c r="KG20" s="48"/>
      <c r="KH20" s="48"/>
      <c r="KI20" s="48"/>
      <c r="KJ20" s="48"/>
      <c r="KK20" s="48"/>
      <c r="KL20" s="48"/>
      <c r="KM20" s="48"/>
      <c r="KN20" s="48"/>
      <c r="KO20" s="48"/>
      <c r="KP20" s="48"/>
      <c r="KQ20" s="48"/>
      <c r="KR20" s="48"/>
      <c r="KS20" s="48"/>
      <c r="KT20" s="48"/>
      <c r="KU20" s="48"/>
      <c r="KV20" s="48"/>
      <c r="KW20" s="48"/>
      <c r="KX20" s="48"/>
      <c r="KY20" s="48"/>
      <c r="KZ20" s="48"/>
      <c r="LA20" s="48"/>
      <c r="LB20" s="48"/>
      <c r="LC20" s="48"/>
      <c r="LD20" s="48"/>
      <c r="LE20" s="48"/>
      <c r="LF20" s="48"/>
      <c r="LG20" s="48"/>
      <c r="LH20" s="48"/>
      <c r="LI20" s="48"/>
      <c r="LJ20" s="48"/>
      <c r="LK20" s="48"/>
      <c r="LL20" s="48"/>
      <c r="LM20" s="48"/>
      <c r="LN20" s="48"/>
      <c r="LO20" s="48"/>
      <c r="LP20" s="48"/>
      <c r="LQ20" s="48"/>
      <c r="LR20" s="48"/>
      <c r="LS20" s="48"/>
      <c r="LT20" s="48"/>
      <c r="LU20" s="48"/>
      <c r="LV20" s="48"/>
      <c r="LW20" s="48"/>
      <c r="LX20" s="48"/>
      <c r="LY20" s="48"/>
      <c r="LZ20" s="48"/>
      <c r="MA20" s="48"/>
    </row>
    <row r="21" spans="1:339" s="21" customFormat="1" ht="73.5" customHeight="1" x14ac:dyDescent="0.3">
      <c r="A21" s="1080"/>
      <c r="B21" s="39">
        <v>1</v>
      </c>
      <c r="C21" s="40">
        <v>0</v>
      </c>
      <c r="D21" s="41" t="s">
        <v>1114</v>
      </c>
      <c r="E21" s="42" t="s">
        <v>1</v>
      </c>
      <c r="F21" s="1076"/>
      <c r="G21" s="64" t="s">
        <v>1127</v>
      </c>
      <c r="H21" s="43" t="s">
        <v>489</v>
      </c>
      <c r="I21" s="70">
        <v>0</v>
      </c>
      <c r="J21" s="44">
        <v>1</v>
      </c>
      <c r="K21" s="44">
        <v>0.55000000000000004</v>
      </c>
      <c r="L21" s="44">
        <f>'Plan de Acción 2021'!P196</f>
        <v>1</v>
      </c>
      <c r="M21" s="44"/>
      <c r="N21" s="44">
        <v>1</v>
      </c>
      <c r="O21" s="44">
        <f>'Plan de Acción 2021'!V196</f>
        <v>0</v>
      </c>
      <c r="P21" s="44">
        <f>(O21*45%)/(L21-K21)</f>
        <v>0</v>
      </c>
      <c r="Q21" s="44"/>
      <c r="R21" s="44">
        <f>'Plan de Acción 2021'!Y196</f>
        <v>0</v>
      </c>
      <c r="S21" s="44">
        <f>(R21*45%)/(L21-K21)</f>
        <v>0</v>
      </c>
      <c r="T21" s="43"/>
      <c r="U21" s="44">
        <f>'Plan de Acción 2021'!AB196</f>
        <v>0</v>
      </c>
      <c r="V21" s="44">
        <f>(U21*45%)/(L21-K21)</f>
        <v>0</v>
      </c>
      <c r="W21" s="45"/>
      <c r="X21" s="44">
        <f>'Plan de Acción 2021'!AE196</f>
        <v>0</v>
      </c>
      <c r="Y21" s="44">
        <f>(X21*45%)/(L21-K21)</f>
        <v>0</v>
      </c>
      <c r="Z21" s="82"/>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18"/>
      <c r="BA21" s="1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c r="JC21" s="48"/>
      <c r="JD21" s="48"/>
      <c r="JE21" s="48"/>
      <c r="JF21" s="48"/>
      <c r="JG21" s="48"/>
      <c r="JH21" s="48"/>
      <c r="JI21" s="48"/>
      <c r="JJ21" s="48"/>
      <c r="JK21" s="48"/>
      <c r="JL21" s="48"/>
      <c r="JM21" s="48"/>
      <c r="JN21" s="48"/>
      <c r="JO21" s="48"/>
      <c r="JP21" s="48"/>
      <c r="JQ21" s="48"/>
      <c r="JR21" s="48"/>
      <c r="JS21" s="48"/>
      <c r="JT21" s="48"/>
      <c r="JU21" s="48"/>
      <c r="JV21" s="48"/>
      <c r="JW21" s="48"/>
      <c r="JX21" s="48"/>
      <c r="JY21" s="48"/>
      <c r="JZ21" s="48"/>
      <c r="KA21" s="48"/>
      <c r="KB21" s="48"/>
      <c r="KC21" s="48"/>
      <c r="KD21" s="48"/>
      <c r="KE21" s="48"/>
      <c r="KF21" s="48"/>
      <c r="KG21" s="48"/>
      <c r="KH21" s="48"/>
      <c r="KI21" s="48"/>
      <c r="KJ21" s="48"/>
      <c r="KK21" s="48"/>
      <c r="KL21" s="48"/>
      <c r="KM21" s="48"/>
      <c r="KN21" s="48"/>
      <c r="KO21" s="48"/>
      <c r="KP21" s="48"/>
      <c r="KQ21" s="48"/>
      <c r="KR21" s="48"/>
      <c r="KS21" s="48"/>
      <c r="KT21" s="48"/>
      <c r="KU21" s="48"/>
      <c r="KV21" s="48"/>
      <c r="KW21" s="48"/>
      <c r="KX21" s="48"/>
      <c r="KY21" s="48"/>
      <c r="KZ21" s="48"/>
      <c r="LA21" s="48"/>
      <c r="LB21" s="48"/>
      <c r="LC21" s="48"/>
      <c r="LD21" s="48"/>
      <c r="LE21" s="48"/>
      <c r="LF21" s="48"/>
      <c r="LG21" s="48"/>
      <c r="LH21" s="48"/>
      <c r="LI21" s="48"/>
      <c r="LJ21" s="48"/>
      <c r="LK21" s="48"/>
      <c r="LL21" s="48"/>
      <c r="LM21" s="48"/>
      <c r="LN21" s="48"/>
      <c r="LO21" s="48"/>
      <c r="LP21" s="48"/>
      <c r="LQ21" s="48"/>
      <c r="LR21" s="48"/>
      <c r="LS21" s="48"/>
      <c r="LT21" s="48"/>
      <c r="LU21" s="48"/>
      <c r="LV21" s="48"/>
      <c r="LW21" s="48"/>
      <c r="LX21" s="48"/>
      <c r="LY21" s="48"/>
      <c r="LZ21" s="48"/>
      <c r="MA21" s="48"/>
    </row>
    <row r="22" spans="1:339" s="21" customFormat="1" ht="77.25" customHeight="1" x14ac:dyDescent="0.3">
      <c r="A22" s="1081">
        <v>8</v>
      </c>
      <c r="B22" s="39">
        <v>1</v>
      </c>
      <c r="C22" s="40">
        <v>0</v>
      </c>
      <c r="D22" s="41" t="s">
        <v>1113</v>
      </c>
      <c r="E22" s="42" t="s">
        <v>1118</v>
      </c>
      <c r="F22" s="1076" t="s">
        <v>1128</v>
      </c>
      <c r="G22" s="64" t="s">
        <v>1129</v>
      </c>
      <c r="H22" s="64" t="s">
        <v>1130</v>
      </c>
      <c r="I22" s="70">
        <v>0.2</v>
      </c>
      <c r="J22" s="44">
        <v>0.4</v>
      </c>
      <c r="K22" s="70">
        <v>0.3</v>
      </c>
      <c r="L22" s="70">
        <f>'Plan de Acción 2021'!P197</f>
        <v>0.6</v>
      </c>
      <c r="M22" s="70"/>
      <c r="N22" s="70">
        <v>1</v>
      </c>
      <c r="O22" s="70">
        <f>'Plan de Acción 2021'!V197</f>
        <v>0</v>
      </c>
      <c r="P22" s="44">
        <f>(O22*30%)/(L22-K22)</f>
        <v>0</v>
      </c>
      <c r="Q22" s="70"/>
      <c r="R22" s="70">
        <f>'Plan de Acción 2021'!Y197</f>
        <v>0</v>
      </c>
      <c r="S22" s="44">
        <f>(R22*30%)/(L22-K22)</f>
        <v>0</v>
      </c>
      <c r="T22" s="64"/>
      <c r="U22" s="70">
        <f>'Plan de Acción 2021'!AB197</f>
        <v>0</v>
      </c>
      <c r="V22" s="44">
        <f>(U22*30%)/(L22-K22)</f>
        <v>0</v>
      </c>
      <c r="W22" s="75"/>
      <c r="X22" s="70">
        <f>'Plan de Acción 2021'!AE197</f>
        <v>0</v>
      </c>
      <c r="Y22" s="44">
        <f>(X22*30%)/(L22-K22)</f>
        <v>0</v>
      </c>
      <c r="Z22" s="76"/>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18"/>
      <c r="BA22" s="1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c r="IW22" s="48"/>
      <c r="IX22" s="48"/>
      <c r="IY22" s="48"/>
      <c r="IZ22" s="48"/>
      <c r="JA22" s="48"/>
      <c r="JB22" s="48"/>
      <c r="JC22" s="48"/>
      <c r="JD22" s="48"/>
      <c r="JE22" s="48"/>
      <c r="JF22" s="48"/>
      <c r="JG22" s="48"/>
      <c r="JH22" s="48"/>
      <c r="JI22" s="48"/>
      <c r="JJ22" s="48"/>
      <c r="JK22" s="48"/>
      <c r="JL22" s="48"/>
      <c r="JM22" s="48"/>
      <c r="JN22" s="48"/>
      <c r="JO22" s="48"/>
      <c r="JP22" s="48"/>
      <c r="JQ22" s="48"/>
      <c r="JR22" s="48"/>
      <c r="JS22" s="48"/>
      <c r="JT22" s="48"/>
      <c r="JU22" s="48"/>
      <c r="JV22" s="48"/>
      <c r="JW22" s="48"/>
      <c r="JX22" s="48"/>
      <c r="JY22" s="48"/>
      <c r="JZ22" s="48"/>
      <c r="KA22" s="48"/>
      <c r="KB22" s="48"/>
      <c r="KC22" s="48"/>
      <c r="KD22" s="48"/>
      <c r="KE22" s="48"/>
      <c r="KF22" s="48"/>
      <c r="KG22" s="48"/>
      <c r="KH22" s="48"/>
      <c r="KI22" s="48"/>
      <c r="KJ22" s="48"/>
      <c r="KK22" s="48"/>
      <c r="KL22" s="48"/>
      <c r="KM22" s="48"/>
      <c r="KN22" s="48"/>
      <c r="KO22" s="48"/>
      <c r="KP22" s="48"/>
      <c r="KQ22" s="48"/>
      <c r="KR22" s="48"/>
      <c r="KS22" s="48"/>
      <c r="KT22" s="48"/>
      <c r="KU22" s="48"/>
      <c r="KV22" s="48"/>
      <c r="KW22" s="48"/>
      <c r="KX22" s="48"/>
      <c r="KY22" s="48"/>
      <c r="KZ22" s="48"/>
      <c r="LA22" s="48"/>
      <c r="LB22" s="48"/>
      <c r="LC22" s="48"/>
      <c r="LD22" s="48"/>
      <c r="LE22" s="48"/>
      <c r="LF22" s="48"/>
      <c r="LG22" s="48"/>
      <c r="LH22" s="48"/>
      <c r="LI22" s="48"/>
      <c r="LJ22" s="48"/>
      <c r="LK22" s="48"/>
      <c r="LL22" s="48"/>
      <c r="LM22" s="48"/>
      <c r="LN22" s="48"/>
      <c r="LO22" s="48"/>
      <c r="LP22" s="48"/>
      <c r="LQ22" s="48"/>
      <c r="LR22" s="48"/>
      <c r="LS22" s="48"/>
      <c r="LT22" s="48"/>
      <c r="LU22" s="48"/>
      <c r="LV22" s="48"/>
      <c r="LW22" s="48"/>
      <c r="LX22" s="48"/>
      <c r="LY22" s="48"/>
      <c r="LZ22" s="48"/>
      <c r="MA22" s="48"/>
    </row>
    <row r="23" spans="1:339" ht="43.5" customHeight="1" thickBot="1" x14ac:dyDescent="0.35">
      <c r="A23" s="1088"/>
      <c r="B23" s="39">
        <v>1</v>
      </c>
      <c r="C23" s="40">
        <v>0</v>
      </c>
      <c r="D23" s="41" t="s">
        <v>1114</v>
      </c>
      <c r="E23" s="43" t="s">
        <v>1131</v>
      </c>
      <c r="F23" s="1076"/>
      <c r="G23" s="64" t="s">
        <v>602</v>
      </c>
      <c r="H23" s="64" t="s">
        <v>604</v>
      </c>
      <c r="I23" s="70">
        <v>0</v>
      </c>
      <c r="J23" s="70">
        <v>0.1</v>
      </c>
      <c r="K23" s="70">
        <v>0.08</v>
      </c>
      <c r="L23" s="44">
        <f>'Plan de Acción 2021'!P253</f>
        <v>0.2</v>
      </c>
      <c r="M23" s="44"/>
      <c r="N23" s="70">
        <v>1</v>
      </c>
      <c r="O23" s="70">
        <f>'Plan de Acción 2021'!V253</f>
        <v>0</v>
      </c>
      <c r="P23" s="44">
        <f>(O23*12%)/(L23-K23)</f>
        <v>0</v>
      </c>
      <c r="Q23" s="70"/>
      <c r="R23" s="70">
        <f>'Plan de Acción 2021'!Y253</f>
        <v>0</v>
      </c>
      <c r="S23" s="44">
        <f>(R23*12%)/(L23-K23)</f>
        <v>0</v>
      </c>
      <c r="T23" s="64"/>
      <c r="U23" s="70">
        <f>'Plan de Acción 2021'!AB253</f>
        <v>0</v>
      </c>
      <c r="V23" s="44">
        <f>(U23*12%)/(L23-K23)</f>
        <v>0</v>
      </c>
      <c r="W23" s="75"/>
      <c r="X23" s="70">
        <f>'Plan de Acción 2021'!AE253</f>
        <v>0</v>
      </c>
      <c r="Y23" s="44">
        <f>(X23*12%)/(L23-K23)</f>
        <v>0</v>
      </c>
      <c r="Z23" s="76"/>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c r="IT23" s="83"/>
      <c r="IU23" s="83"/>
      <c r="IV23" s="83"/>
      <c r="IW23" s="83"/>
      <c r="IX23" s="83"/>
      <c r="IY23" s="83"/>
      <c r="IZ23" s="83"/>
      <c r="JA23" s="83"/>
      <c r="JB23" s="83"/>
      <c r="JC23" s="83"/>
      <c r="JD23" s="83"/>
      <c r="JE23" s="83"/>
      <c r="JF23" s="83"/>
      <c r="JG23" s="83"/>
      <c r="JH23" s="83"/>
      <c r="JI23" s="83"/>
      <c r="JJ23" s="83"/>
      <c r="JK23" s="83"/>
      <c r="JL23" s="83"/>
      <c r="JM23" s="83"/>
      <c r="JN23" s="83"/>
      <c r="JO23" s="83"/>
      <c r="JP23" s="83"/>
      <c r="JQ23" s="83"/>
      <c r="JR23" s="83"/>
      <c r="JS23" s="83"/>
      <c r="JT23" s="83"/>
      <c r="JU23" s="83"/>
      <c r="JV23" s="83"/>
      <c r="JW23" s="83"/>
      <c r="JX23" s="83"/>
      <c r="JY23" s="83"/>
      <c r="JZ23" s="83"/>
      <c r="KA23" s="83"/>
      <c r="KB23" s="83"/>
      <c r="KC23" s="83"/>
      <c r="KD23" s="83"/>
      <c r="KE23" s="83"/>
      <c r="KF23" s="83"/>
      <c r="KG23" s="83"/>
      <c r="KH23" s="83"/>
      <c r="KI23" s="83"/>
      <c r="KJ23" s="83"/>
      <c r="KK23" s="83"/>
      <c r="KL23" s="83"/>
      <c r="KM23" s="83"/>
      <c r="KN23" s="83"/>
      <c r="KO23" s="83"/>
      <c r="KP23" s="83"/>
      <c r="KQ23" s="83"/>
      <c r="KR23" s="83"/>
      <c r="KS23" s="83"/>
      <c r="KT23" s="83"/>
      <c r="KU23" s="83"/>
      <c r="KV23" s="83"/>
      <c r="KW23" s="83"/>
      <c r="KX23" s="83"/>
      <c r="KY23" s="83"/>
      <c r="KZ23" s="83"/>
      <c r="LA23" s="83"/>
      <c r="LB23" s="83"/>
      <c r="LC23" s="83"/>
      <c r="LD23" s="83"/>
      <c r="LE23" s="83"/>
      <c r="LF23" s="83"/>
      <c r="LG23" s="83"/>
      <c r="LH23" s="83"/>
      <c r="LI23" s="83"/>
      <c r="LJ23" s="83"/>
      <c r="LK23" s="83"/>
      <c r="LL23" s="83"/>
      <c r="LM23" s="83"/>
      <c r="LN23" s="83"/>
      <c r="LO23" s="83"/>
      <c r="LP23" s="83"/>
      <c r="LQ23" s="83"/>
      <c r="LR23" s="83"/>
      <c r="LS23" s="83"/>
      <c r="LT23" s="83"/>
      <c r="LU23" s="83"/>
      <c r="LV23" s="83"/>
      <c r="LW23" s="83"/>
      <c r="LX23" s="83"/>
      <c r="LY23" s="83"/>
      <c r="LZ23" s="83"/>
      <c r="MA23" s="83"/>
    </row>
    <row r="24" spans="1:339" s="21" customFormat="1" ht="76.5" customHeight="1" x14ac:dyDescent="0.3">
      <c r="A24" s="1079">
        <v>9</v>
      </c>
      <c r="B24" s="39">
        <v>1</v>
      </c>
      <c r="C24" s="40">
        <v>0</v>
      </c>
      <c r="D24" s="41" t="s">
        <v>1113</v>
      </c>
      <c r="E24" s="42" t="s">
        <v>1132</v>
      </c>
      <c r="F24" s="1076" t="s">
        <v>548</v>
      </c>
      <c r="G24" s="43" t="s">
        <v>296</v>
      </c>
      <c r="H24" s="43" t="s">
        <v>298</v>
      </c>
      <c r="I24" s="44">
        <v>0.4</v>
      </c>
      <c r="J24" s="44">
        <v>0.5</v>
      </c>
      <c r="K24" s="70">
        <v>0.4</v>
      </c>
      <c r="L24" s="44">
        <f>'Plan de Acción 2021'!P248</f>
        <v>0.6</v>
      </c>
      <c r="M24" s="44"/>
      <c r="N24" s="44">
        <v>0.8</v>
      </c>
      <c r="O24" s="44">
        <f>('Plan de Acción 2021'!V107+'Plan de Acción 2021'!V108+'Plan de Acción 2021'!V109+'Plan de Acción 2021'!V110+'Plan de Acción 2021'!V111+'Plan de Acción 2021'!V112+'Plan de Acción 2021'!V113+'Plan de Acción 2021'!V114+'Plan de Acción 2021'!V115+'Plan de Acción 2021'!V116+'Plan de Acción 2021'!V117+'Plan de Acción 2021'!V118+'Plan de Acción 2021'!V119+'Plan de Acción 2021'!V120+'Plan de Acción 2021'!V121+'Plan de Acción 2021'!V122+'Plan de Acción 2021'!V123+'Plan de Acción 2021'!V124+'Plan de Acción 2021'!V125+'Plan de Acción 2021'!V126+'Plan de Acción 2021'!V127+'Plan de Acción 2021'!V128+'Plan de Acción 2021'!V129+'Plan de Acción 2021'!V130+'Plan de Acción 2021'!V131+'Plan de Acción 2021'!V245+'Plan de Acción 2021'!V246+'Plan de Acción 2021'!V247+'Plan de Acción 2021'!V248+'Plan de Acción 2021'!V291+'Plan de Acción 2021'!V364+'Plan de Acción 2021'!V365+'Plan de Acción 2021'!V366+'Plan de Acción 2021'!V380+'Plan de Acción 2021'!V381+'Plan de Acción 2021'!V382+'Plan de Acción 2021'!V383+'Plan de Acción 2021'!V384+'Plan de Acción 2021'!V385+'Plan de Acción 2021'!V386+'Plan de Acción 2021'!V387+'Plan de Acción 2021'!V388+'Plan de Acción 2021'!V389+'Plan de Acción 2021'!V390+'Plan de Acción 2021'!V391+'Plan de Acción 2021'!V392+'Plan de Acción 2021'!V393+'Plan de Acción 2021'!V394+'Plan de Acción 2021'!V395+'Plan de Acción 2021'!V397+'Plan de Acción 2021'!V396+'Plan de Acción 2021'!V398+'Plan de Acción 2021'!V399+'Plan de Acción 2021'!V400)/54</f>
        <v>0</v>
      </c>
      <c r="P24" s="44">
        <f>(O24*20%)/(L24-K24)</f>
        <v>0</v>
      </c>
      <c r="Q24" s="44"/>
      <c r="R24" s="44">
        <f>('Plan de Acción 2021'!Y107+'Plan de Acción 2021'!Y108+'Plan de Acción 2021'!Y109+'Plan de Acción 2021'!Y110+'Plan de Acción 2021'!Y111+'Plan de Acción 2021'!Y112+'Plan de Acción 2021'!Y113+'Plan de Acción 2021'!Y114+'Plan de Acción 2021'!Y115+'Plan de Acción 2021'!Y116+'Plan de Acción 2021'!Y117+'Plan de Acción 2021'!Y118+'Plan de Acción 2021'!Y119+'Plan de Acción 2021'!Y120+'Plan de Acción 2021'!Y121+'Plan de Acción 2021'!Y122+'Plan de Acción 2021'!Y123+'Plan de Acción 2021'!Y124+'Plan de Acción 2021'!Y125+'Plan de Acción 2021'!Y126+'Plan de Acción 2021'!Y127+'Plan de Acción 2021'!Y128+'Plan de Acción 2021'!Y129+'Plan de Acción 2021'!Y130+'Plan de Acción 2021'!Y131+'Plan de Acción 2021'!Y245+'Plan de Acción 2021'!Y246+'Plan de Acción 2021'!Y247+'Plan de Acción 2021'!Y248+'Plan de Acción 2021'!Y291+'Plan de Acción 2021'!Y364+'Plan de Acción 2021'!Y365+'Plan de Acción 2021'!Y366+'Plan de Acción 2021'!Y380+'Plan de Acción 2021'!Y381+'Plan de Acción 2021'!Y382+'Plan de Acción 2021'!Y383+'Plan de Acción 2021'!Y384+'Plan de Acción 2021'!Y385+'Plan de Acción 2021'!Y386+'Plan de Acción 2021'!Y387+'Plan de Acción 2021'!Y388+'Plan de Acción 2021'!Y389+'Plan de Acción 2021'!Y390+'Plan de Acción 2021'!Y391+'Plan de Acción 2021'!Y392+'Plan de Acción 2021'!Y393+'Plan de Acción 2021'!Y394+'Plan de Acción 2021'!Y395+'Plan de Acción 2021'!Y397+'Plan de Acción 2021'!Y396+'Plan de Acción 2021'!Y398+'Plan de Acción 2021'!Y399+'Plan de Acción 2021'!Y400)/54</f>
        <v>0</v>
      </c>
      <c r="S24" s="44">
        <f>(R24*20%)/(L24-K24)</f>
        <v>0</v>
      </c>
      <c r="T24" s="64"/>
      <c r="U24" s="44">
        <f>('Plan de Acción 2021'!AB107+'Plan de Acción 2021'!AB108+'Plan de Acción 2021'!AB109+'Plan de Acción 2021'!AB110+'Plan de Acción 2021'!AB111+'Plan de Acción 2021'!AB112+'Plan de Acción 2021'!AB113+'Plan de Acción 2021'!AB114+'Plan de Acción 2021'!AB115+'Plan de Acción 2021'!AB116+'Plan de Acción 2021'!AB117+'Plan de Acción 2021'!AB118+'Plan de Acción 2021'!AB119+'Plan de Acción 2021'!AB120+'Plan de Acción 2021'!AB121+'Plan de Acción 2021'!AB122+'Plan de Acción 2021'!AB123+'Plan de Acción 2021'!AB124+'Plan de Acción 2021'!AB125+'Plan de Acción 2021'!AB126+'Plan de Acción 2021'!AB127+'Plan de Acción 2021'!AB128+'Plan de Acción 2021'!AB129+'Plan de Acción 2021'!AB130+'Plan de Acción 2021'!AB131+'Plan de Acción 2021'!AB245+'Plan de Acción 2021'!AB246+'Plan de Acción 2021'!AB247+'Plan de Acción 2021'!AB248+'Plan de Acción 2021'!AB291+'Plan de Acción 2021'!AB364+'Plan de Acción 2021'!AB365+'Plan de Acción 2021'!AB366+'Plan de Acción 2021'!AB380+'Plan de Acción 2021'!AB381+'Plan de Acción 2021'!AB382+'Plan de Acción 2021'!AB383+'Plan de Acción 2021'!AB384+'Plan de Acción 2021'!AB385+'Plan de Acción 2021'!AB386+'Plan de Acción 2021'!AB387+'Plan de Acción 2021'!AB388+'Plan de Acción 2021'!AB389+'Plan de Acción 2021'!AB390+'Plan de Acción 2021'!AB391+'Plan de Acción 2021'!AB392+'Plan de Acción 2021'!AB393+'Plan de Acción 2021'!AB394+'Plan de Acción 2021'!AB395+'Plan de Acción 2021'!AB397+'Plan de Acción 2021'!AB396+'Plan de Acción 2021'!AB398+'Plan de Acción 2021'!AB399+'Plan de Acción 2021'!AB400)/54</f>
        <v>0</v>
      </c>
      <c r="V24" s="44">
        <f>(U24*20%)/(L24-K24)</f>
        <v>0</v>
      </c>
      <c r="W24" s="75"/>
      <c r="X24" s="44">
        <f>('Plan de Acción 2021'!AE107+'Plan de Acción 2021'!AE108+'Plan de Acción 2021'!AE109+'Plan de Acción 2021'!AE110+'Plan de Acción 2021'!AE111+'Plan de Acción 2021'!AE112+'Plan de Acción 2021'!AE113+'Plan de Acción 2021'!AE114+'Plan de Acción 2021'!AE115+'Plan de Acción 2021'!AE116+'Plan de Acción 2021'!AE117+'Plan de Acción 2021'!AE118+'Plan de Acción 2021'!AE119+'Plan de Acción 2021'!AE120+'Plan de Acción 2021'!AE121+'Plan de Acción 2021'!AE122+'Plan de Acción 2021'!AE123+'Plan de Acción 2021'!AE124+'Plan de Acción 2021'!AE125+'Plan de Acción 2021'!AE126+'Plan de Acción 2021'!AE127+'Plan de Acción 2021'!AE128+'Plan de Acción 2021'!AE129+'Plan de Acción 2021'!AE130+'Plan de Acción 2021'!AE131+'Plan de Acción 2021'!AE245+'Plan de Acción 2021'!AE246+'Plan de Acción 2021'!AE247+'Plan de Acción 2021'!AE248+'Plan de Acción 2021'!AE291+'Plan de Acción 2021'!AE364+'Plan de Acción 2021'!AE365+'Plan de Acción 2021'!AE366+'Plan de Acción 2021'!AE380+'Plan de Acción 2021'!AE381+'Plan de Acción 2021'!AE382+'Plan de Acción 2021'!AE383+'Plan de Acción 2021'!AE384+'Plan de Acción 2021'!AE385+'Plan de Acción 2021'!AE386+'Plan de Acción 2021'!AE387+'Plan de Acción 2021'!AE388+'Plan de Acción 2021'!AE389+'Plan de Acción 2021'!AE390+'Plan de Acción 2021'!AE391+'Plan de Acción 2021'!AE392+'Plan de Acción 2021'!AE393+'Plan de Acción 2021'!AE394+'Plan de Acción 2021'!AE395+'Plan de Acción 2021'!AE397+'Plan de Acción 2021'!AE396+'Plan de Acción 2021'!AE398+'Plan de Acción 2021'!AE399+'Plan de Acción 2021'!AE400)/54</f>
        <v>0</v>
      </c>
      <c r="Y24" s="44">
        <f>(X24*42%)/(L24-K24)</f>
        <v>0</v>
      </c>
      <c r="Z24" s="76"/>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18"/>
      <c r="BA24" s="1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c r="JJ24" s="48"/>
      <c r="JK24" s="48"/>
      <c r="JL24" s="48"/>
      <c r="JM24" s="48"/>
      <c r="JN24" s="48"/>
      <c r="JO24" s="48"/>
      <c r="JP24" s="48"/>
      <c r="JQ24" s="48"/>
      <c r="JR24" s="48"/>
      <c r="JS24" s="48"/>
      <c r="JT24" s="48"/>
      <c r="JU24" s="48"/>
      <c r="JV24" s="48"/>
      <c r="JW24" s="48"/>
      <c r="JX24" s="48"/>
      <c r="JY24" s="48"/>
      <c r="JZ24" s="48"/>
      <c r="KA24" s="48"/>
      <c r="KB24" s="48"/>
      <c r="KC24" s="48"/>
      <c r="KD24" s="48"/>
      <c r="KE24" s="48"/>
      <c r="KF24" s="48"/>
      <c r="KG24" s="48"/>
      <c r="KH24" s="48"/>
      <c r="KI24" s="48"/>
      <c r="KJ24" s="48"/>
      <c r="KK24" s="48"/>
      <c r="KL24" s="48"/>
      <c r="KM24" s="48"/>
      <c r="KN24" s="48"/>
      <c r="KO24" s="48"/>
      <c r="KP24" s="48"/>
      <c r="KQ24" s="48"/>
      <c r="KR24" s="48"/>
      <c r="KS24" s="48"/>
      <c r="KT24" s="48"/>
      <c r="KU24" s="48"/>
      <c r="KV24" s="48"/>
      <c r="KW24" s="48"/>
      <c r="KX24" s="48"/>
      <c r="KY24" s="48"/>
      <c r="KZ24" s="48"/>
      <c r="LA24" s="48"/>
      <c r="LB24" s="48"/>
      <c r="LC24" s="48"/>
      <c r="LD24" s="48"/>
      <c r="LE24" s="48"/>
      <c r="LF24" s="48"/>
      <c r="LG24" s="48"/>
      <c r="LH24" s="48"/>
      <c r="LI24" s="48"/>
      <c r="LJ24" s="48"/>
      <c r="LK24" s="48"/>
      <c r="LL24" s="48"/>
      <c r="LM24" s="48"/>
      <c r="LN24" s="48"/>
      <c r="LO24" s="48"/>
      <c r="LP24" s="48"/>
      <c r="LQ24" s="48"/>
      <c r="LR24" s="48"/>
      <c r="LS24" s="48"/>
      <c r="LT24" s="48"/>
      <c r="LU24" s="48"/>
      <c r="LV24" s="48"/>
      <c r="LW24" s="48"/>
      <c r="LX24" s="48"/>
      <c r="LY24" s="48"/>
      <c r="LZ24" s="48"/>
      <c r="MA24" s="48"/>
    </row>
    <row r="25" spans="1:339" s="68" customFormat="1" ht="87" customHeight="1" x14ac:dyDescent="0.3">
      <c r="A25" s="1080"/>
      <c r="B25" s="39">
        <v>0</v>
      </c>
      <c r="C25" s="40">
        <v>1</v>
      </c>
      <c r="D25" s="41" t="s">
        <v>1113</v>
      </c>
      <c r="E25" s="43" t="s">
        <v>1133</v>
      </c>
      <c r="F25" s="1076"/>
      <c r="G25" s="64" t="s">
        <v>549</v>
      </c>
      <c r="H25" s="43" t="s">
        <v>551</v>
      </c>
      <c r="I25" s="44">
        <v>0.2</v>
      </c>
      <c r="J25" s="44">
        <v>0.3</v>
      </c>
      <c r="K25" s="44">
        <v>0.3</v>
      </c>
      <c r="L25" s="44">
        <f>'Plan de Acción 2021'!P288</f>
        <v>0.5</v>
      </c>
      <c r="M25" s="44"/>
      <c r="N25" s="44">
        <v>0.8</v>
      </c>
      <c r="O25" s="44">
        <f>('Plan de Acción 2021'!V221+'Plan de Acción 2021'!V222+'Plan de Acción 2021'!V223+'Plan de Acción 2021'!V224+'Plan de Acción 2021'!V225+'Plan de Acción 2021'!V226+'Plan de Acción 2021'!V227+'Plan de Acción 2021'!V228+'Plan de Acción 2021'!V229+'Plan de Acción 2021'!V230+'Plan de Acción 2021'!V231+'Plan de Acción 2021'!V232+'Plan de Acción 2021'!V233+'Plan de Acción 2021'!V234+'Plan de Acción 2021'!V235+'Plan de Acción 2021'!V236+'Plan de Acción 2021'!V237+'Plan de Acción 2021'!V238+'Plan de Acción 2021'!V239+'Plan de Acción 2021'!V240+'Plan de Acción 2021'!V241+'Plan de Acción 2021'!V242+'Plan de Acción 2021'!V243+'Plan de Acción 2021'!V244+'Plan de Acción 2021'!V288+'Plan de Acción 2021'!V289+'Plan de Acción 2021'!V290+'Plan de Acción 2021'!V334+'Plan de Acción 2021'!V335)/29</f>
        <v>0</v>
      </c>
      <c r="P25" s="44">
        <f>(O25*20%)/(L25-K25)</f>
        <v>0</v>
      </c>
      <c r="Q25" s="44"/>
      <c r="R25" s="44">
        <f>('Plan de Acción 2021'!Y221+'Plan de Acción 2021'!Y222+'Plan de Acción 2021'!Y223+'Plan de Acción 2021'!Y224+'Plan de Acción 2021'!Y225+'Plan de Acción 2021'!Y226+'Plan de Acción 2021'!Y227+'Plan de Acción 2021'!Y228+'Plan de Acción 2021'!Y229+'Plan de Acción 2021'!Y230+'Plan de Acción 2021'!Y231+'Plan de Acción 2021'!Y232+'Plan de Acción 2021'!Y233+'Plan de Acción 2021'!Y234+'Plan de Acción 2021'!Y235+'Plan de Acción 2021'!Y236+'Plan de Acción 2021'!Y237+'Plan de Acción 2021'!Y238+'Plan de Acción 2021'!Y239+'Plan de Acción 2021'!Y240+'Plan de Acción 2021'!Y241+'Plan de Acción 2021'!Y242+'Plan de Acción 2021'!Y243+'Plan de Acción 2021'!Y244+'Plan de Acción 2021'!Y288+'Plan de Acción 2021'!Y289+'Plan de Acción 2021'!Y290+'Plan de Acción 2021'!Y334+'Plan de Acción 2021'!Y335)/29</f>
        <v>0</v>
      </c>
      <c r="S25" s="44">
        <f>(R25*20%)/(L25-K25)</f>
        <v>0</v>
      </c>
      <c r="T25" s="43"/>
      <c r="U25" s="44">
        <f>('Plan de Acción 2021'!AB221+'Plan de Acción 2021'!AB222+'Plan de Acción 2021'!AB223+'Plan de Acción 2021'!AB224+'Plan de Acción 2021'!AB225+'Plan de Acción 2021'!AB226+'Plan de Acción 2021'!AB227+'Plan de Acción 2021'!AB228+'Plan de Acción 2021'!AB229+'Plan de Acción 2021'!AB230+'Plan de Acción 2021'!AB231+'Plan de Acción 2021'!AB232+'Plan de Acción 2021'!AB233+'Plan de Acción 2021'!AB234+'Plan de Acción 2021'!AB235+'Plan de Acción 2021'!AB236+'Plan de Acción 2021'!AB237+'Plan de Acción 2021'!AB238+'Plan de Acción 2021'!AB239+'Plan de Acción 2021'!AB240+'Plan de Acción 2021'!AB241+'Plan de Acción 2021'!AB242+'Plan de Acción 2021'!AB243+'Plan de Acción 2021'!AB244+'Plan de Acción 2021'!AB288+'Plan de Acción 2021'!AB289+'Plan de Acción 2021'!AB290+'Plan de Acción 2021'!AB334+'Plan de Acción 2021'!AB335)/29</f>
        <v>0</v>
      </c>
      <c r="V25" s="44">
        <f>(U25*20%)/(L25-K25)</f>
        <v>0</v>
      </c>
      <c r="W25" s="55"/>
      <c r="X25" s="44">
        <f>('Plan de Acción 2021'!AE221+'Plan de Acción 2021'!AE222+'Plan de Acción 2021'!AE223+'Plan de Acción 2021'!AE224+'Plan de Acción 2021'!AE225+'Plan de Acción 2021'!AE226+'Plan de Acción 2021'!AE227+'Plan de Acción 2021'!AE228+'Plan de Acción 2021'!AE229+'Plan de Acción 2021'!AE230+'Plan de Acción 2021'!AE231+'Plan de Acción 2021'!AE232+'Plan de Acción 2021'!AE233+'Plan de Acción 2021'!AE234+'Plan de Acción 2021'!AE235+'Plan de Acción 2021'!AE236+'Plan de Acción 2021'!AE237+'Plan de Acción 2021'!AE238+'Plan de Acción 2021'!AE239+'Plan de Acción 2021'!AE240+'Plan de Acción 2021'!AE241+'Plan de Acción 2021'!AE242+'Plan de Acción 2021'!AE243+'Plan de Acción 2021'!AE244+'Plan de Acción 2021'!AE288+'Plan de Acción 2021'!AE289+'Plan de Acción 2021'!AE290+'Plan de Acción 2021'!AE334+'Plan de Acción 2021'!AE335)/29</f>
        <v>0</v>
      </c>
      <c r="Y25" s="44">
        <f>(X25*20%)/(L25-K25)</f>
        <v>0</v>
      </c>
      <c r="Z25" s="56"/>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18"/>
      <c r="BA25" s="1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c r="KH25" s="48"/>
      <c r="KI25" s="48"/>
      <c r="KJ25" s="48"/>
      <c r="KK25" s="48"/>
      <c r="KL25" s="48"/>
      <c r="KM25" s="48"/>
      <c r="KN25" s="48"/>
      <c r="KO25" s="48"/>
      <c r="KP25" s="48"/>
      <c r="KQ25" s="48"/>
      <c r="KR25" s="48"/>
      <c r="KS25" s="48"/>
      <c r="KT25" s="48"/>
      <c r="KU25" s="48"/>
      <c r="KV25" s="48"/>
      <c r="KW25" s="48"/>
      <c r="KX25" s="48"/>
      <c r="KY25" s="48"/>
      <c r="KZ25" s="48"/>
      <c r="LA25" s="48"/>
      <c r="LB25" s="48"/>
      <c r="LC25" s="48"/>
      <c r="LD25" s="48"/>
      <c r="LE25" s="48"/>
      <c r="LF25" s="48"/>
      <c r="LG25" s="48"/>
      <c r="LH25" s="48"/>
      <c r="LI25" s="48"/>
      <c r="LJ25" s="48"/>
      <c r="LK25" s="48"/>
      <c r="LL25" s="48"/>
      <c r="LM25" s="48"/>
      <c r="LN25" s="48"/>
      <c r="LO25" s="48"/>
      <c r="LP25" s="48"/>
      <c r="LQ25" s="48"/>
      <c r="LR25" s="48"/>
      <c r="LS25" s="48"/>
      <c r="LT25" s="48"/>
      <c r="LU25" s="48"/>
      <c r="LV25" s="48"/>
      <c r="LW25" s="48"/>
      <c r="LX25" s="48"/>
      <c r="LY25" s="48"/>
      <c r="LZ25" s="48"/>
      <c r="MA25" s="48"/>
    </row>
    <row r="26" spans="1:339" s="21" customFormat="1" ht="92.25" customHeight="1" x14ac:dyDescent="0.3">
      <c r="A26" s="1081">
        <v>10</v>
      </c>
      <c r="B26" s="39">
        <v>1</v>
      </c>
      <c r="C26" s="40">
        <v>0</v>
      </c>
      <c r="D26" s="41" t="s">
        <v>1113</v>
      </c>
      <c r="E26" s="42" t="s">
        <v>1132</v>
      </c>
      <c r="F26" s="1076" t="s">
        <v>295</v>
      </c>
      <c r="G26" s="43" t="s">
        <v>589</v>
      </c>
      <c r="H26" s="43" t="s">
        <v>591</v>
      </c>
      <c r="I26" s="44">
        <v>0.8</v>
      </c>
      <c r="J26" s="44">
        <v>0.85</v>
      </c>
      <c r="K26" s="44">
        <v>0.8</v>
      </c>
      <c r="L26" s="44">
        <f>'Plan de Acción 2021'!P250</f>
        <v>0.9</v>
      </c>
      <c r="M26" s="44"/>
      <c r="N26" s="44">
        <v>1</v>
      </c>
      <c r="O26" s="44">
        <f>'Plan de Acción 2021'!V250</f>
        <v>0</v>
      </c>
      <c r="P26" s="44">
        <f>(O26*10%)/(L26-K26)</f>
        <v>0</v>
      </c>
      <c r="Q26" s="44"/>
      <c r="R26" s="44">
        <f>'Plan de Acción 2021'!Y250</f>
        <v>0</v>
      </c>
      <c r="S26" s="44">
        <f>(R26*10%)/(L26-K26)</f>
        <v>0</v>
      </c>
      <c r="T26" s="43"/>
      <c r="U26" s="44">
        <f>'Plan de Acción 2021'!AB250</f>
        <v>0</v>
      </c>
      <c r="V26" s="44">
        <f>(U26*10%)/(L26-K26)</f>
        <v>0</v>
      </c>
      <c r="W26" s="75"/>
      <c r="X26" s="44">
        <f>'Plan de Acción 2021'!AE250</f>
        <v>0</v>
      </c>
      <c r="Y26" s="44">
        <f>(X26*10%)/(L26-K26)</f>
        <v>0</v>
      </c>
      <c r="Z26" s="76"/>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18"/>
      <c r="BA26" s="1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c r="KH26" s="48"/>
      <c r="KI26" s="48"/>
      <c r="KJ26" s="48"/>
      <c r="KK26" s="48"/>
      <c r="KL26" s="48"/>
      <c r="KM26" s="48"/>
      <c r="KN26" s="48"/>
      <c r="KO26" s="48"/>
      <c r="KP26" s="48"/>
      <c r="KQ26" s="48"/>
      <c r="KR26" s="48"/>
      <c r="KS26" s="48"/>
      <c r="KT26" s="48"/>
      <c r="KU26" s="48"/>
      <c r="KV26" s="48"/>
      <c r="KW26" s="48"/>
      <c r="KX26" s="48"/>
      <c r="KY26" s="48"/>
      <c r="KZ26" s="48"/>
      <c r="LA26" s="48"/>
      <c r="LB26" s="48"/>
      <c r="LC26" s="48"/>
      <c r="LD26" s="48"/>
      <c r="LE26" s="48"/>
      <c r="LF26" s="48"/>
      <c r="LG26" s="48"/>
      <c r="LH26" s="48"/>
      <c r="LI26" s="48"/>
      <c r="LJ26" s="48"/>
      <c r="LK26" s="48"/>
      <c r="LL26" s="48"/>
      <c r="LM26" s="48"/>
      <c r="LN26" s="48"/>
      <c r="LO26" s="48"/>
      <c r="LP26" s="48"/>
      <c r="LQ26" s="48"/>
      <c r="LR26" s="48"/>
      <c r="LS26" s="48"/>
      <c r="LT26" s="48"/>
      <c r="LU26" s="48"/>
      <c r="LV26" s="48"/>
      <c r="LW26" s="48"/>
      <c r="LX26" s="48"/>
      <c r="LY26" s="48"/>
      <c r="LZ26" s="48"/>
      <c r="MA26" s="48"/>
    </row>
    <row r="27" spans="1:339" s="68" customFormat="1" ht="75" customHeight="1" x14ac:dyDescent="0.3">
      <c r="A27" s="1081"/>
      <c r="B27" s="39">
        <v>0</v>
      </c>
      <c r="C27" s="40">
        <v>1</v>
      </c>
      <c r="D27" s="41" t="s">
        <v>1113</v>
      </c>
      <c r="E27" s="42" t="s">
        <v>1132</v>
      </c>
      <c r="F27" s="1076"/>
      <c r="G27" s="42" t="s">
        <v>597</v>
      </c>
      <c r="H27" s="43" t="s">
        <v>599</v>
      </c>
      <c r="I27" s="65">
        <v>0.86099999999999999</v>
      </c>
      <c r="J27" s="44">
        <v>1</v>
      </c>
      <c r="K27" s="84">
        <v>0.98099999999999998</v>
      </c>
      <c r="L27" s="44">
        <f>'Plan de Acción 2021'!P251</f>
        <v>1</v>
      </c>
      <c r="M27" s="44"/>
      <c r="N27" s="44">
        <v>1</v>
      </c>
      <c r="O27" s="44">
        <f>'Plan de Acción 2021'!V251</f>
        <v>0</v>
      </c>
      <c r="P27" s="44">
        <f>O27</f>
        <v>0</v>
      </c>
      <c r="Q27" s="44"/>
      <c r="R27" s="44">
        <f>'Plan de Acción 2021'!Y251</f>
        <v>0</v>
      </c>
      <c r="S27" s="44">
        <f>R27</f>
        <v>0</v>
      </c>
      <c r="T27" s="43"/>
      <c r="U27" s="44">
        <f>'Plan de Acción 2021'!AB251</f>
        <v>0</v>
      </c>
      <c r="V27" s="44">
        <f>U27</f>
        <v>0</v>
      </c>
      <c r="W27" s="45"/>
      <c r="X27" s="44">
        <f>'Plan de Acción 2021'!AE251</f>
        <v>0</v>
      </c>
      <c r="Y27" s="44">
        <f>X27</f>
        <v>0</v>
      </c>
      <c r="Z27" s="46"/>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18"/>
      <c r="BA27" s="1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c r="KH27" s="48"/>
      <c r="KI27" s="48"/>
      <c r="KJ27" s="48"/>
      <c r="KK27" s="48"/>
      <c r="KL27" s="48"/>
      <c r="KM27" s="48"/>
      <c r="KN27" s="48"/>
      <c r="KO27" s="48"/>
      <c r="KP27" s="48"/>
      <c r="KQ27" s="48"/>
      <c r="KR27" s="48"/>
      <c r="KS27" s="48"/>
      <c r="KT27" s="48"/>
      <c r="KU27" s="48"/>
      <c r="KV27" s="48"/>
      <c r="KW27" s="48"/>
      <c r="KX27" s="48"/>
      <c r="KY27" s="48"/>
      <c r="KZ27" s="48"/>
      <c r="LA27" s="48"/>
      <c r="LB27" s="48"/>
      <c r="LC27" s="48"/>
      <c r="LD27" s="48"/>
      <c r="LE27" s="48"/>
      <c r="LF27" s="48"/>
      <c r="LG27" s="48"/>
      <c r="LH27" s="48"/>
      <c r="LI27" s="48"/>
      <c r="LJ27" s="48"/>
      <c r="LK27" s="48"/>
      <c r="LL27" s="48"/>
      <c r="LM27" s="48"/>
      <c r="LN27" s="48"/>
      <c r="LO27" s="48"/>
      <c r="LP27" s="48"/>
      <c r="LQ27" s="48"/>
      <c r="LR27" s="48"/>
      <c r="LS27" s="48"/>
      <c r="LT27" s="48"/>
      <c r="LU27" s="48"/>
      <c r="LV27" s="48"/>
      <c r="LW27" s="48"/>
      <c r="LX27" s="48"/>
      <c r="LY27" s="48"/>
      <c r="LZ27" s="48"/>
      <c r="MA27" s="48"/>
    </row>
    <row r="28" spans="1:339" s="21" customFormat="1" ht="64.5" customHeight="1" x14ac:dyDescent="0.3">
      <c r="A28" s="1082">
        <v>11</v>
      </c>
      <c r="B28" s="39">
        <v>1</v>
      </c>
      <c r="C28" s="40">
        <v>0</v>
      </c>
      <c r="D28" s="41" t="s">
        <v>1111</v>
      </c>
      <c r="E28" s="42" t="s">
        <v>1117</v>
      </c>
      <c r="F28" s="1084" t="s">
        <v>1134</v>
      </c>
      <c r="G28" s="43" t="s">
        <v>284</v>
      </c>
      <c r="H28" s="43" t="s">
        <v>286</v>
      </c>
      <c r="I28" s="44">
        <v>0</v>
      </c>
      <c r="J28" s="44">
        <v>0.25</v>
      </c>
      <c r="K28" s="44">
        <v>0.25</v>
      </c>
      <c r="L28" s="44">
        <f>'Plan de Acción 2021'!P103</f>
        <v>0.5</v>
      </c>
      <c r="M28" s="44"/>
      <c r="N28" s="44">
        <v>1</v>
      </c>
      <c r="O28" s="44">
        <f>('Plan de Acción 2021'!V103+'Plan de Acción 2021'!V104+'Plan de Acción 2021'!V105+'Plan de Acción 2021'!V189)/4</f>
        <v>0</v>
      </c>
      <c r="P28" s="44">
        <f>(O28*25%)/(L28-K28)</f>
        <v>0</v>
      </c>
      <c r="Q28" s="44"/>
      <c r="R28" s="44">
        <f>('Plan de Acción 2021'!Y103+'Plan de Acción 2021'!Y104+'Plan de Acción 2021'!Y105+'Plan de Acción 2021'!Y189)/4</f>
        <v>0</v>
      </c>
      <c r="S28" s="44">
        <f t="shared" si="3"/>
        <v>0</v>
      </c>
      <c r="T28" s="43"/>
      <c r="U28" s="44">
        <f>('Plan de Acción 2021'!AB103+'Plan de Acción 2021'!AB104+'Plan de Acción 2021'!AB105+'Plan de Acción 2021'!AB189)/4</f>
        <v>0</v>
      </c>
      <c r="V28" s="44">
        <f t="shared" si="0"/>
        <v>0</v>
      </c>
      <c r="W28" s="45"/>
      <c r="X28" s="44">
        <f>('Plan de Acción 2021'!AE103+'Plan de Acción 2021'!AE104+'Plan de Acción 2021'!AE105+'Plan de Acción 2021'!AE189)/4</f>
        <v>0</v>
      </c>
      <c r="Y28" s="44">
        <f t="shared" si="1"/>
        <v>0</v>
      </c>
      <c r="Z28" s="46"/>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18"/>
      <c r="BA28" s="1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c r="KH28" s="48"/>
      <c r="KI28" s="48"/>
      <c r="KJ28" s="48"/>
      <c r="KK28" s="48"/>
      <c r="KL28" s="48"/>
      <c r="KM28" s="48"/>
      <c r="KN28" s="48"/>
      <c r="KO28" s="48"/>
      <c r="KP28" s="48"/>
      <c r="KQ28" s="48"/>
      <c r="KR28" s="48"/>
      <c r="KS28" s="48"/>
      <c r="KT28" s="48"/>
      <c r="KU28" s="48"/>
      <c r="KV28" s="48"/>
      <c r="KW28" s="48"/>
      <c r="KX28" s="48"/>
      <c r="KY28" s="48"/>
      <c r="KZ28" s="48"/>
      <c r="LA28" s="48"/>
      <c r="LB28" s="48"/>
      <c r="LC28" s="48"/>
      <c r="LD28" s="48"/>
      <c r="LE28" s="48"/>
      <c r="LF28" s="48"/>
      <c r="LG28" s="48"/>
      <c r="LH28" s="48"/>
      <c r="LI28" s="48"/>
      <c r="LJ28" s="48"/>
      <c r="LK28" s="48"/>
      <c r="LL28" s="48"/>
      <c r="LM28" s="48"/>
      <c r="LN28" s="48"/>
      <c r="LO28" s="48"/>
      <c r="LP28" s="48"/>
      <c r="LQ28" s="48"/>
      <c r="LR28" s="48"/>
      <c r="LS28" s="48"/>
      <c r="LT28" s="48"/>
      <c r="LU28" s="48"/>
      <c r="LV28" s="48"/>
      <c r="LW28" s="48"/>
      <c r="LX28" s="48"/>
      <c r="LY28" s="48"/>
      <c r="LZ28" s="48"/>
      <c r="MA28" s="48"/>
    </row>
    <row r="29" spans="1:339" s="68" customFormat="1" ht="63.75" customHeight="1" thickBot="1" x14ac:dyDescent="0.35">
      <c r="A29" s="1083"/>
      <c r="B29" s="39">
        <v>0</v>
      </c>
      <c r="C29" s="40">
        <v>1</v>
      </c>
      <c r="D29" s="41" t="s">
        <v>1125</v>
      </c>
      <c r="E29" s="43" t="s">
        <v>1135</v>
      </c>
      <c r="F29" s="1084"/>
      <c r="G29" s="43" t="s">
        <v>449</v>
      </c>
      <c r="H29" s="43" t="s">
        <v>451</v>
      </c>
      <c r="I29" s="43">
        <v>0</v>
      </c>
      <c r="J29" s="44">
        <v>0.05</v>
      </c>
      <c r="K29" s="44">
        <v>4.8000000000000001E-2</v>
      </c>
      <c r="L29" s="44">
        <f>'Plan de Acción 2021'!P183</f>
        <v>0.09</v>
      </c>
      <c r="M29" s="44"/>
      <c r="N29" s="44">
        <v>0.13</v>
      </c>
      <c r="O29" s="44">
        <f>('Plan de Acción 2021'!V183+'Plan de Acción 2021'!V184+'Plan de Acción 2021'!V185+'Plan de Acción 2021'!V186+'Plan de Acción 2021'!V187)/5</f>
        <v>0</v>
      </c>
      <c r="P29" s="44">
        <f>(O29*4.1%)/(L29-K29)</f>
        <v>0</v>
      </c>
      <c r="Q29" s="44"/>
      <c r="R29" s="44">
        <f>('Plan de Acción 2021'!Y183+'Plan de Acción 2021'!Y184+'Plan de Acción 2021'!Y185+'Plan de Acción 2021'!Y186+'Plan de Acción 2021'!Y187)/5</f>
        <v>0</v>
      </c>
      <c r="S29" s="44">
        <f>(R29*4.1%)/(L29-K29)</f>
        <v>0</v>
      </c>
      <c r="T29" s="43"/>
      <c r="U29" s="44">
        <f>('Plan de Acción 2021'!AB183+'Plan de Acción 2021'!AB184+'Plan de Acción 2021'!AB185+'Plan de Acción 2021'!AB186+'Plan de Acción 2021'!AB187)/5</f>
        <v>0</v>
      </c>
      <c r="V29" s="44">
        <f>(U29*4.1%)/(L29-K29)</f>
        <v>0</v>
      </c>
      <c r="W29" s="45"/>
      <c r="X29" s="44">
        <f>('Plan de Acción 2021'!AE183+'Plan de Acción 2021'!AE184+'Plan de Acción 2021'!AE185+'Plan de Acción 2021'!AE186+'Plan de Acción 2021'!AE187)/5</f>
        <v>0</v>
      </c>
      <c r="Y29" s="44">
        <f>(X29*4.1%)/(L29-K29)</f>
        <v>0</v>
      </c>
      <c r="Z29" s="122"/>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18"/>
      <c r="BA29" s="1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c r="KH29" s="48"/>
      <c r="KI29" s="48"/>
      <c r="KJ29" s="48"/>
      <c r="KK29" s="48"/>
      <c r="KL29" s="48"/>
      <c r="KM29" s="48"/>
      <c r="KN29" s="48"/>
      <c r="KO29" s="48"/>
      <c r="KP29" s="48"/>
      <c r="KQ29" s="48"/>
      <c r="KR29" s="48"/>
      <c r="KS29" s="48"/>
      <c r="KT29" s="48"/>
      <c r="KU29" s="48"/>
      <c r="KV29" s="48"/>
      <c r="KW29" s="48"/>
      <c r="KX29" s="48"/>
      <c r="KY29" s="48"/>
      <c r="KZ29" s="48"/>
      <c r="LA29" s="48"/>
      <c r="LB29" s="48"/>
      <c r="LC29" s="48"/>
      <c r="LD29" s="48"/>
      <c r="LE29" s="48"/>
      <c r="LF29" s="48"/>
      <c r="LG29" s="48"/>
      <c r="LH29" s="48"/>
      <c r="LI29" s="48"/>
      <c r="LJ29" s="48"/>
      <c r="LK29" s="48"/>
      <c r="LL29" s="48"/>
      <c r="LM29" s="48"/>
      <c r="LN29" s="48"/>
      <c r="LO29" s="48"/>
      <c r="LP29" s="48"/>
      <c r="LQ29" s="48"/>
      <c r="LR29" s="48"/>
      <c r="LS29" s="48"/>
      <c r="LT29" s="48"/>
      <c r="LU29" s="48"/>
      <c r="LV29" s="48"/>
      <c r="LW29" s="48"/>
      <c r="LX29" s="48"/>
      <c r="LY29" s="48"/>
      <c r="LZ29" s="48"/>
      <c r="MA29" s="48"/>
    </row>
    <row r="30" spans="1:339" s="68" customFormat="1" ht="80.25" customHeight="1" thickBot="1" x14ac:dyDescent="0.35">
      <c r="A30" s="86">
        <v>12</v>
      </c>
      <c r="B30" s="39">
        <v>0</v>
      </c>
      <c r="C30" s="40">
        <v>1</v>
      </c>
      <c r="D30" s="41" t="s">
        <v>1111</v>
      </c>
      <c r="E30" s="43" t="s">
        <v>1136</v>
      </c>
      <c r="F30" s="43" t="s">
        <v>1137</v>
      </c>
      <c r="G30" s="64" t="s">
        <v>103</v>
      </c>
      <c r="H30" s="43" t="s">
        <v>105</v>
      </c>
      <c r="I30" s="70">
        <v>0.2</v>
      </c>
      <c r="J30" s="70">
        <v>0.4</v>
      </c>
      <c r="K30" s="70">
        <v>0.5</v>
      </c>
      <c r="L30" s="44">
        <f>'Plan de Acción 2021'!P26</f>
        <v>0.6</v>
      </c>
      <c r="M30" s="44"/>
      <c r="N30" s="70">
        <v>1</v>
      </c>
      <c r="O30" s="70">
        <f>('Plan de Acción 2021'!V26+'Plan de Acción 2021'!V27+'Plan de Acción 2021'!V297+'Plan de Acción 2021'!V298+'Plan de Acción 2021'!V304+'Plan de Acción 2021'!V305+'Plan de Acción 2021'!V306+'Plan de Acción 2021'!V307+'Plan de Acción 2021'!V308+'Plan de Acción 2021'!V309+'Plan de Acción 2021'!V310+'Plan de Acción 2021'!V311+'Plan de Acción 2021'!V312+'Plan de Acción 2021'!V313+'Plan de Acción 2021'!V314)/15</f>
        <v>0</v>
      </c>
      <c r="P30" s="44">
        <f>(O30*10%)/(L30-K30)</f>
        <v>0</v>
      </c>
      <c r="Q30" s="70"/>
      <c r="R30" s="70">
        <f>('Plan de Acción 2021'!Y26+'Plan de Acción 2021'!Y27+'Plan de Acción 2021'!Y297+'Plan de Acción 2021'!Y298+'Plan de Acción 2021'!Y304+'Plan de Acción 2021'!Y305+'Plan de Acción 2021'!Y306+'Plan de Acción 2021'!Y307+'Plan de Acción 2021'!Y308+'Plan de Acción 2021'!Y309+'Plan de Acción 2021'!Y310+'Plan de Acción 2021'!Y311+'Plan de Acción 2021'!Y312+'Plan de Acción 2021'!Y313+'Plan de Acción 2021'!Y314)/15</f>
        <v>0</v>
      </c>
      <c r="S30" s="44">
        <f>(R30*10%)/(L30-K30)</f>
        <v>0</v>
      </c>
      <c r="T30" s="64"/>
      <c r="U30" s="70">
        <f>('Plan de Acción 2021'!AB26+'Plan de Acción 2021'!AB27+'Plan de Acción 2021'!AB297+'Plan de Acción 2021'!AB298+'Plan de Acción 2021'!AB304+'Plan de Acción 2021'!AB305+'Plan de Acción 2021'!AB306+'Plan de Acción 2021'!AB307+'Plan de Acción 2021'!AB308+'Plan de Acción 2021'!AB309+'Plan de Acción 2021'!AB310+'Plan de Acción 2021'!AB311+'Plan de Acción 2021'!AB312+'Plan de Acción 2021'!AB313+'Plan de Acción 2021'!AB314)/15</f>
        <v>0</v>
      </c>
      <c r="V30" s="44">
        <f>(U30*10%)/(L30-K30)</f>
        <v>0</v>
      </c>
      <c r="W30" s="87"/>
      <c r="X30" s="70">
        <f>('Plan de Acción 2021'!AE26+'Plan de Acción 2021'!AE27+'Plan de Acción 2021'!AE297+'Plan de Acción 2021'!AE298+'Plan de Acción 2021'!AE304+'Plan de Acción 2021'!AE305+'Plan de Acción 2021'!AE306+'Plan de Acción 2021'!AE307+'Plan de Acción 2021'!AE308+'Plan de Acción 2021'!AE309+'Plan de Acción 2021'!AE310+'Plan de Acción 2021'!AE311+'Plan de Acción 2021'!AE312+'Plan de Acción 2021'!AE313+'Plan de Acción 2021'!AE314)/15</f>
        <v>0</v>
      </c>
      <c r="Y30" s="44">
        <f>(X30*10%)/(L30-K30)</f>
        <v>0</v>
      </c>
      <c r="Z30" s="226"/>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18"/>
      <c r="BA30" s="1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c r="KH30" s="48"/>
      <c r="KI30" s="48"/>
      <c r="KJ30" s="48"/>
      <c r="KK30" s="48"/>
      <c r="KL30" s="48"/>
      <c r="KM30" s="48"/>
      <c r="KN30" s="48"/>
      <c r="KO30" s="48"/>
      <c r="KP30" s="48"/>
      <c r="KQ30" s="48"/>
      <c r="KR30" s="48"/>
      <c r="KS30" s="48"/>
      <c r="KT30" s="48"/>
      <c r="KU30" s="48"/>
      <c r="KV30" s="48"/>
      <c r="KW30" s="48"/>
      <c r="KX30" s="48"/>
      <c r="KY30" s="48"/>
      <c r="KZ30" s="48"/>
      <c r="LA30" s="48"/>
      <c r="LB30" s="48"/>
      <c r="LC30" s="48"/>
      <c r="LD30" s="48"/>
      <c r="LE30" s="48"/>
      <c r="LF30" s="48"/>
      <c r="LG30" s="48"/>
      <c r="LH30" s="48"/>
      <c r="LI30" s="48"/>
      <c r="LJ30" s="48"/>
      <c r="LK30" s="48"/>
      <c r="LL30" s="48"/>
      <c r="LM30" s="48"/>
      <c r="LN30" s="48"/>
      <c r="LO30" s="48"/>
      <c r="LP30" s="48"/>
      <c r="LQ30" s="48"/>
      <c r="LR30" s="48"/>
      <c r="LS30" s="48"/>
      <c r="LT30" s="48"/>
      <c r="LU30" s="48"/>
      <c r="LV30" s="48"/>
      <c r="LW30" s="48"/>
      <c r="LX30" s="48"/>
      <c r="LY30" s="48"/>
      <c r="LZ30" s="48"/>
      <c r="MA30" s="48"/>
    </row>
    <row r="31" spans="1:339" s="21" customFormat="1" ht="80.25" customHeight="1" x14ac:dyDescent="0.3">
      <c r="A31" s="1079">
        <v>13</v>
      </c>
      <c r="B31" s="39">
        <v>1</v>
      </c>
      <c r="C31" s="40">
        <v>0</v>
      </c>
      <c r="D31" s="41" t="s">
        <v>1113</v>
      </c>
      <c r="E31" s="54" t="s">
        <v>1113</v>
      </c>
      <c r="F31" s="1076" t="s">
        <v>1138</v>
      </c>
      <c r="G31" s="43" t="s">
        <v>1139</v>
      </c>
      <c r="H31" s="43" t="s">
        <v>1140</v>
      </c>
      <c r="I31" s="44">
        <v>0.2</v>
      </c>
      <c r="J31" s="44">
        <v>0.5</v>
      </c>
      <c r="K31" s="44">
        <v>0.5</v>
      </c>
      <c r="L31" s="44">
        <f>'Plan de Acción 2021'!P135</f>
        <v>0.65</v>
      </c>
      <c r="M31" s="44"/>
      <c r="N31" s="44">
        <v>1</v>
      </c>
      <c r="O31" s="44">
        <f>'Plan de Acción 2021'!V135</f>
        <v>0</v>
      </c>
      <c r="P31" s="44">
        <f>(O31*15%)/(L31-K31)</f>
        <v>0</v>
      </c>
      <c r="Q31" s="44"/>
      <c r="R31" s="44">
        <f>'Plan de Acción 2021'!Y135</f>
        <v>0</v>
      </c>
      <c r="S31" s="44">
        <f>(R31*15%)/(L31-K31)</f>
        <v>0</v>
      </c>
      <c r="T31" s="43"/>
      <c r="U31" s="44">
        <f>'Plan de Acción 2021'!AB135</f>
        <v>0</v>
      </c>
      <c r="V31" s="44">
        <f>(U31*15%)/(L31-K31)</f>
        <v>0</v>
      </c>
      <c r="W31" s="45"/>
      <c r="X31" s="44">
        <f>'Plan de Acción 2021'!AE135</f>
        <v>0</v>
      </c>
      <c r="Y31" s="44">
        <f>(X31*15%)/(L31-K31)</f>
        <v>0</v>
      </c>
      <c r="Z31" s="46"/>
      <c r="AA31" s="69"/>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18"/>
      <c r="BA31" s="18"/>
    </row>
    <row r="32" spans="1:339" s="21" customFormat="1" ht="77.25" customHeight="1" x14ac:dyDescent="0.3">
      <c r="A32" s="1085"/>
      <c r="B32" s="39">
        <v>1</v>
      </c>
      <c r="C32" s="40">
        <v>0</v>
      </c>
      <c r="D32" s="41" t="s">
        <v>1113</v>
      </c>
      <c r="E32" s="42" t="s">
        <v>1113</v>
      </c>
      <c r="F32" s="1076"/>
      <c r="G32" s="1084" t="s">
        <v>1141</v>
      </c>
      <c r="H32" s="43" t="s">
        <v>1142</v>
      </c>
      <c r="I32" s="44">
        <v>0.5</v>
      </c>
      <c r="J32" s="44">
        <v>0.7</v>
      </c>
      <c r="K32" s="44">
        <v>0.55000000000000004</v>
      </c>
      <c r="L32" s="44">
        <f>'Plan de Acción 2021'!P136</f>
        <v>0.8</v>
      </c>
      <c r="M32" s="44"/>
      <c r="N32" s="44">
        <v>1</v>
      </c>
      <c r="O32" s="44">
        <f>'Plan de Acción 2021'!V136</f>
        <v>0</v>
      </c>
      <c r="P32" s="44">
        <f>(O32*25%)/(L32-K32)</f>
        <v>0</v>
      </c>
      <c r="Q32" s="44"/>
      <c r="R32" s="44">
        <f>'Plan de Acción 2021'!Y136</f>
        <v>0</v>
      </c>
      <c r="S32" s="44">
        <f>(R32*25%)/(L32-K32)</f>
        <v>0</v>
      </c>
      <c r="T32" s="43"/>
      <c r="U32" s="44">
        <f>'Plan de Acción 2021'!AB136</f>
        <v>0</v>
      </c>
      <c r="V32" s="44">
        <f>(U32*25%)/(L32-K32)</f>
        <v>0</v>
      </c>
      <c r="W32" s="368"/>
      <c r="X32" s="44">
        <f>'Plan de Acción 2021'!AE136</f>
        <v>0</v>
      </c>
      <c r="Y32" s="44">
        <f>(X32*25%)/(L32-K32)</f>
        <v>0</v>
      </c>
      <c r="Z32" s="46"/>
      <c r="AA32" s="88"/>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18"/>
      <c r="BA32" s="18"/>
    </row>
    <row r="33" spans="1:53" s="21" customFormat="1" ht="43.5" customHeight="1" x14ac:dyDescent="0.3">
      <c r="A33" s="1085"/>
      <c r="B33" s="39">
        <v>1</v>
      </c>
      <c r="C33" s="40">
        <v>0</v>
      </c>
      <c r="D33" s="41" t="s">
        <v>1113</v>
      </c>
      <c r="E33" s="42" t="s">
        <v>1113</v>
      </c>
      <c r="F33" s="1076"/>
      <c r="G33" s="1084"/>
      <c r="H33" s="43" t="s">
        <v>345</v>
      </c>
      <c r="I33" s="44">
        <v>0.4</v>
      </c>
      <c r="J33" s="44">
        <v>0.6</v>
      </c>
      <c r="K33" s="44">
        <v>0.42</v>
      </c>
      <c r="L33" s="44">
        <v>0.75</v>
      </c>
      <c r="M33" s="44"/>
      <c r="N33" s="44">
        <f>'Plan de Acción 2021'!P137</f>
        <v>0.75</v>
      </c>
      <c r="O33" s="44">
        <f>'Plan de Acción 2021'!V137</f>
        <v>0</v>
      </c>
      <c r="P33" s="44">
        <f>(O33*33%)/(L33-K33)</f>
        <v>0</v>
      </c>
      <c r="Q33" s="44"/>
      <c r="R33" s="44">
        <f>'Plan de Acción 2021'!Y137</f>
        <v>0</v>
      </c>
      <c r="S33" s="44">
        <f>(R33*33%)/(L33-K33)</f>
        <v>0</v>
      </c>
      <c r="T33" s="43"/>
      <c r="U33" s="44">
        <f>'Plan de Acción 2021'!AB137</f>
        <v>0</v>
      </c>
      <c r="V33" s="44">
        <f>(U33*33%)/(L33-K33)</f>
        <v>0</v>
      </c>
      <c r="W33" s="367"/>
      <c r="X33" s="44">
        <f>'Plan de Acción 2021'!AE137</f>
        <v>0</v>
      </c>
      <c r="Y33" s="44">
        <f>(X33*33%)/(L33-K33)</f>
        <v>0</v>
      </c>
      <c r="Z33" s="46"/>
      <c r="AA33" s="88"/>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18"/>
      <c r="BA33" s="18"/>
    </row>
    <row r="34" spans="1:53" s="21" customFormat="1" ht="77.25" customHeight="1" x14ac:dyDescent="0.3">
      <c r="A34" s="1085"/>
      <c r="B34" s="39">
        <v>1</v>
      </c>
      <c r="C34" s="40">
        <v>0</v>
      </c>
      <c r="D34" s="41" t="s">
        <v>1113</v>
      </c>
      <c r="E34" s="41" t="s">
        <v>1113</v>
      </c>
      <c r="F34" s="1076"/>
      <c r="G34" s="1076" t="s">
        <v>1143</v>
      </c>
      <c r="H34" s="43" t="s">
        <v>902</v>
      </c>
      <c r="I34" s="44">
        <v>0</v>
      </c>
      <c r="J34" s="44">
        <v>0.9</v>
      </c>
      <c r="K34" s="44">
        <v>0.9</v>
      </c>
      <c r="L34" s="44">
        <f>'Plan de Acción 2021'!P138</f>
        <v>1</v>
      </c>
      <c r="M34" s="44"/>
      <c r="N34" s="44">
        <v>1</v>
      </c>
      <c r="O34" s="44">
        <f>('Plan de Acción 2021'!V138+'Plan de Acción 2021'!V401+'Plan de Acción 2021'!V403+'Plan de Acción 2021'!V404+'Plan de Acción 2021'!V406)/5</f>
        <v>0</v>
      </c>
      <c r="P34" s="44">
        <f>(O34*10%)/(L34-K34)</f>
        <v>0</v>
      </c>
      <c r="Q34" s="44"/>
      <c r="R34" s="44">
        <f>('Plan de Acción 2021'!Y138+'Plan de Acción 2021'!Y401+'Plan de Acción 2021'!Y403+'Plan de Acción 2021'!Y404+'Plan de Acción 2021'!Y406)/5</f>
        <v>0</v>
      </c>
      <c r="S34" s="44">
        <f>(R34*20%)/(L34-K34)</f>
        <v>0</v>
      </c>
      <c r="T34" s="43"/>
      <c r="U34" s="44">
        <f>('Plan de Acción 2021'!AB138+'Plan de Acción 2021'!AB401+'Plan de Acción 2021'!AB403+'Plan de Acción 2021'!AB404+'Plan de Acción 2021'!AB406)/5</f>
        <v>0</v>
      </c>
      <c r="V34" s="44">
        <f>(U34*20%)/(L34-K34)</f>
        <v>0</v>
      </c>
      <c r="W34" s="45"/>
      <c r="X34" s="44">
        <f>('Plan de Acción 2021'!AE138+'Plan de Acción 2021'!AE401+'Plan de Acción 2021'!AE403+'Plan de Acción 2021'!AE404+'Plan de Acción 2021'!AE406)/5</f>
        <v>0</v>
      </c>
      <c r="Y34" s="44">
        <f>(X34*20%)/(L34-K34)</f>
        <v>0</v>
      </c>
      <c r="Z34" s="46"/>
      <c r="AA34" s="69"/>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18"/>
      <c r="BA34" s="18"/>
    </row>
    <row r="35" spans="1:53" s="21" customFormat="1" ht="75" customHeight="1" x14ac:dyDescent="0.3">
      <c r="A35" s="1085"/>
      <c r="B35" s="39">
        <v>1</v>
      </c>
      <c r="C35" s="40">
        <v>0</v>
      </c>
      <c r="D35" s="41" t="s">
        <v>1113</v>
      </c>
      <c r="E35" s="42" t="s">
        <v>1113</v>
      </c>
      <c r="F35" s="1076"/>
      <c r="G35" s="1076"/>
      <c r="H35" s="43" t="s">
        <v>907</v>
      </c>
      <c r="I35" s="44">
        <v>0</v>
      </c>
      <c r="J35" s="44">
        <v>0.2</v>
      </c>
      <c r="K35" s="44">
        <v>0.2</v>
      </c>
      <c r="L35" s="44">
        <f>'Plan de Acción 2021'!P139</f>
        <v>0.5</v>
      </c>
      <c r="M35" s="44"/>
      <c r="N35" s="44">
        <v>1</v>
      </c>
      <c r="O35" s="44">
        <f>('Plan de Acción 2021'!V139+'Plan de Acción 2021'!V402+'Plan de Acción 2021'!V405)/3</f>
        <v>0</v>
      </c>
      <c r="P35" s="44">
        <f>(O35*30%)/(L35-K35)</f>
        <v>0</v>
      </c>
      <c r="Q35" s="44"/>
      <c r="R35" s="44">
        <f>('Plan de Acción 2021'!Y139+'Plan de Acción 2021'!Y402+'Plan de Acción 2021'!Y405)/3</f>
        <v>0</v>
      </c>
      <c r="S35" s="44">
        <f>(R35*30%)/(L35-K35)</f>
        <v>0</v>
      </c>
      <c r="T35" s="43"/>
      <c r="U35" s="44">
        <f>('Plan de Acción 2021'!AB139+'Plan de Acción 2021'!AB402+'Plan de Acción 2021'!AB405)/3</f>
        <v>0</v>
      </c>
      <c r="V35" s="44">
        <f>(U35*30%)/(L35-K35)</f>
        <v>0</v>
      </c>
      <c r="W35" s="45"/>
      <c r="X35" s="44">
        <f>('Plan de Acción 2021'!AE139+'Plan de Acción 2021'!AE402+'Plan de Acción 2021'!AE405)/3</f>
        <v>0</v>
      </c>
      <c r="Y35" s="44">
        <f>(X35*30%)/(L35-K35)</f>
        <v>0</v>
      </c>
      <c r="Z35" s="46"/>
      <c r="AA35" s="69"/>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18"/>
      <c r="BA35" s="18"/>
    </row>
    <row r="36" spans="1:53" s="21" customFormat="1" ht="77.25" customHeight="1" x14ac:dyDescent="0.3">
      <c r="A36" s="1085"/>
      <c r="B36" s="39">
        <v>1</v>
      </c>
      <c r="C36" s="40">
        <v>0</v>
      </c>
      <c r="D36" s="41" t="s">
        <v>1113</v>
      </c>
      <c r="E36" s="42" t="s">
        <v>1113</v>
      </c>
      <c r="F36" s="1076"/>
      <c r="G36" s="43" t="s">
        <v>1144</v>
      </c>
      <c r="H36" s="43" t="s">
        <v>354</v>
      </c>
      <c r="I36" s="44">
        <v>0.1</v>
      </c>
      <c r="J36" s="44">
        <v>0.5</v>
      </c>
      <c r="K36" s="80">
        <v>0.5</v>
      </c>
      <c r="L36" s="44">
        <f>'Plan de Acción 2021'!P140</f>
        <v>1</v>
      </c>
      <c r="M36" s="44"/>
      <c r="N36" s="44">
        <v>1</v>
      </c>
      <c r="O36" s="44">
        <f>('Plan de Acción 2021'!V140+'Plan de Acción 2021'!V180)/2</f>
        <v>0</v>
      </c>
      <c r="P36" s="44">
        <f>(O36*50%)/(L36-K36)</f>
        <v>0</v>
      </c>
      <c r="Q36" s="44"/>
      <c r="R36" s="44">
        <f>('Plan de Acción 2021'!Y140+'Plan de Acción 2021'!Y180)/2</f>
        <v>0</v>
      </c>
      <c r="S36" s="44">
        <f>(R36*50%)/(L36-K36)</f>
        <v>0</v>
      </c>
      <c r="T36" s="43"/>
      <c r="U36" s="44">
        <f>('Plan de Acción 2021'!AB140+'Plan de Acción 2021'!AB180)/2</f>
        <v>0</v>
      </c>
      <c r="V36" s="44">
        <f>(U36*50%)/(L36-K36)</f>
        <v>0</v>
      </c>
      <c r="W36" s="55"/>
      <c r="X36" s="44">
        <f>('Plan de Acción 2021'!AE140+'Plan de Acción 2021'!AE180)/2</f>
        <v>0</v>
      </c>
      <c r="Y36" s="44">
        <f>(X36*50%)/(L36-K36)</f>
        <v>0</v>
      </c>
      <c r="Z36" s="56"/>
      <c r="AA36" s="67"/>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18"/>
      <c r="BA36" s="18"/>
    </row>
    <row r="37" spans="1:53" s="21" customFormat="1" ht="83.25" customHeight="1" thickBot="1" x14ac:dyDescent="0.35">
      <c r="A37" s="1083"/>
      <c r="B37" s="39">
        <v>1</v>
      </c>
      <c r="C37" s="40">
        <v>0</v>
      </c>
      <c r="D37" s="89" t="s">
        <v>1113</v>
      </c>
      <c r="E37" s="90" t="s">
        <v>1113</v>
      </c>
      <c r="F37" s="1086"/>
      <c r="G37" s="91" t="s">
        <v>1145</v>
      </c>
      <c r="H37" s="91" t="s">
        <v>358</v>
      </c>
      <c r="I37" s="92">
        <v>0</v>
      </c>
      <c r="J37" s="92">
        <v>0.25</v>
      </c>
      <c r="K37" s="92">
        <v>0.2</v>
      </c>
      <c r="L37" s="44">
        <f>'Plan de Acción 2021'!P142</f>
        <v>0.5</v>
      </c>
      <c r="M37" s="92"/>
      <c r="N37" s="92">
        <v>1</v>
      </c>
      <c r="O37" s="92">
        <f>'Plan de Acción 2021'!V142</f>
        <v>0</v>
      </c>
      <c r="P37" s="92">
        <f>(O37*30%)/(L37-K37)</f>
        <v>0</v>
      </c>
      <c r="Q37" s="92"/>
      <c r="R37" s="92">
        <f>'Plan de Acción 2021'!Y142</f>
        <v>0</v>
      </c>
      <c r="S37" s="92">
        <f>(R37*30%)/(L37-K37)</f>
        <v>0</v>
      </c>
      <c r="T37" s="93"/>
      <c r="U37" s="92">
        <f>'Plan de Acción 2021'!AB142</f>
        <v>0</v>
      </c>
      <c r="V37" s="92">
        <f>(U37*30%)/(L37-K37)</f>
        <v>0</v>
      </c>
      <c r="W37" s="94"/>
      <c r="X37" s="92">
        <f>'Plan de Acción 2021'!AE142</f>
        <v>0</v>
      </c>
      <c r="Y37" s="92">
        <f>(X37*30%)/(L37-K37)</f>
        <v>0</v>
      </c>
      <c r="Z37" s="95"/>
      <c r="AA37" s="69"/>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18"/>
      <c r="BA37" s="18"/>
    </row>
    <row r="38" spans="1:53" ht="43.5" customHeight="1" thickBot="1" x14ac:dyDescent="0.35">
      <c r="A38" s="96">
        <v>13</v>
      </c>
      <c r="B38" s="96"/>
      <c r="C38" s="96"/>
      <c r="D38" s="1077"/>
      <c r="E38" s="1078"/>
      <c r="F38" s="1078"/>
      <c r="G38" s="1078"/>
      <c r="H38" s="1078"/>
      <c r="I38" s="1078"/>
      <c r="J38" s="1078"/>
      <c r="K38" s="218"/>
      <c r="L38" s="218"/>
      <c r="M38" s="218"/>
      <c r="N38" s="218"/>
      <c r="O38" s="244"/>
      <c r="P38" s="245"/>
      <c r="Q38" s="244"/>
      <c r="R38" s="244"/>
      <c r="S38" s="245"/>
      <c r="T38" s="246"/>
      <c r="U38" s="244"/>
      <c r="V38" s="245"/>
      <c r="W38" s="246"/>
      <c r="X38" s="244"/>
      <c r="Y38" s="245"/>
      <c r="Z38" s="248">
        <f>AVERAGE(Z39:Z41)/4</f>
        <v>0</v>
      </c>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row>
    <row r="39" spans="1:53" ht="42" hidden="1" customHeight="1" x14ac:dyDescent="0.25">
      <c r="E39" s="17"/>
      <c r="G39" s="283"/>
      <c r="I39" s="17"/>
      <c r="J39" s="17"/>
      <c r="K39" s="17"/>
      <c r="L39" s="17"/>
      <c r="M39" s="17"/>
      <c r="N39" s="17"/>
      <c r="O39" s="242" t="s">
        <v>1111</v>
      </c>
      <c r="P39" s="249">
        <f>AVERAGE(P8+P12+P13+P14+P16+P19+P28+P30)/8</f>
        <v>0</v>
      </c>
      <c r="Q39" s="249"/>
      <c r="R39" s="249"/>
      <c r="S39" s="249">
        <f>AVERAGE(S8,S12,S13,S14,S16,S19,S28,S30)/8</f>
        <v>0</v>
      </c>
      <c r="T39" s="249"/>
      <c r="U39" s="249"/>
      <c r="V39" s="249">
        <f>AVERAGE(V8+V12+V13+V14+V16+V19+V28+V30)/8</f>
        <v>0</v>
      </c>
      <c r="W39" s="249"/>
      <c r="X39" s="249"/>
      <c r="Y39" s="249">
        <f>AVERAGE(Y8+Y12+Y13+Y14+Y16+Y19+Y28+Y30)/8</f>
        <v>0</v>
      </c>
      <c r="Z39" s="238">
        <f>AVERAGE(P39+S39+V39+Y39)</f>
        <v>0</v>
      </c>
    </row>
    <row r="40" spans="1:53" ht="43.5" hidden="1" customHeight="1" x14ac:dyDescent="0.25">
      <c r="E40" s="17"/>
      <c r="G40" s="283"/>
      <c r="I40" s="17"/>
      <c r="J40" s="17"/>
      <c r="K40" s="17"/>
      <c r="L40" s="17"/>
      <c r="M40" s="17"/>
      <c r="N40" s="17"/>
      <c r="O40" s="237" t="s">
        <v>1114</v>
      </c>
      <c r="P40" s="238">
        <f>AVERAGE(P10+P11+P21+P23)/4</f>
        <v>0</v>
      </c>
      <c r="Q40" s="238"/>
      <c r="R40" s="238"/>
      <c r="S40" s="238">
        <f>AVERAGE(S10+S11+S21+S23)/4</f>
        <v>0</v>
      </c>
      <c r="T40" s="238"/>
      <c r="U40" s="238"/>
      <c r="V40" s="238">
        <f>AVERAGE(V10+V11+V21+V23)/4</f>
        <v>0</v>
      </c>
      <c r="W40" s="238"/>
      <c r="X40" s="238"/>
      <c r="Y40" s="238">
        <f>AVERAGE(Y10+Y11+Y21+Y23)/4</f>
        <v>0</v>
      </c>
      <c r="Z40" s="238">
        <f>AVERAGE(P40+S40+V40+Y40)</f>
        <v>0</v>
      </c>
    </row>
    <row r="41" spans="1:53" ht="43.5" hidden="1" customHeight="1" x14ac:dyDescent="0.25">
      <c r="E41" s="17"/>
      <c r="G41" s="283"/>
      <c r="I41" s="17"/>
      <c r="J41" s="17"/>
      <c r="K41" s="17"/>
      <c r="L41" s="17"/>
      <c r="M41" s="17"/>
      <c r="N41" s="17"/>
      <c r="O41" s="237" t="s">
        <v>1113</v>
      </c>
      <c r="P41" s="238">
        <f>AVERAGE(P15+P9+P20+P22+P24+P25+P26+P27+P29+P31+P32+P33+P34+P35+P36+P37)/16</f>
        <v>0</v>
      </c>
      <c r="Q41" s="238"/>
      <c r="R41" s="238"/>
      <c r="S41" s="238">
        <f>AVERAGE(S15+S9+S20+S22+S24+S25+S26+S27+S29++S31+S32+S33+S34+S35++S36+S37)/16</f>
        <v>0</v>
      </c>
      <c r="T41" s="238"/>
      <c r="U41" s="238"/>
      <c r="V41" s="238">
        <f>AVERAGE(V15+V9+V20+V22+V24+V25+V26+V27+V29++V31+V32+V33+V34+V35++V36+V37)/16</f>
        <v>0</v>
      </c>
      <c r="W41" s="238"/>
      <c r="X41" s="238"/>
      <c r="Y41" s="238">
        <f>AVERAGE(Y15+Y9+Y20+Y22+Y24+Y25+Y26+Y27+Y29++Y31+Y32+Y33+Y34+Y35++Y36+Y37)/16</f>
        <v>0</v>
      </c>
      <c r="Z41" s="238">
        <f>AVERAGE(P41+S41+V41+Y41)</f>
        <v>0</v>
      </c>
    </row>
    <row r="42" spans="1:53" ht="43.5" customHeight="1" thickBot="1" x14ac:dyDescent="0.3">
      <c r="R42" s="98"/>
      <c r="S42" s="97"/>
      <c r="X42" s="19"/>
      <c r="Y42" s="19"/>
      <c r="Z42" s="17"/>
    </row>
    <row r="43" spans="1:53" s="411" customFormat="1" ht="10.5" customHeight="1" thickTop="1" x14ac:dyDescent="0.25">
      <c r="A43" s="1060" t="s">
        <v>1084</v>
      </c>
      <c r="B43" s="1061"/>
      <c r="C43" s="1061"/>
      <c r="D43" s="1061"/>
      <c r="E43" s="1061"/>
      <c r="F43" s="1061"/>
      <c r="G43" s="1061"/>
      <c r="H43" s="1061"/>
      <c r="I43" s="1062"/>
      <c r="J43" s="1066" t="s">
        <v>1085</v>
      </c>
      <c r="K43" s="1067"/>
      <c r="L43" s="1067"/>
      <c r="M43" s="1067"/>
      <c r="N43" s="1067"/>
      <c r="O43" s="1067"/>
      <c r="P43" s="1067"/>
      <c r="Q43" s="1068"/>
      <c r="R43" s="1066" t="s">
        <v>1086</v>
      </c>
      <c r="S43" s="1072"/>
      <c r="T43" s="1060" t="s">
        <v>1087</v>
      </c>
      <c r="U43" s="1061"/>
      <c r="V43" s="1061"/>
      <c r="W43" s="1061"/>
      <c r="X43" s="1074"/>
      <c r="Y43" s="1055">
        <v>1</v>
      </c>
      <c r="Z43" s="410"/>
      <c r="AC43" s="410"/>
      <c r="AF43" s="410"/>
    </row>
    <row r="44" spans="1:53" s="411" customFormat="1" ht="13.2" customHeight="1" thickBot="1" x14ac:dyDescent="0.3">
      <c r="A44" s="1063"/>
      <c r="B44" s="1064"/>
      <c r="C44" s="1064"/>
      <c r="D44" s="1064"/>
      <c r="E44" s="1064"/>
      <c r="F44" s="1064"/>
      <c r="G44" s="1064"/>
      <c r="H44" s="1064"/>
      <c r="I44" s="1065"/>
      <c r="J44" s="1069"/>
      <c r="K44" s="1070"/>
      <c r="L44" s="1070"/>
      <c r="M44" s="1070"/>
      <c r="N44" s="1070"/>
      <c r="O44" s="1070"/>
      <c r="P44" s="1070"/>
      <c r="Q44" s="1071"/>
      <c r="R44" s="1069"/>
      <c r="S44" s="1073"/>
      <c r="T44" s="1063"/>
      <c r="U44" s="1064"/>
      <c r="V44" s="1064"/>
      <c r="W44" s="1064"/>
      <c r="X44" s="1075"/>
      <c r="Y44" s="1056"/>
      <c r="Z44" s="410"/>
      <c r="AC44" s="410"/>
      <c r="AF44" s="410"/>
    </row>
    <row r="45" spans="1:53" ht="43.5" customHeight="1" x14ac:dyDescent="0.25">
      <c r="X45" s="19"/>
      <c r="Y45" s="19"/>
      <c r="Z45" s="18"/>
    </row>
    <row r="46" spans="1:53" ht="43.5" customHeight="1" x14ac:dyDescent="0.25">
      <c r="X46" s="19"/>
      <c r="Y46" s="19"/>
      <c r="Z46" s="18"/>
    </row>
    <row r="47" spans="1:53" ht="43.5" customHeight="1" x14ac:dyDescent="0.25">
      <c r="X47" s="19"/>
      <c r="Y47" s="19"/>
      <c r="Z47" s="18"/>
    </row>
    <row r="48" spans="1:53" ht="43.5" customHeight="1" x14ac:dyDescent="0.25">
      <c r="X48" s="19"/>
      <c r="Y48" s="19"/>
      <c r="Z48" s="18"/>
    </row>
    <row r="49" spans="24:26" ht="43.5" customHeight="1" x14ac:dyDescent="0.25">
      <c r="X49" s="19"/>
      <c r="Y49" s="19"/>
      <c r="Z49" s="18"/>
    </row>
    <row r="50" spans="24:26" ht="43.5" customHeight="1" x14ac:dyDescent="0.25">
      <c r="X50" s="19"/>
      <c r="Y50" s="19"/>
      <c r="Z50" s="18"/>
    </row>
    <row r="51" spans="24:26" ht="43.5" customHeight="1" x14ac:dyDescent="0.25">
      <c r="X51" s="19"/>
      <c r="Y51" s="19"/>
      <c r="Z51" s="18"/>
    </row>
    <row r="52" spans="24:26" ht="43.5" customHeight="1" x14ac:dyDescent="0.25">
      <c r="X52" s="19"/>
      <c r="Y52" s="19"/>
      <c r="Z52" s="18"/>
    </row>
    <row r="53" spans="24:26" ht="43.5" customHeight="1" x14ac:dyDescent="0.25">
      <c r="X53" s="19"/>
      <c r="Y53" s="19"/>
      <c r="Z53" s="18"/>
    </row>
    <row r="54" spans="24:26" ht="43.5" customHeight="1" x14ac:dyDescent="0.25">
      <c r="X54" s="19"/>
      <c r="Y54" s="19"/>
      <c r="Z54" s="18"/>
    </row>
    <row r="55" spans="24:26" ht="43.5" customHeight="1" x14ac:dyDescent="0.25">
      <c r="X55" s="19"/>
      <c r="Y55" s="19"/>
      <c r="Z55" s="18"/>
    </row>
    <row r="56" spans="24:26" ht="43.5" customHeight="1" x14ac:dyDescent="0.25">
      <c r="X56" s="19"/>
      <c r="Y56" s="19"/>
      <c r="Z56" s="18"/>
    </row>
    <row r="57" spans="24:26" ht="43.5" customHeight="1" x14ac:dyDescent="0.25">
      <c r="X57" s="19"/>
      <c r="Y57" s="19"/>
      <c r="Z57" s="18"/>
    </row>
    <row r="58" spans="24:26" ht="43.5" customHeight="1" x14ac:dyDescent="0.25">
      <c r="X58" s="19"/>
      <c r="Y58" s="19"/>
      <c r="Z58" s="18"/>
    </row>
    <row r="59" spans="24:26" ht="43.5" customHeight="1" x14ac:dyDescent="0.25">
      <c r="X59" s="19"/>
      <c r="Y59" s="19"/>
      <c r="Z59" s="18"/>
    </row>
    <row r="60" spans="24:26" ht="43.5" customHeight="1" x14ac:dyDescent="0.25">
      <c r="X60" s="19"/>
      <c r="Y60" s="19"/>
      <c r="Z60" s="18"/>
    </row>
    <row r="61" spans="24:26" ht="43.5" customHeight="1" x14ac:dyDescent="0.25">
      <c r="X61" s="19"/>
      <c r="Y61" s="19"/>
      <c r="Z61" s="18"/>
    </row>
    <row r="62" spans="24:26" ht="43.5" customHeight="1" x14ac:dyDescent="0.25">
      <c r="X62" s="19"/>
      <c r="Y62" s="19"/>
      <c r="Z62" s="18"/>
    </row>
    <row r="63" spans="24:26" ht="43.5" customHeight="1" x14ac:dyDescent="0.25">
      <c r="X63" s="19"/>
      <c r="Y63" s="19"/>
      <c r="Z63" s="18"/>
    </row>
    <row r="64" spans="24:26" ht="43.5" customHeight="1" x14ac:dyDescent="0.25">
      <c r="X64" s="19"/>
      <c r="Y64" s="19"/>
      <c r="Z64" s="18"/>
    </row>
    <row r="65" spans="24:26" ht="43.5" customHeight="1" x14ac:dyDescent="0.25">
      <c r="X65" s="19"/>
      <c r="Y65" s="19"/>
      <c r="Z65" s="18"/>
    </row>
    <row r="66" spans="24:26" ht="43.5" customHeight="1" x14ac:dyDescent="0.25">
      <c r="X66" s="19"/>
      <c r="Y66" s="19"/>
      <c r="Z66" s="18"/>
    </row>
    <row r="67" spans="24:26" ht="43.5" customHeight="1" x14ac:dyDescent="0.25">
      <c r="X67" s="19"/>
      <c r="Y67" s="19"/>
      <c r="Z67" s="18"/>
    </row>
    <row r="68" spans="24:26" ht="43.5" customHeight="1" x14ac:dyDescent="0.25">
      <c r="X68" s="19"/>
      <c r="Y68" s="19"/>
      <c r="Z68" s="18"/>
    </row>
    <row r="69" spans="24:26" ht="43.5" customHeight="1" x14ac:dyDescent="0.25">
      <c r="X69" s="19"/>
      <c r="Y69" s="19"/>
      <c r="Z69" s="18"/>
    </row>
    <row r="70" spans="24:26" ht="43.5" customHeight="1" x14ac:dyDescent="0.25">
      <c r="X70" s="19"/>
      <c r="Y70" s="19"/>
      <c r="Z70" s="18"/>
    </row>
    <row r="71" spans="24:26" ht="43.5" customHeight="1" x14ac:dyDescent="0.25">
      <c r="X71" s="19"/>
      <c r="Y71" s="19"/>
      <c r="Z71" s="18"/>
    </row>
    <row r="72" spans="24:26" ht="43.5" customHeight="1" x14ac:dyDescent="0.25">
      <c r="X72" s="19"/>
      <c r="Y72" s="19"/>
      <c r="Z72" s="18"/>
    </row>
    <row r="73" spans="24:26" ht="43.5" customHeight="1" x14ac:dyDescent="0.25">
      <c r="X73" s="19"/>
      <c r="Y73" s="19"/>
      <c r="Z73" s="18"/>
    </row>
    <row r="74" spans="24:26" ht="43.5" customHeight="1" x14ac:dyDescent="0.25">
      <c r="X74" s="19"/>
      <c r="Y74" s="19"/>
      <c r="Z74" s="18"/>
    </row>
    <row r="75" spans="24:26" ht="43.5" customHeight="1" x14ac:dyDescent="0.25">
      <c r="X75" s="19"/>
      <c r="Y75" s="19"/>
      <c r="Z75" s="18"/>
    </row>
    <row r="76" spans="24:26" ht="43.5" customHeight="1" x14ac:dyDescent="0.25">
      <c r="X76" s="19"/>
      <c r="Y76" s="19"/>
      <c r="Z76" s="18"/>
    </row>
    <row r="77" spans="24:26" ht="43.5" customHeight="1" x14ac:dyDescent="0.25">
      <c r="X77" s="19"/>
      <c r="Y77" s="19"/>
      <c r="Z77" s="18"/>
    </row>
    <row r="78" spans="24:26" ht="43.5" customHeight="1" x14ac:dyDescent="0.25">
      <c r="X78" s="19"/>
      <c r="Y78" s="19"/>
      <c r="Z78" s="18"/>
    </row>
    <row r="79" spans="24:26" ht="43.5" customHeight="1" x14ac:dyDescent="0.25">
      <c r="X79" s="19"/>
      <c r="Y79" s="19"/>
      <c r="Z79" s="18"/>
    </row>
    <row r="80" spans="24:26" ht="43.5" customHeight="1" x14ac:dyDescent="0.25">
      <c r="X80" s="19"/>
      <c r="Y80" s="19"/>
      <c r="Z80" s="18"/>
    </row>
    <row r="81" spans="24:26" ht="43.5" customHeight="1" x14ac:dyDescent="0.25">
      <c r="X81" s="19"/>
      <c r="Y81" s="19"/>
      <c r="Z81" s="18"/>
    </row>
    <row r="82" spans="24:26" ht="43.5" customHeight="1" x14ac:dyDescent="0.25">
      <c r="X82" s="19"/>
      <c r="Y82" s="19"/>
      <c r="Z82" s="18"/>
    </row>
    <row r="83" spans="24:26" ht="43.5" customHeight="1" x14ac:dyDescent="0.25">
      <c r="X83" s="19"/>
      <c r="Y83" s="19"/>
      <c r="Z83" s="18"/>
    </row>
    <row r="84" spans="24:26" ht="43.5" customHeight="1" x14ac:dyDescent="0.25">
      <c r="X84" s="19"/>
      <c r="Y84" s="19"/>
      <c r="Z84" s="18"/>
    </row>
    <row r="85" spans="24:26" ht="43.5" customHeight="1" x14ac:dyDescent="0.25">
      <c r="X85" s="19"/>
      <c r="Y85" s="19"/>
      <c r="Z85" s="18"/>
    </row>
    <row r="86" spans="24:26" ht="43.5" customHeight="1" x14ac:dyDescent="0.25">
      <c r="X86" s="19"/>
      <c r="Y86" s="19"/>
      <c r="Z86" s="18"/>
    </row>
    <row r="87" spans="24:26" ht="43.5" customHeight="1" x14ac:dyDescent="0.25">
      <c r="X87" s="19"/>
      <c r="Y87" s="19"/>
      <c r="Z87" s="18"/>
    </row>
    <row r="88" spans="24:26" ht="43.5" customHeight="1" x14ac:dyDescent="0.25">
      <c r="X88" s="19"/>
      <c r="Y88" s="19"/>
      <c r="Z88" s="18"/>
    </row>
    <row r="89" spans="24:26" ht="43.5" customHeight="1" x14ac:dyDescent="0.25">
      <c r="X89" s="19"/>
      <c r="Y89" s="19"/>
      <c r="Z89" s="18"/>
    </row>
    <row r="90" spans="24:26" ht="43.5" customHeight="1" x14ac:dyDescent="0.25">
      <c r="X90" s="19"/>
      <c r="Y90" s="19"/>
      <c r="Z90" s="18"/>
    </row>
    <row r="91" spans="24:26" ht="43.5" customHeight="1" x14ac:dyDescent="0.25">
      <c r="X91" s="19"/>
      <c r="Y91" s="19"/>
      <c r="Z91" s="18"/>
    </row>
    <row r="92" spans="24:26" ht="43.5" customHeight="1" x14ac:dyDescent="0.25">
      <c r="X92" s="19"/>
      <c r="Y92" s="19"/>
      <c r="Z92" s="18"/>
    </row>
    <row r="93" spans="24:26" ht="43.5" customHeight="1" x14ac:dyDescent="0.25">
      <c r="X93" s="19"/>
      <c r="Y93" s="19"/>
      <c r="Z93" s="18"/>
    </row>
    <row r="94" spans="24:26" ht="43.5" customHeight="1" x14ac:dyDescent="0.25">
      <c r="X94" s="19"/>
      <c r="Y94" s="19"/>
      <c r="Z94" s="18"/>
    </row>
    <row r="95" spans="24:26" ht="43.5" customHeight="1" x14ac:dyDescent="0.25">
      <c r="X95" s="19"/>
      <c r="Y95" s="19"/>
      <c r="Z95" s="18"/>
    </row>
    <row r="96" spans="24:26" ht="43.5" customHeight="1" x14ac:dyDescent="0.25">
      <c r="X96" s="19"/>
      <c r="Y96" s="19"/>
      <c r="Z96" s="18"/>
    </row>
    <row r="97" spans="24:26" ht="43.5" customHeight="1" x14ac:dyDescent="0.25">
      <c r="X97" s="19"/>
      <c r="Y97" s="19"/>
      <c r="Z97" s="18"/>
    </row>
    <row r="98" spans="24:26" ht="43.5" customHeight="1" x14ac:dyDescent="0.25">
      <c r="X98" s="19"/>
      <c r="Y98" s="19"/>
      <c r="Z98" s="18"/>
    </row>
    <row r="99" spans="24:26" ht="43.5" customHeight="1" x14ac:dyDescent="0.25">
      <c r="X99" s="19"/>
      <c r="Y99" s="19"/>
      <c r="Z99" s="18"/>
    </row>
    <row r="100" spans="24:26" ht="43.5" customHeight="1" x14ac:dyDescent="0.25">
      <c r="X100" s="19"/>
      <c r="Y100" s="19"/>
      <c r="Z100" s="18"/>
    </row>
    <row r="101" spans="24:26" ht="43.5" customHeight="1" x14ac:dyDescent="0.25">
      <c r="X101" s="19"/>
      <c r="Y101" s="19"/>
      <c r="Z101" s="18"/>
    </row>
    <row r="102" spans="24:26" ht="43.5" customHeight="1" x14ac:dyDescent="0.25">
      <c r="X102" s="19"/>
      <c r="Y102" s="19"/>
      <c r="Z102" s="18"/>
    </row>
    <row r="103" spans="24:26" ht="43.5" customHeight="1" x14ac:dyDescent="0.25">
      <c r="X103" s="19"/>
      <c r="Y103" s="19"/>
      <c r="Z103" s="18"/>
    </row>
    <row r="104" spans="24:26" ht="43.5" customHeight="1" x14ac:dyDescent="0.25">
      <c r="X104" s="19"/>
      <c r="Y104" s="19"/>
      <c r="Z104" s="18"/>
    </row>
    <row r="105" spans="24:26" ht="43.5" customHeight="1" x14ac:dyDescent="0.25">
      <c r="X105" s="19"/>
      <c r="Y105" s="19"/>
      <c r="Z105" s="18"/>
    </row>
    <row r="106" spans="24:26" ht="43.5" customHeight="1" x14ac:dyDescent="0.25">
      <c r="X106" s="19"/>
      <c r="Y106" s="19"/>
      <c r="Z106" s="18"/>
    </row>
    <row r="107" spans="24:26" ht="43.5" customHeight="1" x14ac:dyDescent="0.25">
      <c r="X107" s="19"/>
      <c r="Y107" s="19"/>
      <c r="Z107" s="18"/>
    </row>
    <row r="108" spans="24:26" ht="43.5" customHeight="1" x14ac:dyDescent="0.25">
      <c r="X108" s="19"/>
      <c r="Y108" s="19"/>
      <c r="Z108" s="18"/>
    </row>
    <row r="109" spans="24:26" ht="43.5" customHeight="1" x14ac:dyDescent="0.25">
      <c r="X109" s="19"/>
      <c r="Y109" s="19"/>
      <c r="Z109" s="18"/>
    </row>
    <row r="110" spans="24:26" ht="43.5" customHeight="1" x14ac:dyDescent="0.25">
      <c r="X110" s="19"/>
      <c r="Y110" s="19"/>
      <c r="Z110" s="18"/>
    </row>
    <row r="111" spans="24:26" ht="43.5" customHeight="1" x14ac:dyDescent="0.25">
      <c r="X111" s="19"/>
      <c r="Y111" s="19"/>
      <c r="Z111" s="18"/>
    </row>
    <row r="112" spans="24:26" ht="43.5" customHeight="1" x14ac:dyDescent="0.25">
      <c r="X112" s="19"/>
      <c r="Y112" s="19"/>
      <c r="Z112" s="18"/>
    </row>
    <row r="113" spans="24:26" ht="43.5" customHeight="1" x14ac:dyDescent="0.25">
      <c r="X113" s="19"/>
      <c r="Y113" s="19"/>
      <c r="Z113" s="18"/>
    </row>
    <row r="114" spans="24:26" ht="43.5" customHeight="1" x14ac:dyDescent="0.25">
      <c r="X114" s="19"/>
      <c r="Y114" s="19"/>
      <c r="Z114" s="18"/>
    </row>
    <row r="115" spans="24:26" ht="43.5" customHeight="1" x14ac:dyDescent="0.25">
      <c r="X115" s="19"/>
      <c r="Y115" s="19"/>
      <c r="Z115" s="18"/>
    </row>
    <row r="116" spans="24:26" ht="43.5" customHeight="1" x14ac:dyDescent="0.25">
      <c r="X116" s="19"/>
      <c r="Y116" s="19"/>
      <c r="Z116" s="18"/>
    </row>
    <row r="117" spans="24:26" ht="43.5" customHeight="1" x14ac:dyDescent="0.25">
      <c r="X117" s="19"/>
      <c r="Y117" s="19"/>
      <c r="Z117" s="18"/>
    </row>
    <row r="118" spans="24:26" ht="43.5" customHeight="1" x14ac:dyDescent="0.25">
      <c r="X118" s="19"/>
      <c r="Y118" s="19"/>
      <c r="Z118" s="18"/>
    </row>
    <row r="119" spans="24:26" ht="43.5" customHeight="1" x14ac:dyDescent="0.25">
      <c r="X119" s="19"/>
      <c r="Y119" s="19"/>
      <c r="Z119" s="18"/>
    </row>
    <row r="120" spans="24:26" ht="43.5" customHeight="1" x14ac:dyDescent="0.25">
      <c r="X120" s="19"/>
      <c r="Y120" s="19"/>
      <c r="Z120" s="18"/>
    </row>
    <row r="121" spans="24:26" ht="43.5" customHeight="1" x14ac:dyDescent="0.25">
      <c r="X121" s="19"/>
      <c r="Y121" s="19"/>
      <c r="Z121" s="18"/>
    </row>
    <row r="122" spans="24:26" ht="43.5" customHeight="1" x14ac:dyDescent="0.25">
      <c r="X122" s="19"/>
      <c r="Y122" s="19"/>
      <c r="Z122" s="18"/>
    </row>
    <row r="123" spans="24:26" ht="43.5" customHeight="1" x14ac:dyDescent="0.25">
      <c r="X123" s="19"/>
      <c r="Y123" s="19"/>
      <c r="Z123" s="18"/>
    </row>
    <row r="124" spans="24:26" ht="43.5" customHeight="1" x14ac:dyDescent="0.25">
      <c r="X124" s="19"/>
      <c r="Y124" s="19"/>
      <c r="Z124" s="18"/>
    </row>
    <row r="125" spans="24:26" ht="43.5" customHeight="1" x14ac:dyDescent="0.25">
      <c r="X125" s="19"/>
      <c r="Y125" s="19"/>
      <c r="Z125" s="18"/>
    </row>
    <row r="126" spans="24:26" ht="43.5" customHeight="1" x14ac:dyDescent="0.25">
      <c r="X126" s="19"/>
      <c r="Y126" s="19"/>
      <c r="Z126" s="18"/>
    </row>
    <row r="127" spans="24:26" ht="43.5" customHeight="1" x14ac:dyDescent="0.25">
      <c r="X127" s="19"/>
      <c r="Y127" s="19"/>
      <c r="Z127" s="18"/>
    </row>
    <row r="128" spans="24:26" ht="43.5" customHeight="1" x14ac:dyDescent="0.25">
      <c r="X128" s="19"/>
      <c r="Y128" s="19"/>
      <c r="Z128" s="18"/>
    </row>
    <row r="129" spans="24:26" ht="43.5" customHeight="1" x14ac:dyDescent="0.25">
      <c r="X129" s="19"/>
      <c r="Y129" s="19"/>
      <c r="Z129" s="18"/>
    </row>
    <row r="130" spans="24:26" ht="43.5" customHeight="1" x14ac:dyDescent="0.25">
      <c r="X130" s="19"/>
      <c r="Y130" s="19"/>
      <c r="Z130" s="18"/>
    </row>
    <row r="131" spans="24:26" ht="43.5" customHeight="1" x14ac:dyDescent="0.25">
      <c r="X131" s="19"/>
      <c r="Y131" s="19"/>
      <c r="Z131" s="18"/>
    </row>
    <row r="132" spans="24:26" ht="43.5" customHeight="1" x14ac:dyDescent="0.25">
      <c r="X132" s="19"/>
      <c r="Y132" s="19"/>
      <c r="Z132" s="18"/>
    </row>
    <row r="133" spans="24:26" ht="43.5" customHeight="1" x14ac:dyDescent="0.25">
      <c r="X133" s="19"/>
      <c r="Y133" s="19"/>
      <c r="Z133" s="18"/>
    </row>
    <row r="134" spans="24:26" ht="43.5" customHeight="1" x14ac:dyDescent="0.25">
      <c r="X134" s="19"/>
      <c r="Y134" s="19"/>
      <c r="Z134" s="18"/>
    </row>
    <row r="135" spans="24:26" ht="43.5" customHeight="1" x14ac:dyDescent="0.25">
      <c r="X135" s="19"/>
      <c r="Y135" s="19"/>
      <c r="Z135" s="18"/>
    </row>
    <row r="136" spans="24:26" ht="43.5" customHeight="1" x14ac:dyDescent="0.25">
      <c r="X136" s="19"/>
      <c r="Y136" s="19"/>
      <c r="Z136" s="18"/>
    </row>
    <row r="137" spans="24:26" ht="43.5" customHeight="1" x14ac:dyDescent="0.25">
      <c r="X137" s="19"/>
      <c r="Y137" s="19"/>
      <c r="Z137" s="18"/>
    </row>
    <row r="138" spans="24:26" ht="43.5" customHeight="1" x14ac:dyDescent="0.25">
      <c r="X138" s="19"/>
      <c r="Y138" s="19"/>
      <c r="Z138" s="18"/>
    </row>
    <row r="139" spans="24:26" ht="43.5" customHeight="1" x14ac:dyDescent="0.25">
      <c r="X139" s="19"/>
      <c r="Y139" s="19"/>
      <c r="Z139" s="18"/>
    </row>
    <row r="140" spans="24:26" ht="43.5" customHeight="1" x14ac:dyDescent="0.25">
      <c r="X140" s="19"/>
      <c r="Y140" s="19"/>
      <c r="Z140" s="18"/>
    </row>
    <row r="141" spans="24:26" ht="43.5" customHeight="1" x14ac:dyDescent="0.25">
      <c r="X141" s="19"/>
      <c r="Y141" s="19"/>
      <c r="Z141" s="18"/>
    </row>
    <row r="142" spans="24:26" ht="43.5" customHeight="1" x14ac:dyDescent="0.25">
      <c r="X142" s="19"/>
      <c r="Y142" s="19"/>
      <c r="Z142" s="18"/>
    </row>
    <row r="143" spans="24:26" ht="43.5" customHeight="1" x14ac:dyDescent="0.25">
      <c r="X143" s="19"/>
      <c r="Y143" s="19"/>
      <c r="Z143" s="18"/>
    </row>
    <row r="144" spans="24:26" ht="43.5" customHeight="1" x14ac:dyDescent="0.25">
      <c r="X144" s="19"/>
      <c r="Y144" s="19"/>
      <c r="Z144" s="18"/>
    </row>
    <row r="145" spans="24:26" ht="43.5" customHeight="1" x14ac:dyDescent="0.25">
      <c r="X145" s="19"/>
      <c r="Y145" s="19"/>
      <c r="Z145" s="18"/>
    </row>
    <row r="146" spans="24:26" ht="43.5" customHeight="1" x14ac:dyDescent="0.25">
      <c r="X146" s="19"/>
      <c r="Y146" s="19"/>
      <c r="Z146" s="18"/>
    </row>
    <row r="147" spans="24:26" ht="43.5" customHeight="1" x14ac:dyDescent="0.25">
      <c r="X147" s="19"/>
      <c r="Y147" s="19"/>
      <c r="Z147" s="18"/>
    </row>
    <row r="148" spans="24:26" ht="43.5" customHeight="1" x14ac:dyDescent="0.25">
      <c r="X148" s="19"/>
      <c r="Y148" s="19"/>
      <c r="Z148" s="18"/>
    </row>
    <row r="149" spans="24:26" ht="43.5" customHeight="1" x14ac:dyDescent="0.25">
      <c r="X149" s="19"/>
      <c r="Y149" s="19"/>
      <c r="Z149" s="18"/>
    </row>
    <row r="150" spans="24:26" ht="43.5" customHeight="1" x14ac:dyDescent="0.25">
      <c r="X150" s="19"/>
      <c r="Y150" s="19"/>
      <c r="Z150" s="18"/>
    </row>
    <row r="151" spans="24:26" ht="43.5" customHeight="1" x14ac:dyDescent="0.25">
      <c r="X151" s="19"/>
      <c r="Y151" s="19"/>
      <c r="Z151" s="18"/>
    </row>
    <row r="152" spans="24:26" ht="43.5" customHeight="1" x14ac:dyDescent="0.25">
      <c r="X152" s="19"/>
      <c r="Y152" s="19"/>
      <c r="Z152" s="18"/>
    </row>
    <row r="153" spans="24:26" ht="43.5" customHeight="1" x14ac:dyDescent="0.25">
      <c r="X153" s="19"/>
      <c r="Y153" s="19"/>
      <c r="Z153" s="18"/>
    </row>
    <row r="154" spans="24:26" ht="43.5" customHeight="1" x14ac:dyDescent="0.25">
      <c r="X154" s="19"/>
      <c r="Y154" s="19"/>
      <c r="Z154" s="18"/>
    </row>
    <row r="155" spans="24:26" ht="43.5" customHeight="1" x14ac:dyDescent="0.25">
      <c r="X155" s="19"/>
      <c r="Y155" s="19"/>
      <c r="Z155" s="18"/>
    </row>
    <row r="156" spans="24:26" ht="43.5" customHeight="1" x14ac:dyDescent="0.25">
      <c r="X156" s="19"/>
      <c r="Y156" s="19"/>
      <c r="Z156" s="18"/>
    </row>
    <row r="157" spans="24:26" ht="43.5" customHeight="1" x14ac:dyDescent="0.25">
      <c r="X157" s="19"/>
      <c r="Y157" s="19"/>
      <c r="Z157" s="18"/>
    </row>
    <row r="158" spans="24:26" ht="43.5" customHeight="1" x14ac:dyDescent="0.25">
      <c r="X158" s="19"/>
      <c r="Y158" s="19"/>
      <c r="Z158" s="18"/>
    </row>
    <row r="159" spans="24:26" ht="43.5" customHeight="1" x14ac:dyDescent="0.25">
      <c r="X159" s="19"/>
      <c r="Y159" s="19"/>
      <c r="Z159" s="18"/>
    </row>
    <row r="160" spans="24:26" ht="43.5" customHeight="1" x14ac:dyDescent="0.25">
      <c r="X160" s="19"/>
      <c r="Y160" s="19"/>
      <c r="Z160" s="18"/>
    </row>
    <row r="161" spans="24:26" ht="43.5" customHeight="1" x14ac:dyDescent="0.25">
      <c r="X161" s="19"/>
      <c r="Y161" s="19"/>
      <c r="Z161" s="18"/>
    </row>
    <row r="162" spans="24:26" ht="43.5" customHeight="1" x14ac:dyDescent="0.25">
      <c r="X162" s="19"/>
      <c r="Y162" s="19"/>
      <c r="Z162" s="18"/>
    </row>
    <row r="163" spans="24:26" ht="43.5" customHeight="1" x14ac:dyDescent="0.25">
      <c r="X163" s="19"/>
      <c r="Y163" s="19"/>
      <c r="Z163" s="18"/>
    </row>
    <row r="164" spans="24:26" ht="43.5" customHeight="1" x14ac:dyDescent="0.25">
      <c r="X164" s="19"/>
      <c r="Y164" s="19"/>
      <c r="Z164" s="18"/>
    </row>
    <row r="165" spans="24:26" ht="43.5" customHeight="1" x14ac:dyDescent="0.25">
      <c r="X165" s="19"/>
      <c r="Y165" s="19"/>
      <c r="Z165" s="18"/>
    </row>
    <row r="166" spans="24:26" ht="43.5" customHeight="1" x14ac:dyDescent="0.25">
      <c r="X166" s="19"/>
      <c r="Y166" s="19"/>
      <c r="Z166" s="18"/>
    </row>
    <row r="167" spans="24:26" ht="43.5" customHeight="1" x14ac:dyDescent="0.25">
      <c r="X167" s="19"/>
      <c r="Y167" s="19"/>
      <c r="Z167" s="18"/>
    </row>
    <row r="168" spans="24:26" ht="43.5" customHeight="1" x14ac:dyDescent="0.25">
      <c r="X168" s="19"/>
      <c r="Y168" s="19"/>
      <c r="Z168" s="18"/>
    </row>
    <row r="169" spans="24:26" ht="43.5" customHeight="1" x14ac:dyDescent="0.25">
      <c r="X169" s="19"/>
      <c r="Y169" s="19"/>
      <c r="Z169" s="18"/>
    </row>
    <row r="170" spans="24:26" ht="43.5" customHeight="1" x14ac:dyDescent="0.25">
      <c r="X170" s="19"/>
      <c r="Y170" s="19"/>
      <c r="Z170" s="18"/>
    </row>
    <row r="171" spans="24:26" ht="43.5" customHeight="1" x14ac:dyDescent="0.25">
      <c r="X171" s="19"/>
      <c r="Y171" s="19"/>
      <c r="Z171" s="18"/>
    </row>
    <row r="172" spans="24:26" ht="43.5" customHeight="1" x14ac:dyDescent="0.25">
      <c r="X172" s="19"/>
      <c r="Y172" s="19"/>
      <c r="Z172" s="18"/>
    </row>
    <row r="173" spans="24:26" ht="43.5" customHeight="1" x14ac:dyDescent="0.25">
      <c r="X173" s="19"/>
      <c r="Y173" s="19"/>
      <c r="Z173" s="18"/>
    </row>
    <row r="174" spans="24:26" ht="43.5" customHeight="1" x14ac:dyDescent="0.25">
      <c r="X174" s="19"/>
      <c r="Y174" s="19"/>
      <c r="Z174" s="18"/>
    </row>
    <row r="175" spans="24:26" ht="43.5" customHeight="1" x14ac:dyDescent="0.25">
      <c r="X175" s="19"/>
      <c r="Y175" s="19"/>
      <c r="Z175" s="18"/>
    </row>
    <row r="176" spans="24:26" ht="43.5" customHeight="1" x14ac:dyDescent="0.25">
      <c r="X176" s="19"/>
      <c r="Y176" s="19"/>
      <c r="Z176" s="18"/>
    </row>
    <row r="177" spans="24:26" ht="43.5" customHeight="1" x14ac:dyDescent="0.25">
      <c r="X177" s="19"/>
      <c r="Y177" s="19"/>
      <c r="Z177" s="18"/>
    </row>
    <row r="178" spans="24:26" ht="43.5" customHeight="1" x14ac:dyDescent="0.25">
      <c r="X178" s="19"/>
      <c r="Y178" s="19"/>
      <c r="Z178" s="18"/>
    </row>
    <row r="179" spans="24:26" ht="43.5" customHeight="1" x14ac:dyDescent="0.25">
      <c r="X179" s="19"/>
      <c r="Y179" s="19"/>
      <c r="Z179" s="18"/>
    </row>
    <row r="180" spans="24:26" ht="43.5" customHeight="1" x14ac:dyDescent="0.25">
      <c r="X180" s="19"/>
      <c r="Y180" s="19"/>
      <c r="Z180" s="18"/>
    </row>
    <row r="181" spans="24:26" ht="43.5" customHeight="1" x14ac:dyDescent="0.25">
      <c r="X181" s="19"/>
      <c r="Y181" s="19"/>
      <c r="Z181" s="18"/>
    </row>
    <row r="182" spans="24:26" ht="43.5" customHeight="1" x14ac:dyDescent="0.25">
      <c r="X182" s="19"/>
      <c r="Y182" s="19"/>
      <c r="Z182" s="18"/>
    </row>
    <row r="183" spans="24:26" ht="43.5" customHeight="1" x14ac:dyDescent="0.25">
      <c r="X183" s="19"/>
      <c r="Y183" s="19"/>
      <c r="Z183" s="18"/>
    </row>
    <row r="184" spans="24:26" ht="43.5" customHeight="1" x14ac:dyDescent="0.25">
      <c r="X184" s="19"/>
      <c r="Y184" s="19"/>
      <c r="Z184" s="18"/>
    </row>
    <row r="185" spans="24:26" ht="43.5" customHeight="1" x14ac:dyDescent="0.25">
      <c r="X185" s="19"/>
      <c r="Y185" s="19"/>
      <c r="Z185" s="18"/>
    </row>
    <row r="186" spans="24:26" ht="43.5" customHeight="1" x14ac:dyDescent="0.25">
      <c r="X186" s="19"/>
      <c r="Y186" s="19"/>
      <c r="Z186" s="18"/>
    </row>
    <row r="187" spans="24:26" ht="43.5" customHeight="1" x14ac:dyDescent="0.25">
      <c r="X187" s="19"/>
      <c r="Y187" s="19"/>
      <c r="Z187" s="18"/>
    </row>
    <row r="188" spans="24:26" ht="43.5" customHeight="1" x14ac:dyDescent="0.25">
      <c r="X188" s="19"/>
      <c r="Y188" s="19"/>
      <c r="Z188" s="18"/>
    </row>
    <row r="189" spans="24:26" ht="43.5" customHeight="1" x14ac:dyDescent="0.25">
      <c r="X189" s="19"/>
      <c r="Y189" s="19"/>
      <c r="Z189" s="18"/>
    </row>
    <row r="190" spans="24:26" ht="43.5" customHeight="1" x14ac:dyDescent="0.25">
      <c r="X190" s="19"/>
      <c r="Y190" s="19"/>
      <c r="Z190" s="18"/>
    </row>
    <row r="191" spans="24:26" ht="43.5" customHeight="1" x14ac:dyDescent="0.25">
      <c r="X191" s="19"/>
      <c r="Y191" s="19"/>
      <c r="Z191" s="18"/>
    </row>
    <row r="192" spans="24:26" ht="43.5" customHeight="1" x14ac:dyDescent="0.25">
      <c r="X192" s="19"/>
      <c r="Y192" s="19"/>
      <c r="Z192" s="18"/>
    </row>
    <row r="193" spans="24:26" ht="43.5" customHeight="1" x14ac:dyDescent="0.25">
      <c r="X193" s="19"/>
      <c r="Y193" s="19"/>
      <c r="Z193" s="18"/>
    </row>
    <row r="194" spans="24:26" ht="43.5" customHeight="1" x14ac:dyDescent="0.25">
      <c r="X194" s="19"/>
      <c r="Y194" s="19"/>
      <c r="Z194" s="18"/>
    </row>
    <row r="195" spans="24:26" ht="43.5" customHeight="1" x14ac:dyDescent="0.25">
      <c r="X195" s="19"/>
      <c r="Y195" s="19"/>
      <c r="Z195" s="18"/>
    </row>
    <row r="196" spans="24:26" ht="43.5" customHeight="1" x14ac:dyDescent="0.25">
      <c r="X196" s="19"/>
      <c r="Y196" s="19"/>
      <c r="Z196" s="18"/>
    </row>
    <row r="197" spans="24:26" ht="43.5" customHeight="1" x14ac:dyDescent="0.25">
      <c r="X197" s="19"/>
      <c r="Y197" s="19"/>
      <c r="Z197" s="18"/>
    </row>
    <row r="198" spans="24:26" ht="43.5" customHeight="1" x14ac:dyDescent="0.25">
      <c r="X198" s="19"/>
      <c r="Y198" s="19"/>
      <c r="Z198" s="18"/>
    </row>
    <row r="199" spans="24:26" ht="43.5" customHeight="1" x14ac:dyDescent="0.25">
      <c r="X199" s="19"/>
      <c r="Y199" s="19"/>
      <c r="Z199" s="18"/>
    </row>
    <row r="200" spans="24:26" ht="43.5" customHeight="1" x14ac:dyDescent="0.25">
      <c r="X200" s="19"/>
      <c r="Y200" s="19"/>
      <c r="Z200" s="18"/>
    </row>
    <row r="201" spans="24:26" ht="43.5" customHeight="1" x14ac:dyDescent="0.25">
      <c r="X201" s="19"/>
      <c r="Y201" s="19"/>
      <c r="Z201" s="18"/>
    </row>
    <row r="202" spans="24:26" ht="43.5" customHeight="1" x14ac:dyDescent="0.25">
      <c r="X202" s="19"/>
      <c r="Y202" s="19"/>
      <c r="Z202" s="18"/>
    </row>
    <row r="203" spans="24:26" ht="43.5" customHeight="1" x14ac:dyDescent="0.25">
      <c r="X203" s="19"/>
      <c r="Y203" s="19"/>
      <c r="Z203" s="18"/>
    </row>
    <row r="204" spans="24:26" ht="43.5" customHeight="1" x14ac:dyDescent="0.25">
      <c r="X204" s="19"/>
      <c r="Y204" s="19"/>
      <c r="Z204" s="18"/>
    </row>
    <row r="205" spans="24:26" ht="43.5" customHeight="1" x14ac:dyDescent="0.25">
      <c r="X205" s="19"/>
      <c r="Y205" s="19"/>
      <c r="Z205" s="18"/>
    </row>
    <row r="206" spans="24:26" ht="43.5" customHeight="1" x14ac:dyDescent="0.25">
      <c r="X206" s="19"/>
      <c r="Y206" s="19"/>
      <c r="Z206" s="18"/>
    </row>
    <row r="207" spans="24:26" ht="43.5" customHeight="1" x14ac:dyDescent="0.25">
      <c r="X207" s="19"/>
      <c r="Y207" s="19"/>
      <c r="Z207" s="18"/>
    </row>
    <row r="208" spans="24:26" ht="43.5" customHeight="1" x14ac:dyDescent="0.25">
      <c r="X208" s="19"/>
      <c r="Y208" s="19"/>
      <c r="Z208" s="18"/>
    </row>
    <row r="209" spans="24:26" ht="43.5" customHeight="1" x14ac:dyDescent="0.25">
      <c r="X209" s="19"/>
      <c r="Y209" s="19"/>
      <c r="Z209" s="18"/>
    </row>
    <row r="210" spans="24:26" ht="43.5" customHeight="1" x14ac:dyDescent="0.25">
      <c r="X210" s="19"/>
      <c r="Y210" s="19"/>
      <c r="Z210" s="18"/>
    </row>
    <row r="211" spans="24:26" ht="43.5" customHeight="1" x14ac:dyDescent="0.25">
      <c r="X211" s="19"/>
      <c r="Y211" s="19"/>
      <c r="Z211" s="18"/>
    </row>
    <row r="212" spans="24:26" ht="43.5" customHeight="1" x14ac:dyDescent="0.25">
      <c r="X212" s="19"/>
      <c r="Y212" s="19"/>
      <c r="Z212" s="18"/>
    </row>
    <row r="213" spans="24:26" ht="43.5" customHeight="1" x14ac:dyDescent="0.25">
      <c r="X213" s="19"/>
      <c r="Y213" s="19"/>
      <c r="Z213" s="18"/>
    </row>
    <row r="214" spans="24:26" ht="43.5" customHeight="1" x14ac:dyDescent="0.25">
      <c r="X214" s="19"/>
      <c r="Y214" s="19"/>
      <c r="Z214" s="18"/>
    </row>
    <row r="215" spans="24:26" ht="43.5" customHeight="1" x14ac:dyDescent="0.25">
      <c r="X215" s="19"/>
      <c r="Y215" s="19"/>
      <c r="Z215" s="18"/>
    </row>
    <row r="216" spans="24:26" ht="43.5" customHeight="1" x14ac:dyDescent="0.25">
      <c r="X216" s="19"/>
      <c r="Y216" s="19"/>
      <c r="Z216" s="18"/>
    </row>
    <row r="217" spans="24:26" ht="43.5" customHeight="1" x14ac:dyDescent="0.25">
      <c r="X217" s="19"/>
      <c r="Y217" s="19"/>
      <c r="Z217" s="18"/>
    </row>
    <row r="218" spans="24:26" ht="43.5" customHeight="1" x14ac:dyDescent="0.25">
      <c r="X218" s="19"/>
      <c r="Y218" s="19"/>
      <c r="Z218" s="18"/>
    </row>
    <row r="219" spans="24:26" ht="43.5" customHeight="1" x14ac:dyDescent="0.25">
      <c r="X219" s="19"/>
      <c r="Y219" s="19"/>
      <c r="Z219" s="18"/>
    </row>
    <row r="220" spans="24:26" ht="43.5" customHeight="1" x14ac:dyDescent="0.25">
      <c r="X220" s="19"/>
      <c r="Y220" s="19"/>
      <c r="Z220" s="18"/>
    </row>
    <row r="221" spans="24:26" ht="43.5" customHeight="1" x14ac:dyDescent="0.25">
      <c r="X221" s="19"/>
      <c r="Y221" s="19"/>
      <c r="Z221" s="18"/>
    </row>
    <row r="222" spans="24:26" ht="43.5" customHeight="1" x14ac:dyDescent="0.25">
      <c r="X222" s="19"/>
      <c r="Y222" s="19"/>
      <c r="Z222" s="18"/>
    </row>
    <row r="223" spans="24:26" ht="43.5" customHeight="1" x14ac:dyDescent="0.25">
      <c r="X223" s="19"/>
      <c r="Y223" s="19"/>
      <c r="Z223" s="18"/>
    </row>
    <row r="224" spans="24:26" ht="43.5" customHeight="1" x14ac:dyDescent="0.25">
      <c r="X224" s="19"/>
      <c r="Y224" s="19"/>
      <c r="Z224" s="18"/>
    </row>
    <row r="225" spans="24:26" ht="43.5" customHeight="1" x14ac:dyDescent="0.25">
      <c r="X225" s="19"/>
      <c r="Y225" s="19"/>
      <c r="Z225" s="18"/>
    </row>
    <row r="226" spans="24:26" ht="43.5" customHeight="1" x14ac:dyDescent="0.25">
      <c r="X226" s="19"/>
      <c r="Y226" s="19"/>
      <c r="Z226" s="18"/>
    </row>
    <row r="227" spans="24:26" ht="43.5" customHeight="1" x14ac:dyDescent="0.25">
      <c r="X227" s="19"/>
      <c r="Y227" s="19"/>
      <c r="Z227" s="18"/>
    </row>
    <row r="228" spans="24:26" ht="43.5" customHeight="1" x14ac:dyDescent="0.25">
      <c r="X228" s="19"/>
      <c r="Y228" s="19"/>
      <c r="Z228" s="18"/>
    </row>
    <row r="229" spans="24:26" ht="43.5" customHeight="1" x14ac:dyDescent="0.25">
      <c r="X229" s="19"/>
      <c r="Y229" s="19"/>
      <c r="Z229" s="18"/>
    </row>
    <row r="230" spans="24:26" ht="43.5" customHeight="1" x14ac:dyDescent="0.25">
      <c r="X230" s="19"/>
      <c r="Y230" s="19"/>
      <c r="Z230" s="18"/>
    </row>
    <row r="231" spans="24:26" ht="43.5" customHeight="1" x14ac:dyDescent="0.25">
      <c r="X231" s="19"/>
      <c r="Y231" s="19"/>
      <c r="Z231" s="18"/>
    </row>
    <row r="232" spans="24:26" ht="43.5" customHeight="1" x14ac:dyDescent="0.25">
      <c r="X232" s="19"/>
      <c r="Y232" s="19"/>
      <c r="Z232" s="18"/>
    </row>
    <row r="233" spans="24:26" ht="43.5" customHeight="1" x14ac:dyDescent="0.25">
      <c r="X233" s="19"/>
      <c r="Y233" s="19"/>
      <c r="Z233" s="18"/>
    </row>
    <row r="234" spans="24:26" ht="43.5" customHeight="1" x14ac:dyDescent="0.25">
      <c r="X234" s="19"/>
      <c r="Y234" s="19"/>
      <c r="Z234" s="18"/>
    </row>
    <row r="235" spans="24:26" ht="43.5" customHeight="1" x14ac:dyDescent="0.25">
      <c r="X235" s="19"/>
      <c r="Y235" s="19"/>
      <c r="Z235" s="18"/>
    </row>
    <row r="236" spans="24:26" ht="43.5" customHeight="1" x14ac:dyDescent="0.25">
      <c r="X236" s="19"/>
      <c r="Y236" s="19"/>
      <c r="Z236" s="18"/>
    </row>
    <row r="237" spans="24:26" ht="43.5" customHeight="1" x14ac:dyDescent="0.25">
      <c r="X237" s="19"/>
      <c r="Y237" s="19"/>
      <c r="Z237" s="18"/>
    </row>
    <row r="238" spans="24:26" ht="43.5" customHeight="1" x14ac:dyDescent="0.25">
      <c r="X238" s="19"/>
      <c r="Y238" s="19"/>
      <c r="Z238" s="18"/>
    </row>
    <row r="239" spans="24:26" ht="43.5" customHeight="1" x14ac:dyDescent="0.25">
      <c r="X239" s="19"/>
      <c r="Y239" s="19"/>
      <c r="Z239" s="18"/>
    </row>
    <row r="240" spans="24:26" ht="43.5" customHeight="1" x14ac:dyDescent="0.25">
      <c r="X240" s="19"/>
      <c r="Y240" s="19"/>
      <c r="Z240" s="18"/>
    </row>
    <row r="241" spans="24:26" ht="43.5" customHeight="1" x14ac:dyDescent="0.25">
      <c r="X241" s="19"/>
      <c r="Y241" s="19"/>
      <c r="Z241" s="18"/>
    </row>
    <row r="242" spans="24:26" ht="43.5" customHeight="1" x14ac:dyDescent="0.25">
      <c r="X242" s="19"/>
      <c r="Y242" s="19"/>
      <c r="Z242" s="18"/>
    </row>
    <row r="243" spans="24:26" ht="43.5" customHeight="1" x14ac:dyDescent="0.25">
      <c r="X243" s="19"/>
      <c r="Y243" s="19"/>
      <c r="Z243" s="18"/>
    </row>
    <row r="244" spans="24:26" ht="43.5" customHeight="1" x14ac:dyDescent="0.25">
      <c r="X244" s="19"/>
      <c r="Y244" s="19"/>
      <c r="Z244" s="18"/>
    </row>
    <row r="245" spans="24:26" ht="43.5" customHeight="1" x14ac:dyDescent="0.25">
      <c r="X245" s="19"/>
      <c r="Y245" s="19"/>
      <c r="Z245" s="18"/>
    </row>
    <row r="246" spans="24:26" ht="43.5" customHeight="1" x14ac:dyDescent="0.25">
      <c r="X246" s="19"/>
      <c r="Y246" s="19"/>
      <c r="Z246" s="18"/>
    </row>
    <row r="247" spans="24:26" ht="43.5" customHeight="1" x14ac:dyDescent="0.25">
      <c r="X247" s="19"/>
      <c r="Y247" s="19"/>
      <c r="Z247" s="18"/>
    </row>
    <row r="248" spans="24:26" ht="43.5" customHeight="1" x14ac:dyDescent="0.25">
      <c r="X248" s="19"/>
      <c r="Y248" s="19"/>
      <c r="Z248" s="18"/>
    </row>
    <row r="249" spans="24:26" ht="43.5" customHeight="1" x14ac:dyDescent="0.25">
      <c r="X249" s="19"/>
      <c r="Y249" s="19"/>
      <c r="Z249" s="18"/>
    </row>
    <row r="250" spans="24:26" ht="43.5" customHeight="1" x14ac:dyDescent="0.25">
      <c r="X250" s="19"/>
      <c r="Y250" s="19"/>
      <c r="Z250" s="18"/>
    </row>
    <row r="251" spans="24:26" ht="43.5" customHeight="1" x14ac:dyDescent="0.25">
      <c r="X251" s="19"/>
      <c r="Y251" s="19"/>
      <c r="Z251" s="18"/>
    </row>
    <row r="252" spans="24:26" ht="43.5" customHeight="1" x14ac:dyDescent="0.25">
      <c r="X252" s="19"/>
      <c r="Y252" s="19"/>
      <c r="Z252" s="18"/>
    </row>
    <row r="253" spans="24:26" ht="43.5" customHeight="1" x14ac:dyDescent="0.25">
      <c r="X253" s="19"/>
      <c r="Y253" s="19"/>
      <c r="Z253" s="18"/>
    </row>
    <row r="254" spans="24:26" ht="43.5" customHeight="1" x14ac:dyDescent="0.25">
      <c r="X254" s="19"/>
      <c r="Y254" s="19"/>
      <c r="Z254" s="18"/>
    </row>
    <row r="255" spans="24:26" ht="43.5" customHeight="1" x14ac:dyDescent="0.25">
      <c r="X255" s="19"/>
      <c r="Y255" s="19"/>
      <c r="Z255" s="18"/>
    </row>
    <row r="256" spans="24:26" ht="43.5" customHeight="1" x14ac:dyDescent="0.25">
      <c r="X256" s="19"/>
      <c r="Y256" s="19"/>
      <c r="Z256" s="18"/>
    </row>
    <row r="257" spans="24:26" ht="43.5" customHeight="1" x14ac:dyDescent="0.25">
      <c r="X257" s="19"/>
      <c r="Y257" s="19"/>
      <c r="Z257" s="18"/>
    </row>
    <row r="258" spans="24:26" ht="43.5" customHeight="1" x14ac:dyDescent="0.25">
      <c r="X258" s="19"/>
      <c r="Y258" s="19"/>
      <c r="Z258" s="18"/>
    </row>
    <row r="259" spans="24:26" ht="43.5" customHeight="1" x14ac:dyDescent="0.25">
      <c r="X259" s="19"/>
      <c r="Y259" s="19"/>
      <c r="Z259" s="18"/>
    </row>
    <row r="260" spans="24:26" ht="43.5" customHeight="1" x14ac:dyDescent="0.25">
      <c r="X260" s="19"/>
      <c r="Y260" s="19"/>
      <c r="Z260" s="18"/>
    </row>
    <row r="261" spans="24:26" ht="43.5" customHeight="1" x14ac:dyDescent="0.25">
      <c r="X261" s="19"/>
      <c r="Y261" s="19"/>
      <c r="Z261" s="18"/>
    </row>
    <row r="262" spans="24:26" ht="43.5" customHeight="1" x14ac:dyDescent="0.25">
      <c r="X262" s="19"/>
      <c r="Y262" s="19"/>
      <c r="Z262" s="18"/>
    </row>
    <row r="263" spans="24:26" ht="43.5" customHeight="1" x14ac:dyDescent="0.25">
      <c r="X263" s="19"/>
      <c r="Y263" s="19"/>
      <c r="Z263" s="18"/>
    </row>
    <row r="264" spans="24:26" ht="43.5" customHeight="1" x14ac:dyDescent="0.25">
      <c r="X264" s="19"/>
      <c r="Y264" s="19"/>
      <c r="Z264" s="18"/>
    </row>
    <row r="265" spans="24:26" ht="43.5" customHeight="1" x14ac:dyDescent="0.25">
      <c r="X265" s="19"/>
      <c r="Y265" s="19"/>
      <c r="Z265" s="18"/>
    </row>
    <row r="266" spans="24:26" ht="43.5" customHeight="1" x14ac:dyDescent="0.25">
      <c r="X266" s="19"/>
      <c r="Y266" s="19"/>
      <c r="Z266" s="18"/>
    </row>
    <row r="267" spans="24:26" ht="43.5" customHeight="1" x14ac:dyDescent="0.25">
      <c r="X267" s="19"/>
      <c r="Y267" s="19"/>
      <c r="Z267" s="18"/>
    </row>
    <row r="268" spans="24:26" ht="43.5" customHeight="1" x14ac:dyDescent="0.25">
      <c r="X268" s="19"/>
      <c r="Y268" s="19"/>
      <c r="Z268" s="18"/>
    </row>
    <row r="269" spans="24:26" ht="43.5" customHeight="1" x14ac:dyDescent="0.25">
      <c r="X269" s="19"/>
      <c r="Y269" s="19"/>
      <c r="Z269" s="18"/>
    </row>
    <row r="270" spans="24:26" ht="43.5" customHeight="1" x14ac:dyDescent="0.25">
      <c r="X270" s="19"/>
      <c r="Y270" s="19"/>
      <c r="Z270" s="18"/>
    </row>
    <row r="271" spans="24:26" ht="43.5" customHeight="1" x14ac:dyDescent="0.25">
      <c r="X271" s="19"/>
      <c r="Y271" s="19"/>
      <c r="Z271" s="18"/>
    </row>
    <row r="272" spans="24:26" ht="43.5" customHeight="1" x14ac:dyDescent="0.25">
      <c r="X272" s="19"/>
      <c r="Y272" s="19"/>
      <c r="Z272" s="18"/>
    </row>
    <row r="273" spans="24:26" ht="43.5" customHeight="1" x14ac:dyDescent="0.25">
      <c r="X273" s="19"/>
      <c r="Y273" s="19"/>
      <c r="Z273" s="18"/>
    </row>
    <row r="274" spans="24:26" ht="43.5" customHeight="1" x14ac:dyDescent="0.25">
      <c r="X274" s="19"/>
      <c r="Y274" s="19"/>
      <c r="Z274" s="18"/>
    </row>
    <row r="275" spans="24:26" ht="43.5" customHeight="1" x14ac:dyDescent="0.25">
      <c r="X275" s="19"/>
      <c r="Y275" s="19"/>
      <c r="Z275" s="18"/>
    </row>
    <row r="276" spans="24:26" ht="43.5" customHeight="1" x14ac:dyDescent="0.25">
      <c r="X276" s="19"/>
      <c r="Y276" s="19"/>
      <c r="Z276" s="18"/>
    </row>
    <row r="277" spans="24:26" ht="43.5" customHeight="1" x14ac:dyDescent="0.25">
      <c r="X277" s="19"/>
      <c r="Y277" s="19"/>
      <c r="Z277" s="18"/>
    </row>
    <row r="278" spans="24:26" ht="43.5" customHeight="1" x14ac:dyDescent="0.25">
      <c r="X278" s="19"/>
      <c r="Y278" s="19"/>
      <c r="Z278" s="18"/>
    </row>
    <row r="279" spans="24:26" ht="43.5" customHeight="1" x14ac:dyDescent="0.25">
      <c r="X279" s="19"/>
      <c r="Y279" s="19"/>
      <c r="Z279" s="18"/>
    </row>
    <row r="280" spans="24:26" ht="43.5" customHeight="1" x14ac:dyDescent="0.25">
      <c r="X280" s="19"/>
      <c r="Y280" s="19"/>
      <c r="Z280" s="18"/>
    </row>
    <row r="281" spans="24:26" ht="43.5" customHeight="1" x14ac:dyDescent="0.25">
      <c r="X281" s="19"/>
      <c r="Y281" s="19"/>
      <c r="Z281" s="18"/>
    </row>
    <row r="282" spans="24:26" ht="43.5" customHeight="1" x14ac:dyDescent="0.25">
      <c r="X282" s="19"/>
      <c r="Y282" s="19"/>
      <c r="Z282" s="18"/>
    </row>
    <row r="283" spans="24:26" ht="43.5" customHeight="1" x14ac:dyDescent="0.25">
      <c r="X283" s="19"/>
      <c r="Y283" s="19"/>
      <c r="Z283" s="18"/>
    </row>
    <row r="284" spans="24:26" ht="43.5" customHeight="1" x14ac:dyDescent="0.25">
      <c r="X284" s="19"/>
      <c r="Y284" s="19"/>
      <c r="Z284" s="18"/>
    </row>
    <row r="285" spans="24:26" ht="43.5" customHeight="1" x14ac:dyDescent="0.25">
      <c r="X285" s="19"/>
      <c r="Y285" s="19"/>
      <c r="Z285" s="18"/>
    </row>
    <row r="286" spans="24:26" ht="43.5" customHeight="1" x14ac:dyDescent="0.25">
      <c r="X286" s="19"/>
      <c r="Y286" s="19"/>
      <c r="Z286" s="18"/>
    </row>
    <row r="287" spans="24:26" ht="43.5" customHeight="1" x14ac:dyDescent="0.25">
      <c r="X287" s="19"/>
      <c r="Y287" s="19"/>
      <c r="Z287" s="18"/>
    </row>
    <row r="288" spans="24:26" ht="43.5" customHeight="1" x14ac:dyDescent="0.25">
      <c r="X288" s="19"/>
      <c r="Y288" s="19"/>
      <c r="Z288" s="18"/>
    </row>
    <row r="289" spans="24:26" ht="43.5" customHeight="1" x14ac:dyDescent="0.25">
      <c r="X289" s="19"/>
      <c r="Y289" s="19"/>
      <c r="Z289" s="18"/>
    </row>
    <row r="290" spans="24:26" ht="43.5" customHeight="1" x14ac:dyDescent="0.25">
      <c r="X290" s="19"/>
      <c r="Y290" s="19"/>
      <c r="Z290" s="18"/>
    </row>
    <row r="291" spans="24:26" ht="43.5" customHeight="1" x14ac:dyDescent="0.25">
      <c r="X291" s="19"/>
      <c r="Y291" s="19"/>
      <c r="Z291" s="18"/>
    </row>
    <row r="292" spans="24:26" ht="43.5" customHeight="1" x14ac:dyDescent="0.25">
      <c r="X292" s="19"/>
      <c r="Y292" s="19"/>
      <c r="Z292" s="18"/>
    </row>
    <row r="293" spans="24:26" ht="43.5" customHeight="1" x14ac:dyDescent="0.25">
      <c r="X293" s="19"/>
      <c r="Y293" s="19"/>
      <c r="Z293" s="18"/>
    </row>
    <row r="294" spans="24:26" ht="43.5" customHeight="1" x14ac:dyDescent="0.25">
      <c r="X294" s="19"/>
      <c r="Y294" s="19"/>
      <c r="Z294" s="18"/>
    </row>
    <row r="295" spans="24:26" ht="43.5" customHeight="1" x14ac:dyDescent="0.25">
      <c r="X295" s="19"/>
      <c r="Y295" s="19"/>
      <c r="Z295" s="18"/>
    </row>
    <row r="296" spans="24:26" ht="43.5" customHeight="1" x14ac:dyDescent="0.25">
      <c r="X296" s="19"/>
      <c r="Y296" s="19"/>
      <c r="Z296" s="18"/>
    </row>
    <row r="297" spans="24:26" ht="43.5" customHeight="1" x14ac:dyDescent="0.25">
      <c r="X297" s="19"/>
      <c r="Y297" s="19"/>
      <c r="Z297" s="18"/>
    </row>
    <row r="298" spans="24:26" ht="43.5" customHeight="1" x14ac:dyDescent="0.25">
      <c r="X298" s="19"/>
      <c r="Y298" s="19"/>
      <c r="Z298" s="18"/>
    </row>
    <row r="299" spans="24:26" ht="43.5" customHeight="1" x14ac:dyDescent="0.25">
      <c r="X299" s="19"/>
      <c r="Y299" s="19"/>
      <c r="Z299" s="18"/>
    </row>
    <row r="300" spans="24:26" ht="43.5" customHeight="1" x14ac:dyDescent="0.25">
      <c r="X300" s="19"/>
      <c r="Y300" s="19"/>
      <c r="Z300" s="18"/>
    </row>
    <row r="301" spans="24:26" ht="43.5" customHeight="1" x14ac:dyDescent="0.25">
      <c r="X301" s="19"/>
      <c r="Y301" s="19"/>
      <c r="Z301" s="18"/>
    </row>
    <row r="302" spans="24:26" ht="43.5" customHeight="1" x14ac:dyDescent="0.25">
      <c r="X302" s="19"/>
      <c r="Y302" s="19"/>
      <c r="Z302" s="18"/>
    </row>
    <row r="303" spans="24:26" ht="43.5" customHeight="1" x14ac:dyDescent="0.25">
      <c r="X303" s="19"/>
      <c r="Y303" s="19"/>
      <c r="Z303" s="18"/>
    </row>
    <row r="304" spans="24:26" ht="43.5" customHeight="1" x14ac:dyDescent="0.25">
      <c r="X304" s="19"/>
      <c r="Y304" s="19"/>
      <c r="Z304" s="18"/>
    </row>
    <row r="305" spans="24:26" ht="43.5" customHeight="1" x14ac:dyDescent="0.25">
      <c r="X305" s="19"/>
      <c r="Y305" s="19"/>
      <c r="Z305" s="18"/>
    </row>
    <row r="306" spans="24:26" ht="43.5" customHeight="1" x14ac:dyDescent="0.25">
      <c r="X306" s="19"/>
      <c r="Y306" s="19"/>
      <c r="Z306" s="18"/>
    </row>
    <row r="307" spans="24:26" ht="43.5" customHeight="1" x14ac:dyDescent="0.25">
      <c r="X307" s="19"/>
      <c r="Y307" s="19"/>
      <c r="Z307" s="18"/>
    </row>
    <row r="308" spans="24:26" ht="43.5" customHeight="1" x14ac:dyDescent="0.25">
      <c r="X308" s="19"/>
      <c r="Y308" s="19"/>
      <c r="Z308" s="18"/>
    </row>
    <row r="309" spans="24:26" ht="43.5" customHeight="1" x14ac:dyDescent="0.25">
      <c r="X309" s="19"/>
      <c r="Y309" s="19"/>
      <c r="Z309" s="18"/>
    </row>
    <row r="310" spans="24:26" ht="43.5" customHeight="1" x14ac:dyDescent="0.25">
      <c r="X310" s="19"/>
      <c r="Y310" s="19"/>
      <c r="Z310" s="18"/>
    </row>
    <row r="311" spans="24:26" ht="43.5" customHeight="1" x14ac:dyDescent="0.25">
      <c r="X311" s="19"/>
      <c r="Y311" s="19"/>
      <c r="Z311" s="18"/>
    </row>
    <row r="312" spans="24:26" ht="43.5" customHeight="1" x14ac:dyDescent="0.25">
      <c r="X312" s="19"/>
      <c r="Y312" s="19"/>
      <c r="Z312" s="18"/>
    </row>
    <row r="313" spans="24:26" ht="43.5" customHeight="1" x14ac:dyDescent="0.25">
      <c r="X313" s="19"/>
      <c r="Y313" s="19"/>
      <c r="Z313" s="18"/>
    </row>
    <row r="314" spans="24:26" ht="43.5" customHeight="1" x14ac:dyDescent="0.25">
      <c r="X314" s="19"/>
      <c r="Y314" s="19"/>
      <c r="Z314" s="18"/>
    </row>
    <row r="315" spans="24:26" ht="43.5" customHeight="1" x14ac:dyDescent="0.25">
      <c r="X315" s="19"/>
      <c r="Y315" s="19"/>
      <c r="Z315" s="18"/>
    </row>
    <row r="316" spans="24:26" ht="43.5" customHeight="1" x14ac:dyDescent="0.25">
      <c r="X316" s="19"/>
      <c r="Y316" s="19"/>
      <c r="Z316" s="18"/>
    </row>
    <row r="317" spans="24:26" ht="43.5" customHeight="1" x14ac:dyDescent="0.25">
      <c r="X317" s="19"/>
      <c r="Y317" s="19"/>
      <c r="Z317" s="18"/>
    </row>
    <row r="318" spans="24:26" ht="43.5" customHeight="1" x14ac:dyDescent="0.25">
      <c r="X318" s="19"/>
      <c r="Y318" s="19"/>
      <c r="Z318" s="18"/>
    </row>
    <row r="319" spans="24:26" ht="43.5" customHeight="1" x14ac:dyDescent="0.25">
      <c r="X319" s="19"/>
      <c r="Y319" s="19"/>
      <c r="Z319" s="18"/>
    </row>
    <row r="320" spans="24:26" ht="43.5" customHeight="1" x14ac:dyDescent="0.25">
      <c r="X320" s="19"/>
      <c r="Y320" s="19"/>
      <c r="Z320" s="18"/>
    </row>
    <row r="321" spans="24:26" ht="43.5" customHeight="1" x14ac:dyDescent="0.25">
      <c r="X321" s="19"/>
      <c r="Y321" s="19"/>
      <c r="Z321" s="18"/>
    </row>
    <row r="322" spans="24:26" ht="43.5" customHeight="1" x14ac:dyDescent="0.25">
      <c r="X322" s="19"/>
      <c r="Y322" s="19"/>
      <c r="Z322" s="18"/>
    </row>
    <row r="323" spans="24:26" ht="43.5" customHeight="1" x14ac:dyDescent="0.25">
      <c r="X323" s="19"/>
      <c r="Y323" s="19"/>
      <c r="Z323" s="18"/>
    </row>
    <row r="324" spans="24:26" ht="43.5" customHeight="1" x14ac:dyDescent="0.25">
      <c r="X324" s="19"/>
      <c r="Y324" s="19"/>
      <c r="Z324" s="18"/>
    </row>
    <row r="325" spans="24:26" ht="43.5" customHeight="1" x14ac:dyDescent="0.25">
      <c r="X325" s="19"/>
      <c r="Y325" s="19"/>
      <c r="Z325" s="18"/>
    </row>
    <row r="326" spans="24:26" ht="43.5" customHeight="1" x14ac:dyDescent="0.25">
      <c r="X326" s="19"/>
      <c r="Y326" s="19"/>
      <c r="Z326" s="18"/>
    </row>
    <row r="327" spans="24:26" ht="43.5" customHeight="1" x14ac:dyDescent="0.25">
      <c r="X327" s="19"/>
      <c r="Y327" s="19"/>
      <c r="Z327" s="18"/>
    </row>
    <row r="328" spans="24:26" ht="43.5" customHeight="1" x14ac:dyDescent="0.25">
      <c r="X328" s="19"/>
      <c r="Y328" s="19"/>
      <c r="Z328" s="18"/>
    </row>
    <row r="329" spans="24:26" ht="43.5" customHeight="1" x14ac:dyDescent="0.25">
      <c r="X329" s="19"/>
      <c r="Y329" s="19"/>
      <c r="Z329" s="18"/>
    </row>
    <row r="330" spans="24:26" ht="43.5" customHeight="1" x14ac:dyDescent="0.25">
      <c r="X330" s="19"/>
      <c r="Y330" s="19"/>
      <c r="Z330" s="18"/>
    </row>
    <row r="331" spans="24:26" ht="43.5" customHeight="1" x14ac:dyDescent="0.25">
      <c r="X331" s="19"/>
      <c r="Y331" s="19"/>
      <c r="Z331" s="18"/>
    </row>
    <row r="332" spans="24:26" ht="43.5" customHeight="1" x14ac:dyDescent="0.25">
      <c r="X332" s="19"/>
      <c r="Y332" s="19"/>
      <c r="Z332" s="18"/>
    </row>
    <row r="333" spans="24:26" ht="43.5" customHeight="1" x14ac:dyDescent="0.25">
      <c r="X333" s="19"/>
      <c r="Y333" s="19"/>
      <c r="Z333" s="18"/>
    </row>
    <row r="334" spans="24:26" ht="43.5" customHeight="1" x14ac:dyDescent="0.25">
      <c r="X334" s="19"/>
      <c r="Y334" s="19"/>
      <c r="Z334" s="18"/>
    </row>
    <row r="335" spans="24:26" ht="43.5" customHeight="1" x14ac:dyDescent="0.25">
      <c r="X335" s="19"/>
      <c r="Y335" s="19"/>
      <c r="Z335" s="18"/>
    </row>
    <row r="336" spans="24:26" ht="43.5" customHeight="1" x14ac:dyDescent="0.25">
      <c r="X336" s="19"/>
      <c r="Y336" s="19"/>
      <c r="Z336" s="18"/>
    </row>
    <row r="337" spans="24:26" ht="43.5" customHeight="1" x14ac:dyDescent="0.25">
      <c r="X337" s="19"/>
      <c r="Y337" s="19"/>
      <c r="Z337" s="18"/>
    </row>
    <row r="338" spans="24:26" ht="43.5" customHeight="1" x14ac:dyDescent="0.25">
      <c r="X338" s="19"/>
      <c r="Y338" s="19"/>
      <c r="Z338" s="18"/>
    </row>
    <row r="339" spans="24:26" ht="43.5" customHeight="1" x14ac:dyDescent="0.25">
      <c r="X339" s="19"/>
      <c r="Y339" s="19"/>
      <c r="Z339" s="18"/>
    </row>
    <row r="340" spans="24:26" ht="43.5" customHeight="1" x14ac:dyDescent="0.25">
      <c r="X340" s="19"/>
      <c r="Y340" s="19"/>
      <c r="Z340" s="18"/>
    </row>
    <row r="341" spans="24:26" ht="43.5" customHeight="1" x14ac:dyDescent="0.25">
      <c r="X341" s="19"/>
      <c r="Y341" s="19"/>
      <c r="Z341" s="18"/>
    </row>
    <row r="342" spans="24:26" ht="43.5" customHeight="1" x14ac:dyDescent="0.25">
      <c r="X342" s="19"/>
      <c r="Y342" s="19"/>
      <c r="Z342" s="18"/>
    </row>
    <row r="343" spans="24:26" ht="43.5" customHeight="1" x14ac:dyDescent="0.25">
      <c r="X343" s="19"/>
      <c r="Y343" s="19"/>
      <c r="Z343" s="18"/>
    </row>
    <row r="344" spans="24:26" ht="43.5" customHeight="1" x14ac:dyDescent="0.25">
      <c r="X344" s="19"/>
      <c r="Y344" s="19"/>
      <c r="Z344" s="18"/>
    </row>
    <row r="345" spans="24:26" ht="43.5" customHeight="1" x14ac:dyDescent="0.25">
      <c r="X345" s="19"/>
      <c r="Y345" s="19"/>
      <c r="Z345" s="18"/>
    </row>
    <row r="346" spans="24:26" ht="43.5" customHeight="1" x14ac:dyDescent="0.25">
      <c r="X346" s="19"/>
      <c r="Y346" s="19"/>
      <c r="Z346" s="18"/>
    </row>
    <row r="347" spans="24:26" ht="43.5" customHeight="1" x14ac:dyDescent="0.25">
      <c r="X347" s="19"/>
      <c r="Y347" s="19"/>
      <c r="Z347" s="18"/>
    </row>
    <row r="348" spans="24:26" ht="43.5" customHeight="1" x14ac:dyDescent="0.25">
      <c r="X348" s="19"/>
      <c r="Y348" s="19"/>
      <c r="Z348" s="18"/>
    </row>
    <row r="349" spans="24:26" ht="43.5" customHeight="1" x14ac:dyDescent="0.25">
      <c r="X349" s="19"/>
      <c r="Y349" s="19"/>
      <c r="Z349" s="18"/>
    </row>
    <row r="350" spans="24:26" ht="43.5" customHeight="1" x14ac:dyDescent="0.25">
      <c r="X350" s="19"/>
      <c r="Y350" s="19"/>
      <c r="Z350" s="18"/>
    </row>
    <row r="351" spans="24:26" ht="43.5" customHeight="1" x14ac:dyDescent="0.25">
      <c r="X351" s="19"/>
      <c r="Y351" s="19"/>
      <c r="Z351" s="18"/>
    </row>
    <row r="352" spans="24:26" ht="43.5" customHeight="1" x14ac:dyDescent="0.25">
      <c r="X352" s="19"/>
      <c r="Y352" s="19"/>
      <c r="Z352" s="18"/>
    </row>
    <row r="353" spans="24:26" ht="43.5" customHeight="1" x14ac:dyDescent="0.25">
      <c r="X353" s="19"/>
      <c r="Y353" s="19"/>
      <c r="Z353" s="18"/>
    </row>
    <row r="354" spans="24:26" ht="43.5" customHeight="1" x14ac:dyDescent="0.25">
      <c r="X354" s="19"/>
      <c r="Y354" s="19"/>
      <c r="Z354" s="18"/>
    </row>
    <row r="355" spans="24:26" ht="43.5" customHeight="1" x14ac:dyDescent="0.25">
      <c r="X355" s="19"/>
      <c r="Y355" s="19"/>
      <c r="Z355" s="18"/>
    </row>
    <row r="356" spans="24:26" ht="43.5" customHeight="1" x14ac:dyDescent="0.25">
      <c r="X356" s="19"/>
      <c r="Y356" s="19"/>
      <c r="Z356" s="18"/>
    </row>
    <row r="357" spans="24:26" ht="43.5" customHeight="1" x14ac:dyDescent="0.25">
      <c r="X357" s="19"/>
      <c r="Y357" s="19"/>
      <c r="Z357" s="18"/>
    </row>
    <row r="358" spans="24:26" ht="43.5" customHeight="1" x14ac:dyDescent="0.25">
      <c r="X358" s="19"/>
      <c r="Y358" s="19"/>
      <c r="Z358" s="18"/>
    </row>
    <row r="359" spans="24:26" ht="43.5" customHeight="1" x14ac:dyDescent="0.25">
      <c r="X359" s="19"/>
      <c r="Y359" s="19"/>
      <c r="Z359" s="18"/>
    </row>
    <row r="360" spans="24:26" ht="43.5" customHeight="1" x14ac:dyDescent="0.25">
      <c r="X360" s="19"/>
      <c r="Y360" s="19"/>
      <c r="Z360" s="18"/>
    </row>
    <row r="361" spans="24:26" ht="43.5" customHeight="1" x14ac:dyDescent="0.25">
      <c r="X361" s="19"/>
      <c r="Y361" s="19"/>
      <c r="Z361" s="18"/>
    </row>
    <row r="362" spans="24:26" ht="43.5" customHeight="1" x14ac:dyDescent="0.25">
      <c r="X362" s="19"/>
      <c r="Y362" s="19"/>
      <c r="Z362" s="18"/>
    </row>
    <row r="363" spans="24:26" ht="43.5" customHeight="1" x14ac:dyDescent="0.25">
      <c r="X363" s="19"/>
      <c r="Y363" s="19"/>
      <c r="Z363" s="18"/>
    </row>
    <row r="364" spans="24:26" ht="43.5" customHeight="1" x14ac:dyDescent="0.25">
      <c r="X364" s="19"/>
      <c r="Y364" s="19"/>
      <c r="Z364" s="18"/>
    </row>
    <row r="365" spans="24:26" ht="43.5" customHeight="1" x14ac:dyDescent="0.25">
      <c r="X365" s="19"/>
      <c r="Y365" s="19"/>
      <c r="Z365" s="18"/>
    </row>
    <row r="366" spans="24:26" ht="43.5" customHeight="1" x14ac:dyDescent="0.25">
      <c r="X366" s="19"/>
      <c r="Y366" s="19"/>
      <c r="Z366" s="18"/>
    </row>
    <row r="367" spans="24:26" ht="43.5" customHeight="1" x14ac:dyDescent="0.25">
      <c r="X367" s="19"/>
      <c r="Y367" s="19"/>
      <c r="Z367" s="18"/>
    </row>
    <row r="368" spans="24:26" ht="43.5" customHeight="1" x14ac:dyDescent="0.25">
      <c r="X368" s="19"/>
      <c r="Y368" s="19"/>
      <c r="Z368" s="18"/>
    </row>
    <row r="369" spans="24:26" ht="43.5" customHeight="1" x14ac:dyDescent="0.25">
      <c r="X369" s="19"/>
      <c r="Y369" s="19"/>
      <c r="Z369" s="18"/>
    </row>
    <row r="370" spans="24:26" ht="43.5" customHeight="1" x14ac:dyDescent="0.25">
      <c r="X370" s="19"/>
      <c r="Y370" s="19"/>
      <c r="Z370" s="18"/>
    </row>
    <row r="371" spans="24:26" ht="43.5" customHeight="1" x14ac:dyDescent="0.25">
      <c r="X371" s="19"/>
      <c r="Y371" s="19"/>
      <c r="Z371" s="18"/>
    </row>
    <row r="372" spans="24:26" ht="43.5" customHeight="1" x14ac:dyDescent="0.25">
      <c r="X372" s="19"/>
      <c r="Y372" s="19"/>
      <c r="Z372" s="18"/>
    </row>
    <row r="373" spans="24:26" ht="43.5" customHeight="1" x14ac:dyDescent="0.25">
      <c r="X373" s="19"/>
      <c r="Y373" s="19"/>
      <c r="Z373" s="18"/>
    </row>
    <row r="374" spans="24:26" ht="43.5" customHeight="1" x14ac:dyDescent="0.25">
      <c r="X374" s="19"/>
      <c r="Y374" s="19"/>
      <c r="Z374" s="18"/>
    </row>
    <row r="375" spans="24:26" ht="43.5" customHeight="1" x14ac:dyDescent="0.25">
      <c r="X375" s="19"/>
      <c r="Y375" s="19"/>
      <c r="Z375" s="18"/>
    </row>
    <row r="376" spans="24:26" ht="43.5" customHeight="1" x14ac:dyDescent="0.25">
      <c r="X376" s="19"/>
      <c r="Y376" s="19"/>
      <c r="Z376" s="18"/>
    </row>
    <row r="377" spans="24:26" ht="43.5" customHeight="1" x14ac:dyDescent="0.25">
      <c r="X377" s="19"/>
      <c r="Y377" s="19"/>
      <c r="Z377" s="18"/>
    </row>
    <row r="378" spans="24:26" ht="43.5" customHeight="1" x14ac:dyDescent="0.25">
      <c r="X378" s="19"/>
      <c r="Y378" s="19"/>
      <c r="Z378" s="18"/>
    </row>
    <row r="379" spans="24:26" ht="43.5" customHeight="1" x14ac:dyDescent="0.25">
      <c r="X379" s="19"/>
      <c r="Y379" s="19"/>
      <c r="Z379" s="18"/>
    </row>
    <row r="380" spans="24:26" ht="43.5" customHeight="1" x14ac:dyDescent="0.25">
      <c r="X380" s="19"/>
      <c r="Y380" s="19"/>
      <c r="Z380" s="18"/>
    </row>
    <row r="381" spans="24:26" ht="43.5" customHeight="1" x14ac:dyDescent="0.25">
      <c r="X381" s="19"/>
      <c r="Y381" s="19"/>
      <c r="Z381" s="18"/>
    </row>
    <row r="382" spans="24:26" ht="43.5" customHeight="1" x14ac:dyDescent="0.25">
      <c r="X382" s="19"/>
      <c r="Y382" s="19"/>
      <c r="Z382" s="18"/>
    </row>
    <row r="383" spans="24:26" ht="43.5" customHeight="1" x14ac:dyDescent="0.25">
      <c r="X383" s="19"/>
      <c r="Y383" s="19"/>
      <c r="Z383" s="18"/>
    </row>
    <row r="384" spans="24:26" ht="43.5" customHeight="1" x14ac:dyDescent="0.25">
      <c r="X384" s="19"/>
      <c r="Y384" s="19"/>
      <c r="Z384" s="18"/>
    </row>
    <row r="385" spans="24:26" ht="43.5" customHeight="1" x14ac:dyDescent="0.25">
      <c r="X385" s="19"/>
      <c r="Y385" s="19"/>
      <c r="Z385" s="18"/>
    </row>
    <row r="386" spans="24:26" ht="43.5" customHeight="1" x14ac:dyDescent="0.25">
      <c r="X386" s="19"/>
      <c r="Y386" s="19"/>
      <c r="Z386" s="18"/>
    </row>
    <row r="387" spans="24:26" ht="43.5" customHeight="1" x14ac:dyDescent="0.25">
      <c r="X387" s="19"/>
      <c r="Y387" s="19"/>
      <c r="Z387" s="18"/>
    </row>
    <row r="388" spans="24:26" ht="43.5" customHeight="1" x14ac:dyDescent="0.25">
      <c r="X388" s="19"/>
      <c r="Y388" s="19"/>
      <c r="Z388" s="18"/>
    </row>
    <row r="389" spans="24:26" ht="43.5" customHeight="1" x14ac:dyDescent="0.25">
      <c r="X389" s="19"/>
      <c r="Y389" s="19"/>
      <c r="Z389" s="18"/>
    </row>
    <row r="390" spans="24:26" ht="43.5" customHeight="1" x14ac:dyDescent="0.25">
      <c r="X390" s="19"/>
      <c r="Y390" s="19"/>
      <c r="Z390" s="18"/>
    </row>
    <row r="391" spans="24:26" ht="43.5" customHeight="1" x14ac:dyDescent="0.25">
      <c r="X391" s="19"/>
      <c r="Y391" s="19"/>
      <c r="Z391" s="18"/>
    </row>
    <row r="392" spans="24:26" ht="43.5" customHeight="1" x14ac:dyDescent="0.25">
      <c r="X392" s="19"/>
      <c r="Y392" s="19"/>
      <c r="Z392" s="18"/>
    </row>
    <row r="393" spans="24:26" ht="43.5" customHeight="1" x14ac:dyDescent="0.25">
      <c r="X393" s="19"/>
      <c r="Y393" s="19"/>
      <c r="Z393" s="18"/>
    </row>
    <row r="394" spans="24:26" ht="43.5" customHeight="1" x14ac:dyDescent="0.25">
      <c r="X394" s="19"/>
      <c r="Y394" s="19"/>
      <c r="Z394" s="18"/>
    </row>
    <row r="395" spans="24:26" ht="43.5" customHeight="1" x14ac:dyDescent="0.25">
      <c r="X395" s="19"/>
      <c r="Y395" s="19"/>
      <c r="Z395" s="18"/>
    </row>
    <row r="396" spans="24:26" ht="43.5" customHeight="1" x14ac:dyDescent="0.25">
      <c r="X396" s="19"/>
      <c r="Y396" s="19"/>
      <c r="Z396" s="18"/>
    </row>
    <row r="397" spans="24:26" ht="43.5" customHeight="1" x14ac:dyDescent="0.25">
      <c r="X397" s="19"/>
      <c r="Y397" s="19"/>
      <c r="Z397" s="18"/>
    </row>
    <row r="398" spans="24:26" ht="43.5" customHeight="1" x14ac:dyDescent="0.25">
      <c r="X398" s="19"/>
      <c r="Y398" s="19"/>
      <c r="Z398" s="18"/>
    </row>
    <row r="399" spans="24:26" ht="43.5" customHeight="1" x14ac:dyDescent="0.25">
      <c r="X399" s="19"/>
      <c r="Y399" s="19"/>
      <c r="Z399" s="18"/>
    </row>
    <row r="400" spans="24:26" ht="43.5" customHeight="1" x14ac:dyDescent="0.25">
      <c r="X400" s="19"/>
      <c r="Y400" s="19"/>
      <c r="Z400" s="18"/>
    </row>
    <row r="401" spans="24:26" ht="43.5" customHeight="1" x14ac:dyDescent="0.25">
      <c r="X401" s="19"/>
      <c r="Y401" s="19"/>
      <c r="Z401" s="18"/>
    </row>
    <row r="402" spans="24:26" ht="43.5" customHeight="1" x14ac:dyDescent="0.25">
      <c r="X402" s="19"/>
      <c r="Y402" s="19"/>
      <c r="Z402" s="18"/>
    </row>
    <row r="403" spans="24:26" ht="43.5" customHeight="1" x14ac:dyDescent="0.25">
      <c r="X403" s="19"/>
      <c r="Y403" s="19"/>
      <c r="Z403" s="18"/>
    </row>
    <row r="404" spans="24:26" ht="43.5" customHeight="1" x14ac:dyDescent="0.25">
      <c r="X404" s="19"/>
      <c r="Y404" s="19"/>
      <c r="Z404" s="18"/>
    </row>
    <row r="405" spans="24:26" ht="43.5" customHeight="1" x14ac:dyDescent="0.25">
      <c r="X405" s="19"/>
      <c r="Y405" s="19"/>
      <c r="Z405" s="18"/>
    </row>
    <row r="406" spans="24:26" ht="43.5" customHeight="1" x14ac:dyDescent="0.25">
      <c r="X406" s="19"/>
      <c r="Y406" s="19"/>
      <c r="Z406" s="18"/>
    </row>
    <row r="407" spans="24:26" ht="43.5" customHeight="1" x14ac:dyDescent="0.25">
      <c r="X407" s="19"/>
      <c r="Y407" s="19"/>
      <c r="Z407" s="18"/>
    </row>
    <row r="408" spans="24:26" ht="43.5" customHeight="1" x14ac:dyDescent="0.25">
      <c r="X408" s="19"/>
      <c r="Y408" s="19"/>
      <c r="Z408" s="18"/>
    </row>
    <row r="409" spans="24:26" ht="43.5" customHeight="1" x14ac:dyDescent="0.25">
      <c r="X409" s="19"/>
      <c r="Y409" s="19"/>
      <c r="Z409" s="18"/>
    </row>
    <row r="410" spans="24:26" ht="43.5" customHeight="1" x14ac:dyDescent="0.25">
      <c r="X410" s="19"/>
      <c r="Y410" s="19"/>
      <c r="Z410" s="18"/>
    </row>
    <row r="411" spans="24:26" ht="43.5" customHeight="1" x14ac:dyDescent="0.25">
      <c r="X411" s="19"/>
      <c r="Y411" s="19"/>
      <c r="Z411" s="18"/>
    </row>
    <row r="412" spans="24:26" ht="43.5" customHeight="1" x14ac:dyDescent="0.25">
      <c r="X412" s="19"/>
      <c r="Y412" s="19"/>
      <c r="Z412" s="18"/>
    </row>
    <row r="413" spans="24:26" ht="43.5" customHeight="1" x14ac:dyDescent="0.25">
      <c r="X413" s="19"/>
      <c r="Y413" s="19"/>
      <c r="Z413" s="18"/>
    </row>
    <row r="414" spans="24:26" ht="43.5" customHeight="1" x14ac:dyDescent="0.25">
      <c r="X414" s="19"/>
      <c r="Y414" s="19"/>
      <c r="Z414" s="18"/>
    </row>
    <row r="415" spans="24:26" ht="43.5" customHeight="1" x14ac:dyDescent="0.25">
      <c r="X415" s="19"/>
      <c r="Y415" s="19"/>
      <c r="Z415" s="18"/>
    </row>
    <row r="416" spans="24:26" ht="43.5" customHeight="1" x14ac:dyDescent="0.25">
      <c r="X416" s="19"/>
      <c r="Y416" s="19"/>
      <c r="Z416" s="18"/>
    </row>
    <row r="417" spans="24:26" ht="43.5" customHeight="1" x14ac:dyDescent="0.25">
      <c r="X417" s="19"/>
      <c r="Y417" s="19"/>
      <c r="Z417" s="18"/>
    </row>
    <row r="418" spans="24:26" ht="43.5" customHeight="1" x14ac:dyDescent="0.25">
      <c r="X418" s="19"/>
      <c r="Y418" s="19"/>
      <c r="Z418" s="18"/>
    </row>
    <row r="419" spans="24:26" ht="43.5" customHeight="1" x14ac:dyDescent="0.25">
      <c r="X419" s="19"/>
      <c r="Y419" s="19"/>
      <c r="Z419" s="18"/>
    </row>
    <row r="420" spans="24:26" ht="43.5" customHeight="1" x14ac:dyDescent="0.25">
      <c r="X420" s="19"/>
      <c r="Y420" s="19"/>
      <c r="Z420" s="18"/>
    </row>
    <row r="421" spans="24:26" ht="43.5" customHeight="1" x14ac:dyDescent="0.25">
      <c r="X421" s="19"/>
      <c r="Y421" s="19"/>
      <c r="Z421" s="18"/>
    </row>
    <row r="422" spans="24:26" ht="43.5" customHeight="1" x14ac:dyDescent="0.25">
      <c r="X422" s="19"/>
      <c r="Y422" s="19"/>
      <c r="Z422" s="18"/>
    </row>
    <row r="423" spans="24:26" ht="43.5" customHeight="1" x14ac:dyDescent="0.25">
      <c r="X423" s="19"/>
      <c r="Y423" s="19"/>
      <c r="Z423" s="18"/>
    </row>
    <row r="424" spans="24:26" ht="43.5" customHeight="1" x14ac:dyDescent="0.25">
      <c r="X424" s="19"/>
      <c r="Y424" s="19"/>
      <c r="Z424" s="18"/>
    </row>
    <row r="425" spans="24:26" ht="43.5" customHeight="1" x14ac:dyDescent="0.25">
      <c r="X425" s="19"/>
      <c r="Y425" s="19"/>
      <c r="Z425" s="18"/>
    </row>
    <row r="426" spans="24:26" ht="43.5" customHeight="1" x14ac:dyDescent="0.25">
      <c r="X426" s="19"/>
      <c r="Y426" s="19"/>
      <c r="Z426" s="18"/>
    </row>
    <row r="427" spans="24:26" ht="43.5" customHeight="1" x14ac:dyDescent="0.25">
      <c r="X427" s="19"/>
      <c r="Y427" s="19"/>
      <c r="Z427" s="18"/>
    </row>
    <row r="428" spans="24:26" ht="43.5" customHeight="1" x14ac:dyDescent="0.25">
      <c r="X428" s="19"/>
      <c r="Y428" s="19"/>
      <c r="Z428" s="18"/>
    </row>
    <row r="429" spans="24:26" ht="43.5" customHeight="1" x14ac:dyDescent="0.25">
      <c r="X429" s="19"/>
      <c r="Y429" s="19"/>
      <c r="Z429" s="18"/>
    </row>
    <row r="430" spans="24:26" ht="43.5" customHeight="1" x14ac:dyDescent="0.25">
      <c r="X430" s="19"/>
      <c r="Y430" s="19"/>
      <c r="Z430" s="18"/>
    </row>
    <row r="431" spans="24:26" ht="43.5" customHeight="1" x14ac:dyDescent="0.25">
      <c r="X431" s="19"/>
      <c r="Y431" s="19"/>
      <c r="Z431" s="18"/>
    </row>
    <row r="432" spans="24:26" ht="43.5" customHeight="1" x14ac:dyDescent="0.25">
      <c r="X432" s="19"/>
      <c r="Y432" s="19"/>
      <c r="Z432" s="18"/>
    </row>
    <row r="433" spans="24:26" ht="43.5" customHeight="1" x14ac:dyDescent="0.25">
      <c r="X433" s="19"/>
      <c r="Y433" s="19"/>
      <c r="Z433" s="18"/>
    </row>
    <row r="434" spans="24:26" ht="43.5" customHeight="1" x14ac:dyDescent="0.25">
      <c r="X434" s="19"/>
      <c r="Y434" s="19"/>
      <c r="Z434" s="18"/>
    </row>
    <row r="435" spans="24:26" ht="43.5" customHeight="1" x14ac:dyDescent="0.25">
      <c r="X435" s="19"/>
      <c r="Y435" s="19"/>
      <c r="Z435" s="18"/>
    </row>
    <row r="436" spans="24:26" ht="43.5" customHeight="1" x14ac:dyDescent="0.25">
      <c r="X436" s="19"/>
      <c r="Y436" s="19"/>
      <c r="Z436" s="18"/>
    </row>
    <row r="437" spans="24:26" ht="43.5" customHeight="1" x14ac:dyDescent="0.25">
      <c r="X437" s="19"/>
      <c r="Y437" s="19"/>
      <c r="Z437" s="18"/>
    </row>
    <row r="438" spans="24:26" ht="43.5" customHeight="1" x14ac:dyDescent="0.25">
      <c r="X438" s="19"/>
      <c r="Y438" s="19"/>
      <c r="Z438" s="18"/>
    </row>
    <row r="439" spans="24:26" ht="43.5" customHeight="1" x14ac:dyDescent="0.25">
      <c r="X439" s="19"/>
      <c r="Y439" s="19"/>
      <c r="Z439" s="18"/>
    </row>
    <row r="440" spans="24:26" ht="43.5" customHeight="1" x14ac:dyDescent="0.25">
      <c r="X440" s="19"/>
      <c r="Y440" s="19"/>
      <c r="Z440" s="18"/>
    </row>
    <row r="441" spans="24:26" ht="43.5" customHeight="1" x14ac:dyDescent="0.25">
      <c r="X441" s="19"/>
      <c r="Y441" s="19"/>
      <c r="Z441" s="18"/>
    </row>
    <row r="442" spans="24:26" ht="43.5" customHeight="1" x14ac:dyDescent="0.25">
      <c r="X442" s="19"/>
      <c r="Y442" s="19"/>
      <c r="Z442" s="18"/>
    </row>
    <row r="443" spans="24:26" ht="43.5" customHeight="1" x14ac:dyDescent="0.25">
      <c r="X443" s="19"/>
      <c r="Y443" s="19"/>
      <c r="Z443" s="18"/>
    </row>
    <row r="444" spans="24:26" ht="43.5" customHeight="1" x14ac:dyDescent="0.25">
      <c r="X444" s="19"/>
      <c r="Y444" s="19"/>
      <c r="Z444" s="18"/>
    </row>
    <row r="445" spans="24:26" ht="43.5" customHeight="1" x14ac:dyDescent="0.25">
      <c r="X445" s="19"/>
      <c r="Y445" s="19"/>
      <c r="Z445" s="18"/>
    </row>
    <row r="446" spans="24:26" ht="43.5" customHeight="1" x14ac:dyDescent="0.25">
      <c r="X446" s="19"/>
      <c r="Y446" s="19"/>
      <c r="Z446" s="18"/>
    </row>
    <row r="447" spans="24:26" ht="43.5" customHeight="1" x14ac:dyDescent="0.25">
      <c r="X447" s="19"/>
      <c r="Y447" s="19"/>
      <c r="Z447" s="18"/>
    </row>
    <row r="448" spans="24:26" ht="43.5" customHeight="1" x14ac:dyDescent="0.25">
      <c r="X448" s="19"/>
      <c r="Y448" s="19"/>
      <c r="Z448" s="18"/>
    </row>
    <row r="449" spans="24:26" ht="43.5" customHeight="1" x14ac:dyDescent="0.25">
      <c r="X449" s="19"/>
      <c r="Y449" s="19"/>
      <c r="Z449" s="18"/>
    </row>
    <row r="450" spans="24:26" ht="43.5" customHeight="1" x14ac:dyDescent="0.25">
      <c r="X450" s="19"/>
      <c r="Y450" s="19"/>
      <c r="Z450" s="18"/>
    </row>
    <row r="451" spans="24:26" ht="43.5" customHeight="1" x14ac:dyDescent="0.25">
      <c r="X451" s="19"/>
      <c r="Y451" s="19"/>
      <c r="Z451" s="18"/>
    </row>
    <row r="452" spans="24:26" ht="43.5" customHeight="1" x14ac:dyDescent="0.25">
      <c r="X452" s="19"/>
      <c r="Y452" s="19"/>
      <c r="Z452" s="18"/>
    </row>
    <row r="453" spans="24:26" ht="43.5" customHeight="1" x14ac:dyDescent="0.25">
      <c r="X453" s="19"/>
      <c r="Y453" s="19"/>
      <c r="Z453" s="18"/>
    </row>
    <row r="454" spans="24:26" ht="43.5" customHeight="1" x14ac:dyDescent="0.25">
      <c r="X454" s="19"/>
      <c r="Y454" s="19"/>
      <c r="Z454" s="18"/>
    </row>
    <row r="455" spans="24:26" ht="43.5" customHeight="1" x14ac:dyDescent="0.25">
      <c r="X455" s="19"/>
      <c r="Y455" s="19"/>
      <c r="Z455" s="18"/>
    </row>
    <row r="456" spans="24:26" ht="43.5" customHeight="1" x14ac:dyDescent="0.25">
      <c r="X456" s="19"/>
      <c r="Y456" s="19"/>
      <c r="Z456" s="18"/>
    </row>
    <row r="457" spans="24:26" ht="43.5" customHeight="1" x14ac:dyDescent="0.25">
      <c r="X457" s="19"/>
      <c r="Y457" s="19"/>
      <c r="Z457" s="18"/>
    </row>
    <row r="458" spans="24:26" ht="43.5" customHeight="1" x14ac:dyDescent="0.25">
      <c r="X458" s="19"/>
      <c r="Y458" s="19"/>
      <c r="Z458" s="18"/>
    </row>
    <row r="459" spans="24:26" ht="43.5" customHeight="1" x14ac:dyDescent="0.25">
      <c r="X459" s="19"/>
      <c r="Y459" s="19"/>
      <c r="Z459" s="18"/>
    </row>
    <row r="460" spans="24:26" ht="43.5" customHeight="1" x14ac:dyDescent="0.25">
      <c r="X460" s="19"/>
      <c r="Y460" s="19"/>
      <c r="Z460" s="18"/>
    </row>
    <row r="461" spans="24:26" ht="43.5" customHeight="1" x14ac:dyDescent="0.25">
      <c r="X461" s="19"/>
      <c r="Y461" s="19"/>
      <c r="Z461" s="18"/>
    </row>
    <row r="462" spans="24:26" ht="43.5" customHeight="1" x14ac:dyDescent="0.25">
      <c r="X462" s="19"/>
      <c r="Y462" s="19"/>
      <c r="Z462" s="18"/>
    </row>
    <row r="463" spans="24:26" ht="43.5" customHeight="1" x14ac:dyDescent="0.25">
      <c r="X463" s="19"/>
      <c r="Y463" s="19"/>
      <c r="Z463" s="18"/>
    </row>
    <row r="464" spans="24:26" ht="43.5" customHeight="1" x14ac:dyDescent="0.25">
      <c r="X464" s="19"/>
      <c r="Y464" s="19"/>
      <c r="Z464" s="18"/>
    </row>
    <row r="465" spans="24:26" ht="43.5" customHeight="1" x14ac:dyDescent="0.25">
      <c r="X465" s="19"/>
      <c r="Y465" s="19"/>
      <c r="Z465" s="18"/>
    </row>
    <row r="466" spans="24:26" ht="43.5" customHeight="1" x14ac:dyDescent="0.25">
      <c r="X466" s="19"/>
      <c r="Y466" s="19"/>
      <c r="Z466" s="18"/>
    </row>
    <row r="467" spans="24:26" ht="43.5" customHeight="1" x14ac:dyDescent="0.25">
      <c r="X467" s="19"/>
      <c r="Y467" s="19"/>
      <c r="Z467" s="18"/>
    </row>
    <row r="468" spans="24:26" ht="43.5" customHeight="1" x14ac:dyDescent="0.25">
      <c r="X468" s="19"/>
      <c r="Y468" s="19"/>
      <c r="Z468" s="18"/>
    </row>
    <row r="469" spans="24:26" ht="43.5" customHeight="1" x14ac:dyDescent="0.25">
      <c r="X469" s="19"/>
      <c r="Y469" s="19"/>
      <c r="Z469" s="18"/>
    </row>
    <row r="470" spans="24:26" ht="43.5" customHeight="1" x14ac:dyDescent="0.25">
      <c r="X470" s="19"/>
      <c r="Y470" s="19"/>
      <c r="Z470" s="18"/>
    </row>
    <row r="471" spans="24:26" ht="43.5" customHeight="1" x14ac:dyDescent="0.25">
      <c r="X471" s="19"/>
      <c r="Y471" s="19"/>
      <c r="Z471" s="18"/>
    </row>
    <row r="472" spans="24:26" ht="43.5" customHeight="1" x14ac:dyDescent="0.25">
      <c r="X472" s="19"/>
      <c r="Y472" s="19"/>
      <c r="Z472" s="18"/>
    </row>
    <row r="473" spans="24:26" ht="43.5" customHeight="1" x14ac:dyDescent="0.25">
      <c r="X473" s="19"/>
      <c r="Y473" s="19"/>
      <c r="Z473" s="18"/>
    </row>
    <row r="474" spans="24:26" ht="43.5" customHeight="1" x14ac:dyDescent="0.25">
      <c r="X474" s="19"/>
      <c r="Y474" s="19"/>
      <c r="Z474" s="18"/>
    </row>
    <row r="475" spans="24:26" ht="43.5" customHeight="1" x14ac:dyDescent="0.25">
      <c r="X475" s="19"/>
      <c r="Y475" s="19"/>
      <c r="Z475" s="18"/>
    </row>
    <row r="476" spans="24:26" ht="43.5" customHeight="1" x14ac:dyDescent="0.25">
      <c r="X476" s="19"/>
      <c r="Y476" s="19"/>
      <c r="Z476" s="18"/>
    </row>
    <row r="477" spans="24:26" ht="43.5" customHeight="1" x14ac:dyDescent="0.25">
      <c r="X477" s="19"/>
      <c r="Y477" s="19"/>
      <c r="Z477" s="18"/>
    </row>
    <row r="478" spans="24:26" ht="43.5" customHeight="1" x14ac:dyDescent="0.25">
      <c r="X478" s="19"/>
      <c r="Y478" s="19"/>
      <c r="Z478" s="18"/>
    </row>
    <row r="479" spans="24:26" ht="43.5" customHeight="1" x14ac:dyDescent="0.25">
      <c r="X479" s="19"/>
      <c r="Y479" s="19"/>
      <c r="Z479" s="18"/>
    </row>
    <row r="480" spans="24:26" ht="43.5" customHeight="1" x14ac:dyDescent="0.25">
      <c r="X480" s="19"/>
      <c r="Y480" s="19"/>
      <c r="Z480" s="18"/>
    </row>
    <row r="481" spans="24:26" ht="43.5" customHeight="1" x14ac:dyDescent="0.25">
      <c r="X481" s="19"/>
      <c r="Y481" s="19"/>
      <c r="Z481" s="18"/>
    </row>
    <row r="482" spans="24:26" ht="43.5" customHeight="1" x14ac:dyDescent="0.25">
      <c r="X482" s="19"/>
      <c r="Y482" s="19"/>
      <c r="Z482" s="18"/>
    </row>
    <row r="483" spans="24:26" ht="43.5" customHeight="1" x14ac:dyDescent="0.25">
      <c r="X483" s="19"/>
      <c r="Y483" s="19"/>
      <c r="Z483" s="18"/>
    </row>
    <row r="484" spans="24:26" ht="43.5" customHeight="1" x14ac:dyDescent="0.25">
      <c r="X484" s="19"/>
      <c r="Y484" s="19"/>
      <c r="Z484" s="18"/>
    </row>
    <row r="485" spans="24:26" ht="43.5" customHeight="1" x14ac:dyDescent="0.25">
      <c r="X485" s="19"/>
      <c r="Y485" s="19"/>
      <c r="Z485" s="18"/>
    </row>
    <row r="486" spans="24:26" ht="43.5" customHeight="1" x14ac:dyDescent="0.25">
      <c r="X486" s="19"/>
      <c r="Y486" s="19"/>
      <c r="Z486" s="18"/>
    </row>
    <row r="487" spans="24:26" ht="43.5" customHeight="1" x14ac:dyDescent="0.25">
      <c r="X487" s="19"/>
      <c r="Y487" s="19"/>
      <c r="Z487" s="18"/>
    </row>
    <row r="488" spans="24:26" ht="43.5" customHeight="1" x14ac:dyDescent="0.25">
      <c r="X488" s="19"/>
      <c r="Y488" s="19"/>
      <c r="Z488" s="18"/>
    </row>
    <row r="489" spans="24:26" ht="43.5" customHeight="1" x14ac:dyDescent="0.25">
      <c r="X489" s="19"/>
      <c r="Y489" s="19"/>
      <c r="Z489" s="18"/>
    </row>
    <row r="490" spans="24:26" ht="43.5" customHeight="1" x14ac:dyDescent="0.25">
      <c r="X490" s="19"/>
      <c r="Y490" s="19"/>
      <c r="Z490" s="18"/>
    </row>
    <row r="491" spans="24:26" ht="43.5" customHeight="1" x14ac:dyDescent="0.25">
      <c r="X491" s="19"/>
      <c r="Y491" s="19"/>
      <c r="Z491" s="18"/>
    </row>
    <row r="492" spans="24:26" ht="43.5" customHeight="1" x14ac:dyDescent="0.25">
      <c r="X492" s="19"/>
      <c r="Y492" s="19"/>
      <c r="Z492" s="18"/>
    </row>
    <row r="493" spans="24:26" ht="43.5" customHeight="1" x14ac:dyDescent="0.25">
      <c r="X493" s="19"/>
      <c r="Y493" s="19"/>
      <c r="Z493" s="18"/>
    </row>
    <row r="494" spans="24:26" ht="43.5" customHeight="1" x14ac:dyDescent="0.25">
      <c r="X494" s="19"/>
      <c r="Y494" s="19"/>
      <c r="Z494" s="18"/>
    </row>
  </sheetData>
  <mergeCells count="32">
    <mergeCell ref="D1:Z1"/>
    <mergeCell ref="D2:Z2"/>
    <mergeCell ref="D3:Z3"/>
    <mergeCell ref="R5:T5"/>
    <mergeCell ref="U5:W5"/>
    <mergeCell ref="X5:Z5"/>
    <mergeCell ref="D5:N5"/>
    <mergeCell ref="O5:Q5"/>
    <mergeCell ref="D4:Z4"/>
    <mergeCell ref="G32:G33"/>
    <mergeCell ref="A12:A17"/>
    <mergeCell ref="F12:F17"/>
    <mergeCell ref="A19:A21"/>
    <mergeCell ref="F19:F21"/>
    <mergeCell ref="A22:A23"/>
    <mergeCell ref="F22:F23"/>
    <mergeCell ref="Y43:Y44"/>
    <mergeCell ref="D6:N6"/>
    <mergeCell ref="A43:I44"/>
    <mergeCell ref="J43:Q44"/>
    <mergeCell ref="R43:S44"/>
    <mergeCell ref="T43:X44"/>
    <mergeCell ref="G34:G35"/>
    <mergeCell ref="D38:J38"/>
    <mergeCell ref="A24:A25"/>
    <mergeCell ref="F24:F25"/>
    <mergeCell ref="A26:A27"/>
    <mergeCell ref="F26:F27"/>
    <mergeCell ref="A28:A29"/>
    <mergeCell ref="F28:F29"/>
    <mergeCell ref="A31:A37"/>
    <mergeCell ref="F31:F37"/>
  </mergeCells>
  <pageMargins left="0.7" right="0.7" top="0.75" bottom="0.75" header="0.3" footer="0.3"/>
  <pageSetup orientation="portrait" r:id="rId1"/>
  <ignoredErrors>
    <ignoredError sqref="Y10 V10 P15 S15 V15 Y15"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I41"/>
  <sheetViews>
    <sheetView topLeftCell="J1" zoomScale="85" zoomScaleNormal="85" workbookViewId="0">
      <pane ySplit="5" topLeftCell="A33" activePane="bottomLeft" state="frozen"/>
      <selection pane="bottomLeft" activeCell="K41" sqref="K41"/>
    </sheetView>
  </sheetViews>
  <sheetFormatPr baseColWidth="10" defaultColWidth="11.44140625" defaultRowHeight="15.6" x14ac:dyDescent="0.25"/>
  <cols>
    <col min="1" max="2" width="7.33203125" style="143" customWidth="1"/>
    <col min="3" max="3" width="21.77734375" style="102" customWidth="1"/>
    <col min="4" max="4" width="43" style="102" customWidth="1"/>
    <col min="5" max="5" width="30.44140625" style="143" customWidth="1"/>
    <col min="6" max="6" width="8.33203125" style="143" customWidth="1"/>
    <col min="7" max="10" width="8.33203125" style="102" customWidth="1"/>
    <col min="11" max="11" width="20.109375" style="102" customWidth="1"/>
    <col min="12" max="12" width="13" style="102" customWidth="1"/>
    <col min="13" max="13" width="8.33203125" style="102" customWidth="1"/>
    <col min="14" max="14" width="16.44140625" style="102" customWidth="1"/>
    <col min="15" max="15" width="12.33203125" style="102" customWidth="1"/>
    <col min="16" max="16" width="13.77734375" style="102" customWidth="1"/>
    <col min="17" max="17" width="18.44140625" style="102" customWidth="1"/>
    <col min="18" max="18" width="10.44140625" style="102" customWidth="1"/>
    <col min="19" max="19" width="19.109375" style="102" customWidth="1"/>
    <col min="20" max="20" width="21.33203125" style="102" customWidth="1"/>
    <col min="21" max="21" width="12.6640625" style="102" customWidth="1"/>
    <col min="22" max="22" width="23.44140625" style="102" customWidth="1"/>
    <col min="23" max="23" width="17.109375" style="102" bestFit="1" customWidth="1"/>
    <col min="24" max="24" width="15" style="102" bestFit="1" customWidth="1"/>
    <col min="25" max="25" width="10.6640625" style="102" bestFit="1" customWidth="1"/>
    <col min="26" max="26" width="8.33203125" style="102" bestFit="1" customWidth="1"/>
    <col min="27" max="27" width="10.44140625" style="102" bestFit="1" customWidth="1"/>
    <col min="28" max="28" width="21.33203125" style="102" bestFit="1" customWidth="1"/>
    <col min="29" max="29" width="17.109375" style="102" bestFit="1" customWidth="1"/>
    <col min="30" max="30" width="15" style="102" bestFit="1" customWidth="1"/>
    <col min="31" max="31" width="10.6640625" style="102" bestFit="1" customWidth="1"/>
    <col min="32" max="32" width="8.33203125" style="102" bestFit="1" customWidth="1"/>
    <col min="33" max="33" width="10.44140625" style="102" bestFit="1" customWidth="1"/>
    <col min="34" max="34" width="21.33203125" style="102" bestFit="1" customWidth="1"/>
    <col min="35" max="35" width="17.109375" style="102" bestFit="1" customWidth="1"/>
    <col min="36" max="36" width="15" style="102" bestFit="1" customWidth="1"/>
    <col min="37" max="37" width="10.6640625" style="102" bestFit="1" customWidth="1"/>
    <col min="38" max="38" width="8.33203125" style="102" bestFit="1" customWidth="1"/>
    <col min="39" max="39" width="10.44140625" style="102" bestFit="1" customWidth="1"/>
    <col min="40" max="40" width="21.33203125" style="102" bestFit="1" customWidth="1"/>
    <col min="41" max="41" width="17.109375" style="102" bestFit="1" customWidth="1"/>
    <col min="42" max="42" width="15" style="102" bestFit="1" customWidth="1"/>
    <col min="43" max="43" width="10.6640625" style="102" bestFit="1" customWidth="1"/>
    <col min="44" max="44" width="8.33203125" style="102" bestFit="1" customWidth="1"/>
    <col min="45" max="45" width="10.44140625" style="102" bestFit="1" customWidth="1"/>
    <col min="46" max="46" width="10.44140625" style="102" customWidth="1"/>
    <col min="47" max="16384" width="11.44140625" style="102"/>
  </cols>
  <sheetData>
    <row r="1" spans="1:347" ht="70.5" customHeight="1" thickBot="1" x14ac:dyDescent="0.3">
      <c r="A1" s="1112"/>
      <c r="B1" s="1112"/>
      <c r="C1" s="1112"/>
      <c r="D1" s="1112"/>
      <c r="E1" s="1112"/>
      <c r="F1" s="1112"/>
      <c r="G1" s="1112"/>
      <c r="H1" s="1112"/>
      <c r="I1" s="1112"/>
      <c r="J1" s="1112"/>
      <c r="K1" s="1112"/>
      <c r="L1" s="1112"/>
      <c r="M1" s="1112"/>
      <c r="N1" s="1112"/>
      <c r="O1" s="1112"/>
      <c r="P1" s="1112"/>
      <c r="Q1" s="1112"/>
      <c r="R1" s="1112"/>
      <c r="S1" s="1112"/>
      <c r="T1" s="1112"/>
      <c r="U1" s="1112"/>
      <c r="V1" s="1113"/>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row>
    <row r="2" spans="1:347" ht="31.5" customHeight="1" thickBot="1" x14ac:dyDescent="0.3">
      <c r="A2" s="1114" t="s">
        <v>1088</v>
      </c>
      <c r="B2" s="1115"/>
      <c r="C2" s="1115"/>
      <c r="D2" s="1115"/>
      <c r="E2" s="1115"/>
      <c r="F2" s="1115"/>
      <c r="G2" s="1115"/>
      <c r="H2" s="1115"/>
      <c r="I2" s="1115"/>
      <c r="J2" s="1115"/>
      <c r="K2" s="1115"/>
      <c r="L2" s="1115"/>
      <c r="M2" s="1115"/>
      <c r="N2" s="1115"/>
      <c r="O2" s="1115"/>
      <c r="P2" s="1115"/>
      <c r="Q2" s="1115"/>
      <c r="R2" s="1115"/>
      <c r="S2" s="1115"/>
      <c r="T2" s="1115"/>
      <c r="U2" s="1115"/>
      <c r="V2" s="1116"/>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row>
    <row r="3" spans="1:347" ht="15.75" customHeight="1" x14ac:dyDescent="0.25">
      <c r="A3" s="1117" t="s">
        <v>1146</v>
      </c>
      <c r="B3" s="1118"/>
      <c r="C3" s="1118"/>
      <c r="D3" s="1118"/>
      <c r="E3" s="1118"/>
      <c r="F3" s="1118"/>
      <c r="G3" s="1118"/>
      <c r="H3" s="1118"/>
      <c r="I3" s="1118"/>
      <c r="J3" s="1118"/>
      <c r="K3" s="1118"/>
      <c r="L3" s="1118"/>
      <c r="M3" s="1118"/>
      <c r="N3" s="1118"/>
      <c r="O3" s="1118"/>
      <c r="P3" s="1118"/>
      <c r="Q3" s="1118"/>
      <c r="R3" s="1118"/>
      <c r="S3" s="1118"/>
      <c r="T3" s="1118"/>
      <c r="U3" s="1118"/>
      <c r="V3" s="1119"/>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row>
    <row r="4" spans="1:347" ht="15.75" customHeight="1" x14ac:dyDescent="0.25">
      <c r="A4" s="1109" t="s">
        <v>1147</v>
      </c>
      <c r="B4" s="1110"/>
      <c r="C4" s="1110"/>
      <c r="D4" s="1110"/>
      <c r="E4" s="1110"/>
      <c r="F4" s="1110"/>
      <c r="G4" s="1110"/>
      <c r="H4" s="1110"/>
      <c r="I4" s="1110"/>
      <c r="J4" s="1111"/>
      <c r="K4" s="1092" t="s">
        <v>1091</v>
      </c>
      <c r="L4" s="1092"/>
      <c r="M4" s="1092"/>
      <c r="N4" s="1092" t="s">
        <v>1092</v>
      </c>
      <c r="O4" s="1092"/>
      <c r="P4" s="1092"/>
      <c r="Q4" s="1092" t="s">
        <v>1093</v>
      </c>
      <c r="R4" s="1092"/>
      <c r="S4" s="1092"/>
      <c r="T4" s="1092" t="s">
        <v>1094</v>
      </c>
      <c r="U4" s="1092"/>
      <c r="V4" s="1092"/>
      <c r="W4" s="105"/>
      <c r="X4" s="105"/>
      <c r="Y4" s="105"/>
      <c r="Z4" s="105"/>
      <c r="AA4" s="105"/>
      <c r="AB4" s="1104">
        <v>2022</v>
      </c>
      <c r="AC4" s="1104"/>
      <c r="AD4" s="1104"/>
      <c r="AE4" s="1104"/>
      <c r="AF4" s="1104"/>
      <c r="AG4" s="1104"/>
      <c r="AH4" s="1105">
        <v>2023</v>
      </c>
      <c r="AI4" s="1105"/>
      <c r="AJ4" s="1105"/>
      <c r="AK4" s="1105"/>
      <c r="AL4" s="1105"/>
      <c r="AM4" s="1105"/>
      <c r="AN4" s="1105">
        <v>2024</v>
      </c>
      <c r="AO4" s="1105"/>
      <c r="AP4" s="1105"/>
      <c r="AQ4" s="1105"/>
      <c r="AR4" s="1105"/>
      <c r="AS4" s="1105"/>
      <c r="AT4" s="106"/>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row>
    <row r="5" spans="1:347" s="110" customFormat="1" ht="48.75" customHeight="1" x14ac:dyDescent="0.25">
      <c r="A5" s="108" t="s">
        <v>1148</v>
      </c>
      <c r="B5" s="108" t="s">
        <v>1099</v>
      </c>
      <c r="C5" s="108" t="s">
        <v>1100</v>
      </c>
      <c r="D5" s="108" t="s">
        <v>1101</v>
      </c>
      <c r="E5" s="108" t="s">
        <v>1102</v>
      </c>
      <c r="F5" s="108" t="s">
        <v>1103</v>
      </c>
      <c r="G5" s="108" t="s">
        <v>1149</v>
      </c>
      <c r="H5" s="108" t="s">
        <v>1105</v>
      </c>
      <c r="I5" s="108" t="s">
        <v>1106</v>
      </c>
      <c r="J5" s="108" t="s">
        <v>1107</v>
      </c>
      <c r="K5" s="32" t="s">
        <v>1108</v>
      </c>
      <c r="L5" s="32" t="s">
        <v>1109</v>
      </c>
      <c r="M5" s="32" t="s">
        <v>1110</v>
      </c>
      <c r="N5" s="32" t="s">
        <v>1108</v>
      </c>
      <c r="O5" s="32" t="s">
        <v>1109</v>
      </c>
      <c r="P5" s="32" t="s">
        <v>1110</v>
      </c>
      <c r="Q5" s="32" t="s">
        <v>1108</v>
      </c>
      <c r="R5" s="32" t="s">
        <v>1109</v>
      </c>
      <c r="S5" s="32" t="s">
        <v>1110</v>
      </c>
      <c r="T5" s="32" t="s">
        <v>1108</v>
      </c>
      <c r="U5" s="32" t="s">
        <v>1109</v>
      </c>
      <c r="V5" s="32" t="s">
        <v>1110</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row>
    <row r="6" spans="1:347" s="107" customFormat="1" ht="78" x14ac:dyDescent="0.25">
      <c r="A6" s="230" t="s">
        <v>1150</v>
      </c>
      <c r="B6" s="230" t="s">
        <v>1150</v>
      </c>
      <c r="C6" s="1106" t="s">
        <v>1151</v>
      </c>
      <c r="D6" s="229" t="s">
        <v>1152</v>
      </c>
      <c r="E6" s="229" t="s">
        <v>189</v>
      </c>
      <c r="F6" s="112">
        <v>0</v>
      </c>
      <c r="G6" s="227">
        <v>0</v>
      </c>
      <c r="H6" s="227">
        <v>0.1</v>
      </c>
      <c r="I6" s="227">
        <f>'Plan de Acción 2021'!P286</f>
        <v>0.25</v>
      </c>
      <c r="J6" s="227">
        <v>1</v>
      </c>
      <c r="K6" s="227">
        <f>('Plan de Acción 2021'!V61+'Plan de Acción 2021'!V62+'Plan de Acción 2021'!V63+'Plan de Acción 2021'!V286+'Plan de Acción 2021'!V367+'Plan de Acción 2021'!V369)/6</f>
        <v>0</v>
      </c>
      <c r="L6" s="227">
        <f>(K6*15%)/(I6-H6)</f>
        <v>0</v>
      </c>
      <c r="M6" s="227"/>
      <c r="N6" s="227">
        <f>('Plan de Acción 2021'!Y61+'Plan de Acción 2021'!Y62+'Plan de Acción 2021'!Y63+'Plan de Acción 2021'!Y286+'Plan de Acción 2021'!Y367+'Plan de Acción 2021'!Y369)/6</f>
        <v>0</v>
      </c>
      <c r="O6" s="227">
        <f>(N6*15%)/(I6-H6)</f>
        <v>0</v>
      </c>
      <c r="P6" s="112"/>
      <c r="Q6" s="227">
        <f>('Plan de Acción 2021'!AB61+'Plan de Acción 2021'!AB62+'Plan de Acción 2021'!AB63+'Plan de Acción 2021'!AB286+'Plan de Acción 2021'!AB367+'Plan de Acción 2021'!AB369)/6</f>
        <v>0</v>
      </c>
      <c r="R6" s="227">
        <f>(Q6*15%)/(I6-H6)</f>
        <v>0</v>
      </c>
      <c r="S6" s="112"/>
      <c r="T6" s="227">
        <f>('Plan de Acción 2021'!AE61+'Plan de Acción 2021'!AE62+'Plan de Acción 2021'!AE63+'Plan de Acción 2021'!AE286+'Plan de Acción 2021'!AE367+'Plan de Acción 2021'!AE369)/6</f>
        <v>0</v>
      </c>
      <c r="U6" s="227">
        <f>(T6*15%)/(I6-H6)</f>
        <v>0</v>
      </c>
      <c r="V6" s="112"/>
    </row>
    <row r="7" spans="1:347" ht="78" x14ac:dyDescent="0.25">
      <c r="A7" s="113" t="s">
        <v>1150</v>
      </c>
      <c r="B7" s="114" t="s">
        <v>1</v>
      </c>
      <c r="C7" s="1106"/>
      <c r="D7" s="234" t="s">
        <v>1153</v>
      </c>
      <c r="E7" s="234" t="s">
        <v>199</v>
      </c>
      <c r="F7" s="111">
        <v>0</v>
      </c>
      <c r="G7" s="115">
        <v>0.15</v>
      </c>
      <c r="H7" s="115">
        <v>0.02</v>
      </c>
      <c r="I7" s="115">
        <f>'Plan de Acción 2021'!P287</f>
        <v>0.15</v>
      </c>
      <c r="J7" s="115">
        <v>0.5</v>
      </c>
      <c r="K7" s="115"/>
      <c r="L7" s="227">
        <f t="shared" ref="L7" si="0">(K7*100%)/(I7-H7)</f>
        <v>0</v>
      </c>
      <c r="M7" s="115"/>
      <c r="N7" s="111"/>
      <c r="O7" s="227">
        <f t="shared" ref="O7:O28" si="1">(N7*100%)/(I7-H7)</f>
        <v>0</v>
      </c>
      <c r="P7" s="111"/>
      <c r="Q7" s="115"/>
      <c r="R7" s="227">
        <f t="shared" ref="R7:R28" si="2">(Q7*100%)/(I7-H7)</f>
        <v>0</v>
      </c>
      <c r="S7" s="116"/>
      <c r="T7" s="115"/>
      <c r="U7" s="227">
        <f t="shared" ref="U7:U28" si="3">(T7*100%)/(I7-H7)</f>
        <v>0</v>
      </c>
      <c r="V7" s="111"/>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c r="IR7" s="107"/>
      <c r="IS7" s="107"/>
      <c r="IT7" s="107"/>
      <c r="IU7" s="107"/>
      <c r="IV7" s="107"/>
      <c r="IW7" s="107"/>
      <c r="IX7" s="107"/>
      <c r="IY7" s="107"/>
      <c r="IZ7" s="107"/>
      <c r="JA7" s="107"/>
      <c r="JB7" s="107"/>
      <c r="JC7" s="107"/>
      <c r="JD7" s="107"/>
      <c r="JE7" s="107"/>
      <c r="JF7" s="107"/>
      <c r="JG7" s="107"/>
      <c r="JH7" s="107"/>
      <c r="JI7" s="107"/>
      <c r="JJ7" s="107"/>
      <c r="JK7" s="107"/>
      <c r="JL7" s="107"/>
      <c r="JM7" s="107"/>
      <c r="JN7" s="107"/>
      <c r="JO7" s="107"/>
      <c r="JP7" s="107"/>
      <c r="JQ7" s="107"/>
      <c r="JR7" s="107"/>
      <c r="JS7" s="107"/>
      <c r="JT7" s="107"/>
      <c r="JU7" s="107"/>
      <c r="JV7" s="107"/>
      <c r="JW7" s="107"/>
      <c r="JX7" s="107"/>
      <c r="JY7" s="107"/>
      <c r="JZ7" s="107"/>
      <c r="KA7" s="107"/>
      <c r="KB7" s="107"/>
      <c r="KC7" s="107"/>
      <c r="KD7" s="107"/>
      <c r="KE7" s="107"/>
      <c r="KF7" s="107"/>
      <c r="KG7" s="107"/>
      <c r="KH7" s="107"/>
      <c r="KI7" s="107"/>
      <c r="KJ7" s="107"/>
      <c r="KK7" s="107"/>
      <c r="KL7" s="107"/>
      <c r="KM7" s="107"/>
      <c r="KN7" s="107"/>
      <c r="KO7" s="107"/>
      <c r="KP7" s="107"/>
      <c r="KQ7" s="107"/>
      <c r="KR7" s="107"/>
      <c r="KS7" s="107"/>
      <c r="KT7" s="107"/>
      <c r="KU7" s="107"/>
      <c r="KV7" s="107"/>
      <c r="KW7" s="107"/>
      <c r="KX7" s="107"/>
      <c r="KY7" s="107"/>
      <c r="KZ7" s="107"/>
      <c r="LA7" s="107"/>
      <c r="LB7" s="107"/>
      <c r="LC7" s="107"/>
      <c r="LD7" s="107"/>
      <c r="LE7" s="107"/>
      <c r="LF7" s="107"/>
      <c r="LG7" s="107"/>
      <c r="LH7" s="107"/>
      <c r="LI7" s="107"/>
      <c r="LJ7" s="107"/>
      <c r="LK7" s="107"/>
      <c r="LL7" s="107"/>
      <c r="LM7" s="107"/>
      <c r="LN7" s="107"/>
      <c r="LO7" s="107"/>
      <c r="LP7" s="107"/>
      <c r="LQ7" s="107"/>
      <c r="LR7" s="107"/>
      <c r="LS7" s="107"/>
      <c r="LT7" s="107"/>
      <c r="LU7" s="107"/>
      <c r="LV7" s="107"/>
      <c r="LW7" s="107"/>
      <c r="LX7" s="107"/>
      <c r="LY7" s="107"/>
      <c r="LZ7" s="107"/>
      <c r="MA7" s="107"/>
      <c r="MB7" s="107"/>
      <c r="MC7" s="107"/>
      <c r="MD7" s="107"/>
      <c r="ME7" s="107"/>
      <c r="MF7" s="107"/>
      <c r="MG7" s="107"/>
      <c r="MH7" s="107"/>
      <c r="MI7" s="107"/>
    </row>
    <row r="8" spans="1:347" ht="62.4" x14ac:dyDescent="0.25">
      <c r="A8" s="117" t="s">
        <v>1150</v>
      </c>
      <c r="B8" s="117" t="s">
        <v>1154</v>
      </c>
      <c r="C8" s="1107" t="s">
        <v>1155</v>
      </c>
      <c r="D8" s="117" t="s">
        <v>624</v>
      </c>
      <c r="E8" s="117" t="s">
        <v>626</v>
      </c>
      <c r="F8" s="118">
        <f>10/150</f>
        <v>6.6666666666666666E-2</v>
      </c>
      <c r="G8" s="119">
        <v>0.08</v>
      </c>
      <c r="H8" s="119">
        <v>2.0000000000000001E-4</v>
      </c>
      <c r="I8" s="119">
        <f>'Plan de Acción 2021'!P259</f>
        <v>0.12</v>
      </c>
      <c r="J8" s="119">
        <v>0.2</v>
      </c>
      <c r="K8" s="119">
        <f>'Plan de Acción 2021'!V259</f>
        <v>0</v>
      </c>
      <c r="L8" s="227">
        <f>(K8*12%)/(I8-H8)</f>
        <v>0</v>
      </c>
      <c r="M8" s="119"/>
      <c r="N8" s="119">
        <f>'Plan de Acción 2021'!Y259</f>
        <v>0</v>
      </c>
      <c r="O8" s="227">
        <f>(N8*12%)/(I8-H8)</f>
        <v>0</v>
      </c>
      <c r="P8" s="120"/>
      <c r="Q8" s="119">
        <f>'Plan de Acción 2021'!AB259</f>
        <v>0</v>
      </c>
      <c r="R8" s="227">
        <f>(Q8*12%)/(I8-H8)</f>
        <v>0</v>
      </c>
      <c r="S8" s="120"/>
      <c r="T8" s="119">
        <f>'Plan de Acción 2021'!AE259</f>
        <v>0</v>
      </c>
      <c r="U8" s="227">
        <f>(T8*12%)/(I8-H8)</f>
        <v>0</v>
      </c>
      <c r="V8" s="121"/>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c r="MA8" s="107"/>
      <c r="MB8" s="107"/>
      <c r="MC8" s="107"/>
      <c r="MD8" s="107"/>
      <c r="ME8" s="107"/>
      <c r="MF8" s="107"/>
      <c r="MG8" s="107"/>
      <c r="MH8" s="107"/>
      <c r="MI8" s="107"/>
    </row>
    <row r="9" spans="1:347" s="107" customFormat="1" ht="135" customHeight="1" x14ac:dyDescent="0.25">
      <c r="A9" s="122" t="s">
        <v>1150</v>
      </c>
      <c r="B9" s="122" t="s">
        <v>1154</v>
      </c>
      <c r="C9" s="1108"/>
      <c r="D9" s="122" t="s">
        <v>1156</v>
      </c>
      <c r="E9" s="122" t="s">
        <v>620</v>
      </c>
      <c r="F9" s="123">
        <v>0.05</v>
      </c>
      <c r="G9" s="123">
        <v>0.3</v>
      </c>
      <c r="H9" s="123">
        <v>0.3</v>
      </c>
      <c r="I9" s="123">
        <f>'Plan de Acción 2021'!P257</f>
        <v>0.6</v>
      </c>
      <c r="J9" s="123">
        <v>1</v>
      </c>
      <c r="K9" s="123">
        <f>('Plan de Acción 2021'!V257+'Plan de Acción 2021'!V258)/2</f>
        <v>0</v>
      </c>
      <c r="L9" s="227">
        <f>(K9*30%)/(I9-H9)</f>
        <v>0</v>
      </c>
      <c r="M9" s="123"/>
      <c r="N9" s="123">
        <f>('Plan de Acción 2021'!Y257+'Plan de Acción 2021'!Y258)/2</f>
        <v>0</v>
      </c>
      <c r="O9" s="227">
        <f>(N9*30%)/(I9-H9)</f>
        <v>0</v>
      </c>
      <c r="P9" s="123"/>
      <c r="Q9" s="123">
        <f>('Plan de Acción 2021'!AB257+'Plan de Acción 2021'!AB258)/2</f>
        <v>0</v>
      </c>
      <c r="R9" s="227">
        <f>(Q9*30%)/(I9-H9)</f>
        <v>0</v>
      </c>
      <c r="S9" s="124"/>
      <c r="T9" s="123">
        <f>('Plan de Acción 2021'!AE257+'Plan de Acción 2021'!AE258)/2</f>
        <v>0</v>
      </c>
      <c r="U9" s="227">
        <f>(T9*30%)/(I9-H9)</f>
        <v>0</v>
      </c>
      <c r="V9" s="125"/>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row>
    <row r="10" spans="1:347" s="107" customFormat="1" ht="62.4" x14ac:dyDescent="0.25">
      <c r="A10" s="122" t="s">
        <v>1150</v>
      </c>
      <c r="B10" s="122" t="s">
        <v>1154</v>
      </c>
      <c r="C10" s="1108"/>
      <c r="D10" s="126" t="s">
        <v>1157</v>
      </c>
      <c r="E10" s="122" t="s">
        <v>611</v>
      </c>
      <c r="F10" s="224" t="s">
        <v>1158</v>
      </c>
      <c r="G10" s="123">
        <v>0</v>
      </c>
      <c r="H10" s="123">
        <v>0</v>
      </c>
      <c r="I10" s="123">
        <f>'Plan de Acción 2021'!P254</f>
        <v>0.33</v>
      </c>
      <c r="J10" s="224">
        <v>1300</v>
      </c>
      <c r="K10" s="123">
        <f>('Plan de Acción 2021'!V254+'Plan de Acción 2021'!V255+'Plan de Acción 2021'!V256)/3</f>
        <v>0</v>
      </c>
      <c r="L10" s="227">
        <f>(K10*33%)/(I10-H10)</f>
        <v>0</v>
      </c>
      <c r="M10" s="224"/>
      <c r="N10" s="123">
        <f>('Plan de Acción 2021'!Y254+'Plan de Acción 2021'!Y255+'Plan de Acción 2021'!Y256)/3</f>
        <v>0</v>
      </c>
      <c r="O10" s="227">
        <f>(N10*33%)/(I10-H10)</f>
        <v>0</v>
      </c>
      <c r="P10" s="122"/>
      <c r="Q10" s="123">
        <f>('Plan de Acción 2021'!AB254+'Plan de Acción 2021'!AB255+'Plan de Acción 2021'!AB256)/3</f>
        <v>0</v>
      </c>
      <c r="R10" s="227">
        <f>(Q10*33%)/(I10-H10)</f>
        <v>0</v>
      </c>
      <c r="S10" s="185"/>
      <c r="T10" s="123">
        <f>('Plan de Acción 2021'!AE254+'Plan de Acción 2021'!AE255+'Plan de Acción 2021'!AE256)/3</f>
        <v>0</v>
      </c>
      <c r="U10" s="227">
        <f>(T10*33%)/(I10-H10)</f>
        <v>0</v>
      </c>
      <c r="V10" s="225"/>
    </row>
    <row r="11" spans="1:347" s="107" customFormat="1" ht="62.4" x14ac:dyDescent="0.25">
      <c r="A11" s="122" t="s">
        <v>1150</v>
      </c>
      <c r="B11" s="122" t="s">
        <v>1159</v>
      </c>
      <c r="C11" s="1100" t="s">
        <v>1160</v>
      </c>
      <c r="D11" s="126" t="s">
        <v>649</v>
      </c>
      <c r="E11" s="122" t="s">
        <v>651</v>
      </c>
      <c r="F11" s="123">
        <v>0.04</v>
      </c>
      <c r="G11" s="220">
        <v>0</v>
      </c>
      <c r="H11" s="123">
        <v>0</v>
      </c>
      <c r="I11" s="220">
        <f>'Plan de Acción 2021'!P266</f>
        <v>0.1</v>
      </c>
      <c r="J11" s="136">
        <v>0.2</v>
      </c>
      <c r="K11" s="136">
        <f>('Plan de Acción 2021'!V266+'Plan de Acción 2021'!V267+'Plan de Acción 2021'!V268+'Plan de Acción 2021'!V269+'Plan de Acción 2021'!V270+'Plan de Acción 2021'!V271+'Plan de Acción 2021'!V272+'Plan de Acción 2021'!V273+'Plan de Acción 2021'!V274+'Plan de Acción 2021'!V275+'Plan de Acción 2021'!V276+'Plan de Acción 2021'!V277+'Plan de Acción 2021'!V278+'Plan de Acción 2021'!V279+'Plan de Acción 2021'!V299)/15</f>
        <v>0</v>
      </c>
      <c r="L11" s="227">
        <f>(K11*10%)/(I11-H11)</f>
        <v>0</v>
      </c>
      <c r="M11" s="136"/>
      <c r="N11" s="136">
        <f>('Plan de Acción 2021'!Y266+'Plan de Acción 2021'!Y267+'Plan de Acción 2021'!Y268+'Plan de Acción 2021'!Y269+'Plan de Acción 2021'!Y270+'Plan de Acción 2021'!Y271+'Plan de Acción 2021'!Y272+'Plan de Acción 2021'!Y273+'Plan de Acción 2021'!Y274+'Plan de Acción 2021'!Y275+'Plan de Acción 2021'!Y276+'Plan de Acción 2021'!Y277+'Plan de Acción 2021'!Y278+'Plan de Acción 2021'!Y279+'Plan de Acción 2021'!Y299)/15</f>
        <v>0</v>
      </c>
      <c r="O11" s="227">
        <f>(N11*10%)/(I11-H11)</f>
        <v>0</v>
      </c>
      <c r="P11" s="126"/>
      <c r="Q11" s="136">
        <f>('Plan de Acción 2021'!AB266+'Plan de Acción 2021'!AB267+'Plan de Acción 2021'!AB268+'Plan de Acción 2021'!AB269+'Plan de Acción 2021'!AB270+'Plan de Acción 2021'!AB271+'Plan de Acción 2021'!AB272+'Plan de Acción 2021'!AB273+'Plan de Acción 2021'!AB274+'Plan de Acción 2021'!AB275+'Plan de Acción 2021'!AB276+'Plan de Acción 2021'!AB277+'Plan de Acción 2021'!AB278+'Plan de Acción 2021'!AB279+'Plan de Acción 2021'!AB299)/15</f>
        <v>0</v>
      </c>
      <c r="R11" s="227">
        <f>(Q11*10%)/(I11-H11)</f>
        <v>0</v>
      </c>
      <c r="S11" s="122"/>
      <c r="T11" s="136">
        <f>('Plan de Acción 2021'!AE266+'Plan de Acción 2021'!AE267+'Plan de Acción 2021'!AE268+'Plan de Acción 2021'!AE269+'Plan de Acción 2021'!AE270+'Plan de Acción 2021'!AE271+'Plan de Acción 2021'!AE272+'Plan de Acción 2021'!AE273+'Plan de Acción 2021'!AE274+'Plan de Acción 2021'!AE275+'Plan de Acción 2021'!AE276+'Plan de Acción 2021'!AE277+'Plan de Acción 2021'!AE278+'Plan de Acción 2021'!AE279+'Plan de Acción 2021'!AE299)/15</f>
        <v>0</v>
      </c>
      <c r="U11" s="227">
        <f>(T11*10%)/(I11-H11)</f>
        <v>0</v>
      </c>
      <c r="V11" s="122"/>
    </row>
    <row r="12" spans="1:347" s="107" customFormat="1" ht="62.4" x14ac:dyDescent="0.25">
      <c r="A12" s="122" t="s">
        <v>1150</v>
      </c>
      <c r="B12" s="122" t="s">
        <v>1159</v>
      </c>
      <c r="C12" s="1100"/>
      <c r="D12" s="122" t="s">
        <v>1161</v>
      </c>
      <c r="E12" s="122" t="s">
        <v>642</v>
      </c>
      <c r="F12" s="122">
        <v>0</v>
      </c>
      <c r="G12" s="123">
        <v>0</v>
      </c>
      <c r="H12" s="123">
        <v>0</v>
      </c>
      <c r="I12" s="123">
        <f>'Plan de Acción 2021'!P263</f>
        <v>0.33</v>
      </c>
      <c r="J12" s="122">
        <v>3600</v>
      </c>
      <c r="K12" s="136">
        <f>('Plan de Acción 2021'!V263+'Plan de Acción 2021'!V264+'Plan de Acción 2021'!V265)/3</f>
        <v>0</v>
      </c>
      <c r="L12" s="227">
        <f>(K12*33%)/(I12-H12)</f>
        <v>0</v>
      </c>
      <c r="M12" s="122"/>
      <c r="N12" s="136">
        <f>('Plan de Acción 2021'!Y263+'Plan de Acción 2021'!Y264+'Plan de Acción 2021'!Y265)/3</f>
        <v>0</v>
      </c>
      <c r="O12" s="227">
        <f>(N12*33%)/(I12-H12)</f>
        <v>0</v>
      </c>
      <c r="P12" s="126"/>
      <c r="Q12" s="136">
        <f>('Plan de Acción 2021'!AB263+'Plan de Acción 2021'!AB264+'Plan de Acción 2021'!AB265)/3</f>
        <v>0</v>
      </c>
      <c r="R12" s="227">
        <f>(Q12*33%)/(I12-H12)</f>
        <v>0</v>
      </c>
      <c r="S12" s="122"/>
      <c r="T12" s="136">
        <f>('Plan de Acción 2021'!AE263+'Plan de Acción 2021'!AE264+'Plan de Acción 2021'!AE265)/3</f>
        <v>0</v>
      </c>
      <c r="U12" s="227">
        <f>(T12*33%)/(I12-H12)</f>
        <v>0</v>
      </c>
      <c r="V12" s="122"/>
    </row>
    <row r="13" spans="1:347" ht="117.75" customHeight="1" x14ac:dyDescent="0.25">
      <c r="A13" s="127" t="s">
        <v>1150</v>
      </c>
      <c r="B13" s="128" t="s">
        <v>1159</v>
      </c>
      <c r="C13" s="1100"/>
      <c r="D13" s="128" t="s">
        <v>636</v>
      </c>
      <c r="E13" s="127" t="s">
        <v>638</v>
      </c>
      <c r="F13" s="127">
        <v>0</v>
      </c>
      <c r="G13" s="129" t="s">
        <v>1162</v>
      </c>
      <c r="H13" s="131">
        <v>0.01</v>
      </c>
      <c r="I13" s="129">
        <f>'Plan de Acción 2021'!P262</f>
        <v>0.66</v>
      </c>
      <c r="J13" s="127">
        <v>3</v>
      </c>
      <c r="K13" s="235">
        <f>('Plan de Acción 2021'!V262)</f>
        <v>0</v>
      </c>
      <c r="L13" s="227">
        <f>(K13*65%)/(I13-H13)</f>
        <v>0</v>
      </c>
      <c r="M13" s="127"/>
      <c r="N13" s="235">
        <f>('Plan de Acción 2021'!Y262)</f>
        <v>0</v>
      </c>
      <c r="O13" s="227">
        <f>(N13*65%)/(I13-H13)</f>
        <v>0</v>
      </c>
      <c r="P13" s="130"/>
      <c r="Q13" s="235">
        <f>('Plan de Acción 2021'!AB262)</f>
        <v>0</v>
      </c>
      <c r="R13" s="227">
        <f>(Q13*65%)/(I13-H13)</f>
        <v>0</v>
      </c>
      <c r="S13" s="130"/>
      <c r="T13" s="235">
        <f>('Plan de Acción 2021'!AE262)</f>
        <v>0</v>
      </c>
      <c r="U13" s="227">
        <f>(T13*54%)/(I13-H13)</f>
        <v>0</v>
      </c>
      <c r="V13" s="132"/>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row>
    <row r="14" spans="1:347" s="107" customFormat="1" ht="78" x14ac:dyDescent="0.25">
      <c r="A14" s="122" t="s">
        <v>1150</v>
      </c>
      <c r="B14" s="122" t="s">
        <v>1159</v>
      </c>
      <c r="C14" s="1100"/>
      <c r="D14" s="122" t="s">
        <v>630</v>
      </c>
      <c r="E14" s="126" t="s">
        <v>632</v>
      </c>
      <c r="F14" s="122">
        <v>0</v>
      </c>
      <c r="G14" s="220">
        <v>0</v>
      </c>
      <c r="H14" s="136">
        <v>0</v>
      </c>
      <c r="I14" s="220">
        <f>'Plan de Acción 2021'!P260</f>
        <v>0.1</v>
      </c>
      <c r="J14" s="123">
        <v>0.1</v>
      </c>
      <c r="K14" s="123">
        <f>('Plan de Acción 2021'!V260+'Plan de Acción 2021'!V261)/2</f>
        <v>0</v>
      </c>
      <c r="L14" s="227">
        <f>(K14*10%)/(I14-H14)</f>
        <v>0</v>
      </c>
      <c r="M14" s="123"/>
      <c r="N14" s="123">
        <f>('Plan de Acción 2021'!Y260+'Plan de Acción 2021'!Y261)/2</f>
        <v>0</v>
      </c>
      <c r="O14" s="227">
        <f>(N14*10%)/(I14-H14)</f>
        <v>0</v>
      </c>
      <c r="P14" s="126"/>
      <c r="Q14" s="123">
        <f>('Plan de Acción 2021'!AB260+'Plan de Acción 2021'!AB261)/2</f>
        <v>0</v>
      </c>
      <c r="R14" s="227">
        <f>(Q14*10%)/(I14-H14)</f>
        <v>0</v>
      </c>
      <c r="S14" s="126"/>
      <c r="T14" s="123">
        <f>('Plan de Acción 2021'!AE260+'Plan de Acción 2021'!AE261)/2</f>
        <v>0</v>
      </c>
      <c r="U14" s="227">
        <f>(T14*10%)/(I14-H14)</f>
        <v>0</v>
      </c>
      <c r="V14" s="221"/>
    </row>
    <row r="15" spans="1:347" s="107" customFormat="1" ht="122.25" customHeight="1" x14ac:dyDescent="0.25">
      <c r="A15" s="122" t="s">
        <v>1163</v>
      </c>
      <c r="B15" s="122" t="s">
        <v>1164</v>
      </c>
      <c r="C15" s="1100" t="s">
        <v>1165</v>
      </c>
      <c r="D15" s="122" t="s">
        <v>1166</v>
      </c>
      <c r="E15" s="122" t="s">
        <v>1167</v>
      </c>
      <c r="F15" s="122">
        <v>0</v>
      </c>
      <c r="G15" s="123">
        <v>0.5</v>
      </c>
      <c r="H15" s="123">
        <v>0.5</v>
      </c>
      <c r="I15" s="123">
        <f>'Plan de Acción 2021'!P408</f>
        <v>1</v>
      </c>
      <c r="J15" s="123">
        <v>1</v>
      </c>
      <c r="K15" s="123">
        <f>'Plan de Acción 2021'!V408</f>
        <v>0</v>
      </c>
      <c r="L15" s="227">
        <f>(K15*50%)/(I15-H15)</f>
        <v>0</v>
      </c>
      <c r="M15" s="123"/>
      <c r="N15" s="123">
        <f>'Plan de Acción 2021'!Y408</f>
        <v>0</v>
      </c>
      <c r="O15" s="227">
        <f>(N15*50%)/(I15-H15)</f>
        <v>0</v>
      </c>
      <c r="P15" s="123"/>
      <c r="Q15" s="123">
        <f>'Plan de Acción 2021'!AB408</f>
        <v>0</v>
      </c>
      <c r="R15" s="227">
        <f>(Q15*50%)/(I15-H15)</f>
        <v>0</v>
      </c>
      <c r="S15" s="123"/>
      <c r="T15" s="123">
        <f>'Plan de Acción 2021'!AE408</f>
        <v>0</v>
      </c>
      <c r="U15" s="227">
        <f>(T15*50%)/(I15-H15)</f>
        <v>0</v>
      </c>
      <c r="V15" s="228"/>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row>
    <row r="16" spans="1:347" s="107" customFormat="1" ht="88.5" customHeight="1" x14ac:dyDescent="0.25">
      <c r="A16" s="122" t="s">
        <v>1163</v>
      </c>
      <c r="B16" s="122" t="s">
        <v>1164</v>
      </c>
      <c r="C16" s="1100"/>
      <c r="D16" s="222" t="s">
        <v>1168</v>
      </c>
      <c r="E16" s="222" t="s">
        <v>1169</v>
      </c>
      <c r="F16" s="122">
        <v>0</v>
      </c>
      <c r="G16" s="123">
        <v>1</v>
      </c>
      <c r="H16" s="123">
        <v>1</v>
      </c>
      <c r="I16" s="123" t="s">
        <v>59</v>
      </c>
      <c r="J16" s="123">
        <v>1</v>
      </c>
      <c r="K16" s="123"/>
      <c r="L16" s="123" t="s">
        <v>59</v>
      </c>
      <c r="M16" s="227" t="s">
        <v>59</v>
      </c>
      <c r="N16" s="227" t="s">
        <v>59</v>
      </c>
      <c r="O16" s="123" t="s">
        <v>59</v>
      </c>
      <c r="P16" s="227" t="s">
        <v>59</v>
      </c>
      <c r="Q16" s="227" t="s">
        <v>59</v>
      </c>
      <c r="R16" s="123" t="s">
        <v>59</v>
      </c>
      <c r="S16" s="227" t="s">
        <v>59</v>
      </c>
      <c r="T16" s="227" t="s">
        <v>59</v>
      </c>
      <c r="U16" s="123" t="s">
        <v>59</v>
      </c>
      <c r="V16" s="227" t="s">
        <v>59</v>
      </c>
    </row>
    <row r="17" spans="1:347" ht="93" customHeight="1" x14ac:dyDescent="0.25">
      <c r="A17" s="127" t="s">
        <v>1163</v>
      </c>
      <c r="B17" s="127" t="s">
        <v>1164</v>
      </c>
      <c r="C17" s="1100"/>
      <c r="D17" s="122" t="s">
        <v>1170</v>
      </c>
      <c r="E17" s="127" t="s">
        <v>1171</v>
      </c>
      <c r="F17" s="127">
        <v>0</v>
      </c>
      <c r="G17" s="129">
        <v>0.3</v>
      </c>
      <c r="H17" s="123">
        <v>0.3</v>
      </c>
      <c r="I17" s="129">
        <f>'Plan de Acción 2021'!P409</f>
        <v>0.6</v>
      </c>
      <c r="J17" s="129">
        <v>1</v>
      </c>
      <c r="K17" s="129">
        <f>('Plan de Acción 2021'!V409+'Plan de Acción 2021'!V410+'Plan de Acción 2021'!V411)/3</f>
        <v>0</v>
      </c>
      <c r="L17" s="227">
        <f>(K17*30%)/(I17-H17)</f>
        <v>0</v>
      </c>
      <c r="M17" s="129"/>
      <c r="N17" s="129">
        <f>('Plan de Acción 2021'!Y409+'Plan de Acción 2021'!Y410+'Plan de Acción 2021'!Y411)/3</f>
        <v>0</v>
      </c>
      <c r="O17" s="227">
        <f>(N17*30%)/(I17-H17)</f>
        <v>0</v>
      </c>
      <c r="P17" s="127"/>
      <c r="Q17" s="129">
        <f>('Plan de Acción 2021'!AB409+'Plan de Acción 2021'!AB410+'Plan de Acción 2021'!AB411)/3</f>
        <v>0</v>
      </c>
      <c r="R17" s="227">
        <f>(Q17*30%)/(I17-H17)</f>
        <v>0</v>
      </c>
      <c r="S17" s="123"/>
      <c r="T17" s="129">
        <f>('Plan de Acción 2021'!AE409+'Plan de Acción 2021'!AE410+'Plan de Acción 2021'!AE411)/3</f>
        <v>0</v>
      </c>
      <c r="U17" s="227">
        <f>(T17*30%)/(I17-H17)</f>
        <v>0</v>
      </c>
      <c r="V17" s="228"/>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row>
    <row r="18" spans="1:347" s="107" customFormat="1" ht="156" x14ac:dyDescent="0.25">
      <c r="A18" s="122" t="s">
        <v>1163</v>
      </c>
      <c r="B18" s="122" t="s">
        <v>1164</v>
      </c>
      <c r="C18" s="1100"/>
      <c r="D18" s="222" t="s">
        <v>1172</v>
      </c>
      <c r="E18" s="222" t="s">
        <v>1173</v>
      </c>
      <c r="F18" s="123">
        <v>0</v>
      </c>
      <c r="G18" s="123">
        <v>0</v>
      </c>
      <c r="H18" s="123">
        <v>0</v>
      </c>
      <c r="I18" s="123">
        <v>0</v>
      </c>
      <c r="J18" s="123">
        <v>1</v>
      </c>
      <c r="K18" s="227"/>
      <c r="L18" s="123" t="s">
        <v>59</v>
      </c>
      <c r="M18" s="123" t="s">
        <v>59</v>
      </c>
      <c r="N18" s="123" t="s">
        <v>59</v>
      </c>
      <c r="O18" s="123" t="s">
        <v>59</v>
      </c>
      <c r="P18" s="123" t="s">
        <v>59</v>
      </c>
      <c r="Q18" s="123" t="s">
        <v>59</v>
      </c>
      <c r="R18" s="123" t="s">
        <v>59</v>
      </c>
      <c r="S18" s="227" t="s">
        <v>59</v>
      </c>
      <c r="T18" s="227" t="s">
        <v>59</v>
      </c>
      <c r="U18" s="123" t="s">
        <v>59</v>
      </c>
      <c r="V18" s="227" t="s">
        <v>59</v>
      </c>
    </row>
    <row r="19" spans="1:347" s="107" customFormat="1" ht="156" x14ac:dyDescent="0.25">
      <c r="A19" s="122" t="s">
        <v>1163</v>
      </c>
      <c r="B19" s="122" t="s">
        <v>1164</v>
      </c>
      <c r="C19" s="1100"/>
      <c r="D19" s="222" t="s">
        <v>1174</v>
      </c>
      <c r="E19" s="222" t="s">
        <v>1175</v>
      </c>
      <c r="F19" s="123">
        <v>0</v>
      </c>
      <c r="G19" s="123">
        <v>0</v>
      </c>
      <c r="H19" s="123">
        <v>0</v>
      </c>
      <c r="I19" s="123">
        <v>0</v>
      </c>
      <c r="J19" s="123">
        <v>1</v>
      </c>
      <c r="K19" s="227" t="s">
        <v>59</v>
      </c>
      <c r="L19" s="123" t="s">
        <v>59</v>
      </c>
      <c r="M19" s="227" t="s">
        <v>59</v>
      </c>
      <c r="N19" s="227" t="s">
        <v>59</v>
      </c>
      <c r="O19" s="123" t="s">
        <v>59</v>
      </c>
      <c r="P19" s="227" t="s">
        <v>59</v>
      </c>
      <c r="Q19" s="227" t="s">
        <v>59</v>
      </c>
      <c r="R19" s="123" t="s">
        <v>59</v>
      </c>
      <c r="S19" s="123" t="s">
        <v>59</v>
      </c>
      <c r="T19" s="227" t="s">
        <v>59</v>
      </c>
      <c r="U19" s="123" t="s">
        <v>59</v>
      </c>
      <c r="V19" s="123" t="s">
        <v>59</v>
      </c>
    </row>
    <row r="20" spans="1:347" s="107" customFormat="1" ht="174.75" customHeight="1" x14ac:dyDescent="0.25">
      <c r="A20" s="122" t="s">
        <v>1163</v>
      </c>
      <c r="B20" s="122" t="s">
        <v>1176</v>
      </c>
      <c r="C20" s="1101" t="s">
        <v>1177</v>
      </c>
      <c r="D20" s="126" t="s">
        <v>792</v>
      </c>
      <c r="E20" s="122" t="s">
        <v>793</v>
      </c>
      <c r="F20" s="122">
        <v>0</v>
      </c>
      <c r="G20" s="123">
        <v>1</v>
      </c>
      <c r="H20" s="123">
        <v>1</v>
      </c>
      <c r="I20" s="123">
        <f>'Plan de Acción 2021'!P412</f>
        <v>1</v>
      </c>
      <c r="J20" s="123">
        <v>1</v>
      </c>
      <c r="K20" s="123">
        <f>('Plan de Acción 2021'!V412+'Plan de Acción 2021'!V413+'Plan de Acción 2021'!V414+'Plan de Acción 2021'!V415+'Plan de Acción 2021'!V416+'Plan de Acción 2021'!V417+'Plan de Acción 2021'!V418)/7</f>
        <v>0</v>
      </c>
      <c r="L20" s="227">
        <f>(K20*100%)/I20</f>
        <v>0</v>
      </c>
      <c r="M20" s="123"/>
      <c r="N20" s="123">
        <f>('Plan de Acción 2021'!Y412+'Plan de Acción 2021'!Y413+'Plan de Acción 2021'!Y414+'Plan de Acción 2021'!Y415+'Plan de Acción 2021'!Y416+'Plan de Acción 2021'!Y417+'Plan de Acción 2021'!Y418)/7</f>
        <v>0</v>
      </c>
      <c r="O20" s="227">
        <f>(N20*100%)/20</f>
        <v>0</v>
      </c>
      <c r="P20" s="123"/>
      <c r="Q20" s="123">
        <f>('Plan de Acción 2021'!AB412+'Plan de Acción 2021'!AB413+'Plan de Acción 2021'!AB414+'Plan de Acción 2021'!AB415+'Plan de Acción 2021'!AB416+'Plan de Acción 2021'!AB417+'Plan de Acción 2021'!AB418)/7</f>
        <v>0</v>
      </c>
      <c r="R20" s="227">
        <f>(Q20*100%)/I20</f>
        <v>0</v>
      </c>
      <c r="S20" s="123"/>
      <c r="T20" s="123">
        <f>('Plan de Acción 2021'!AE412+'Plan de Acción 2021'!AE413+'Plan de Acción 2021'!AE414+'Plan de Acción 2021'!AE415+'Plan de Acción 2021'!AE416+'Plan de Acción 2021'!AE417+'Plan de Acción 2021'!AE418)/7</f>
        <v>0</v>
      </c>
      <c r="U20" s="227">
        <f>(T20*100%)/I20</f>
        <v>0</v>
      </c>
      <c r="V20" s="133"/>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row>
    <row r="21" spans="1:347" s="107" customFormat="1" ht="98.25" customHeight="1" x14ac:dyDescent="0.25">
      <c r="A21" s="122" t="s">
        <v>1163</v>
      </c>
      <c r="B21" s="122" t="s">
        <v>1176</v>
      </c>
      <c r="C21" s="1101"/>
      <c r="D21" s="126" t="s">
        <v>737</v>
      </c>
      <c r="E21" s="122" t="s">
        <v>739</v>
      </c>
      <c r="F21" s="122">
        <v>0</v>
      </c>
      <c r="G21" s="123">
        <v>1</v>
      </c>
      <c r="H21" s="123">
        <v>1</v>
      </c>
      <c r="I21" s="123">
        <f>'Plan de Acción 2021'!P418</f>
        <v>1</v>
      </c>
      <c r="J21" s="123">
        <v>1</v>
      </c>
      <c r="K21" s="123">
        <f>('Plan de Acción 2021'!V418+'Plan de Acción 2021'!V419+'Plan de Acción 2021'!V420+'Plan de Acción 2021'!V421+'Plan de Acción 2021'!V422+'Plan de Acción 2021'!V423+'Plan de Acción 2021'!V424+'Plan de Acción 2021'!V425+'Plan de Acción 2021'!V426+'Plan de Acción 2021'!V427+'Plan de Acción 2021'!V428+'Plan de Acción 2021'!V429)/12</f>
        <v>0</v>
      </c>
      <c r="L21" s="227">
        <f t="shared" ref="L21:L24" si="4">(K21*100%)/I21</f>
        <v>0</v>
      </c>
      <c r="M21" s="123"/>
      <c r="N21" s="123">
        <f>('Plan de Acción 2021'!Y418+'Plan de Acción 2021'!Y419+'Plan de Acción 2021'!Y420+'Plan de Acción 2021'!Y421+'Plan de Acción 2021'!Y422+'Plan de Acción 2021'!Y423+'Plan de Acción 2021'!Y424+'Plan de Acción 2021'!Y425+'Plan de Acción 2021'!Y426+'Plan de Acción 2021'!Y427+'Plan de Acción 2021'!Y428+'Plan de Acción 2021'!Y429)/12</f>
        <v>0</v>
      </c>
      <c r="O21" s="227">
        <f>(N21*100%)/20</f>
        <v>0</v>
      </c>
      <c r="P21" s="123"/>
      <c r="Q21" s="123">
        <f>('Plan de Acción 2021'!AB418+'Plan de Acción 2021'!AB419+'Plan de Acción 2021'!AB420+'Plan de Acción 2021'!AB421+'Plan de Acción 2021'!AB422+'Plan de Acción 2021'!AB423+'Plan de Acción 2021'!AB424+'Plan de Acción 2021'!AB425+'Plan de Acción 2021'!AB426+'Plan de Acción 2021'!AB427+'Plan de Acción 2021'!AB428+'Plan de Acción 2021'!AB429)/12</f>
        <v>0</v>
      </c>
      <c r="R21" s="227">
        <f t="shared" ref="R21:R24" si="5">(Q21*100%)/I21</f>
        <v>0</v>
      </c>
      <c r="S21" s="123"/>
      <c r="T21" s="123">
        <f>('Plan de Acción 2021'!AE418+'Plan de Acción 2021'!AE419+'Plan de Acción 2021'!AE420+'Plan de Acción 2021'!AE421+'Plan de Acción 2021'!AE422+'Plan de Acción 2021'!AE423+'Plan de Acción 2021'!AE424+'Plan de Acción 2021'!AE425+'Plan de Acción 2021'!AE426+'Plan de Acción 2021'!AE427+'Plan de Acción 2021'!AE428+'Plan de Acción 2021'!AE429)/12</f>
        <v>0</v>
      </c>
      <c r="U21" s="227">
        <f t="shared" ref="U21:U24" si="6">(T21*100%)/I21</f>
        <v>0</v>
      </c>
      <c r="V21" s="133"/>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row>
    <row r="22" spans="1:347" s="107" customFormat="1" ht="128.25" customHeight="1" x14ac:dyDescent="0.25">
      <c r="A22" s="122" t="s">
        <v>1163</v>
      </c>
      <c r="B22" s="122" t="s">
        <v>1164</v>
      </c>
      <c r="C22" s="1101" t="s">
        <v>1178</v>
      </c>
      <c r="D22" s="122" t="s">
        <v>1179</v>
      </c>
      <c r="E22" s="122" t="s">
        <v>960</v>
      </c>
      <c r="F22" s="122">
        <v>0</v>
      </c>
      <c r="G22" s="123">
        <v>1</v>
      </c>
      <c r="H22" s="131">
        <v>1</v>
      </c>
      <c r="I22" s="123">
        <f>'Plan de Acción 2021'!P430</f>
        <v>1</v>
      </c>
      <c r="J22" s="123">
        <v>1</v>
      </c>
      <c r="K22" s="123">
        <f>('Plan de Acción 2021'!V430+'Plan de Acción 2021'!V431)/2</f>
        <v>0</v>
      </c>
      <c r="L22" s="227">
        <f t="shared" si="4"/>
        <v>0</v>
      </c>
      <c r="M22" s="123"/>
      <c r="N22" s="123">
        <f>('Plan de Acción 2021'!Y430+'Plan de Acción 2021'!Y431)/2</f>
        <v>0</v>
      </c>
      <c r="O22" s="227">
        <f>(N22*100%)/20</f>
        <v>0</v>
      </c>
      <c r="P22" s="123"/>
      <c r="Q22" s="123">
        <f>('Plan de Acción 2021'!AB430+'Plan de Acción 2021'!AB431)/2</f>
        <v>0</v>
      </c>
      <c r="R22" s="227">
        <f t="shared" si="5"/>
        <v>0</v>
      </c>
      <c r="S22" s="130"/>
      <c r="T22" s="123">
        <f>('Plan de Acción 2021'!AE430+'Plan de Acción 2021'!AE431)/2</f>
        <v>0</v>
      </c>
      <c r="U22" s="227">
        <f t="shared" si="6"/>
        <v>0</v>
      </c>
      <c r="V22" s="13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row>
    <row r="23" spans="1:347" s="107" customFormat="1" ht="109.5" customHeight="1" x14ac:dyDescent="0.25">
      <c r="A23" s="122" t="s">
        <v>1163</v>
      </c>
      <c r="B23" s="122" t="s">
        <v>1164</v>
      </c>
      <c r="C23" s="1101"/>
      <c r="D23" s="122" t="s">
        <v>1180</v>
      </c>
      <c r="E23" s="122" t="s">
        <v>1181</v>
      </c>
      <c r="F23" s="122">
        <v>0</v>
      </c>
      <c r="G23" s="123">
        <v>0.25</v>
      </c>
      <c r="H23" s="131">
        <v>0.25</v>
      </c>
      <c r="I23" s="223">
        <v>1</v>
      </c>
      <c r="J23" s="123">
        <v>1</v>
      </c>
      <c r="K23" s="123">
        <f>'Plan de Acción 2021'!V432</f>
        <v>0</v>
      </c>
      <c r="L23" s="227">
        <f>(K23*75%)/(I23-H23)</f>
        <v>0</v>
      </c>
      <c r="M23" s="123"/>
      <c r="N23" s="123">
        <f>'Plan de Acción 2021'!Y432</f>
        <v>0</v>
      </c>
      <c r="O23" s="227">
        <f>(N23*75%)/(I23-H23)</f>
        <v>0</v>
      </c>
      <c r="P23" s="123"/>
      <c r="Q23" s="123">
        <f>'Plan de Acción 2021'!AB432</f>
        <v>0</v>
      </c>
      <c r="R23" s="227">
        <f>(Q23*75%)/(I23-H23)</f>
        <v>0</v>
      </c>
      <c r="S23" s="130"/>
      <c r="T23" s="123">
        <f>'Plan de Acción 2021'!AE432</f>
        <v>0</v>
      </c>
      <c r="U23" s="227">
        <f>(T23*75%)/(I23-H23)</f>
        <v>0</v>
      </c>
      <c r="V23" s="13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row>
    <row r="24" spans="1:347" s="107" customFormat="1" ht="167.25" customHeight="1" x14ac:dyDescent="0.25">
      <c r="A24" s="122" t="s">
        <v>1163</v>
      </c>
      <c r="B24" s="122" t="s">
        <v>1164</v>
      </c>
      <c r="C24" s="1101"/>
      <c r="D24" s="126" t="s">
        <v>763</v>
      </c>
      <c r="E24" s="122" t="s">
        <v>765</v>
      </c>
      <c r="F24" s="122">
        <v>0</v>
      </c>
      <c r="G24" s="123">
        <v>1</v>
      </c>
      <c r="H24" s="134">
        <v>1</v>
      </c>
      <c r="I24" s="123">
        <f>'Plan de Acción 2021'!P433</f>
        <v>1</v>
      </c>
      <c r="J24" s="123">
        <v>1</v>
      </c>
      <c r="K24" s="123">
        <f>('Plan de Acción 2021'!V433+'Plan de Acción 2021'!V434+'Plan de Acción 2021'!V435+'Plan de Acción 2021'!V436+'Plan de Acción 2021'!V437+'Plan de Acción 2021'!V438)/6</f>
        <v>0</v>
      </c>
      <c r="L24" s="227">
        <f t="shared" si="4"/>
        <v>0</v>
      </c>
      <c r="M24" s="123"/>
      <c r="N24" s="123">
        <f>('Plan de Acción 2021'!Y433+'Plan de Acción 2021'!Y434+'Plan de Acción 2021'!Y435+'Plan de Acción 2021'!Y436+'Plan de Acción 2021'!Y437+'Plan de Acción 2021'!Y438)/6</f>
        <v>0</v>
      </c>
      <c r="O24" s="227">
        <f>(N24*100%)/20</f>
        <v>0</v>
      </c>
      <c r="P24" s="123"/>
      <c r="Q24" s="123">
        <f>('Plan de Acción 2021'!AB433+'Plan de Acción 2021'!AB434+'Plan de Acción 2021'!AB435+'Plan de Acción 2021'!AB436+'Plan de Acción 2021'!AB437+'Plan de Acción 2021'!AB438)/6</f>
        <v>0</v>
      </c>
      <c r="R24" s="227">
        <f t="shared" si="5"/>
        <v>0</v>
      </c>
      <c r="S24" s="134"/>
      <c r="T24" s="123">
        <f>('Plan de Acción 2021'!AE433+'Plan de Acción 2021'!AE434+'Plan de Acción 2021'!AE435+'Plan de Acción 2021'!AE436+'Plan de Acción 2021'!AE437+'Plan de Acción 2021'!AE438)/6</f>
        <v>0</v>
      </c>
      <c r="U24" s="227">
        <f t="shared" si="6"/>
        <v>0</v>
      </c>
      <c r="V24" s="135"/>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row>
    <row r="25" spans="1:347" s="107" customFormat="1" ht="89.25" customHeight="1" x14ac:dyDescent="0.25">
      <c r="A25" s="122" t="s">
        <v>1163</v>
      </c>
      <c r="B25" s="122" t="s">
        <v>1164</v>
      </c>
      <c r="C25" s="1101"/>
      <c r="D25" s="122" t="s">
        <v>1182</v>
      </c>
      <c r="E25" s="122" t="s">
        <v>1183</v>
      </c>
      <c r="F25" s="122">
        <v>0</v>
      </c>
      <c r="G25" s="123">
        <v>0.25</v>
      </c>
      <c r="H25" s="131">
        <v>0.25</v>
      </c>
      <c r="I25" s="123">
        <f>'Plan de Acción 2021'!P439</f>
        <v>0.5</v>
      </c>
      <c r="J25" s="123">
        <v>1</v>
      </c>
      <c r="K25" s="123">
        <f>('Plan de Acción 2021'!V439+'Plan de Acción 2021'!V440)/2</f>
        <v>0</v>
      </c>
      <c r="L25" s="227">
        <f>(K25*25%)/(I25-H25)</f>
        <v>0</v>
      </c>
      <c r="M25" s="123"/>
      <c r="N25" s="123">
        <f>('Plan de Acción 2021'!Y439+'Plan de Acción 2021'!Y440)/2</f>
        <v>0</v>
      </c>
      <c r="O25" s="227">
        <f>(N25*25%)/(I25-H25)</f>
        <v>0</v>
      </c>
      <c r="P25" s="123"/>
      <c r="Q25" s="123">
        <f>('Plan de Acción 2021'!AB439+'Plan de Acción 2021'!AB440)/2</f>
        <v>0</v>
      </c>
      <c r="R25" s="227">
        <f>(Q25*25%)/(I25-H25)</f>
        <v>0</v>
      </c>
      <c r="S25" s="130"/>
      <c r="T25" s="123">
        <f>('Plan de Acción 2021'!AE439+'Plan de Acción 2021'!AE440)/2</f>
        <v>0</v>
      </c>
      <c r="U25" s="227">
        <f>(T25*25%)/(I25-H25)</f>
        <v>0</v>
      </c>
      <c r="V25" s="13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row>
    <row r="26" spans="1:347" s="107" customFormat="1" ht="229.5" customHeight="1" x14ac:dyDescent="0.25">
      <c r="A26" s="122" t="s">
        <v>1163</v>
      </c>
      <c r="B26" s="122" t="s">
        <v>1164</v>
      </c>
      <c r="C26" s="1101"/>
      <c r="D26" s="126" t="s">
        <v>1184</v>
      </c>
      <c r="E26" s="122" t="s">
        <v>1185</v>
      </c>
      <c r="F26" s="122">
        <v>0</v>
      </c>
      <c r="G26" s="123">
        <v>0.25</v>
      </c>
      <c r="H26" s="131">
        <v>0.21</v>
      </c>
      <c r="I26" s="123">
        <f>'Plan de Acción 2021'!P441</f>
        <v>0.5</v>
      </c>
      <c r="J26" s="123">
        <v>1</v>
      </c>
      <c r="K26" s="123">
        <f>('Plan de Acción 2021'!V441+'Plan de Acción 2021'!V442+'Plan de Acción 2021'!V443+'Plan de Acción 2021'!V444)/4</f>
        <v>0</v>
      </c>
      <c r="L26" s="227">
        <f>(K26*29%)/(I26-H26)</f>
        <v>0</v>
      </c>
      <c r="M26" s="123"/>
      <c r="N26" s="123">
        <f>('Plan de Acción 2021'!Y441+'Plan de Acción 2021'!Y442+'Plan de Acción 2021'!Y443+'Plan de Acción 2021'!Y444)/4</f>
        <v>0</v>
      </c>
      <c r="O26" s="227">
        <f>(N26*29%)/(I26-H26)</f>
        <v>0</v>
      </c>
      <c r="P26" s="123"/>
      <c r="Q26" s="123">
        <f>('Plan de Acción 2021'!AB441+'Plan de Acción 2021'!AB442+'Plan de Acción 2021'!AB443+'Plan de Acción 2021'!AB444)/4</f>
        <v>0</v>
      </c>
      <c r="R26" s="227">
        <f>(Q26*29%)/(I26-H26)</f>
        <v>0</v>
      </c>
      <c r="S26" s="130"/>
      <c r="T26" s="123">
        <f>('Plan de Acción 2021'!AE441+'Plan de Acción 2021'!AE442+'Plan de Acción 2021'!AE443+'Plan de Acción 2021'!AE444)/4</f>
        <v>0</v>
      </c>
      <c r="U26" s="227">
        <f>(T26*29%)/(I26-H26)</f>
        <v>0</v>
      </c>
      <c r="V26" s="13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row>
    <row r="27" spans="1:347" s="107" customFormat="1" ht="141" customHeight="1" x14ac:dyDescent="0.25">
      <c r="A27" s="122" t="s">
        <v>1163</v>
      </c>
      <c r="B27" s="128" t="s">
        <v>1186</v>
      </c>
      <c r="C27" s="1102" t="s">
        <v>1187</v>
      </c>
      <c r="D27" s="122" t="s">
        <v>746</v>
      </c>
      <c r="E27" s="122" t="s">
        <v>748</v>
      </c>
      <c r="F27" s="126" t="s">
        <v>1188</v>
      </c>
      <c r="G27" s="123">
        <v>0.25</v>
      </c>
      <c r="H27" s="123">
        <v>0.25</v>
      </c>
      <c r="I27" s="123">
        <f>'Plan de Acción 2021'!P446</f>
        <v>0.5</v>
      </c>
      <c r="J27" s="122">
        <v>40</v>
      </c>
      <c r="K27" s="123">
        <f>('Plan de Acción 2021'!V446+'Plan de Acción 2021'!V447+'Plan de Acción 2021'!V448+'Plan de Acción 2021'!V449)/4</f>
        <v>0</v>
      </c>
      <c r="L27" s="227">
        <f>(K27*25%)/(I27-H27)</f>
        <v>0</v>
      </c>
      <c r="M27" s="122"/>
      <c r="N27" s="123">
        <f>('Plan de Acción 2021'!Y446+'Plan de Acción 2021'!Y447+'Plan de Acción 2021'!Y448+'Plan de Acción 2021'!Y449)/4</f>
        <v>0</v>
      </c>
      <c r="O27" s="227">
        <f>(N27*25%)/(I27-H27)</f>
        <v>0</v>
      </c>
      <c r="P27" s="126"/>
      <c r="Q27" s="123">
        <f>('Plan de Acción 2021'!AB446+'Plan de Acción 2021'!AB447+'Plan de Acción 2021'!AB448+'Plan de Acción 2021'!AB449)/4</f>
        <v>0</v>
      </c>
      <c r="R27" s="227">
        <f>(Q27*25%)/(I27-H27)</f>
        <v>0</v>
      </c>
      <c r="S27" s="123"/>
      <c r="T27" s="123">
        <f>('Plan de Acción 2021'!AE446+'Plan de Acción 2021'!AE447+'Plan de Acción 2021'!AE448+'Plan de Acción 2021'!AE449)/4</f>
        <v>0</v>
      </c>
      <c r="U27" s="227">
        <f>(T27*25%)/(I27-H27)</f>
        <v>0</v>
      </c>
      <c r="V27" s="133"/>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row>
    <row r="28" spans="1:347" s="107" customFormat="1" ht="143.25" customHeight="1" x14ac:dyDescent="0.25">
      <c r="A28" s="122" t="s">
        <v>1114</v>
      </c>
      <c r="B28" s="128" t="s">
        <v>1114</v>
      </c>
      <c r="C28" s="1102"/>
      <c r="D28" s="122" t="s">
        <v>996</v>
      </c>
      <c r="E28" s="122" t="s">
        <v>998</v>
      </c>
      <c r="F28" s="122">
        <v>22</v>
      </c>
      <c r="G28" s="231">
        <v>0.4</v>
      </c>
      <c r="H28" s="369">
        <v>0.41</v>
      </c>
      <c r="I28" s="231">
        <f>'Plan de Acción 2021'!P450</f>
        <v>0.5</v>
      </c>
      <c r="J28" s="231">
        <v>0.65</v>
      </c>
      <c r="K28" s="123">
        <f>('Plan de Acción 2021'!V450+'Plan de Acción 2021'!V451+'Plan de Acción 2021'!V452+'Plan de Acción 2021'!V453+'Plan de Acción 2021'!V454+'Plan de Acción 2021'!V455+'Plan de Acción 2021'!V456+'Plan de Acción 2021'!V457+'Plan de Acción 2021'!V458+'Plan de Acción 2021'!V459+'Plan de Acción 2021'!V460+'Plan de Acción 2021'!V461+'Plan de Acción 2021'!V462+'Plan de Acción 2021'!V463+'Plan de Acción 2021'!V464+'Plan de Acción 2021'!V465+'Plan de Acción 2021'!V466+'Plan de Acción 2021'!V467+'Plan de Acción 2021'!V468+'Plan de Acción 2021'!V469+'Plan de Acción 2021'!V470+'Plan de Acción 2021'!V471+'Plan de Acción 2021'!V472+'Plan de Acción 2021'!V473+'Plan de Acción 2021'!V474+'Plan de Acción 2021'!V475+'Plan de Acción 2021'!V476+'Plan de Acción 2021'!V477+'Plan de Acción 2021'!V478+'Plan de Acción 2021'!V479+'Plan de Acción 2021'!V480+'Plan de Acción 2021'!V481+'Plan de Acción 2021'!V482+'Plan de Acción 2021'!V483)/34</f>
        <v>0</v>
      </c>
      <c r="L28" s="227">
        <f>(K28*9%)/(I28-H28)</f>
        <v>0</v>
      </c>
      <c r="M28" s="123"/>
      <c r="N28" s="370"/>
      <c r="O28" s="227">
        <f t="shared" si="1"/>
        <v>0</v>
      </c>
      <c r="P28" s="136"/>
      <c r="Q28" s="136"/>
      <c r="R28" s="227">
        <f t="shared" si="2"/>
        <v>0</v>
      </c>
      <c r="S28" s="136"/>
      <c r="T28" s="136"/>
      <c r="U28" s="227">
        <f t="shared" si="3"/>
        <v>0</v>
      </c>
      <c r="V28" s="371"/>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row>
    <row r="29" spans="1:347" s="107" customFormat="1" ht="156" x14ac:dyDescent="0.25">
      <c r="A29" s="122" t="s">
        <v>1163</v>
      </c>
      <c r="B29" s="128" t="s">
        <v>1186</v>
      </c>
      <c r="C29" s="1102"/>
      <c r="D29" s="122" t="s">
        <v>1034</v>
      </c>
      <c r="E29" s="122" t="s">
        <v>1189</v>
      </c>
      <c r="F29" s="122">
        <v>1</v>
      </c>
      <c r="G29" s="122">
        <v>3</v>
      </c>
      <c r="H29" s="123">
        <v>0.03</v>
      </c>
      <c r="I29" s="123">
        <f>'Plan de Acción 2021'!P484</f>
        <v>0.05</v>
      </c>
      <c r="J29" s="123">
        <v>0.1</v>
      </c>
      <c r="K29" s="123">
        <f>('Plan de Acción 2021'!V484)</f>
        <v>0</v>
      </c>
      <c r="L29" s="227">
        <f>(K29*2%)/(I29-H29)</f>
        <v>0</v>
      </c>
      <c r="M29" s="122"/>
      <c r="N29" s="123">
        <f>('Plan de Acción 2021'!Y484)</f>
        <v>0</v>
      </c>
      <c r="O29" s="227">
        <f>(N29*9%)/(I29-H29)</f>
        <v>0</v>
      </c>
      <c r="P29" s="122"/>
      <c r="Q29" s="123">
        <f>('Plan de Acción 2021'!AB484)</f>
        <v>0</v>
      </c>
      <c r="R29" s="227">
        <f>(Q29*9%)/(I29-H29)</f>
        <v>0</v>
      </c>
      <c r="S29" s="123"/>
      <c r="T29" s="123">
        <f>('Plan de Acción 2021'!AE484)</f>
        <v>0</v>
      </c>
      <c r="U29" s="227">
        <f>(T29*9%)/(I29-H29)</f>
        <v>0</v>
      </c>
      <c r="V29" s="133"/>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row>
    <row r="30" spans="1:347" s="107" customFormat="1" ht="156" x14ac:dyDescent="0.25">
      <c r="A30" s="122" t="s">
        <v>1163</v>
      </c>
      <c r="B30" s="128" t="s">
        <v>1186</v>
      </c>
      <c r="C30" s="1102"/>
      <c r="D30" s="122" t="s">
        <v>1037</v>
      </c>
      <c r="E30" s="122" t="s">
        <v>1039</v>
      </c>
      <c r="F30" s="122">
        <v>0</v>
      </c>
      <c r="G30" s="137">
        <v>1</v>
      </c>
      <c r="H30" s="123">
        <v>1</v>
      </c>
      <c r="I30" s="137">
        <f>'Plan de Acción 2021'!P485</f>
        <v>1</v>
      </c>
      <c r="J30" s="123">
        <v>1</v>
      </c>
      <c r="K30" s="123">
        <f>('Plan de Acción 2021'!V485+'Plan de Acción 2021'!V486+'Plan de Acción 2021'!V487)/3</f>
        <v>0</v>
      </c>
      <c r="L30" s="227">
        <f t="shared" ref="L30" si="7">(K30*100%)/I30</f>
        <v>0</v>
      </c>
      <c r="M30" s="123"/>
      <c r="N30" s="123">
        <f>('Plan de Acción 2021'!Y485+'Plan de Acción 2021'!Y486+'Plan de Acción 2021'!Y487)/3</f>
        <v>0</v>
      </c>
      <c r="O30" s="227">
        <f>(N30*100%)/20</f>
        <v>0</v>
      </c>
      <c r="P30" s="123"/>
      <c r="Q30" s="123">
        <f>('Plan de Acción 2021'!AB485+'Plan de Acción 2021'!AB486+'Plan de Acción 2021'!AB487)/3</f>
        <v>0</v>
      </c>
      <c r="R30" s="227">
        <f t="shared" ref="R30" si="8">(Q30*100%)/I30</f>
        <v>0</v>
      </c>
      <c r="S30" s="130"/>
      <c r="T30" s="123">
        <f>('Plan de Acción 2021'!AE485+'Plan de Acción 2021'!AE486+'Plan de Acción 2021'!AE487)/3</f>
        <v>0</v>
      </c>
      <c r="U30" s="227">
        <f t="shared" ref="U30" si="9">(T30*100%)/I30</f>
        <v>0</v>
      </c>
      <c r="V30" s="13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row>
    <row r="31" spans="1:347" s="107" customFormat="1" ht="126" customHeight="1" x14ac:dyDescent="0.25">
      <c r="A31" s="122" t="s">
        <v>1163</v>
      </c>
      <c r="B31" s="128" t="s">
        <v>1186</v>
      </c>
      <c r="C31" s="1102" t="s">
        <v>1190</v>
      </c>
      <c r="D31" s="122" t="s">
        <v>1070</v>
      </c>
      <c r="E31" s="122" t="s">
        <v>797</v>
      </c>
      <c r="F31" s="122">
        <v>0</v>
      </c>
      <c r="G31" s="137" t="s">
        <v>1191</v>
      </c>
      <c r="H31" s="123">
        <v>0.2</v>
      </c>
      <c r="I31" s="137">
        <f>'Plan de Acción 2021'!P512</f>
        <v>0.5</v>
      </c>
      <c r="J31" s="122">
        <v>4</v>
      </c>
      <c r="K31" s="123">
        <f>'Plan de Acción 2021'!V512</f>
        <v>0</v>
      </c>
      <c r="L31" s="227">
        <f>(K31*30%)/(I31-H31)</f>
        <v>0</v>
      </c>
      <c r="M31" s="122"/>
      <c r="N31" s="123">
        <f>'Plan de Acción 2021'!Y512</f>
        <v>0</v>
      </c>
      <c r="O31" s="227">
        <f>(N31*30%)/(I31-H31)</f>
        <v>0</v>
      </c>
      <c r="P31" s="122"/>
      <c r="Q31" s="123">
        <f>'Plan de Acción 2021'!AB512</f>
        <v>0</v>
      </c>
      <c r="R31" s="227">
        <f>(Q31*30%)/(I31-H31)</f>
        <v>0</v>
      </c>
      <c r="S31" s="122"/>
      <c r="T31" s="123">
        <f>'Plan de Acción 2021'!AE512</f>
        <v>0</v>
      </c>
      <c r="U31" s="227">
        <f>(T31*30%)/(I31-H31)</f>
        <v>0</v>
      </c>
      <c r="V31" s="138"/>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row>
    <row r="32" spans="1:347" s="107" customFormat="1" ht="91.5" customHeight="1" thickBot="1" x14ac:dyDescent="0.3">
      <c r="A32" s="139" t="s">
        <v>1163</v>
      </c>
      <c r="B32" s="140" t="s">
        <v>1186</v>
      </c>
      <c r="C32" s="1103"/>
      <c r="D32" s="139" t="s">
        <v>983</v>
      </c>
      <c r="E32" s="139" t="s">
        <v>1192</v>
      </c>
      <c r="F32" s="139">
        <v>0</v>
      </c>
      <c r="G32" s="141" t="s">
        <v>1191</v>
      </c>
      <c r="H32" s="85">
        <v>0</v>
      </c>
      <c r="I32" s="190">
        <v>0.5</v>
      </c>
      <c r="J32" s="139">
        <v>4</v>
      </c>
      <c r="K32" s="190">
        <f>('Plan de Acción 2021'!V445)</f>
        <v>0</v>
      </c>
      <c r="L32" s="241">
        <f>(K32*50%)/(I32-H32)</f>
        <v>0</v>
      </c>
      <c r="M32" s="139"/>
      <c r="N32" s="190">
        <f>('Plan de Acción 2021'!Y445)</f>
        <v>0</v>
      </c>
      <c r="O32" s="241">
        <f>(N32*50%)/(I32-H32)</f>
        <v>0</v>
      </c>
      <c r="P32" s="139"/>
      <c r="Q32" s="190">
        <f>('Plan de Acción 2021'!AB445)</f>
        <v>0</v>
      </c>
      <c r="R32" s="241">
        <f>(Q32*50%)/(I32-H32)</f>
        <v>0</v>
      </c>
      <c r="S32" s="139"/>
      <c r="T32" s="190">
        <f>('Plan de Acción 2021'!AE445)</f>
        <v>0</v>
      </c>
      <c r="U32" s="241">
        <f>(T32*50%)/(I32-H32)</f>
        <v>0</v>
      </c>
      <c r="V32" s="14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row>
    <row r="33" spans="1:45" ht="69" customHeight="1" thickBot="1" x14ac:dyDescent="0.3">
      <c r="A33" s="1097"/>
      <c r="B33" s="1098"/>
      <c r="C33" s="1098"/>
      <c r="D33" s="1098"/>
      <c r="E33" s="1098"/>
      <c r="F33" s="1098"/>
      <c r="G33" s="1099"/>
      <c r="H33" s="219"/>
      <c r="I33" s="243"/>
      <c r="J33" s="243"/>
      <c r="K33" s="244" t="s">
        <v>1193</v>
      </c>
      <c r="L33" s="245">
        <f>AVERAGE(L7:L15,L17,L20:L32)</f>
        <v>0</v>
      </c>
      <c r="M33" s="244"/>
      <c r="N33" s="244" t="s">
        <v>1194</v>
      </c>
      <c r="O33" s="245">
        <f>AVERAGE(O7:O15,O17,O20:O32)</f>
        <v>0</v>
      </c>
      <c r="P33" s="246"/>
      <c r="Q33" s="244" t="s">
        <v>1195</v>
      </c>
      <c r="R33" s="245">
        <f>AVERAGE(R7:R15,R17,R20:R32)</f>
        <v>0</v>
      </c>
      <c r="S33" s="246"/>
      <c r="T33" s="244" t="s">
        <v>1196</v>
      </c>
      <c r="U33" s="245">
        <f>AVERAGE(U7:U15,U17,U20:U32)</f>
        <v>0</v>
      </c>
      <c r="V33" s="248">
        <f>AVERAGE(V34:V35)/2</f>
        <v>0</v>
      </c>
    </row>
    <row r="34" spans="1:45" ht="26.4" hidden="1" x14ac:dyDescent="0.25">
      <c r="A34" s="102"/>
      <c r="G34" s="143"/>
      <c r="H34" s="143"/>
      <c r="I34" s="143"/>
      <c r="J34" s="143"/>
      <c r="K34" s="242" t="s">
        <v>1114</v>
      </c>
      <c r="L34" s="119">
        <f>AVERAGE(L7+L8+L9+L10+L11+L12+L13+L14+L28)/9</f>
        <v>0</v>
      </c>
      <c r="M34" s="119"/>
      <c r="N34" s="119"/>
      <c r="O34" s="119">
        <f>AVERAGE(O7+O8+O9+O10+O11+O12+O13+O14+O28)/9</f>
        <v>0</v>
      </c>
      <c r="P34" s="119"/>
      <c r="Q34" s="119"/>
      <c r="R34" s="119">
        <f>AVERAGE(R7+R8+R9+R10+R11+R12+R13+R14+R28)/9</f>
        <v>0</v>
      </c>
      <c r="S34" s="119"/>
      <c r="T34" s="119"/>
      <c r="U34" s="119">
        <f>AVERAGE(U7+U8+U9+U10+U11+U12+U13+U14+U28)/9</f>
        <v>0</v>
      </c>
      <c r="V34" s="239">
        <f>AVERAGE(L34+O34+R34+U34)</f>
        <v>0</v>
      </c>
    </row>
    <row r="35" spans="1:45" ht="52.8" hidden="1" x14ac:dyDescent="0.25">
      <c r="A35" s="102"/>
      <c r="D35" s="143"/>
      <c r="G35" s="143"/>
      <c r="H35" s="143"/>
      <c r="I35" s="143"/>
      <c r="J35" s="143"/>
      <c r="K35" s="237" t="s">
        <v>1197</v>
      </c>
      <c r="L35" s="129">
        <f>AVERAGE(L15+L17+L20+L21+L22+L23+L24+L25+L26+L27+L29+L30+L31+L32)/14</f>
        <v>0</v>
      </c>
      <c r="M35" s="129"/>
      <c r="N35" s="129"/>
      <c r="O35" s="129">
        <f>AVERAGE(O15+O17+O20+O21+O22+O23+O24+O25+O26+O27+O29+O30+O31+O32)/14</f>
        <v>0</v>
      </c>
      <c r="P35" s="129"/>
      <c r="Q35" s="129"/>
      <c r="R35" s="129">
        <f>AVERAGE(R15+R17+R20+R21+R22+R23+R24+R25+R26+R27+R29+R30+R31+R32)/14</f>
        <v>0</v>
      </c>
      <c r="S35" s="129"/>
      <c r="T35" s="129"/>
      <c r="U35" s="129">
        <f>AVERAGE(U15+U17+U20+U21+U22+U23+U24+U25+U26+U27+U29+U30+U31+U32)/14</f>
        <v>0</v>
      </c>
      <c r="V35" s="129">
        <f>AVERAGE(L35+O35+R35+U35)</f>
        <v>0</v>
      </c>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row>
    <row r="36" spans="1:45" ht="16.2" thickBot="1" x14ac:dyDescent="0.3"/>
    <row r="37" spans="1:45" s="411" customFormat="1" ht="13.95" customHeight="1" thickTop="1" x14ac:dyDescent="0.25">
      <c r="A37" s="1060" t="s">
        <v>1084</v>
      </c>
      <c r="B37" s="1061"/>
      <c r="C37" s="1061"/>
      <c r="D37" s="1061"/>
      <c r="E37" s="1061"/>
      <c r="F37" s="1061"/>
      <c r="G37" s="1061"/>
      <c r="H37" s="1061"/>
      <c r="I37" s="1062"/>
      <c r="J37" s="1066" t="s">
        <v>1085</v>
      </c>
      <c r="K37" s="1067"/>
      <c r="L37" s="1067"/>
      <c r="M37" s="1067"/>
      <c r="N37" s="1067"/>
      <c r="O37" s="1067"/>
      <c r="P37" s="1067"/>
      <c r="Q37" s="1068"/>
      <c r="R37" s="1066" t="s">
        <v>1086</v>
      </c>
      <c r="S37" s="1072"/>
      <c r="T37" s="1060" t="s">
        <v>1087</v>
      </c>
      <c r="U37" s="1061"/>
      <c r="V37" s="1061"/>
      <c r="W37" s="1061"/>
      <c r="X37" s="1074"/>
      <c r="Y37" s="1055">
        <v>1</v>
      </c>
      <c r="Z37" s="410"/>
      <c r="AC37" s="410"/>
      <c r="AF37" s="410"/>
    </row>
    <row r="38" spans="1:45" s="411" customFormat="1" ht="13.2" customHeight="1" thickBot="1" x14ac:dyDescent="0.3">
      <c r="A38" s="1063"/>
      <c r="B38" s="1064"/>
      <c r="C38" s="1064"/>
      <c r="D38" s="1064"/>
      <c r="E38" s="1064"/>
      <c r="F38" s="1064"/>
      <c r="G38" s="1064"/>
      <c r="H38" s="1064"/>
      <c r="I38" s="1065"/>
      <c r="J38" s="1069"/>
      <c r="K38" s="1070"/>
      <c r="L38" s="1070"/>
      <c r="M38" s="1070"/>
      <c r="N38" s="1070"/>
      <c r="O38" s="1070"/>
      <c r="P38" s="1070"/>
      <c r="Q38" s="1071"/>
      <c r="R38" s="1069"/>
      <c r="S38" s="1073"/>
      <c r="T38" s="1063"/>
      <c r="U38" s="1064"/>
      <c r="V38" s="1064"/>
      <c r="W38" s="1064"/>
      <c r="X38" s="1075"/>
      <c r="Y38" s="1056"/>
      <c r="Z38" s="410"/>
      <c r="AC38" s="410"/>
      <c r="AF38" s="410"/>
    </row>
    <row r="39" spans="1:45" x14ac:dyDescent="0.25">
      <c r="G39" s="143"/>
      <c r="H39" s="143"/>
      <c r="I39" s="143"/>
      <c r="J39" s="143"/>
      <c r="K39" s="143"/>
      <c r="L39" s="143"/>
      <c r="M39" s="143"/>
    </row>
    <row r="40" spans="1:45" x14ac:dyDescent="0.25">
      <c r="G40" s="143"/>
      <c r="H40" s="143"/>
      <c r="I40" s="143"/>
      <c r="J40" s="143"/>
      <c r="K40" s="143"/>
      <c r="L40" s="143"/>
      <c r="M40" s="143"/>
      <c r="N40" s="144"/>
    </row>
    <row r="41" spans="1:45" x14ac:dyDescent="0.25">
      <c r="G41" s="143"/>
      <c r="H41" s="143"/>
      <c r="I41" s="143"/>
      <c r="J41" s="143"/>
      <c r="K41" s="143"/>
      <c r="L41" s="143"/>
      <c r="M41" s="143"/>
      <c r="N41" s="144"/>
    </row>
  </sheetData>
  <mergeCells count="25">
    <mergeCell ref="C11:C14"/>
    <mergeCell ref="A1:V1"/>
    <mergeCell ref="A2:V2"/>
    <mergeCell ref="A3:V3"/>
    <mergeCell ref="N4:P4"/>
    <mergeCell ref="Q4:S4"/>
    <mergeCell ref="T4:V4"/>
    <mergeCell ref="AB4:AG4"/>
    <mergeCell ref="AH4:AM4"/>
    <mergeCell ref="AN4:AS4"/>
    <mergeCell ref="C6:C7"/>
    <mergeCell ref="C8:C10"/>
    <mergeCell ref="K4:M4"/>
    <mergeCell ref="A4:J4"/>
    <mergeCell ref="A33:G33"/>
    <mergeCell ref="C15:C19"/>
    <mergeCell ref="C20:C21"/>
    <mergeCell ref="C22:C26"/>
    <mergeCell ref="C27:C30"/>
    <mergeCell ref="C31:C32"/>
    <mergeCell ref="A37:I38"/>
    <mergeCell ref="J37:Q38"/>
    <mergeCell ref="R37:S38"/>
    <mergeCell ref="T37:X38"/>
    <mergeCell ref="Y37:Y38"/>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34"/>
  <sheetViews>
    <sheetView topLeftCell="M25" zoomScaleNormal="100" workbookViewId="0">
      <selection activeCell="M36" sqref="M36"/>
    </sheetView>
  </sheetViews>
  <sheetFormatPr baseColWidth="10" defaultColWidth="11.44140625" defaultRowHeight="13.2" x14ac:dyDescent="0.25"/>
  <cols>
    <col min="1" max="1" width="7.33203125" style="148" hidden="1" customWidth="1"/>
    <col min="2" max="2" width="3.109375" style="148" hidden="1" customWidth="1"/>
    <col min="3" max="3" width="7.77734375" style="148" hidden="1" customWidth="1"/>
    <col min="4" max="4" width="14.44140625" style="148" customWidth="1"/>
    <col min="5" max="5" width="10.44140625" style="193" customWidth="1"/>
    <col min="6" max="6" width="27.33203125" style="148" customWidth="1"/>
    <col min="7" max="7" width="22.109375" style="148" customWidth="1"/>
    <col min="8" max="8" width="24" style="148" customWidth="1"/>
    <col min="9" max="9" width="6.44140625" style="148" customWidth="1"/>
    <col min="10" max="14" width="8.109375" style="148" customWidth="1"/>
    <col min="15" max="15" width="11.6640625" style="148" customWidth="1"/>
    <col min="16" max="16" width="8.109375" style="148" customWidth="1"/>
    <col min="17" max="17" width="15.33203125" style="148" customWidth="1"/>
    <col min="18" max="18" width="9.77734375" style="148" customWidth="1"/>
    <col min="19" max="19" width="15.33203125" style="148" customWidth="1"/>
    <col min="20" max="20" width="10.33203125" style="148" customWidth="1"/>
    <col min="21" max="21" width="9.33203125" style="148" customWidth="1"/>
    <col min="22" max="22" width="20" style="148" customWidth="1"/>
    <col min="23" max="23" width="15" style="148" customWidth="1"/>
    <col min="24" max="24" width="20.109375" style="148" customWidth="1"/>
    <col min="25" max="26" width="17" style="148" customWidth="1"/>
    <col min="27" max="27" width="12.44140625" style="148" customWidth="1"/>
    <col min="28" max="28" width="12.77734375" style="148" customWidth="1"/>
    <col min="29" max="30" width="11.44140625" style="148" customWidth="1"/>
    <col min="31" max="31" width="18.109375" style="148" customWidth="1"/>
    <col min="32" max="32" width="18" style="148" customWidth="1"/>
    <col min="33" max="33" width="16" style="148" customWidth="1"/>
    <col min="34" max="36" width="11.44140625" style="148" customWidth="1"/>
    <col min="37" max="37" width="17.6640625" style="148" customWidth="1"/>
    <col min="38" max="38" width="13.44140625" style="148" customWidth="1"/>
    <col min="39" max="39" width="14.77734375" style="148" customWidth="1"/>
    <col min="40" max="42" width="11.44140625" style="148" customWidth="1"/>
    <col min="43" max="43" width="18.109375" style="148" customWidth="1"/>
    <col min="44" max="45" width="13.44140625" style="148" customWidth="1"/>
    <col min="46" max="47" width="11.44140625" style="148" customWidth="1"/>
    <col min="48" max="48" width="14" style="148" bestFit="1" customWidth="1"/>
    <col min="49" max="49" width="46" style="148" bestFit="1" customWidth="1"/>
    <col min="50" max="50" width="6.33203125" style="148" customWidth="1"/>
    <col min="51" max="16384" width="11.44140625" style="148"/>
  </cols>
  <sheetData>
    <row r="1" spans="1:73" ht="13.8" x14ac:dyDescent="0.25">
      <c r="A1" s="145"/>
      <c r="B1" s="1148"/>
      <c r="C1" s="1148"/>
      <c r="D1" s="1148"/>
      <c r="E1" s="1148"/>
      <c r="F1" s="1148"/>
      <c r="G1" s="1148"/>
      <c r="H1" s="1148"/>
      <c r="I1" s="1148"/>
      <c r="J1" s="1148"/>
      <c r="K1" s="1148"/>
      <c r="L1" s="1148"/>
      <c r="M1" s="1148"/>
      <c r="N1" s="1148"/>
      <c r="O1" s="1148"/>
      <c r="P1" s="1148"/>
      <c r="Q1" s="1148"/>
      <c r="R1" s="1148"/>
      <c r="S1" s="1148"/>
      <c r="T1" s="1148"/>
      <c r="U1" s="1148"/>
      <c r="V1" s="1148"/>
      <c r="W1" s="1148"/>
      <c r="X1" s="1148"/>
      <c r="Y1" s="1148"/>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7"/>
    </row>
    <row r="2" spans="1:73" ht="52.5" customHeight="1" thickBot="1" x14ac:dyDescent="0.3">
      <c r="A2" s="149"/>
      <c r="B2" s="1149"/>
      <c r="C2" s="1149"/>
      <c r="D2" s="1149"/>
      <c r="E2" s="1149"/>
      <c r="F2" s="1149"/>
      <c r="G2" s="1149"/>
      <c r="H2" s="1149"/>
      <c r="I2" s="1149"/>
      <c r="J2" s="1149"/>
      <c r="K2" s="1149"/>
      <c r="L2" s="1149"/>
      <c r="M2" s="1149"/>
      <c r="N2" s="1149"/>
      <c r="O2" s="1149"/>
      <c r="P2" s="1149"/>
      <c r="Q2" s="1149"/>
      <c r="R2" s="1149"/>
      <c r="S2" s="1149"/>
      <c r="T2" s="1149"/>
      <c r="U2" s="1149"/>
      <c r="V2" s="1149"/>
      <c r="W2" s="1149"/>
      <c r="X2" s="1149"/>
      <c r="Y2" s="1149"/>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7"/>
    </row>
    <row r="3" spans="1:73" ht="16.2" thickBot="1" x14ac:dyDescent="0.3">
      <c r="A3" s="1150" t="s">
        <v>1088</v>
      </c>
      <c r="B3" s="1151"/>
      <c r="C3" s="1151"/>
      <c r="D3" s="1151"/>
      <c r="E3" s="1151"/>
      <c r="F3" s="1151"/>
      <c r="G3" s="1151"/>
      <c r="H3" s="1151"/>
      <c r="I3" s="1151"/>
      <c r="J3" s="1151"/>
      <c r="K3" s="1151"/>
      <c r="L3" s="1151"/>
      <c r="M3" s="1151"/>
      <c r="N3" s="1151"/>
      <c r="O3" s="1151"/>
      <c r="P3" s="1151"/>
      <c r="Q3" s="1151"/>
      <c r="R3" s="1151"/>
      <c r="S3" s="1151"/>
      <c r="T3" s="1151"/>
      <c r="U3" s="1151"/>
      <c r="V3" s="1151"/>
      <c r="W3" s="1151"/>
      <c r="X3" s="1151"/>
      <c r="Y3" s="1151"/>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1"/>
    </row>
    <row r="4" spans="1:73" ht="18.600000000000001" thickBot="1" x14ac:dyDescent="0.3">
      <c r="A4" s="1152" t="s">
        <v>1198</v>
      </c>
      <c r="B4" s="1153"/>
      <c r="C4" s="1153"/>
      <c r="D4" s="1153"/>
      <c r="E4" s="1153"/>
      <c r="F4" s="1153"/>
      <c r="G4" s="1153"/>
      <c r="H4" s="1153"/>
      <c r="I4" s="1153"/>
      <c r="J4" s="1153"/>
      <c r="K4" s="1153"/>
      <c r="L4" s="1153"/>
      <c r="M4" s="1153"/>
      <c r="N4" s="1153"/>
      <c r="O4" s="1153"/>
      <c r="P4" s="1153"/>
      <c r="Q4" s="1153"/>
      <c r="R4" s="1153"/>
      <c r="S4" s="1153"/>
      <c r="T4" s="1153"/>
      <c r="U4" s="1153"/>
      <c r="V4" s="1153"/>
      <c r="W4" s="1153"/>
      <c r="X4" s="1153"/>
      <c r="Y4" s="1153"/>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3"/>
    </row>
    <row r="5" spans="1:73" ht="20.25" customHeight="1" x14ac:dyDescent="0.3">
      <c r="A5" s="154"/>
      <c r="B5" s="154"/>
      <c r="C5" s="154"/>
      <c r="D5" s="1146" t="s">
        <v>1090</v>
      </c>
      <c r="E5" s="1147"/>
      <c r="F5" s="1147"/>
      <c r="G5" s="1147"/>
      <c r="H5" s="1147"/>
      <c r="I5" s="1147"/>
      <c r="J5" s="1147"/>
      <c r="K5" s="1147"/>
      <c r="L5" s="1147"/>
      <c r="M5" s="1147"/>
      <c r="N5" s="1092" t="s">
        <v>1091</v>
      </c>
      <c r="O5" s="1092"/>
      <c r="P5" s="1092"/>
      <c r="Q5" s="1092" t="s">
        <v>1092</v>
      </c>
      <c r="R5" s="1092"/>
      <c r="S5" s="1092"/>
      <c r="T5" s="1092" t="s">
        <v>1093</v>
      </c>
      <c r="U5" s="1092"/>
      <c r="V5" s="1092"/>
      <c r="W5" s="1092" t="s">
        <v>1094</v>
      </c>
      <c r="X5" s="1092"/>
      <c r="Y5" s="1092"/>
      <c r="Z5" s="155"/>
      <c r="AA5" s="155"/>
      <c r="AB5" s="155"/>
      <c r="AC5" s="155"/>
      <c r="AD5" s="155"/>
      <c r="AE5" s="1144">
        <v>2022</v>
      </c>
      <c r="AF5" s="1144"/>
      <c r="AG5" s="1144"/>
      <c r="AH5" s="1144"/>
      <c r="AI5" s="1144"/>
      <c r="AJ5" s="1144"/>
      <c r="AK5" s="1145"/>
      <c r="AL5" s="1145"/>
      <c r="AM5" s="1145"/>
      <c r="AN5" s="1145"/>
      <c r="AO5" s="1145"/>
      <c r="AP5" s="1145"/>
      <c r="AQ5" s="1145"/>
      <c r="AR5" s="1145"/>
      <c r="AS5" s="1145"/>
      <c r="AT5" s="1145"/>
      <c r="AU5" s="1145"/>
      <c r="AV5" s="1145"/>
      <c r="AW5" s="156"/>
      <c r="AX5" s="156"/>
      <c r="AY5" s="157"/>
      <c r="AZ5" s="157"/>
      <c r="BA5" s="157"/>
      <c r="BB5" s="157"/>
      <c r="BC5" s="157"/>
      <c r="BD5" s="157"/>
      <c r="BE5" s="157"/>
      <c r="BF5" s="157"/>
      <c r="BG5" s="157"/>
      <c r="BH5" s="157"/>
      <c r="BI5" s="157"/>
      <c r="BJ5" s="157"/>
      <c r="BK5" s="157"/>
      <c r="BL5" s="157"/>
      <c r="BM5" s="157"/>
      <c r="BN5" s="157"/>
      <c r="BO5" s="157"/>
      <c r="BP5" s="157"/>
      <c r="BQ5" s="157"/>
      <c r="BR5" s="157"/>
      <c r="BS5" s="157"/>
      <c r="BT5" s="157"/>
      <c r="BU5" s="157"/>
    </row>
    <row r="6" spans="1:73" s="168" customFormat="1" ht="66" x14ac:dyDescent="0.25">
      <c r="A6" s="158" t="s">
        <v>1095</v>
      </c>
      <c r="B6" s="159" t="s">
        <v>1199</v>
      </c>
      <c r="C6" s="160" t="s">
        <v>1200</v>
      </c>
      <c r="D6" s="161" t="s">
        <v>1098</v>
      </c>
      <c r="E6" s="162" t="s">
        <v>1099</v>
      </c>
      <c r="F6" s="163" t="s">
        <v>1100</v>
      </c>
      <c r="G6" s="163" t="s">
        <v>1101</v>
      </c>
      <c r="H6" s="163" t="s">
        <v>1102</v>
      </c>
      <c r="I6" s="159" t="s">
        <v>1103</v>
      </c>
      <c r="J6" s="159" t="s">
        <v>1149</v>
      </c>
      <c r="K6" s="159" t="s">
        <v>1105</v>
      </c>
      <c r="L6" s="159" t="s">
        <v>1106</v>
      </c>
      <c r="M6" s="159" t="s">
        <v>1107</v>
      </c>
      <c r="N6" s="32" t="s">
        <v>1108</v>
      </c>
      <c r="O6" s="32" t="s">
        <v>1109</v>
      </c>
      <c r="P6" s="32" t="s">
        <v>1110</v>
      </c>
      <c r="Q6" s="32" t="s">
        <v>1108</v>
      </c>
      <c r="R6" s="32" t="s">
        <v>1109</v>
      </c>
      <c r="S6" s="32" t="s">
        <v>1110</v>
      </c>
      <c r="T6" s="32" t="s">
        <v>1108</v>
      </c>
      <c r="U6" s="32" t="s">
        <v>1109</v>
      </c>
      <c r="V6" s="32" t="s">
        <v>1110</v>
      </c>
      <c r="W6" s="32" t="s">
        <v>1108</v>
      </c>
      <c r="X6" s="32" t="s">
        <v>1109</v>
      </c>
      <c r="Y6" s="32" t="s">
        <v>1110</v>
      </c>
      <c r="Z6" s="164"/>
      <c r="AA6" s="165"/>
      <c r="AB6" s="164"/>
      <c r="AC6" s="164"/>
      <c r="AD6" s="164"/>
      <c r="AE6" s="164"/>
      <c r="AF6" s="164"/>
      <c r="AG6" s="165"/>
      <c r="AH6" s="164"/>
      <c r="AI6" s="164"/>
      <c r="AJ6" s="164"/>
      <c r="AK6" s="164"/>
      <c r="AL6" s="164"/>
      <c r="AM6" s="165"/>
      <c r="AN6" s="164"/>
      <c r="AO6" s="164"/>
      <c r="AP6" s="164"/>
      <c r="AQ6" s="164"/>
      <c r="AR6" s="164"/>
      <c r="AS6" s="165"/>
      <c r="AT6" s="164"/>
      <c r="AU6" s="164"/>
      <c r="AV6" s="164"/>
      <c r="AW6" s="164"/>
      <c r="AX6" s="166"/>
      <c r="AY6" s="166"/>
      <c r="AZ6" s="166"/>
      <c r="BA6" s="167"/>
      <c r="BB6" s="167"/>
      <c r="BC6" s="167"/>
      <c r="BD6" s="167"/>
      <c r="BE6" s="167"/>
      <c r="BF6" s="167"/>
      <c r="BG6" s="167"/>
      <c r="BH6" s="167"/>
      <c r="BI6" s="167"/>
      <c r="BJ6" s="167"/>
      <c r="BK6" s="167"/>
      <c r="BL6" s="167"/>
      <c r="BM6" s="167"/>
      <c r="BN6" s="167"/>
      <c r="BO6" s="167"/>
      <c r="BP6" s="167"/>
      <c r="BQ6" s="167"/>
      <c r="BR6" s="167"/>
      <c r="BS6" s="167"/>
      <c r="BT6" s="167"/>
      <c r="BU6" s="167"/>
    </row>
    <row r="7" spans="1:73" s="168" customFormat="1" ht="6.75" customHeight="1" x14ac:dyDescent="0.25">
      <c r="A7" s="158"/>
      <c r="B7" s="159"/>
      <c r="C7" s="160"/>
      <c r="D7" s="161"/>
      <c r="E7" s="162"/>
      <c r="F7" s="163"/>
      <c r="G7" s="163"/>
      <c r="H7" s="163"/>
      <c r="I7" s="159"/>
      <c r="J7" s="159"/>
      <c r="K7" s="159"/>
      <c r="L7" s="159"/>
      <c r="M7" s="159"/>
      <c r="N7" s="32"/>
      <c r="O7" s="32"/>
      <c r="P7" s="32"/>
      <c r="Q7" s="32"/>
      <c r="R7" s="32"/>
      <c r="S7" s="32"/>
      <c r="T7" s="32"/>
      <c r="U7" s="32"/>
      <c r="V7" s="32"/>
      <c r="W7" s="32"/>
      <c r="X7" s="32"/>
      <c r="Y7" s="372"/>
      <c r="Z7" s="164"/>
      <c r="AA7" s="165"/>
      <c r="AB7" s="164"/>
      <c r="AC7" s="164"/>
      <c r="AD7" s="164"/>
      <c r="AE7" s="164"/>
      <c r="AF7" s="164"/>
      <c r="AG7" s="165"/>
      <c r="AH7" s="164"/>
      <c r="AI7" s="164"/>
      <c r="AJ7" s="164"/>
      <c r="AK7" s="164"/>
      <c r="AL7" s="164"/>
      <c r="AM7" s="165"/>
      <c r="AN7" s="164"/>
      <c r="AO7" s="164"/>
      <c r="AP7" s="164"/>
      <c r="AQ7" s="164"/>
      <c r="AR7" s="164"/>
      <c r="AS7" s="165"/>
      <c r="AT7" s="164"/>
      <c r="AU7" s="164"/>
      <c r="AV7" s="164"/>
      <c r="AW7" s="164"/>
      <c r="AX7" s="166"/>
      <c r="AY7" s="166"/>
      <c r="AZ7" s="166"/>
      <c r="BA7" s="167"/>
      <c r="BB7" s="167"/>
      <c r="BC7" s="167"/>
      <c r="BD7" s="167"/>
      <c r="BE7" s="167"/>
      <c r="BF7" s="167"/>
      <c r="BG7" s="167"/>
      <c r="BH7" s="167"/>
      <c r="BI7" s="167"/>
      <c r="BJ7" s="167"/>
      <c r="BK7" s="167"/>
      <c r="BL7" s="167"/>
      <c r="BM7" s="167"/>
      <c r="BN7" s="167"/>
      <c r="BO7" s="167"/>
      <c r="BP7" s="167"/>
      <c r="BQ7" s="167"/>
      <c r="BR7" s="167"/>
      <c r="BS7" s="167"/>
      <c r="BT7" s="167"/>
      <c r="BU7" s="167"/>
    </row>
    <row r="8" spans="1:73" s="157" customFormat="1" ht="62.4" x14ac:dyDescent="0.25">
      <c r="A8" s="122">
        <v>1</v>
      </c>
      <c r="B8" s="122">
        <v>0</v>
      </c>
      <c r="C8" s="169">
        <v>1</v>
      </c>
      <c r="D8" s="170" t="s">
        <v>1111</v>
      </c>
      <c r="E8" s="122" t="s">
        <v>1201</v>
      </c>
      <c r="F8" s="122" t="s">
        <v>1202</v>
      </c>
      <c r="G8" s="122" t="s">
        <v>1203</v>
      </c>
      <c r="H8" s="122" t="s">
        <v>207</v>
      </c>
      <c r="I8" s="123">
        <v>0.6</v>
      </c>
      <c r="J8" s="123">
        <v>0.7</v>
      </c>
      <c r="K8" s="123">
        <v>0.6</v>
      </c>
      <c r="L8" s="123">
        <f>'Plan de Acción 2021'!P68</f>
        <v>0.8</v>
      </c>
      <c r="M8" s="123">
        <v>1</v>
      </c>
      <c r="N8" s="123">
        <f>('Plan de Acción 2021'!V68+'Plan de Acción 2021'!V69+'Plan de Acción 2021'!V70+'Plan de Acción 2021'!V71+'Plan de Acción 2021'!V72+'Plan de Acción 2021'!V73+'Plan de Acción 2021'!V74+'Plan de Acción 2021'!V75+'Plan de Acción 2021'!V76+'Plan de Acción 2021'!V77+'Plan de Acción 2021'!V78+'Plan de Acción 2021'!V79+'Plan de Acción 2021'!V80+'Plan de Acción 2021'!V81+'Plan de Acción 2021'!V82+'Plan de Acción 2021'!V83+'Plan de Acción 2021'!V84+'Plan de Acción 2021'!V85+'Plan de Acción 2021'!V86+'Plan de Acción 2021'!V143+'Plan de Acción 2021'!V144+'Plan de Acción 2021'!V145)/22</f>
        <v>0</v>
      </c>
      <c r="O8" s="231">
        <f>(N8*20%)/(L8-K8)</f>
        <v>0</v>
      </c>
      <c r="P8" s="123"/>
      <c r="Q8" s="123">
        <f>('Plan de Acción 2021'!Y68+'Plan de Acción 2021'!Y69+'Plan de Acción 2021'!Y70+'Plan de Acción 2021'!Y71+'Plan de Acción 2021'!Y72+'Plan de Acción 2021'!Y73+'Plan de Acción 2021'!Y74+'Plan de Acción 2021'!Y75+'Plan de Acción 2021'!Y76+'Plan de Acción 2021'!Y77+'Plan de Acción 2021'!Y78+'Plan de Acción 2021'!Y79+'Plan de Acción 2021'!Y80+'Plan de Acción 2021'!Y81+'Plan de Acción 2021'!Y82+'Plan de Acción 2021'!Y83+'Plan de Acción 2021'!Y84+'Plan de Acción 2021'!Y85+'Plan de Acción 2021'!Y86+'Plan de Acción 2021'!Y143+'Plan de Acción 2021'!Y144+'Plan de Acción 2021'!Y145)/22</f>
        <v>0</v>
      </c>
      <c r="R8" s="231">
        <f>(Q8*20%)/(L8-K8)</f>
        <v>0</v>
      </c>
      <c r="S8" s="123"/>
      <c r="T8" s="123">
        <f>('Plan de Acción 2021'!AB68+'Plan de Acción 2021'!AB69+'Plan de Acción 2021'!AB70+'Plan de Acción 2021'!AB71+'Plan de Acción 2021'!AB72+'Plan de Acción 2021'!AB73+'Plan de Acción 2021'!AB74+'Plan de Acción 2021'!AB75+'Plan de Acción 2021'!AB76+'Plan de Acción 2021'!AB77+'Plan de Acción 2021'!AB78+'Plan de Acción 2021'!AB79+'Plan de Acción 2021'!AB80+'Plan de Acción 2021'!AB81+'Plan de Acción 2021'!AB82+'Plan de Acción 2021'!AB83+'Plan de Acción 2021'!AB84+'Plan de Acción 2021'!AB85+'Plan de Acción 2021'!AB86+'Plan de Acción 2021'!AB143+'Plan de Acción 2021'!AB144+'Plan de Acción 2021'!AB145)/22</f>
        <v>0</v>
      </c>
      <c r="U8" s="231">
        <f>(T8*20)/(L8-K8)</f>
        <v>0</v>
      </c>
      <c r="V8" s="122"/>
      <c r="W8" s="123">
        <f>('Plan de Acción 2021'!AE68+'Plan de Acción 2021'!AE69+'Plan de Acción 2021'!AE70+'Plan de Acción 2021'!AE71+'Plan de Acción 2021'!AE72+'Plan de Acción 2021'!AE73+'Plan de Acción 2021'!AE74+'Plan de Acción 2021'!AE75+'Plan de Acción 2021'!AE76+'Plan de Acción 2021'!AE77+'Plan de Acción 2021'!AE78+'Plan de Acción 2021'!AE79+'Plan de Acción 2021'!AE80+'Plan de Acción 2021'!AE81+'Plan de Acción 2021'!AE82+'Plan de Acción 2021'!AE83+'Plan de Acción 2021'!AE84+'Plan de Acción 2021'!AE85+'Plan de Acción 2021'!AE86+'Plan de Acción 2021'!AE143+'Plan de Acción 2021'!AE144+'Plan de Acción 2021'!AE145)/22</f>
        <v>0</v>
      </c>
      <c r="X8" s="231">
        <f>(W8*20)/(L8-K8)</f>
        <v>0</v>
      </c>
      <c r="Y8" s="171"/>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row>
    <row r="9" spans="1:73" ht="46.8" x14ac:dyDescent="0.25">
      <c r="A9" s="127">
        <v>2</v>
      </c>
      <c r="B9" s="127">
        <v>1</v>
      </c>
      <c r="C9" s="172">
        <v>0</v>
      </c>
      <c r="D9" s="173" t="s">
        <v>1114</v>
      </c>
      <c r="E9" s="128" t="s">
        <v>1204</v>
      </c>
      <c r="F9" s="127" t="s">
        <v>671</v>
      </c>
      <c r="G9" s="128" t="s">
        <v>672</v>
      </c>
      <c r="H9" s="127" t="s">
        <v>1205</v>
      </c>
      <c r="I9" s="127" t="s">
        <v>59</v>
      </c>
      <c r="J9" s="129">
        <v>0.25</v>
      </c>
      <c r="K9" s="174">
        <v>0.02</v>
      </c>
      <c r="L9" s="129">
        <f>'Plan de Acción 2021'!P280</f>
        <v>0.5</v>
      </c>
      <c r="M9" s="129">
        <v>1</v>
      </c>
      <c r="N9" s="129">
        <f>'Plan de Acción 2021'!V280</f>
        <v>0</v>
      </c>
      <c r="O9" s="231">
        <f>(N9*48%)/(L9-K9)</f>
        <v>0</v>
      </c>
      <c r="P9" s="129"/>
      <c r="Q9" s="129">
        <f>'Plan de Acción 2021'!Y280</f>
        <v>0</v>
      </c>
      <c r="R9" s="231">
        <f>(Q9*48)/(L9-K9)</f>
        <v>0</v>
      </c>
      <c r="S9" s="127"/>
      <c r="T9" s="129">
        <f>'Plan de Acción 2021'!AB280</f>
        <v>0</v>
      </c>
      <c r="U9" s="231">
        <f>(T9*48)/(L9-K9)</f>
        <v>0</v>
      </c>
      <c r="V9" s="122"/>
      <c r="W9" s="129">
        <f>'Plan de Acción 2021'!AE280</f>
        <v>0</v>
      </c>
      <c r="X9" s="231">
        <f>(W9*48)/(L9-K9)</f>
        <v>0</v>
      </c>
      <c r="Y9" s="175"/>
    </row>
    <row r="10" spans="1:73" s="157" customFormat="1" ht="62.4" x14ac:dyDescent="0.25">
      <c r="A10" s="1100">
        <v>3</v>
      </c>
      <c r="B10" s="122">
        <v>0</v>
      </c>
      <c r="C10" s="169">
        <v>1</v>
      </c>
      <c r="D10" s="170" t="s">
        <v>1111</v>
      </c>
      <c r="E10" s="122" t="s">
        <v>1206</v>
      </c>
      <c r="F10" s="1101" t="s">
        <v>1207</v>
      </c>
      <c r="G10" s="122" t="s">
        <v>1208</v>
      </c>
      <c r="H10" s="122" t="s">
        <v>263</v>
      </c>
      <c r="I10" s="129">
        <v>0.37</v>
      </c>
      <c r="J10" s="129" t="s">
        <v>408</v>
      </c>
      <c r="K10" s="174">
        <v>0.05</v>
      </c>
      <c r="L10" s="129">
        <f>'Plan de Acción 2021'!P95</f>
        <v>0.05</v>
      </c>
      <c r="M10" s="129">
        <v>0.1</v>
      </c>
      <c r="N10" s="129">
        <f>('Plan de Acción 2021'!V95+'Plan de Acción 2021'!V96+'Plan de Acción 2021'!V97+'Plan de Acción 2021'!V132+'Plan de Acción 2021'!V133+'Plan de Acción 2021'!V134)/6</f>
        <v>0</v>
      </c>
      <c r="O10" s="231">
        <f>(N10*5%)/(L10)</f>
        <v>0</v>
      </c>
      <c r="P10" s="129"/>
      <c r="Q10" s="129">
        <f>('Plan de Acción 2021'!Y95+'Plan de Acción 2021'!Y96+'Plan de Acción 2021'!Y97+'Plan de Acción 2021'!Y132+'Plan de Acción 2021'!Y133+'Plan de Acción 2021'!Y134)/6</f>
        <v>0</v>
      </c>
      <c r="R10" s="231">
        <f>(Q10*5%)/L10</f>
        <v>0</v>
      </c>
      <c r="S10" s="123"/>
      <c r="T10" s="129">
        <f>('Plan de Acción 2021'!AB95+'Plan de Acción 2021'!AB96+'Plan de Acción 2021'!AB97+'Plan de Acción 2021'!AB132+'Plan de Acción 2021'!AB133+'Plan de Acción 2021'!AB134)/6</f>
        <v>0</v>
      </c>
      <c r="U10" s="231">
        <f>(T10*5%)/L10</f>
        <v>0</v>
      </c>
      <c r="V10" s="122"/>
      <c r="W10" s="129">
        <f>('Plan de Acción 2021'!AE95+'Plan de Acción 2021'!AE96+'Plan de Acción 2021'!AE97+'Plan de Acción 2021'!AE132+'Plan de Acción 2021'!AE133+'Plan de Acción 2021'!AE134)/6</f>
        <v>0</v>
      </c>
      <c r="X10" s="231">
        <f>(W10*5%)/L10</f>
        <v>0</v>
      </c>
      <c r="Y10" s="171"/>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row>
    <row r="11" spans="1:73" ht="78" x14ac:dyDescent="0.25">
      <c r="A11" s="1100"/>
      <c r="B11" s="127">
        <v>1</v>
      </c>
      <c r="C11" s="172">
        <v>0</v>
      </c>
      <c r="D11" s="173" t="s">
        <v>1209</v>
      </c>
      <c r="E11" s="127" t="s">
        <v>1210</v>
      </c>
      <c r="F11" s="1101"/>
      <c r="G11" s="127" t="s">
        <v>1211</v>
      </c>
      <c r="H11" s="127" t="s">
        <v>270</v>
      </c>
      <c r="I11" s="129">
        <v>0.05</v>
      </c>
      <c r="J11" s="129">
        <v>0.2</v>
      </c>
      <c r="K11" s="176">
        <v>0.06</v>
      </c>
      <c r="L11" s="129">
        <f>'Plan de Acción 2021'!P98</f>
        <v>0.4</v>
      </c>
      <c r="M11" s="129">
        <v>0.8</v>
      </c>
      <c r="N11" s="129">
        <f>'Plan de Acción 2021'!V98</f>
        <v>0</v>
      </c>
      <c r="O11" s="231">
        <f>(N11*34%)/(L11-K11)</f>
        <v>0</v>
      </c>
      <c r="P11" s="129"/>
      <c r="Q11" s="129">
        <f>'Plan de Acción 2021'!Y98</f>
        <v>0</v>
      </c>
      <c r="R11" s="231">
        <f>(Q11*34%)/(L11-K11)</f>
        <v>0</v>
      </c>
      <c r="S11" s="124"/>
      <c r="T11" s="129">
        <f>'Plan de Acción 2021'!AB98</f>
        <v>0</v>
      </c>
      <c r="U11" s="231">
        <f>(T11*34%)/(L11-K11)</f>
        <v>0</v>
      </c>
      <c r="V11" s="130"/>
      <c r="W11" s="129">
        <f>'Plan de Acción 2021'!AE98</f>
        <v>0</v>
      </c>
      <c r="X11" s="231">
        <f>(W11*34%)/(L11-K11)</f>
        <v>0</v>
      </c>
      <c r="Y11" s="177"/>
    </row>
    <row r="12" spans="1:73" ht="93.6" x14ac:dyDescent="0.25">
      <c r="A12" s="1100"/>
      <c r="B12" s="127">
        <v>1</v>
      </c>
      <c r="C12" s="172">
        <v>0</v>
      </c>
      <c r="D12" s="173" t="s">
        <v>1111</v>
      </c>
      <c r="E12" s="127" t="s">
        <v>1206</v>
      </c>
      <c r="F12" s="1101"/>
      <c r="G12" s="127" t="s">
        <v>1212</v>
      </c>
      <c r="H12" s="127" t="s">
        <v>246</v>
      </c>
      <c r="I12" s="129">
        <v>0.8</v>
      </c>
      <c r="J12" s="129">
        <v>0.85</v>
      </c>
      <c r="K12" s="176">
        <v>0.83</v>
      </c>
      <c r="L12" s="129">
        <f>'Plan de Acción 2021'!P87</f>
        <v>0.9</v>
      </c>
      <c r="M12" s="129">
        <v>1</v>
      </c>
      <c r="N12" s="129">
        <f>('Plan de Acción 2021'!V87+'Plan de Acción 2021'!V88+'Plan de Acción 2021'!V89+'Plan de Acción 2021'!V91+'Plan de Acción 2021'!V90+'Plan de Acción 2021'!V92+'Plan de Acción 2021'!V93+'Plan de Acción 2021'!V94+'Plan de Acción 2021'!V146+'Plan de Acción 2021'!V147)/10</f>
        <v>0</v>
      </c>
      <c r="O12" s="231">
        <f>(N12*7%)/(L12-K12)</f>
        <v>0</v>
      </c>
      <c r="P12" s="129"/>
      <c r="Q12" s="129">
        <f>('Plan de Acción 2021'!Y87+'Plan de Acción 2021'!Y88+'Plan de Acción 2021'!Y89+'Plan de Acción 2021'!Y91+'Plan de Acción 2021'!Y90+'Plan de Acción 2021'!Y92+'Plan de Acción 2021'!Y93+'Plan de Acción 2021'!Y94+'Plan de Acción 2021'!Y146+'Plan de Acción 2021'!Y147)/10</f>
        <v>0</v>
      </c>
      <c r="R12" s="231">
        <f>(Q12*7%)/(L12-K12)</f>
        <v>0</v>
      </c>
      <c r="S12" s="129"/>
      <c r="T12" s="129">
        <f>('Plan de Acción 2021'!AB87+'Plan de Acción 2021'!AB88+'Plan de Acción 2021'!AB89+'Plan de Acción 2021'!AB91+'Plan de Acción 2021'!AB90+'Plan de Acción 2021'!AB92+'Plan de Acción 2021'!AB93+'Plan de Acción 2021'!AB94+'Plan de Acción 2021'!AB146+'Plan de Acción 2021'!AB147)/10</f>
        <v>0</v>
      </c>
      <c r="U12" s="231">
        <f>(T12*7%)/(L12-K12)</f>
        <v>0</v>
      </c>
      <c r="V12" s="130"/>
      <c r="W12" s="129">
        <f>('Plan de Acción 2021'!AE87+'Plan de Acción 2021'!AE88+'Plan de Acción 2021'!AE89+'Plan de Acción 2021'!AE91+'Plan de Acción 2021'!AE90+'Plan de Acción 2021'!AE92+'Plan de Acción 2021'!AE93+'Plan de Acción 2021'!AE94+'Plan de Acción 2021'!AE146+'Plan de Acción 2021'!AE147)/10</f>
        <v>0</v>
      </c>
      <c r="X12" s="231">
        <f>(W12*7%)/(L12-K12)</f>
        <v>0</v>
      </c>
      <c r="Y12" s="177"/>
    </row>
    <row r="13" spans="1:73" s="157" customFormat="1" ht="93.6" x14ac:dyDescent="0.25">
      <c r="A13" s="122"/>
      <c r="B13" s="122">
        <v>0</v>
      </c>
      <c r="C13" s="169">
        <v>1</v>
      </c>
      <c r="D13" s="170" t="s">
        <v>1113</v>
      </c>
      <c r="E13" s="128" t="s">
        <v>1113</v>
      </c>
      <c r="F13" s="1101" t="s">
        <v>1213</v>
      </c>
      <c r="G13" s="1101" t="s">
        <v>1214</v>
      </c>
      <c r="H13" s="122" t="s">
        <v>1215</v>
      </c>
      <c r="I13" s="123">
        <v>0.1</v>
      </c>
      <c r="J13" s="123">
        <v>0.9</v>
      </c>
      <c r="K13" s="179">
        <v>0.9</v>
      </c>
      <c r="L13" s="123">
        <f>'Plan de Acción 2021'!P148</f>
        <v>0.95</v>
      </c>
      <c r="M13" s="123">
        <v>1</v>
      </c>
      <c r="N13" s="123">
        <f>'Plan de Acción 2021'!V149</f>
        <v>0</v>
      </c>
      <c r="O13" s="231">
        <f>(N13*5%)/(L13-K13)</f>
        <v>0</v>
      </c>
      <c r="P13" s="123"/>
      <c r="Q13" s="123">
        <f>'Plan de Acción 2021'!Y149</f>
        <v>0</v>
      </c>
      <c r="R13" s="231">
        <f>(Q13*5%)/(L13-K13)</f>
        <v>0</v>
      </c>
      <c r="S13" s="123"/>
      <c r="T13" s="123">
        <f>'Plan de Acción 2021'!AB149</f>
        <v>0</v>
      </c>
      <c r="U13" s="231">
        <f>(T13*5%)/(L13-K13)</f>
        <v>0</v>
      </c>
      <c r="V13" s="178"/>
      <c r="W13" s="123">
        <f>'Plan de Acción 2021'!AE149</f>
        <v>0</v>
      </c>
      <c r="X13" s="231">
        <f>(W13*5%)/(L13-K13)</f>
        <v>0</v>
      </c>
      <c r="Y13" s="180"/>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row>
    <row r="14" spans="1:73" s="157" customFormat="1" ht="93.6" x14ac:dyDescent="0.25">
      <c r="A14" s="122">
        <v>4</v>
      </c>
      <c r="B14" s="122">
        <v>0</v>
      </c>
      <c r="C14" s="169">
        <v>1</v>
      </c>
      <c r="D14" s="170" t="s">
        <v>1113</v>
      </c>
      <c r="E14" s="128" t="s">
        <v>1216</v>
      </c>
      <c r="F14" s="1101"/>
      <c r="G14" s="1101"/>
      <c r="H14" s="122" t="s">
        <v>1217</v>
      </c>
      <c r="I14" s="123">
        <v>0</v>
      </c>
      <c r="J14" s="123">
        <v>0.1</v>
      </c>
      <c r="K14" s="181">
        <v>0.1</v>
      </c>
      <c r="L14" s="123">
        <f>'Plan de Acción 2021'!P149</f>
        <v>0.2</v>
      </c>
      <c r="M14" s="123">
        <v>0.5</v>
      </c>
      <c r="N14" s="123">
        <f>'Plan de Acción 2021'!V149</f>
        <v>0</v>
      </c>
      <c r="O14" s="231">
        <f>(N14*10%)/(L14-K14)</f>
        <v>0</v>
      </c>
      <c r="P14" s="123"/>
      <c r="Q14" s="123">
        <f>'Plan de Acción 2021'!Y149</f>
        <v>0</v>
      </c>
      <c r="R14" s="231">
        <f>(Q14*10)/(L14-K14)</f>
        <v>0</v>
      </c>
      <c r="S14" s="123"/>
      <c r="T14" s="123">
        <f>'Plan de Acción 2021'!AB149</f>
        <v>0</v>
      </c>
      <c r="U14" s="231">
        <f>(T14*10)/(L14-K14)</f>
        <v>0</v>
      </c>
      <c r="V14" s="126"/>
      <c r="W14" s="123">
        <f>'Plan de Acción 2021'!AE149</f>
        <v>0</v>
      </c>
      <c r="X14" s="231">
        <f>(W14*10)/(L14-K14)</f>
        <v>0</v>
      </c>
      <c r="Y14" s="182"/>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row>
    <row r="15" spans="1:73" s="157" customFormat="1" ht="78" x14ac:dyDescent="0.25">
      <c r="A15" s="1100">
        <v>5</v>
      </c>
      <c r="B15" s="122">
        <v>1</v>
      </c>
      <c r="C15" s="169">
        <v>0</v>
      </c>
      <c r="D15" s="170" t="s">
        <v>1113</v>
      </c>
      <c r="E15" s="122" t="s">
        <v>1216</v>
      </c>
      <c r="F15" s="1101" t="s">
        <v>1218</v>
      </c>
      <c r="G15" s="122" t="s">
        <v>1219</v>
      </c>
      <c r="H15" s="122" t="s">
        <v>384</v>
      </c>
      <c r="I15" s="123">
        <v>0.05</v>
      </c>
      <c r="J15" s="123">
        <v>0.12</v>
      </c>
      <c r="K15" s="181">
        <v>0.12</v>
      </c>
      <c r="L15" s="123">
        <f>'Plan de Acción 2021'!P151</f>
        <v>0.24</v>
      </c>
      <c r="M15" s="123">
        <v>0.5</v>
      </c>
      <c r="N15" s="123">
        <f>('Plan de Acción 2021'!V151+'Plan de Acción 2021'!V152+'Plan de Acción 2021'!V153+'Plan de Acción 2021'!V154+'Plan de Acción 2021'!V155+'Plan de Acción 2021'!V156+'Plan de Acción 2021'!V157+'Plan de Acción 2021'!V158+'Plan de Acción 2021'!V159+'Plan de Acción 2021'!V160+'Plan de Acción 2021'!V161+'Plan de Acción 2021'!V162+'Plan de Acción 2021'!V163+'Plan de Acción 2021'!V164+'Plan de Acción 2021'!V165+'Plan de Acción 2021'!V166)/16</f>
        <v>0</v>
      </c>
      <c r="O15" s="231">
        <f>(N15*12%)/(L15-K15)</f>
        <v>0</v>
      </c>
      <c r="P15" s="123"/>
      <c r="Q15" s="123">
        <f>('Plan de Acción 2021'!Y151+'Plan de Acción 2021'!Y152+'Plan de Acción 2021'!Y153+'Plan de Acción 2021'!Y154+'Plan de Acción 2021'!Y155+'Plan de Acción 2021'!Y156+'Plan de Acción 2021'!Y157+'Plan de Acción 2021'!Y158+'Plan de Acción 2021'!Y159+'Plan de Acción 2021'!Y160+'Plan de Acción 2021'!Y161+'Plan de Acción 2021'!Y162+'Plan de Acción 2021'!Y163+'Plan de Acción 2021'!Y164+'Plan de Acción 2021'!Y165+'Plan de Acción 2021'!Y166)/16</f>
        <v>0</v>
      </c>
      <c r="R15" s="231">
        <f>(Q15*12)/(L15-K15)</f>
        <v>0</v>
      </c>
      <c r="S15" s="123"/>
      <c r="T15" s="123">
        <f>('Plan de Acción 2021'!AB151+'Plan de Acción 2021'!AB152+'Plan de Acción 2021'!AB153+'Plan de Acción 2021'!AB154+'Plan de Acción 2021'!AB155+'Plan de Acción 2021'!AB156+'Plan de Acción 2021'!AB157+'Plan de Acción 2021'!AB158+'Plan de Acción 2021'!AB159+'Plan de Acción 2021'!AB160+'Plan de Acción 2021'!AB161+'Plan de Acción 2021'!AB162+'Plan de Acción 2021'!AB163+'Plan de Acción 2021'!AB164+'Plan de Acción 2021'!AB165+'Plan de Acción 2021'!AB166)/16</f>
        <v>0</v>
      </c>
      <c r="U15" s="231">
        <f>(T15*12)/(L15-K15)</f>
        <v>0</v>
      </c>
      <c r="V15" s="126"/>
      <c r="W15" s="123">
        <f>('Plan de Acción 2021'!AE151+'Plan de Acción 2021'!AE152+'Plan de Acción 2021'!AE153+'Plan de Acción 2021'!AE154+'Plan de Acción 2021'!AE155+'Plan de Acción 2021'!AE156+'Plan de Acción 2021'!AE157+'Plan de Acción 2021'!AE158+'Plan de Acción 2021'!AE159+'Plan de Acción 2021'!AE160+'Plan de Acción 2021'!AE161+'Plan de Acción 2021'!AE162+'Plan de Acción 2021'!AE163+'Plan de Acción 2021'!AE164+'Plan de Acción 2021'!AE165+'Plan de Acción 2021'!AE166)/16</f>
        <v>0</v>
      </c>
      <c r="X15" s="231">
        <f>(W15*12)/(L15-K15)</f>
        <v>0</v>
      </c>
      <c r="Y15" s="182"/>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row>
    <row r="16" spans="1:73" ht="140.4" x14ac:dyDescent="0.25">
      <c r="A16" s="1100"/>
      <c r="B16" s="127">
        <v>1</v>
      </c>
      <c r="C16" s="172">
        <v>0</v>
      </c>
      <c r="D16" s="170" t="s">
        <v>1113</v>
      </c>
      <c r="E16" s="122" t="s">
        <v>1216</v>
      </c>
      <c r="F16" s="1101"/>
      <c r="G16" s="127" t="s">
        <v>1220</v>
      </c>
      <c r="H16" s="127" t="s">
        <v>405</v>
      </c>
      <c r="I16" s="127">
        <v>0</v>
      </c>
      <c r="J16" s="127">
        <v>2</v>
      </c>
      <c r="K16" s="176">
        <v>0.01</v>
      </c>
      <c r="L16" s="129">
        <f>'Plan de Acción 2021'!P167</f>
        <v>0.04</v>
      </c>
      <c r="M16" s="127">
        <v>8</v>
      </c>
      <c r="N16" s="129">
        <f>('Plan de Acción 2021'!V167+'Plan de Acción 2021'!V168+'Plan de Acción 2021'!V169)/3</f>
        <v>0</v>
      </c>
      <c r="O16" s="231">
        <f>(N16*3%)/(L16-K16)</f>
        <v>0</v>
      </c>
      <c r="P16" s="127"/>
      <c r="Q16" s="129">
        <f>('Plan de Acción 2021'!Y167+'Plan de Acción 2021'!Y168+'Plan de Acción 2021'!Y169)/3</f>
        <v>0</v>
      </c>
      <c r="R16" s="231">
        <f>(Q16*3)/(L16-K16)</f>
        <v>0</v>
      </c>
      <c r="S16" s="127"/>
      <c r="T16" s="129">
        <f>('Plan de Acción 2021'!AB167+'Plan de Acción 2021'!AB168+'Plan de Acción 2021'!AB169)/3</f>
        <v>0</v>
      </c>
      <c r="U16" s="231">
        <f>(T16*3)/(L16-K16)</f>
        <v>0</v>
      </c>
      <c r="V16" s="130"/>
      <c r="W16" s="129">
        <f>('Plan de Acción 2021'!AE167+'Plan de Acción 2021'!AE168+'Plan de Acción 2021'!AE169)/3</f>
        <v>0</v>
      </c>
      <c r="X16" s="231">
        <f>(W16*3)/(L16-K16)</f>
        <v>0</v>
      </c>
      <c r="Y16" s="177"/>
    </row>
    <row r="17" spans="1:52" ht="78" x14ac:dyDescent="0.25">
      <c r="A17" s="1100"/>
      <c r="B17" s="127">
        <v>1</v>
      </c>
      <c r="C17" s="172">
        <v>0</v>
      </c>
      <c r="D17" s="170" t="s">
        <v>1113</v>
      </c>
      <c r="E17" s="127" t="s">
        <v>1221</v>
      </c>
      <c r="F17" s="1101"/>
      <c r="G17" s="127" t="s">
        <v>1222</v>
      </c>
      <c r="H17" s="127" t="s">
        <v>412</v>
      </c>
      <c r="I17" s="129">
        <v>0.4</v>
      </c>
      <c r="J17" s="129">
        <v>0.5</v>
      </c>
      <c r="K17" s="176">
        <v>0.5</v>
      </c>
      <c r="L17" s="129">
        <f>'Plan de Acción 2021'!P170</f>
        <v>0.7</v>
      </c>
      <c r="M17" s="129">
        <v>1</v>
      </c>
      <c r="N17" s="129">
        <f>'Plan de Acción 2021'!V170</f>
        <v>0</v>
      </c>
      <c r="O17" s="231">
        <f>(N17*20%)/(L17-K17)</f>
        <v>0</v>
      </c>
      <c r="P17" s="129"/>
      <c r="Q17" s="129">
        <f>'Plan de Acción 2021'!Y170</f>
        <v>0</v>
      </c>
      <c r="R17" s="231">
        <f>(Q17*20)/(L17-K17)</f>
        <v>0</v>
      </c>
      <c r="S17" s="129"/>
      <c r="T17" s="129">
        <f>'Plan de Acción 2021'!AB170</f>
        <v>0</v>
      </c>
      <c r="U17" s="231">
        <f>(T17*20)/(L17-K17)</f>
        <v>0</v>
      </c>
      <c r="V17" s="130"/>
      <c r="W17" s="129">
        <f>'Plan de Acción 2021'!AE170</f>
        <v>0</v>
      </c>
      <c r="X17" s="231">
        <f>(W17*20)/(L17-K17)</f>
        <v>0</v>
      </c>
      <c r="Y17" s="177"/>
    </row>
    <row r="18" spans="1:52" ht="78" x14ac:dyDescent="0.25">
      <c r="A18" s="1100"/>
      <c r="B18" s="127">
        <v>1</v>
      </c>
      <c r="C18" s="172">
        <v>0</v>
      </c>
      <c r="D18" s="170" t="s">
        <v>1113</v>
      </c>
      <c r="E18" s="128" t="s">
        <v>1216</v>
      </c>
      <c r="F18" s="1101"/>
      <c r="G18" s="127" t="s">
        <v>1223</v>
      </c>
      <c r="H18" s="127" t="s">
        <v>1224</v>
      </c>
      <c r="I18" s="129">
        <v>0.4</v>
      </c>
      <c r="J18" s="129">
        <v>0.6</v>
      </c>
      <c r="K18" s="176">
        <v>0.6</v>
      </c>
      <c r="L18" s="129">
        <f>'Plan de Acción 2021'!P171</f>
        <v>0.75</v>
      </c>
      <c r="M18" s="129">
        <v>1</v>
      </c>
      <c r="N18" s="129">
        <f>'Plan de Acción 2021'!V171</f>
        <v>0</v>
      </c>
      <c r="O18" s="231">
        <f>(N18*15%)/(L18-K18)</f>
        <v>0</v>
      </c>
      <c r="P18" s="129"/>
      <c r="Q18" s="129">
        <f>'Plan de Acción 2021'!Y171</f>
        <v>0</v>
      </c>
      <c r="R18" s="231">
        <f>(Q18*15)/(L18-K18)</f>
        <v>0</v>
      </c>
      <c r="S18" s="127"/>
      <c r="T18" s="129">
        <f>'Plan de Acción 2021'!AB171</f>
        <v>0</v>
      </c>
      <c r="U18" s="231">
        <f>(T18*15)/(L18-K18)</f>
        <v>0</v>
      </c>
      <c r="V18" s="130"/>
      <c r="W18" s="129">
        <f>'Plan de Acción 2021'!AE171</f>
        <v>0</v>
      </c>
      <c r="X18" s="231">
        <f>(W18*15)/(L18-K18)</f>
        <v>0</v>
      </c>
      <c r="Y18" s="183"/>
    </row>
    <row r="19" spans="1:52" ht="78" x14ac:dyDescent="0.25">
      <c r="A19" s="1100"/>
      <c r="B19" s="127">
        <v>1</v>
      </c>
      <c r="C19" s="172">
        <v>0</v>
      </c>
      <c r="D19" s="170" t="s">
        <v>1113</v>
      </c>
      <c r="E19" s="128" t="s">
        <v>1216</v>
      </c>
      <c r="F19" s="1101"/>
      <c r="G19" s="1100" t="s">
        <v>1225</v>
      </c>
      <c r="H19" s="127" t="s">
        <v>1226</v>
      </c>
      <c r="I19" s="129">
        <v>0.2</v>
      </c>
      <c r="J19" s="129">
        <v>0.6</v>
      </c>
      <c r="K19" s="176">
        <v>0.6</v>
      </c>
      <c r="L19" s="129">
        <f>'Plan de Acción 2021'!P172</f>
        <v>1</v>
      </c>
      <c r="M19" s="129">
        <v>1</v>
      </c>
      <c r="N19" s="129">
        <f>('Plan de Acción 2021'!V172)</f>
        <v>0</v>
      </c>
      <c r="O19" s="231">
        <f>(N19*40%)/(L19-K19)</f>
        <v>0</v>
      </c>
      <c r="P19" s="129"/>
      <c r="Q19" s="129">
        <f>('Plan de Acción 2021'!Y172)</f>
        <v>0</v>
      </c>
      <c r="R19" s="231">
        <f>(Q19*40%)/(L19-K19)</f>
        <v>0</v>
      </c>
      <c r="S19" s="129"/>
      <c r="T19" s="129">
        <f>('Plan de Acción 2021'!AB172)</f>
        <v>0</v>
      </c>
      <c r="U19" s="231">
        <f>(T19*40%)/(L19-K19)</f>
        <v>0</v>
      </c>
      <c r="V19" s="373"/>
      <c r="W19" s="129">
        <f>('Plan de Acción 2021'!AE172)</f>
        <v>0</v>
      </c>
      <c r="X19" s="231">
        <f>(W19*40%)/(L19-K19)</f>
        <v>0</v>
      </c>
      <c r="Y19" s="183"/>
    </row>
    <row r="20" spans="1:52" ht="93.6" x14ac:dyDescent="0.25">
      <c r="A20" s="1100"/>
      <c r="B20" s="127">
        <v>1</v>
      </c>
      <c r="C20" s="172">
        <v>0</v>
      </c>
      <c r="D20" s="170" t="s">
        <v>1113</v>
      </c>
      <c r="E20" s="128" t="s">
        <v>1216</v>
      </c>
      <c r="F20" s="1101"/>
      <c r="G20" s="1100"/>
      <c r="H20" s="127" t="s">
        <v>1227</v>
      </c>
      <c r="I20" s="129">
        <v>0</v>
      </c>
      <c r="J20" s="129">
        <v>0.1</v>
      </c>
      <c r="K20" s="176">
        <v>0.1</v>
      </c>
      <c r="L20" s="129">
        <f>'Plan de Acción 2021'!P173</f>
        <v>0.3</v>
      </c>
      <c r="M20" s="129">
        <v>0.7</v>
      </c>
      <c r="N20" s="129">
        <f>'Plan de Acción 2021'!V173</f>
        <v>0</v>
      </c>
      <c r="O20" s="231">
        <f>(N20*20%)/(L20-K20)</f>
        <v>0</v>
      </c>
      <c r="P20" s="129"/>
      <c r="Q20" s="129">
        <f>'Plan de Acción 2021'!Y173</f>
        <v>0</v>
      </c>
      <c r="R20" s="231">
        <f>(Q20*20)/(L20-K20)</f>
        <v>0</v>
      </c>
      <c r="S20" s="129"/>
      <c r="T20" s="129">
        <f>'Plan de Acción 2021'!AB173</f>
        <v>0</v>
      </c>
      <c r="U20" s="231">
        <f>(T20*20)/(L20-K20)</f>
        <v>0</v>
      </c>
      <c r="V20" s="373"/>
      <c r="W20" s="129">
        <f>'Plan de Acción 2021'!AE173</f>
        <v>0</v>
      </c>
      <c r="X20" s="231">
        <f>(W20*20)/(L20-K20)</f>
        <v>0</v>
      </c>
      <c r="Y20" s="177"/>
    </row>
    <row r="21" spans="1:52" ht="78" x14ac:dyDescent="0.25">
      <c r="A21" s="1100"/>
      <c r="B21" s="127">
        <v>1</v>
      </c>
      <c r="C21" s="172">
        <v>0</v>
      </c>
      <c r="D21" s="170" t="s">
        <v>1113</v>
      </c>
      <c r="E21" s="128" t="s">
        <v>1216</v>
      </c>
      <c r="F21" s="1101"/>
      <c r="G21" s="127" t="s">
        <v>1228</v>
      </c>
      <c r="H21" s="127" t="s">
        <v>423</v>
      </c>
      <c r="I21" s="129">
        <v>0.2</v>
      </c>
      <c r="J21" s="129">
        <v>0.4</v>
      </c>
      <c r="K21" s="176">
        <v>0.37</v>
      </c>
      <c r="L21" s="129">
        <f>'Plan de Acción 2021'!P174</f>
        <v>0.6</v>
      </c>
      <c r="M21" s="129">
        <v>1</v>
      </c>
      <c r="N21" s="129">
        <f>('Plan de Acción 2021'!V174+'Plan de Acción 2021'!V175)/2</f>
        <v>0</v>
      </c>
      <c r="O21" s="231">
        <f>(N21*23%)/(L21-K21)</f>
        <v>0</v>
      </c>
      <c r="P21" s="129"/>
      <c r="Q21" s="129"/>
      <c r="R21" s="231">
        <f>(Q21*23)/(L21-K21)</f>
        <v>0</v>
      </c>
      <c r="S21" s="123"/>
      <c r="T21" s="123"/>
      <c r="U21" s="231">
        <f>(T21*23%)/(L21-K21)</f>
        <v>0</v>
      </c>
      <c r="V21" s="130"/>
      <c r="W21" s="176"/>
      <c r="X21" s="231">
        <f>(W21*23%)/(L21-K21)</f>
        <v>0</v>
      </c>
      <c r="Y21" s="177"/>
    </row>
    <row r="22" spans="1:52" ht="93.6" x14ac:dyDescent="0.25">
      <c r="A22" s="1100"/>
      <c r="B22" s="127">
        <v>1</v>
      </c>
      <c r="C22" s="172">
        <v>0</v>
      </c>
      <c r="D22" s="170" t="s">
        <v>1113</v>
      </c>
      <c r="E22" s="128" t="s">
        <v>1216</v>
      </c>
      <c r="F22" s="1101"/>
      <c r="G22" s="127" t="s">
        <v>1229</v>
      </c>
      <c r="H22" s="127" t="s">
        <v>428</v>
      </c>
      <c r="I22" s="129">
        <v>0.2</v>
      </c>
      <c r="J22" s="129">
        <v>0.4</v>
      </c>
      <c r="K22" s="179">
        <v>0.3</v>
      </c>
      <c r="L22" s="129">
        <f>'Plan de Acción 2021'!P176</f>
        <v>0.6</v>
      </c>
      <c r="M22" s="129">
        <v>1</v>
      </c>
      <c r="N22" s="129">
        <f>('Plan de Acción 2021'!V176+'Plan de Acción 2021'!V177+'Plan de Acción 2021'!V178+'Plan de Acción 2021'!V212+'Plan de Acción 2021'!V213+'Plan de Acción 2021'!V214+'Plan de Acción 2021'!V215+'Plan de Acción 2021'!V216+'Plan de Acción 2021'!V217+'Plan de Acción 2021'!V218+'Plan de Acción 2021'!V219+'Plan de Acción 2021'!V220)/12</f>
        <v>0</v>
      </c>
      <c r="O22" s="231">
        <f>(N22*30%)/(L22-K22)</f>
        <v>0</v>
      </c>
      <c r="P22" s="129"/>
      <c r="Q22" s="129">
        <f>('Plan de Acción 2021'!Y176+'Plan de Acción 2021'!Y177+'Plan de Acción 2021'!Y178+'Plan de Acción 2021'!Y212+'Plan de Acción 2021'!Y213+'Plan de Acción 2021'!Y214+'Plan de Acción 2021'!Y215+'Plan de Acción 2021'!Y216+'Plan de Acción 2021'!Y217+'Plan de Acción 2021'!Y218+'Plan de Acción 2021'!Y219+'Plan de Acción 2021'!Y220)/12</f>
        <v>0</v>
      </c>
      <c r="R22" s="231">
        <f>(Q22*30%)/(L22-K22)</f>
        <v>0</v>
      </c>
      <c r="S22" s="127"/>
      <c r="T22" s="129">
        <f>('Plan de Acción 2021'!AB176+'Plan de Acción 2021'!AB177+'Plan de Acción 2021'!AB178+'Plan de Acción 2021'!AB212+'Plan de Acción 2021'!AB213+'Plan de Acción 2021'!AB214+'Plan de Acción 2021'!AB215+'Plan de Acción 2021'!AB216+'Plan de Acción 2021'!AB217+'Plan de Acción 2021'!AB218+'Plan de Acción 2021'!AB219+'Plan de Acción 2021'!AB220)/12</f>
        <v>0</v>
      </c>
      <c r="U22" s="231">
        <f>(T22*30%)/(L22-K22)</f>
        <v>0</v>
      </c>
      <c r="V22" s="178"/>
      <c r="W22" s="129">
        <f>('Plan de Acción 2021'!AE176+'Plan de Acción 2021'!AE177+'Plan de Acción 2021'!AE178+'Plan de Acción 2021'!AE212+'Plan de Acción 2021'!AE213+'Plan de Acción 2021'!AE214+'Plan de Acción 2021'!AE215+'Plan de Acción 2021'!AE216+'Plan de Acción 2021'!AE217+'Plan de Acción 2021'!AE218+'Plan de Acción 2021'!AE219+'Plan de Acción 2021'!AE220)/12</f>
        <v>0</v>
      </c>
      <c r="X22" s="231">
        <f>(W22*30%)/(L22-K22)</f>
        <v>0</v>
      </c>
      <c r="Y22" s="184"/>
    </row>
    <row r="23" spans="1:52" s="157" customFormat="1" ht="62.4" x14ac:dyDescent="0.25">
      <c r="A23" s="1143">
        <v>6</v>
      </c>
      <c r="B23" s="185">
        <v>0</v>
      </c>
      <c r="C23" s="186">
        <v>1</v>
      </c>
      <c r="D23" s="170" t="s">
        <v>1114</v>
      </c>
      <c r="E23" s="128" t="s">
        <v>1</v>
      </c>
      <c r="F23" s="1103" t="s">
        <v>706</v>
      </c>
      <c r="G23" s="178" t="s">
        <v>1230</v>
      </c>
      <c r="H23" s="126" t="s">
        <v>813</v>
      </c>
      <c r="I23" s="136">
        <v>0</v>
      </c>
      <c r="J23" s="123">
        <v>0.25</v>
      </c>
      <c r="K23" s="174">
        <v>0.2</v>
      </c>
      <c r="L23" s="123">
        <f>'Plan de Acción 2021'!V345</f>
        <v>0</v>
      </c>
      <c r="M23" s="136">
        <v>1</v>
      </c>
      <c r="N23" s="136">
        <f>'Plan de Acción 2021'!V345</f>
        <v>0</v>
      </c>
      <c r="O23" s="231">
        <f>(N23*33%)/(L23-K23)</f>
        <v>0</v>
      </c>
      <c r="P23" s="136"/>
      <c r="Q23" s="136">
        <f>'Plan de Acción 2021'!Y345</f>
        <v>0</v>
      </c>
      <c r="R23" s="231">
        <f>(Q23*33%)/(L23-K23)</f>
        <v>0</v>
      </c>
      <c r="S23" s="123"/>
      <c r="T23" s="136">
        <f>'Plan de Acción 2021'!AB345</f>
        <v>0</v>
      </c>
      <c r="U23" s="231">
        <f>(T23*33%)/(L23-K23)</f>
        <v>0</v>
      </c>
      <c r="V23" s="123"/>
      <c r="W23" s="136">
        <f>'Plan de Acción 2021'!AE345</f>
        <v>0</v>
      </c>
      <c r="X23" s="231">
        <f>(W23*33%)/(L23-K23)</f>
        <v>0</v>
      </c>
      <c r="Y23" s="187"/>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row>
    <row r="24" spans="1:52" s="157" customFormat="1" ht="62.4" x14ac:dyDescent="0.25">
      <c r="A24" s="1143"/>
      <c r="B24" s="185">
        <v>0</v>
      </c>
      <c r="C24" s="186">
        <v>1</v>
      </c>
      <c r="D24" s="214" t="s">
        <v>1114</v>
      </c>
      <c r="E24" s="140" t="s">
        <v>1</v>
      </c>
      <c r="F24" s="1141"/>
      <c r="G24" s="188" t="s">
        <v>798</v>
      </c>
      <c r="H24" s="188" t="s">
        <v>800</v>
      </c>
      <c r="I24" s="189">
        <v>0</v>
      </c>
      <c r="J24" s="190">
        <v>0.25</v>
      </c>
      <c r="K24" s="190">
        <v>0.1</v>
      </c>
      <c r="L24" s="190">
        <f>'Plan de Acción 2021'!P338</f>
        <v>0.5</v>
      </c>
      <c r="M24" s="189">
        <v>1</v>
      </c>
      <c r="N24" s="189">
        <f>'Plan de Acción 2021'!V338</f>
        <v>0</v>
      </c>
      <c r="O24" s="231">
        <f>(N24*40%)/(L24-K24)</f>
        <v>0</v>
      </c>
      <c r="P24" s="189"/>
      <c r="Q24" s="189">
        <f>'Plan de Acción 2021'!Y338</f>
        <v>0</v>
      </c>
      <c r="R24" s="231">
        <f>(Q24*40%)/(L24-K24)</f>
        <v>0</v>
      </c>
      <c r="S24" s="190"/>
      <c r="T24" s="189">
        <f>'Plan de Acción 2021'!AB338</f>
        <v>0</v>
      </c>
      <c r="U24" s="231">
        <f>(T24*40%)/(L24-K24)</f>
        <v>0</v>
      </c>
      <c r="V24" s="190"/>
      <c r="W24" s="189">
        <f>'Plan de Acción 2021'!AE338</f>
        <v>0</v>
      </c>
      <c r="X24" s="231">
        <f>(W24*40%)/(L24-K24)</f>
        <v>0</v>
      </c>
      <c r="Y24" s="215"/>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row>
    <row r="25" spans="1:52" s="157" customFormat="1" ht="63" thickBot="1" x14ac:dyDescent="0.3">
      <c r="A25" s="107"/>
      <c r="B25" s="107"/>
      <c r="C25" s="107"/>
      <c r="D25" s="214" t="s">
        <v>1114</v>
      </c>
      <c r="E25" s="140" t="s">
        <v>1</v>
      </c>
      <c r="F25" s="1142"/>
      <c r="G25" s="216" t="s">
        <v>1231</v>
      </c>
      <c r="H25" s="216" t="s">
        <v>709</v>
      </c>
      <c r="I25" s="189">
        <v>0</v>
      </c>
      <c r="J25" s="190">
        <v>0.25</v>
      </c>
      <c r="K25" s="190">
        <v>0.1</v>
      </c>
      <c r="L25" s="191">
        <f>'Plan de Acción 2021'!P339</f>
        <v>0.5</v>
      </c>
      <c r="M25" s="217">
        <v>1</v>
      </c>
      <c r="N25" s="217">
        <f>'Plan de Acción 2021'!V339</f>
        <v>0</v>
      </c>
      <c r="O25" s="231">
        <f>(N25*40%)/(L25-K25)</f>
        <v>0</v>
      </c>
      <c r="P25" s="217"/>
      <c r="Q25" s="217">
        <f>'Plan de Acción 2021'!Y339</f>
        <v>0</v>
      </c>
      <c r="R25" s="231">
        <f>(Q25*40%)/(L25-K25)</f>
        <v>0</v>
      </c>
      <c r="S25" s="191"/>
      <c r="T25" s="217">
        <f>'Plan de Acción 2021'!AB339</f>
        <v>0</v>
      </c>
      <c r="U25" s="231">
        <f>(T25*40%)/(L25-K25)</f>
        <v>0</v>
      </c>
      <c r="V25" s="191"/>
      <c r="W25" s="217">
        <f>'Plan de Acción 2021'!AE339</f>
        <v>0</v>
      </c>
      <c r="X25" s="231">
        <f>(W25*40%)/(L25-K25)</f>
        <v>0</v>
      </c>
      <c r="Y25" s="191"/>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row>
    <row r="26" spans="1:52" ht="62.4" x14ac:dyDescent="0.25">
      <c r="A26" s="102">
        <v>6</v>
      </c>
      <c r="B26" s="102"/>
      <c r="C26" s="102"/>
      <c r="D26" s="1138"/>
      <c r="E26" s="1139"/>
      <c r="F26" s="1139"/>
      <c r="G26" s="1139"/>
      <c r="H26" s="1139"/>
      <c r="I26" s="1139"/>
      <c r="J26" s="1140"/>
      <c r="K26" s="236"/>
      <c r="L26" s="236"/>
      <c r="M26" s="236"/>
      <c r="N26" s="244" t="s">
        <v>1193</v>
      </c>
      <c r="O26" s="245">
        <f>AVERAGE(O8:O25)</f>
        <v>0</v>
      </c>
      <c r="P26" s="244"/>
      <c r="Q26" s="244" t="s">
        <v>1194</v>
      </c>
      <c r="R26" s="245">
        <f>AVERAGE(R8:R25)</f>
        <v>0</v>
      </c>
      <c r="S26" s="246"/>
      <c r="T26" s="244" t="s">
        <v>1195</v>
      </c>
      <c r="U26" s="245">
        <f>AVERAGE(U8:U25)</f>
        <v>0</v>
      </c>
      <c r="V26" s="246"/>
      <c r="W26" s="244" t="s">
        <v>1196</v>
      </c>
      <c r="X26" s="245">
        <f>AVERAGE(X8:X25)</f>
        <v>0</v>
      </c>
      <c r="Y26" s="247">
        <f>AVERAGE(Y27:Y29)/3</f>
        <v>0</v>
      </c>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row>
    <row r="27" spans="1:52" ht="35.25" hidden="1" customHeight="1" x14ac:dyDescent="0.25">
      <c r="E27" s="148"/>
      <c r="N27" s="237" t="s">
        <v>1111</v>
      </c>
      <c r="O27" s="238">
        <f>AVERAGE(O8+O10+O11+O12)/4</f>
        <v>0</v>
      </c>
      <c r="P27" s="197"/>
      <c r="Q27" s="197"/>
      <c r="R27" s="238">
        <f>AVERAGE(R8+R10+R11+R12)/4</f>
        <v>0</v>
      </c>
      <c r="S27" s="197"/>
      <c r="T27" s="197"/>
      <c r="U27" s="238">
        <f>AVERAGE(U8+U10+U11+U12)/4</f>
        <v>0</v>
      </c>
      <c r="V27" s="197"/>
      <c r="W27" s="197"/>
      <c r="X27" s="238">
        <f>AVERAGE(X8+X10+X11+X12)/4</f>
        <v>0</v>
      </c>
      <c r="Y27" s="238">
        <f>AVERAGE(O27+R27+U27+X27)</f>
        <v>0</v>
      </c>
    </row>
    <row r="28" spans="1:52" ht="52.8" hidden="1" x14ac:dyDescent="0.25">
      <c r="E28" s="148"/>
      <c r="N28" s="237" t="s">
        <v>1114</v>
      </c>
      <c r="O28" s="238">
        <f>AVERAGE(O9+O23+O24+O25)/4</f>
        <v>0</v>
      </c>
      <c r="P28" s="197"/>
      <c r="Q28" s="197"/>
      <c r="R28" s="238">
        <f>AVERAGE(R9+R23+R24+R25)/4</f>
        <v>0</v>
      </c>
      <c r="S28" s="197"/>
      <c r="T28" s="197"/>
      <c r="U28" s="238">
        <f>AVERAGE(U9+U23+U24+U25)/4</f>
        <v>0</v>
      </c>
      <c r="V28" s="197"/>
      <c r="W28" s="197"/>
      <c r="X28" s="238">
        <f>AVERAGE(X9+X23+X24+X25)/4</f>
        <v>0</v>
      </c>
      <c r="Y28" s="238">
        <f t="shared" ref="Y28:Y29" si="0">AVERAGE(O28+R28+U28+X28)</f>
        <v>0</v>
      </c>
    </row>
    <row r="29" spans="1:52" ht="79.2" hidden="1" x14ac:dyDescent="0.25">
      <c r="E29" s="148"/>
      <c r="N29" s="237" t="s">
        <v>1113</v>
      </c>
      <c r="O29" s="238">
        <f>AVERAGE(O13+O14+O15+O16+O17+O18+O19+O20+O21+O22)/10</f>
        <v>0</v>
      </c>
      <c r="P29" s="197"/>
      <c r="Q29" s="197"/>
      <c r="R29" s="238">
        <f>AVERAGE(R13+R14+R15+R16+R17+R18+R19+R20+R21+R22)/10</f>
        <v>0</v>
      </c>
      <c r="S29" s="197"/>
      <c r="T29" s="197"/>
      <c r="U29" s="238">
        <f>AVERAGE(U13+U14+U15+U16+U17+U18+U19+U20+U21+U22)/10</f>
        <v>0</v>
      </c>
      <c r="V29" s="197"/>
      <c r="W29" s="197"/>
      <c r="X29" s="238">
        <f>AVERAGE(X13+X14+X15+X16+X17+X18+X19+X20+X21+X22)/10</f>
        <v>0</v>
      </c>
      <c r="Y29" s="238">
        <f t="shared" si="0"/>
        <v>0</v>
      </c>
    </row>
    <row r="30" spans="1:52" ht="13.8" thickBot="1" x14ac:dyDescent="0.3"/>
    <row r="31" spans="1:52" s="8" customFormat="1" ht="13.5" customHeight="1" thickTop="1" x14ac:dyDescent="0.25">
      <c r="A31" s="1120" t="s">
        <v>1084</v>
      </c>
      <c r="B31" s="1121"/>
      <c r="C31" s="1121"/>
      <c r="D31" s="1121"/>
      <c r="E31" s="1121"/>
      <c r="F31" s="1121"/>
      <c r="G31" s="1121"/>
      <c r="H31" s="1121"/>
      <c r="I31" s="1122"/>
      <c r="J31" s="1126" t="s">
        <v>1085</v>
      </c>
      <c r="K31" s="1127"/>
      <c r="L31" s="1127"/>
      <c r="M31" s="1127"/>
      <c r="N31" s="1127"/>
      <c r="O31" s="1127"/>
      <c r="P31" s="1127"/>
      <c r="Q31" s="1128"/>
      <c r="R31" s="1126" t="s">
        <v>1086</v>
      </c>
      <c r="S31" s="1132"/>
      <c r="T31" s="1120" t="s">
        <v>1087</v>
      </c>
      <c r="U31" s="1121"/>
      <c r="V31" s="1121"/>
      <c r="W31" s="1121"/>
      <c r="X31" s="1134"/>
      <c r="Y31" s="1136">
        <v>1</v>
      </c>
      <c r="Z31" s="412"/>
      <c r="AC31" s="412"/>
      <c r="AF31" s="412"/>
    </row>
    <row r="32" spans="1:52" s="8" customFormat="1" ht="5.25" customHeight="1" thickBot="1" x14ac:dyDescent="0.3">
      <c r="A32" s="1123"/>
      <c r="B32" s="1124"/>
      <c r="C32" s="1124"/>
      <c r="D32" s="1124"/>
      <c r="E32" s="1124"/>
      <c r="F32" s="1124"/>
      <c r="G32" s="1124"/>
      <c r="H32" s="1124"/>
      <c r="I32" s="1125"/>
      <c r="J32" s="1129"/>
      <c r="K32" s="1130"/>
      <c r="L32" s="1130"/>
      <c r="M32" s="1130"/>
      <c r="N32" s="1130"/>
      <c r="O32" s="1130"/>
      <c r="P32" s="1130"/>
      <c r="Q32" s="1131"/>
      <c r="R32" s="1129"/>
      <c r="S32" s="1133"/>
      <c r="T32" s="1123"/>
      <c r="U32" s="1124"/>
      <c r="V32" s="1124"/>
      <c r="W32" s="1124"/>
      <c r="X32" s="1135"/>
      <c r="Y32" s="1137"/>
      <c r="Z32" s="412"/>
      <c r="AC32" s="412"/>
      <c r="AF32" s="412"/>
    </row>
    <row r="33" spans="18:21" x14ac:dyDescent="0.25">
      <c r="R33" s="193"/>
      <c r="S33" s="194"/>
      <c r="T33" s="194"/>
      <c r="U33" s="194"/>
    </row>
    <row r="34" spans="18:21" x14ac:dyDescent="0.25">
      <c r="R34" s="193"/>
    </row>
  </sheetData>
  <autoFilter ref="A6:BU29" xr:uid="{00000000-0009-0000-0000-000006000000}"/>
  <mergeCells count="26">
    <mergeCell ref="F13:F14"/>
    <mergeCell ref="G13:G14"/>
    <mergeCell ref="D5:M5"/>
    <mergeCell ref="N5:P5"/>
    <mergeCell ref="B1:Y2"/>
    <mergeCell ref="A3:Y3"/>
    <mergeCell ref="A4:Y4"/>
    <mergeCell ref="Q5:S5"/>
    <mergeCell ref="T5:V5"/>
    <mergeCell ref="W5:Y5"/>
    <mergeCell ref="AE5:AJ5"/>
    <mergeCell ref="AK5:AP5"/>
    <mergeCell ref="AQ5:AV5"/>
    <mergeCell ref="A10:A12"/>
    <mergeCell ref="F10:F12"/>
    <mergeCell ref="D26:J26"/>
    <mergeCell ref="F23:F25"/>
    <mergeCell ref="A15:A22"/>
    <mergeCell ref="F15:F22"/>
    <mergeCell ref="G19:G20"/>
    <mergeCell ref="A23:A24"/>
    <mergeCell ref="A31:I32"/>
    <mergeCell ref="J31:Q32"/>
    <mergeCell ref="R31:S32"/>
    <mergeCell ref="T31:X32"/>
    <mergeCell ref="Y31:Y3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92"/>
  <sheetViews>
    <sheetView topLeftCell="A7" zoomScale="85" zoomScaleNormal="85" workbookViewId="0">
      <selection activeCell="K8" sqref="K8"/>
    </sheetView>
  </sheetViews>
  <sheetFormatPr baseColWidth="10" defaultColWidth="11.44140625" defaultRowHeight="13.2" x14ac:dyDescent="0.25"/>
  <cols>
    <col min="1" max="1" width="2.6640625" style="18" customWidth="1"/>
    <col min="2" max="4" width="20.77734375" style="18" customWidth="1"/>
    <col min="5" max="5" width="14.109375" style="18" customWidth="1"/>
    <col min="6" max="6" width="9.109375" style="18" customWidth="1"/>
    <col min="7" max="8" width="11.44140625" style="18"/>
    <col min="9" max="10" width="13.44140625" style="18" customWidth="1"/>
    <col min="11" max="11" width="14.33203125" style="18" customWidth="1"/>
    <col min="12" max="12" width="14.77734375" style="18" customWidth="1"/>
    <col min="13" max="13" width="11.44140625" style="18"/>
    <col min="14" max="15" width="16.33203125" style="18" customWidth="1"/>
    <col min="16" max="16384" width="11.44140625" style="18"/>
  </cols>
  <sheetData>
    <row r="1" spans="2:21" ht="15.75" customHeight="1" thickBot="1" x14ac:dyDescent="0.3">
      <c r="B1" s="1154" t="s">
        <v>1232</v>
      </c>
      <c r="C1" s="1155"/>
      <c r="D1" s="1155"/>
      <c r="E1" s="1155"/>
    </row>
    <row r="2" spans="2:21" ht="45" customHeight="1" x14ac:dyDescent="0.25">
      <c r="B2" s="195" t="s">
        <v>1098</v>
      </c>
      <c r="C2" s="196" t="s">
        <v>1233</v>
      </c>
      <c r="D2" s="195" t="s">
        <v>1098</v>
      </c>
      <c r="E2" s="195" t="s">
        <v>1234</v>
      </c>
      <c r="G2" s="1156" t="s">
        <v>1232</v>
      </c>
      <c r="H2" s="1157"/>
      <c r="I2" s="1157"/>
      <c r="J2" s="1157"/>
      <c r="K2" s="1158"/>
    </row>
    <row r="3" spans="2:21" ht="48.75" customHeight="1" x14ac:dyDescent="0.25">
      <c r="B3" s="43" t="s">
        <v>1111</v>
      </c>
      <c r="C3" s="198">
        <f>AVERAGE('LO INSTITUCIONAL'!Z39+'LO AMBIENTAL'!Y27)/2</f>
        <v>0</v>
      </c>
      <c r="D3" s="43" t="s">
        <v>1111</v>
      </c>
      <c r="E3" s="197">
        <v>12</v>
      </c>
      <c r="H3" s="256" t="s">
        <v>1235</v>
      </c>
      <c r="I3" s="201" t="s">
        <v>1236</v>
      </c>
      <c r="J3" s="200" t="s">
        <v>1237</v>
      </c>
      <c r="K3" s="256" t="s">
        <v>1238</v>
      </c>
      <c r="S3" s="202"/>
      <c r="T3" s="203"/>
      <c r="U3" s="203"/>
    </row>
    <row r="4" spans="2:21" ht="51.75" customHeight="1" x14ac:dyDescent="0.25">
      <c r="B4" s="122" t="s">
        <v>1113</v>
      </c>
      <c r="C4" s="198">
        <f>AVERAGE('LO INSTITUCIONAL'!Z41+'LO AMBIENTAL'!Y29)/2</f>
        <v>0</v>
      </c>
      <c r="D4" s="122" t="s">
        <v>1113</v>
      </c>
      <c r="E4" s="197">
        <v>22</v>
      </c>
      <c r="H4" s="205">
        <f>'LO INSTITUCIONAL'!Z38</f>
        <v>0</v>
      </c>
      <c r="I4" s="197">
        <v>13</v>
      </c>
      <c r="J4" s="204" t="s">
        <v>1239</v>
      </c>
      <c r="K4" s="257">
        <v>26</v>
      </c>
      <c r="S4" s="202"/>
      <c r="T4" s="202"/>
      <c r="U4" s="202"/>
    </row>
    <row r="5" spans="2:21" ht="30" customHeight="1" x14ac:dyDescent="0.25">
      <c r="B5" s="122" t="s">
        <v>1114</v>
      </c>
      <c r="C5" s="198">
        <f>AVERAGE('LO INSTITUCIONAL'!Z40+'LO SOCIAL'!V34+'LO AMBIENTAL'!Y28)/3</f>
        <v>0</v>
      </c>
      <c r="D5" s="122" t="s">
        <v>1114</v>
      </c>
      <c r="E5" s="197">
        <v>17</v>
      </c>
      <c r="H5" s="205">
        <f>'LO SOCIAL'!V33</f>
        <v>0</v>
      </c>
      <c r="I5" s="197">
        <v>8</v>
      </c>
      <c r="J5" s="204" t="s">
        <v>1240</v>
      </c>
      <c r="K5" s="257">
        <v>23</v>
      </c>
      <c r="S5" s="202"/>
      <c r="T5" s="202"/>
      <c r="U5" s="202"/>
    </row>
    <row r="6" spans="2:21" ht="48.75" customHeight="1" thickBot="1" x14ac:dyDescent="0.3">
      <c r="B6" s="122" t="s">
        <v>1163</v>
      </c>
      <c r="C6" s="198">
        <f>AVERAGE('LO SOCIAL'!V35)</f>
        <v>0</v>
      </c>
      <c r="D6" s="122" t="s">
        <v>1163</v>
      </c>
      <c r="E6" s="197">
        <v>14</v>
      </c>
      <c r="H6" s="208">
        <f>'LO AMBIENTAL'!Y26</f>
        <v>0</v>
      </c>
      <c r="I6" s="207">
        <v>6</v>
      </c>
      <c r="J6" s="206" t="s">
        <v>1241</v>
      </c>
      <c r="K6" s="258">
        <v>16</v>
      </c>
      <c r="S6" s="202"/>
      <c r="T6" s="202"/>
      <c r="U6" s="202"/>
    </row>
    <row r="7" spans="2:21" ht="51.75" customHeight="1" x14ac:dyDescent="0.25">
      <c r="B7" s="122" t="s">
        <v>1242</v>
      </c>
      <c r="C7" s="240" t="s">
        <v>59</v>
      </c>
      <c r="D7" s="122" t="s">
        <v>1243</v>
      </c>
      <c r="E7" s="197">
        <v>6</v>
      </c>
      <c r="K7" s="18">
        <f>SUM(K4:K6)</f>
        <v>65</v>
      </c>
    </row>
    <row r="8" spans="2:21" ht="15.6" x14ac:dyDescent="0.3">
      <c r="B8" s="209" t="s">
        <v>1244</v>
      </c>
      <c r="C8" s="211">
        <f>AVERAGE(C3+C4+C5+C6)/4</f>
        <v>0</v>
      </c>
      <c r="D8" s="211"/>
      <c r="E8" s="210">
        <f>SUM(E3:E7)</f>
        <v>71</v>
      </c>
    </row>
    <row r="9" spans="2:21" x14ac:dyDescent="0.25">
      <c r="C9" s="250"/>
      <c r="D9" s="250"/>
    </row>
    <row r="10" spans="2:21" ht="15.75" customHeight="1" x14ac:dyDescent="0.25"/>
    <row r="11" spans="2:21" s="212" customFormat="1" x14ac:dyDescent="0.25"/>
    <row r="13" spans="2:21" x14ac:dyDescent="0.25">
      <c r="B13" s="251" t="s">
        <v>1245</v>
      </c>
      <c r="C13" s="251" t="s">
        <v>1246</v>
      </c>
      <c r="D13" s="259"/>
    </row>
    <row r="14" spans="2:21" x14ac:dyDescent="0.25">
      <c r="B14" s="100">
        <v>10</v>
      </c>
      <c r="C14" s="100">
        <v>1</v>
      </c>
    </row>
    <row r="15" spans="2:21" x14ac:dyDescent="0.25">
      <c r="B15" s="100">
        <v>20</v>
      </c>
      <c r="C15" s="100">
        <v>1</v>
      </c>
    </row>
    <row r="16" spans="2:21" x14ac:dyDescent="0.25">
      <c r="B16" s="100">
        <v>30</v>
      </c>
      <c r="C16" s="100">
        <v>1</v>
      </c>
    </row>
    <row r="17" spans="1:8" x14ac:dyDescent="0.25">
      <c r="B17" s="100">
        <v>40</v>
      </c>
      <c r="C17" s="100">
        <v>1</v>
      </c>
    </row>
    <row r="18" spans="1:8" x14ac:dyDescent="0.25">
      <c r="B18" s="100">
        <v>50</v>
      </c>
      <c r="C18" s="100">
        <v>1</v>
      </c>
    </row>
    <row r="19" spans="1:8" x14ac:dyDescent="0.25">
      <c r="B19" s="100">
        <v>60</v>
      </c>
      <c r="C19" s="100">
        <v>1</v>
      </c>
    </row>
    <row r="20" spans="1:8" x14ac:dyDescent="0.25">
      <c r="B20" s="100">
        <v>70</v>
      </c>
      <c r="C20" s="100">
        <v>1</v>
      </c>
    </row>
    <row r="21" spans="1:8" x14ac:dyDescent="0.25">
      <c r="B21" s="100">
        <v>80</v>
      </c>
      <c r="C21" s="100">
        <v>1</v>
      </c>
    </row>
    <row r="22" spans="1:8" x14ac:dyDescent="0.25">
      <c r="B22" s="100">
        <v>90</v>
      </c>
      <c r="C22" s="100">
        <v>1</v>
      </c>
    </row>
    <row r="23" spans="1:8" x14ac:dyDescent="0.25">
      <c r="B23" s="100">
        <v>100</v>
      </c>
      <c r="C23" s="100">
        <v>1</v>
      </c>
    </row>
    <row r="24" spans="1:8" x14ac:dyDescent="0.25">
      <c r="B24" s="100"/>
      <c r="C24" s="100">
        <f>SUM(C14:C23)</f>
        <v>10</v>
      </c>
    </row>
    <row r="25" spans="1:8" x14ac:dyDescent="0.25">
      <c r="B25" s="252"/>
      <c r="C25" s="252"/>
    </row>
    <row r="26" spans="1:8" x14ac:dyDescent="0.25">
      <c r="B26" s="253" t="s">
        <v>1247</v>
      </c>
      <c r="C26" s="100">
        <f>C8*PI()</f>
        <v>0</v>
      </c>
    </row>
    <row r="28" spans="1:8" x14ac:dyDescent="0.25">
      <c r="B28" s="199"/>
      <c r="C28" s="254" t="s">
        <v>44</v>
      </c>
      <c r="D28" s="254" t="s">
        <v>1248</v>
      </c>
    </row>
    <row r="29" spans="1:8" x14ac:dyDescent="0.25">
      <c r="B29" s="254" t="s">
        <v>1249</v>
      </c>
      <c r="C29" s="199">
        <f>0</f>
        <v>0</v>
      </c>
      <c r="D29" s="199">
        <v>0</v>
      </c>
    </row>
    <row r="30" spans="1:8" ht="14.4" x14ac:dyDescent="0.3">
      <c r="A30" s="213"/>
      <c r="B30" s="255" t="s">
        <v>1250</v>
      </c>
      <c r="C30" s="255">
        <f>COS(C26)*-1</f>
        <v>-1</v>
      </c>
      <c r="D30" s="255">
        <f>SIN(C26)</f>
        <v>0</v>
      </c>
      <c r="F30" s="213"/>
      <c r="G30" s="213"/>
      <c r="H30" s="213"/>
    </row>
    <row r="31" spans="1:8" ht="14.4" x14ac:dyDescent="0.3">
      <c r="A31" s="213"/>
      <c r="B31" s="213"/>
      <c r="C31" s="213"/>
      <c r="D31" s="213"/>
      <c r="E31" s="213"/>
      <c r="F31" s="213"/>
      <c r="G31" s="213"/>
      <c r="H31" s="213"/>
    </row>
    <row r="32" spans="1:8" ht="14.4" x14ac:dyDescent="0.3">
      <c r="A32" s="213"/>
      <c r="B32" s="213"/>
      <c r="C32" s="213"/>
      <c r="D32" s="213"/>
      <c r="E32" s="213"/>
      <c r="F32" s="213"/>
      <c r="G32" s="213"/>
      <c r="H32" s="213"/>
    </row>
    <row r="33" spans="1:11" ht="14.4" x14ac:dyDescent="0.3">
      <c r="A33" s="213"/>
      <c r="B33" s="213"/>
      <c r="C33" s="213"/>
      <c r="D33" s="213"/>
      <c r="E33" s="213"/>
      <c r="F33" s="213"/>
      <c r="G33" s="213"/>
      <c r="H33" s="213"/>
    </row>
    <row r="34" spans="1:11" ht="14.4" x14ac:dyDescent="0.3">
      <c r="A34" s="213"/>
      <c r="B34" s="213"/>
      <c r="C34" s="213"/>
      <c r="D34" s="213"/>
      <c r="E34" s="213"/>
      <c r="F34" s="213"/>
      <c r="G34" s="213"/>
      <c r="H34" s="213"/>
    </row>
    <row r="35" spans="1:11" ht="14.4" x14ac:dyDescent="0.3">
      <c r="A35" s="213"/>
      <c r="B35" s="213"/>
      <c r="C35" s="213"/>
      <c r="D35" s="213"/>
      <c r="E35" s="213"/>
      <c r="F35" s="213"/>
      <c r="G35" s="213"/>
      <c r="H35" s="213"/>
    </row>
    <row r="36" spans="1:11" ht="14.4" x14ac:dyDescent="0.3">
      <c r="A36" s="213"/>
      <c r="B36" s="213"/>
      <c r="C36" s="213"/>
      <c r="D36" s="213"/>
      <c r="E36" s="213"/>
      <c r="F36" s="213"/>
      <c r="G36" s="213"/>
      <c r="H36" s="213"/>
    </row>
    <row r="37" spans="1:11" ht="14.4" x14ac:dyDescent="0.3">
      <c r="A37" s="213"/>
      <c r="B37" s="213"/>
      <c r="C37" s="213"/>
      <c r="D37" s="213"/>
      <c r="E37" s="213"/>
      <c r="F37" s="213"/>
      <c r="G37" s="213"/>
      <c r="H37" s="213"/>
    </row>
    <row r="38" spans="1:11" ht="14.4" x14ac:dyDescent="0.3">
      <c r="A38" s="213"/>
      <c r="B38" s="213"/>
      <c r="C38" s="213"/>
      <c r="D38" s="213"/>
      <c r="E38" s="213"/>
      <c r="F38" s="213"/>
      <c r="G38" s="213"/>
      <c r="H38" s="213"/>
    </row>
    <row r="39" spans="1:11" ht="14.4" x14ac:dyDescent="0.3">
      <c r="A39" s="213"/>
      <c r="B39" s="213"/>
      <c r="C39" s="213"/>
      <c r="D39" s="213"/>
      <c r="E39" s="213"/>
      <c r="F39" s="213"/>
      <c r="G39" s="213"/>
      <c r="H39" s="213"/>
    </row>
    <row r="40" spans="1:11" ht="14.4" x14ac:dyDescent="0.3">
      <c r="A40" s="213"/>
      <c r="B40" s="213"/>
      <c r="C40" s="213"/>
      <c r="D40" s="213"/>
      <c r="E40" s="213"/>
      <c r="F40" s="213"/>
      <c r="G40" s="213"/>
      <c r="H40" s="213"/>
    </row>
    <row r="41" spans="1:11" ht="14.4" x14ac:dyDescent="0.3">
      <c r="A41" s="213"/>
      <c r="B41" s="213"/>
      <c r="C41" s="213"/>
      <c r="D41" s="213"/>
      <c r="E41" s="213"/>
      <c r="F41" s="213"/>
      <c r="G41" s="213"/>
      <c r="H41" s="213"/>
    </row>
    <row r="42" spans="1:11" ht="14.4" x14ac:dyDescent="0.3">
      <c r="A42" s="213"/>
      <c r="B42" s="213"/>
      <c r="C42" s="213"/>
      <c r="D42" s="213"/>
      <c r="E42" s="213"/>
      <c r="F42" s="213"/>
      <c r="G42" s="213"/>
      <c r="H42" s="213"/>
    </row>
    <row r="43" spans="1:11" ht="14.4" x14ac:dyDescent="0.3">
      <c r="A43" s="213"/>
      <c r="B43" s="213"/>
      <c r="C43" s="213"/>
      <c r="D43" s="213"/>
      <c r="E43" s="213"/>
      <c r="F43" s="213"/>
      <c r="G43" s="213"/>
      <c r="H43" s="213"/>
    </row>
    <row r="44" spans="1:11" ht="14.4" x14ac:dyDescent="0.3">
      <c r="A44" s="213"/>
      <c r="B44" s="213"/>
      <c r="C44" s="213"/>
      <c r="D44" s="213"/>
      <c r="E44" s="213"/>
      <c r="F44" s="213"/>
      <c r="G44" s="213"/>
      <c r="H44" s="213"/>
    </row>
    <row r="45" spans="1:11" ht="14.4" x14ac:dyDescent="0.3">
      <c r="A45" s="213"/>
      <c r="B45" s="213"/>
      <c r="C45" s="213"/>
      <c r="D45" s="213"/>
      <c r="E45" s="213"/>
      <c r="F45" s="213"/>
      <c r="G45" s="213"/>
      <c r="H45" s="213"/>
    </row>
    <row r="46" spans="1:11" ht="14.4" x14ac:dyDescent="0.3">
      <c r="A46" s="213"/>
      <c r="B46" s="213"/>
      <c r="C46" s="213"/>
      <c r="D46" s="213"/>
      <c r="E46" s="213"/>
      <c r="F46" s="213"/>
      <c r="G46" s="213"/>
      <c r="H46" s="213"/>
      <c r="I46" s="213"/>
      <c r="J46" s="213"/>
      <c r="K46" s="213"/>
    </row>
    <row r="47" spans="1:11" ht="14.4" x14ac:dyDescent="0.3">
      <c r="A47" s="213"/>
      <c r="B47" s="213"/>
      <c r="C47" s="213"/>
      <c r="D47" s="213"/>
      <c r="E47" s="213"/>
      <c r="F47" s="213"/>
      <c r="G47" s="213"/>
      <c r="H47" s="213"/>
      <c r="I47" s="213"/>
      <c r="J47" s="213"/>
      <c r="K47" s="213"/>
    </row>
    <row r="48" spans="1:11" ht="14.4" x14ac:dyDescent="0.3">
      <c r="A48" s="213"/>
      <c r="B48" s="213"/>
      <c r="C48" s="213"/>
      <c r="D48" s="213"/>
      <c r="E48" s="213"/>
      <c r="F48" s="213"/>
      <c r="G48" s="213"/>
      <c r="H48" s="213"/>
      <c r="I48" s="213"/>
      <c r="J48" s="213"/>
      <c r="K48" s="213"/>
    </row>
    <row r="49" spans="1:11" ht="14.4" x14ac:dyDescent="0.3">
      <c r="A49" s="213"/>
      <c r="B49" s="213"/>
      <c r="C49" s="213"/>
      <c r="D49" s="213"/>
      <c r="E49" s="213"/>
      <c r="F49" s="213"/>
      <c r="G49" s="213"/>
      <c r="H49" s="213"/>
      <c r="I49" s="213"/>
      <c r="J49" s="213"/>
      <c r="K49" s="213"/>
    </row>
    <row r="50" spans="1:11" ht="14.4" x14ac:dyDescent="0.3">
      <c r="A50" s="213"/>
      <c r="B50" s="213"/>
      <c r="C50" s="213"/>
      <c r="D50" s="213"/>
      <c r="E50" s="213"/>
      <c r="F50" s="213"/>
      <c r="G50" s="213"/>
      <c r="H50" s="213"/>
      <c r="I50" s="213"/>
      <c r="J50" s="213"/>
      <c r="K50" s="213"/>
    </row>
    <row r="51" spans="1:11" ht="14.4" x14ac:dyDescent="0.3">
      <c r="A51" s="213"/>
      <c r="B51" s="213"/>
      <c r="C51" s="213"/>
      <c r="D51" s="213"/>
      <c r="E51" s="213"/>
      <c r="F51" s="213"/>
      <c r="G51" s="213"/>
      <c r="H51" s="213"/>
      <c r="I51" s="213"/>
      <c r="J51" s="213"/>
      <c r="K51" s="213"/>
    </row>
    <row r="52" spans="1:11" ht="14.4" x14ac:dyDescent="0.3">
      <c r="A52" s="213"/>
      <c r="B52" s="213"/>
      <c r="C52" s="213"/>
      <c r="D52" s="213"/>
      <c r="E52" s="213"/>
      <c r="F52" s="213"/>
      <c r="G52" s="213"/>
      <c r="H52" s="213"/>
      <c r="I52" s="213"/>
      <c r="J52" s="213"/>
      <c r="K52" s="213"/>
    </row>
    <row r="53" spans="1:11" ht="14.4" x14ac:dyDescent="0.3">
      <c r="A53" s="213"/>
      <c r="B53" s="213"/>
      <c r="C53" s="213"/>
      <c r="D53" s="213"/>
      <c r="E53" s="213"/>
      <c r="F53" s="213"/>
      <c r="G53" s="213"/>
      <c r="H53" s="213"/>
      <c r="I53" s="213"/>
      <c r="J53" s="213"/>
      <c r="K53" s="213"/>
    </row>
    <row r="54" spans="1:11" ht="14.4" x14ac:dyDescent="0.3">
      <c r="A54" s="213"/>
      <c r="B54" s="213"/>
      <c r="C54" s="213"/>
      <c r="D54" s="213"/>
      <c r="E54" s="213"/>
      <c r="F54" s="213"/>
      <c r="G54" s="213"/>
      <c r="H54" s="213"/>
      <c r="I54" s="213"/>
      <c r="J54" s="213"/>
      <c r="K54" s="213"/>
    </row>
    <row r="55" spans="1:11" ht="14.4" x14ac:dyDescent="0.3">
      <c r="A55" s="213"/>
      <c r="B55" s="213"/>
      <c r="C55" s="213"/>
      <c r="D55" s="213"/>
      <c r="E55" s="213"/>
      <c r="F55" s="213"/>
      <c r="G55" s="213"/>
      <c r="H55" s="213"/>
      <c r="I55" s="213"/>
      <c r="J55" s="213"/>
      <c r="K55" s="213"/>
    </row>
    <row r="56" spans="1:11" ht="14.4" x14ac:dyDescent="0.3">
      <c r="A56" s="213"/>
      <c r="B56" s="213"/>
      <c r="C56" s="213"/>
      <c r="D56" s="213"/>
      <c r="E56" s="213"/>
      <c r="F56" s="213"/>
      <c r="G56" s="213"/>
      <c r="H56" s="213"/>
      <c r="I56" s="213"/>
      <c r="J56" s="213"/>
      <c r="K56" s="213"/>
    </row>
    <row r="57" spans="1:11" ht="14.4" x14ac:dyDescent="0.3">
      <c r="A57" s="213"/>
      <c r="B57" s="213"/>
      <c r="C57" s="213"/>
      <c r="D57" s="213"/>
      <c r="E57" s="213"/>
      <c r="F57" s="213"/>
      <c r="G57" s="213"/>
      <c r="H57" s="213"/>
      <c r="I57" s="213"/>
      <c r="J57" s="213"/>
      <c r="K57" s="213"/>
    </row>
    <row r="58" spans="1:11" ht="14.4" x14ac:dyDescent="0.3">
      <c r="A58" s="213"/>
      <c r="B58" s="213"/>
      <c r="C58" s="213"/>
      <c r="D58" s="213"/>
      <c r="E58" s="213"/>
      <c r="F58" s="213"/>
      <c r="G58" s="213"/>
      <c r="H58" s="213"/>
      <c r="I58" s="213"/>
      <c r="J58" s="213"/>
      <c r="K58" s="213"/>
    </row>
    <row r="59" spans="1:11" ht="14.4" x14ac:dyDescent="0.3">
      <c r="A59" s="213"/>
      <c r="B59" s="213"/>
      <c r="C59" s="213"/>
      <c r="D59" s="213"/>
      <c r="E59" s="213"/>
      <c r="F59" s="213"/>
      <c r="G59" s="213"/>
      <c r="H59" s="213"/>
      <c r="I59" s="213"/>
      <c r="J59" s="213"/>
      <c r="K59" s="213"/>
    </row>
    <row r="60" spans="1:11" ht="14.4" x14ac:dyDescent="0.3">
      <c r="A60" s="213"/>
      <c r="B60" s="213"/>
      <c r="C60" s="213"/>
      <c r="D60" s="213"/>
      <c r="E60" s="213"/>
      <c r="F60" s="213"/>
      <c r="G60" s="213"/>
      <c r="H60" s="213"/>
      <c r="I60" s="213"/>
      <c r="J60" s="213"/>
      <c r="K60" s="213"/>
    </row>
    <row r="61" spans="1:11" ht="14.4" x14ac:dyDescent="0.3">
      <c r="A61" s="213"/>
      <c r="B61" s="213"/>
      <c r="C61" s="213"/>
      <c r="D61" s="213"/>
      <c r="E61" s="213"/>
      <c r="F61" s="213"/>
      <c r="G61" s="213"/>
      <c r="H61" s="213"/>
      <c r="I61" s="213"/>
      <c r="J61" s="213"/>
      <c r="K61" s="213"/>
    </row>
    <row r="62" spans="1:11" ht="14.4" x14ac:dyDescent="0.3">
      <c r="A62" s="213"/>
      <c r="B62" s="213"/>
      <c r="C62" s="213"/>
      <c r="D62" s="213"/>
      <c r="E62" s="213"/>
      <c r="F62" s="213"/>
      <c r="G62" s="213"/>
      <c r="H62" s="213"/>
      <c r="I62" s="213"/>
      <c r="J62" s="213"/>
      <c r="K62" s="213"/>
    </row>
    <row r="63" spans="1:11" ht="14.4" x14ac:dyDescent="0.3">
      <c r="A63" s="213"/>
      <c r="B63" s="213"/>
      <c r="C63" s="213"/>
      <c r="D63" s="213"/>
      <c r="E63" s="213"/>
      <c r="F63" s="213"/>
      <c r="G63" s="213"/>
      <c r="H63" s="213"/>
      <c r="I63" s="213"/>
      <c r="J63" s="213"/>
      <c r="K63" s="213"/>
    </row>
    <row r="64" spans="1:11" ht="14.4" x14ac:dyDescent="0.3">
      <c r="A64" s="213"/>
      <c r="B64" s="213"/>
      <c r="C64" s="213"/>
      <c r="D64" s="213"/>
      <c r="E64" s="213"/>
      <c r="F64" s="213"/>
      <c r="G64" s="213"/>
      <c r="H64" s="213"/>
      <c r="I64" s="213"/>
      <c r="J64" s="213"/>
      <c r="K64" s="213"/>
    </row>
    <row r="65" spans="1:11" ht="14.4" x14ac:dyDescent="0.3">
      <c r="A65" s="213"/>
      <c r="B65" s="213"/>
      <c r="C65" s="213"/>
      <c r="D65" s="213"/>
      <c r="E65" s="213"/>
      <c r="F65" s="213"/>
      <c r="G65" s="213"/>
      <c r="H65" s="213"/>
      <c r="I65" s="213"/>
      <c r="J65" s="213"/>
      <c r="K65" s="213"/>
    </row>
    <row r="66" spans="1:11" ht="14.4" x14ac:dyDescent="0.3">
      <c r="A66" s="213"/>
      <c r="B66" s="213"/>
      <c r="C66" s="213"/>
      <c r="D66" s="213"/>
      <c r="E66" s="213"/>
      <c r="F66" s="213"/>
      <c r="G66" s="213"/>
      <c r="H66" s="213"/>
      <c r="I66" s="213"/>
      <c r="J66" s="213"/>
      <c r="K66" s="213"/>
    </row>
    <row r="67" spans="1:11" ht="14.4" x14ac:dyDescent="0.3">
      <c r="A67" s="213"/>
      <c r="B67" s="213"/>
      <c r="C67" s="213"/>
      <c r="D67" s="213"/>
      <c r="E67" s="213"/>
      <c r="F67" s="213"/>
      <c r="G67" s="213"/>
      <c r="H67" s="213"/>
      <c r="I67" s="213"/>
      <c r="J67" s="213"/>
      <c r="K67" s="213"/>
    </row>
    <row r="68" spans="1:11" ht="14.4" x14ac:dyDescent="0.3">
      <c r="A68" s="213"/>
      <c r="B68" s="213"/>
      <c r="C68" s="213"/>
      <c r="D68" s="213"/>
      <c r="E68" s="213"/>
      <c r="F68" s="213"/>
      <c r="G68" s="213"/>
      <c r="H68" s="213"/>
      <c r="I68" s="213"/>
      <c r="J68" s="213"/>
      <c r="K68" s="213"/>
    </row>
    <row r="69" spans="1:11" ht="14.4" x14ac:dyDescent="0.3">
      <c r="A69" s="213"/>
      <c r="B69" s="213"/>
      <c r="C69" s="213"/>
      <c r="D69" s="213"/>
      <c r="E69" s="213"/>
      <c r="F69" s="213"/>
      <c r="G69" s="213"/>
      <c r="H69" s="213"/>
      <c r="I69" s="213"/>
      <c r="J69" s="213"/>
      <c r="K69" s="213"/>
    </row>
    <row r="70" spans="1:11" ht="14.4" x14ac:dyDescent="0.3">
      <c r="A70" s="213"/>
      <c r="B70" s="213"/>
      <c r="C70" s="213"/>
      <c r="D70" s="213"/>
      <c r="E70" s="213"/>
      <c r="F70" s="213"/>
      <c r="G70" s="213"/>
      <c r="H70" s="213"/>
      <c r="I70" s="213"/>
      <c r="J70" s="213"/>
      <c r="K70" s="213"/>
    </row>
    <row r="71" spans="1:11" ht="14.4" x14ac:dyDescent="0.3">
      <c r="A71" s="213"/>
      <c r="B71" s="213"/>
      <c r="C71" s="213"/>
      <c r="D71" s="213"/>
      <c r="E71" s="213"/>
      <c r="F71" s="213"/>
      <c r="G71" s="213"/>
      <c r="H71" s="213"/>
      <c r="I71" s="213"/>
      <c r="J71" s="213"/>
      <c r="K71" s="213"/>
    </row>
    <row r="72" spans="1:11" ht="14.4" x14ac:dyDescent="0.3">
      <c r="A72" s="213"/>
      <c r="B72" s="213"/>
      <c r="C72" s="213"/>
      <c r="D72" s="213"/>
      <c r="E72" s="213"/>
      <c r="F72" s="213"/>
      <c r="G72" s="213"/>
      <c r="H72" s="213"/>
      <c r="I72" s="213"/>
      <c r="J72" s="213"/>
      <c r="K72" s="213"/>
    </row>
    <row r="73" spans="1:11" ht="14.4" x14ac:dyDescent="0.3">
      <c r="A73" s="213"/>
      <c r="B73" s="213"/>
      <c r="C73" s="213"/>
      <c r="D73" s="213"/>
      <c r="E73" s="213"/>
      <c r="F73" s="213"/>
      <c r="G73" s="213"/>
      <c r="H73" s="213"/>
      <c r="I73" s="213"/>
      <c r="J73" s="213"/>
      <c r="K73" s="213"/>
    </row>
    <row r="74" spans="1:11" ht="14.4" x14ac:dyDescent="0.3">
      <c r="A74" s="213"/>
      <c r="B74" s="213"/>
      <c r="C74" s="213"/>
      <c r="D74" s="213"/>
      <c r="E74" s="213"/>
      <c r="F74" s="213"/>
      <c r="G74" s="213"/>
      <c r="H74" s="213"/>
      <c r="I74" s="213"/>
      <c r="J74" s="213"/>
      <c r="K74" s="213"/>
    </row>
    <row r="75" spans="1:11" ht="14.4" x14ac:dyDescent="0.3">
      <c r="A75" s="213"/>
      <c r="B75" s="213"/>
      <c r="C75" s="213"/>
      <c r="D75" s="213"/>
      <c r="E75" s="213"/>
      <c r="F75" s="213"/>
      <c r="G75" s="213"/>
      <c r="H75" s="213"/>
      <c r="I75" s="213"/>
      <c r="J75" s="213"/>
      <c r="K75" s="213"/>
    </row>
    <row r="76" spans="1:11" ht="14.4" x14ac:dyDescent="0.3">
      <c r="A76" s="213"/>
      <c r="B76" s="213"/>
      <c r="C76" s="213"/>
      <c r="D76" s="213"/>
      <c r="E76" s="213"/>
      <c r="F76" s="213"/>
      <c r="G76" s="213"/>
      <c r="H76" s="213"/>
      <c r="I76" s="213"/>
      <c r="J76" s="213"/>
      <c r="K76" s="213"/>
    </row>
    <row r="77" spans="1:11" ht="14.4" x14ac:dyDescent="0.3">
      <c r="A77" s="213"/>
      <c r="B77" s="213"/>
      <c r="C77" s="213"/>
      <c r="D77" s="213"/>
      <c r="E77" s="213"/>
      <c r="F77" s="213"/>
      <c r="G77" s="213"/>
      <c r="H77" s="213"/>
      <c r="I77" s="213"/>
      <c r="J77" s="213"/>
      <c r="K77" s="213"/>
    </row>
    <row r="78" spans="1:11" ht="14.4" x14ac:dyDescent="0.3">
      <c r="A78" s="213"/>
      <c r="B78" s="213"/>
      <c r="C78" s="213"/>
      <c r="D78" s="213"/>
      <c r="E78" s="213"/>
      <c r="F78" s="213"/>
      <c r="G78" s="213"/>
      <c r="H78" s="213"/>
      <c r="I78" s="213"/>
      <c r="J78" s="213"/>
      <c r="K78" s="213"/>
    </row>
    <row r="79" spans="1:11" ht="14.4" x14ac:dyDescent="0.3">
      <c r="A79" s="213"/>
      <c r="B79" s="213"/>
      <c r="C79" s="213"/>
      <c r="D79" s="213"/>
      <c r="E79" s="213"/>
      <c r="F79" s="213"/>
      <c r="G79" s="213"/>
      <c r="H79" s="213"/>
      <c r="I79" s="213"/>
      <c r="J79" s="213"/>
      <c r="K79" s="213"/>
    </row>
    <row r="80" spans="1:11" ht="14.4" x14ac:dyDescent="0.3">
      <c r="A80" s="213"/>
      <c r="B80" s="213"/>
      <c r="C80" s="213"/>
      <c r="D80" s="213"/>
      <c r="E80" s="213"/>
      <c r="F80" s="213"/>
      <c r="G80" s="213"/>
      <c r="H80" s="213"/>
      <c r="I80" s="213"/>
      <c r="J80" s="213"/>
      <c r="K80" s="213"/>
    </row>
    <row r="81" spans="1:11" ht="14.4" x14ac:dyDescent="0.3">
      <c r="A81" s="213"/>
      <c r="B81" s="213"/>
      <c r="C81" s="213"/>
      <c r="D81" s="213"/>
      <c r="E81" s="213"/>
      <c r="F81" s="213"/>
      <c r="G81" s="213"/>
      <c r="H81" s="213"/>
      <c r="I81" s="213"/>
      <c r="J81" s="213"/>
      <c r="K81" s="213"/>
    </row>
    <row r="82" spans="1:11" ht="14.4" x14ac:dyDescent="0.3">
      <c r="A82" s="213"/>
      <c r="B82" s="213"/>
      <c r="C82" s="213"/>
      <c r="D82" s="213"/>
      <c r="E82" s="213"/>
      <c r="F82" s="213"/>
      <c r="G82" s="213"/>
      <c r="H82" s="213"/>
      <c r="I82" s="213"/>
      <c r="J82" s="213"/>
      <c r="K82" s="213"/>
    </row>
    <row r="83" spans="1:11" ht="14.4" x14ac:dyDescent="0.3">
      <c r="A83" s="213"/>
      <c r="B83" s="213"/>
      <c r="C83" s="213"/>
      <c r="D83" s="213"/>
      <c r="E83" s="213"/>
      <c r="F83" s="213"/>
      <c r="G83" s="213"/>
      <c r="H83" s="213"/>
      <c r="I83" s="213"/>
      <c r="J83" s="213"/>
      <c r="K83" s="213"/>
    </row>
    <row r="84" spans="1:11" ht="14.4" x14ac:dyDescent="0.3">
      <c r="A84" s="213"/>
      <c r="B84" s="213"/>
      <c r="C84" s="213"/>
      <c r="D84" s="213"/>
      <c r="E84" s="213"/>
      <c r="F84" s="213"/>
      <c r="G84" s="213"/>
      <c r="H84" s="213"/>
      <c r="I84" s="213"/>
      <c r="J84" s="213"/>
      <c r="K84" s="213"/>
    </row>
    <row r="85" spans="1:11" ht="14.4" x14ac:dyDescent="0.3">
      <c r="A85" s="213"/>
      <c r="B85" s="213"/>
      <c r="C85" s="213"/>
      <c r="D85" s="213"/>
      <c r="E85" s="213"/>
      <c r="F85" s="213"/>
    </row>
    <row r="86" spans="1:11" ht="14.4" x14ac:dyDescent="0.3">
      <c r="A86" s="213"/>
      <c r="B86" s="213"/>
      <c r="C86" s="213"/>
      <c r="D86" s="213"/>
      <c r="E86" s="213"/>
      <c r="F86" s="213"/>
    </row>
    <row r="87" spans="1:11" ht="14.4" x14ac:dyDescent="0.3">
      <c r="A87" s="213"/>
      <c r="B87" s="213"/>
      <c r="C87" s="213"/>
      <c r="D87" s="213"/>
      <c r="E87" s="213"/>
      <c r="F87" s="213"/>
    </row>
    <row r="88" spans="1:11" ht="14.4" x14ac:dyDescent="0.3">
      <c r="A88" s="213"/>
      <c r="B88" s="213"/>
      <c r="C88" s="213"/>
      <c r="D88" s="213"/>
      <c r="E88" s="213"/>
      <c r="F88" s="213"/>
    </row>
    <row r="89" spans="1:11" ht="14.4" x14ac:dyDescent="0.3">
      <c r="A89" s="213"/>
      <c r="B89" s="213"/>
      <c r="C89" s="213"/>
      <c r="D89" s="213"/>
      <c r="E89" s="213"/>
      <c r="F89" s="213"/>
    </row>
    <row r="90" spans="1:11" ht="14.4" x14ac:dyDescent="0.3">
      <c r="A90" s="213"/>
      <c r="B90" s="213"/>
      <c r="C90" s="213"/>
      <c r="D90" s="213"/>
      <c r="E90" s="213"/>
      <c r="F90" s="213"/>
    </row>
    <row r="91" spans="1:11" ht="14.4" x14ac:dyDescent="0.3">
      <c r="A91" s="213"/>
      <c r="B91" s="213"/>
      <c r="C91" s="213"/>
      <c r="D91" s="213"/>
      <c r="E91" s="213"/>
      <c r="F91" s="213"/>
    </row>
    <row r="92" spans="1:11" ht="14.4" x14ac:dyDescent="0.3">
      <c r="A92" s="213"/>
      <c r="B92" s="213"/>
      <c r="C92" s="213"/>
      <c r="D92" s="213"/>
      <c r="E92" s="213"/>
      <c r="F92" s="213"/>
    </row>
    <row r="93" spans="1:11" ht="14.4" x14ac:dyDescent="0.3">
      <c r="A93" s="213"/>
      <c r="B93" s="213"/>
      <c r="C93" s="213"/>
      <c r="D93" s="213"/>
      <c r="E93" s="213"/>
      <c r="F93" s="213"/>
    </row>
    <row r="94" spans="1:11" ht="14.4" x14ac:dyDescent="0.3">
      <c r="A94" s="213"/>
      <c r="B94" s="213"/>
      <c r="C94" s="213"/>
      <c r="D94" s="213"/>
      <c r="E94" s="213"/>
      <c r="F94" s="213"/>
    </row>
    <row r="95" spans="1:11" ht="14.4" x14ac:dyDescent="0.3">
      <c r="A95" s="213"/>
      <c r="B95" s="213"/>
      <c r="C95" s="213"/>
      <c r="D95" s="213"/>
      <c r="E95" s="213"/>
      <c r="F95" s="213"/>
    </row>
    <row r="96" spans="1:11" ht="14.4" x14ac:dyDescent="0.3">
      <c r="A96" s="213"/>
      <c r="B96" s="213"/>
      <c r="C96" s="213"/>
      <c r="D96" s="213"/>
      <c r="E96" s="213"/>
      <c r="F96" s="213"/>
    </row>
    <row r="97" spans="1:6" ht="14.4" x14ac:dyDescent="0.3">
      <c r="A97" s="213"/>
      <c r="B97" s="213"/>
      <c r="C97" s="213"/>
      <c r="D97" s="213"/>
      <c r="E97" s="213"/>
      <c r="F97" s="213"/>
    </row>
    <row r="98" spans="1:6" ht="14.4" x14ac:dyDescent="0.3">
      <c r="A98" s="213"/>
      <c r="B98" s="213"/>
      <c r="C98" s="213"/>
      <c r="D98" s="213"/>
      <c r="E98" s="213"/>
      <c r="F98" s="213"/>
    </row>
    <row r="99" spans="1:6" ht="14.4" x14ac:dyDescent="0.3">
      <c r="A99" s="213"/>
      <c r="B99" s="213"/>
      <c r="C99" s="213"/>
      <c r="D99" s="213"/>
      <c r="E99" s="213"/>
      <c r="F99" s="213"/>
    </row>
    <row r="100" spans="1:6" ht="14.4" x14ac:dyDescent="0.3">
      <c r="A100" s="213"/>
      <c r="B100" s="213"/>
      <c r="C100" s="213"/>
      <c r="D100" s="213"/>
      <c r="E100" s="213"/>
      <c r="F100" s="213"/>
    </row>
    <row r="101" spans="1:6" ht="14.4" x14ac:dyDescent="0.3">
      <c r="A101" s="213"/>
      <c r="B101" s="213"/>
      <c r="C101" s="213"/>
      <c r="D101" s="213"/>
      <c r="E101" s="213"/>
      <c r="F101" s="213"/>
    </row>
    <row r="102" spans="1:6" ht="14.4" x14ac:dyDescent="0.3">
      <c r="A102" s="213"/>
      <c r="B102" s="213"/>
      <c r="C102" s="213"/>
      <c r="D102" s="213"/>
      <c r="E102" s="213"/>
      <c r="F102" s="213"/>
    </row>
    <row r="103" spans="1:6" ht="14.4" x14ac:dyDescent="0.3">
      <c r="A103" s="213"/>
      <c r="B103" s="213"/>
      <c r="C103" s="213"/>
      <c r="D103" s="213"/>
      <c r="E103" s="213"/>
      <c r="F103" s="213"/>
    </row>
    <row r="104" spans="1:6" ht="14.4" x14ac:dyDescent="0.3">
      <c r="A104" s="213"/>
      <c r="B104" s="213"/>
      <c r="C104" s="213"/>
      <c r="D104" s="213"/>
      <c r="E104" s="213"/>
      <c r="F104" s="213"/>
    </row>
    <row r="105" spans="1:6" ht="14.4" x14ac:dyDescent="0.3">
      <c r="A105" s="213"/>
      <c r="B105" s="213"/>
      <c r="C105" s="213"/>
      <c r="D105" s="213"/>
      <c r="E105" s="213"/>
      <c r="F105" s="213"/>
    </row>
    <row r="106" spans="1:6" ht="14.4" x14ac:dyDescent="0.3">
      <c r="A106" s="213"/>
      <c r="B106" s="213"/>
      <c r="C106" s="213"/>
      <c r="D106" s="213"/>
      <c r="E106" s="213"/>
      <c r="F106" s="213"/>
    </row>
    <row r="107" spans="1:6" ht="14.4" x14ac:dyDescent="0.3">
      <c r="A107" s="213"/>
      <c r="B107" s="213"/>
      <c r="C107" s="213"/>
      <c r="D107" s="213"/>
      <c r="E107" s="213"/>
      <c r="F107" s="213"/>
    </row>
    <row r="108" spans="1:6" ht="14.4" x14ac:dyDescent="0.3">
      <c r="A108" s="213"/>
      <c r="B108" s="213"/>
      <c r="C108" s="213"/>
      <c r="D108" s="213"/>
      <c r="E108" s="213"/>
      <c r="F108" s="213"/>
    </row>
    <row r="109" spans="1:6" ht="14.4" x14ac:dyDescent="0.3">
      <c r="A109" s="213"/>
      <c r="B109" s="213"/>
      <c r="C109" s="213"/>
      <c r="D109" s="213"/>
      <c r="E109" s="213"/>
      <c r="F109" s="213"/>
    </row>
    <row r="110" spans="1:6" ht="14.4" x14ac:dyDescent="0.3">
      <c r="A110" s="213"/>
      <c r="B110" s="213"/>
      <c r="C110" s="213"/>
      <c r="D110" s="213"/>
      <c r="E110" s="213"/>
      <c r="F110" s="213"/>
    </row>
    <row r="111" spans="1:6" ht="14.4" x14ac:dyDescent="0.3">
      <c r="A111" s="213"/>
      <c r="B111" s="213"/>
      <c r="C111" s="213"/>
      <c r="D111" s="213"/>
      <c r="E111" s="213"/>
      <c r="F111" s="213"/>
    </row>
    <row r="112" spans="1:6" ht="14.4" x14ac:dyDescent="0.3">
      <c r="A112" s="213"/>
      <c r="B112" s="213"/>
      <c r="C112" s="213"/>
      <c r="D112" s="213"/>
      <c r="E112" s="213"/>
      <c r="F112" s="213"/>
    </row>
    <row r="113" spans="1:6" ht="14.4" x14ac:dyDescent="0.3">
      <c r="A113" s="213"/>
      <c r="B113" s="213"/>
      <c r="C113" s="213"/>
      <c r="D113" s="213"/>
      <c r="E113" s="213"/>
      <c r="F113" s="213"/>
    </row>
    <row r="114" spans="1:6" ht="14.4" x14ac:dyDescent="0.3">
      <c r="A114" s="213"/>
      <c r="B114" s="213"/>
      <c r="C114" s="213"/>
      <c r="D114" s="213"/>
      <c r="E114" s="213"/>
      <c r="F114" s="213"/>
    </row>
    <row r="115" spans="1:6" ht="14.4" x14ac:dyDescent="0.3">
      <c r="A115" s="213"/>
      <c r="B115" s="213"/>
      <c r="C115" s="213"/>
      <c r="D115" s="213"/>
      <c r="E115" s="213"/>
      <c r="F115" s="213"/>
    </row>
    <row r="116" spans="1:6" ht="14.4" x14ac:dyDescent="0.3">
      <c r="A116" s="213"/>
      <c r="B116" s="213"/>
      <c r="C116" s="213"/>
      <c r="D116" s="213"/>
      <c r="E116" s="213"/>
      <c r="F116" s="213"/>
    </row>
    <row r="117" spans="1:6" ht="14.4" x14ac:dyDescent="0.3">
      <c r="A117" s="213"/>
      <c r="B117" s="213"/>
      <c r="C117" s="213"/>
      <c r="D117" s="213"/>
      <c r="E117" s="213"/>
      <c r="F117" s="213"/>
    </row>
    <row r="118" spans="1:6" ht="14.4" x14ac:dyDescent="0.3">
      <c r="A118" s="213"/>
      <c r="B118" s="213"/>
      <c r="C118" s="213"/>
      <c r="D118" s="213"/>
      <c r="E118" s="213"/>
      <c r="F118" s="213"/>
    </row>
    <row r="119" spans="1:6" ht="14.4" x14ac:dyDescent="0.3">
      <c r="A119" s="213"/>
      <c r="B119" s="213"/>
      <c r="C119" s="213"/>
      <c r="D119" s="213"/>
      <c r="E119" s="213"/>
      <c r="F119" s="213"/>
    </row>
    <row r="120" spans="1:6" ht="14.4" x14ac:dyDescent="0.3">
      <c r="A120" s="213"/>
      <c r="B120" s="213"/>
      <c r="C120" s="213"/>
      <c r="D120" s="213"/>
      <c r="E120" s="213"/>
      <c r="F120" s="213"/>
    </row>
    <row r="121" spans="1:6" ht="14.4" x14ac:dyDescent="0.3">
      <c r="A121" s="213"/>
      <c r="B121" s="213"/>
      <c r="C121" s="213"/>
      <c r="D121" s="213"/>
      <c r="E121" s="213"/>
      <c r="F121" s="213"/>
    </row>
    <row r="122" spans="1:6" ht="14.4" x14ac:dyDescent="0.3">
      <c r="A122" s="213"/>
      <c r="B122" s="213"/>
      <c r="C122" s="213"/>
      <c r="D122" s="213"/>
      <c r="E122" s="213"/>
      <c r="F122" s="213"/>
    </row>
    <row r="123" spans="1:6" ht="14.4" x14ac:dyDescent="0.3">
      <c r="A123" s="213"/>
      <c r="B123" s="213"/>
      <c r="C123" s="213"/>
      <c r="D123" s="213"/>
      <c r="E123" s="213"/>
      <c r="F123" s="213"/>
    </row>
    <row r="124" spans="1:6" ht="14.4" x14ac:dyDescent="0.3">
      <c r="A124" s="213"/>
      <c r="B124" s="213"/>
      <c r="C124" s="213"/>
      <c r="D124" s="213"/>
      <c r="E124" s="213"/>
      <c r="F124" s="213"/>
    </row>
    <row r="125" spans="1:6" ht="14.4" x14ac:dyDescent="0.3">
      <c r="A125" s="213"/>
      <c r="B125" s="213"/>
      <c r="C125" s="213"/>
      <c r="D125" s="213"/>
      <c r="E125" s="213"/>
      <c r="F125" s="213"/>
    </row>
    <row r="126" spans="1:6" ht="14.4" x14ac:dyDescent="0.3">
      <c r="A126" s="213"/>
      <c r="B126" s="213"/>
      <c r="C126" s="213"/>
      <c r="D126" s="213"/>
      <c r="E126" s="213"/>
      <c r="F126" s="213"/>
    </row>
    <row r="127" spans="1:6" ht="14.4" x14ac:dyDescent="0.3">
      <c r="A127" s="213"/>
      <c r="B127" s="213"/>
      <c r="C127" s="213"/>
      <c r="D127" s="213"/>
      <c r="E127" s="213"/>
      <c r="F127" s="213"/>
    </row>
    <row r="128" spans="1:6" ht="14.4" x14ac:dyDescent="0.3">
      <c r="A128" s="213"/>
      <c r="B128" s="213"/>
      <c r="C128" s="213"/>
      <c r="D128" s="213"/>
      <c r="E128" s="213"/>
      <c r="F128" s="213"/>
    </row>
    <row r="129" spans="1:6" ht="14.4" x14ac:dyDescent="0.3">
      <c r="A129" s="213"/>
      <c r="B129" s="213"/>
      <c r="C129" s="213"/>
      <c r="D129" s="213"/>
      <c r="E129" s="213"/>
      <c r="F129" s="213"/>
    </row>
    <row r="130" spans="1:6" ht="14.4" x14ac:dyDescent="0.3">
      <c r="A130" s="213"/>
      <c r="B130" s="213"/>
      <c r="C130" s="213"/>
      <c r="D130" s="213"/>
      <c r="E130" s="213"/>
      <c r="F130" s="213"/>
    </row>
    <row r="131" spans="1:6" ht="14.4" x14ac:dyDescent="0.3">
      <c r="A131" s="213"/>
      <c r="B131" s="213"/>
      <c r="C131" s="213"/>
      <c r="D131" s="213"/>
      <c r="E131" s="213"/>
      <c r="F131" s="213"/>
    </row>
    <row r="132" spans="1:6" ht="14.4" x14ac:dyDescent="0.3">
      <c r="A132" s="213"/>
      <c r="B132" s="213"/>
      <c r="C132" s="213"/>
      <c r="D132" s="213"/>
      <c r="E132" s="213"/>
      <c r="F132" s="213"/>
    </row>
    <row r="133" spans="1:6" ht="14.4" x14ac:dyDescent="0.3">
      <c r="A133" s="213"/>
      <c r="B133" s="213"/>
      <c r="C133" s="213"/>
      <c r="D133" s="213"/>
      <c r="E133" s="213"/>
      <c r="F133" s="213"/>
    </row>
    <row r="134" spans="1:6" ht="14.4" x14ac:dyDescent="0.3">
      <c r="A134" s="213"/>
      <c r="B134" s="213"/>
      <c r="C134" s="213"/>
      <c r="D134" s="213"/>
      <c r="E134" s="213"/>
      <c r="F134" s="213"/>
    </row>
    <row r="135" spans="1:6" ht="14.4" x14ac:dyDescent="0.3">
      <c r="A135" s="213"/>
      <c r="B135" s="213"/>
      <c r="C135" s="213"/>
      <c r="D135" s="213"/>
      <c r="E135" s="213"/>
      <c r="F135" s="213"/>
    </row>
    <row r="136" spans="1:6" ht="14.4" x14ac:dyDescent="0.3">
      <c r="A136" s="213"/>
      <c r="B136" s="213"/>
      <c r="C136" s="213"/>
      <c r="D136" s="213"/>
      <c r="E136" s="213"/>
      <c r="F136" s="213"/>
    </row>
    <row r="137" spans="1:6" ht="14.4" x14ac:dyDescent="0.3">
      <c r="A137" s="213"/>
      <c r="B137" s="213"/>
      <c r="C137" s="213"/>
      <c r="D137" s="213"/>
      <c r="E137" s="213"/>
      <c r="F137" s="213"/>
    </row>
    <row r="138" spans="1:6" ht="14.4" x14ac:dyDescent="0.3">
      <c r="A138" s="213"/>
      <c r="B138" s="213"/>
      <c r="C138" s="213"/>
      <c r="D138" s="213"/>
      <c r="E138" s="213"/>
      <c r="F138" s="213"/>
    </row>
    <row r="139" spans="1:6" ht="14.4" x14ac:dyDescent="0.3">
      <c r="A139" s="213"/>
      <c r="B139" s="213"/>
      <c r="C139" s="213"/>
      <c r="D139" s="213"/>
      <c r="E139" s="213"/>
      <c r="F139" s="213"/>
    </row>
    <row r="140" spans="1:6" ht="14.4" x14ac:dyDescent="0.3">
      <c r="A140" s="213"/>
      <c r="B140" s="213"/>
      <c r="C140" s="213"/>
      <c r="D140" s="213"/>
      <c r="E140" s="213"/>
      <c r="F140" s="213"/>
    </row>
    <row r="141" spans="1:6" ht="14.4" x14ac:dyDescent="0.3">
      <c r="A141" s="213"/>
      <c r="B141" s="213"/>
      <c r="C141" s="213"/>
      <c r="D141" s="213"/>
      <c r="E141" s="213"/>
      <c r="F141" s="213"/>
    </row>
    <row r="142" spans="1:6" ht="14.4" x14ac:dyDescent="0.3">
      <c r="A142" s="213"/>
      <c r="B142" s="213"/>
      <c r="C142" s="213"/>
      <c r="D142" s="213"/>
      <c r="E142" s="213"/>
      <c r="F142" s="213"/>
    </row>
    <row r="143" spans="1:6" ht="14.4" x14ac:dyDescent="0.3">
      <c r="A143" s="213"/>
      <c r="B143" s="213"/>
      <c r="C143" s="213"/>
      <c r="D143" s="213"/>
      <c r="E143" s="213"/>
      <c r="F143" s="213"/>
    </row>
    <row r="144" spans="1:6" ht="14.4" x14ac:dyDescent="0.3">
      <c r="A144" s="213"/>
      <c r="B144" s="213"/>
      <c r="C144" s="213"/>
      <c r="D144" s="213"/>
      <c r="E144" s="213"/>
      <c r="F144" s="213"/>
    </row>
    <row r="145" spans="1:6" ht="14.4" x14ac:dyDescent="0.3">
      <c r="A145" s="213"/>
      <c r="B145" s="213"/>
      <c r="C145" s="213"/>
      <c r="D145" s="213"/>
      <c r="E145" s="213"/>
      <c r="F145" s="213"/>
    </row>
    <row r="146" spans="1:6" ht="14.4" x14ac:dyDescent="0.3">
      <c r="A146" s="213"/>
      <c r="B146" s="213"/>
      <c r="C146" s="213"/>
      <c r="D146" s="213"/>
      <c r="E146" s="213"/>
      <c r="F146" s="213"/>
    </row>
    <row r="147" spans="1:6" ht="14.4" x14ac:dyDescent="0.3">
      <c r="A147" s="213"/>
      <c r="B147" s="213"/>
      <c r="C147" s="213"/>
      <c r="D147" s="213"/>
      <c r="E147" s="213"/>
      <c r="F147" s="213"/>
    </row>
    <row r="148" spans="1:6" ht="14.4" x14ac:dyDescent="0.3">
      <c r="A148" s="213"/>
      <c r="B148" s="213"/>
      <c r="C148" s="213"/>
      <c r="D148" s="213"/>
      <c r="E148" s="213"/>
      <c r="F148" s="213"/>
    </row>
    <row r="149" spans="1:6" ht="14.4" x14ac:dyDescent="0.3">
      <c r="A149" s="213"/>
      <c r="B149" s="213"/>
      <c r="C149" s="213"/>
      <c r="D149" s="213"/>
      <c r="E149" s="213"/>
      <c r="F149" s="213"/>
    </row>
    <row r="150" spans="1:6" ht="14.4" x14ac:dyDescent="0.3">
      <c r="A150" s="213"/>
      <c r="B150" s="213"/>
      <c r="C150" s="213"/>
      <c r="D150" s="213"/>
      <c r="E150" s="213"/>
      <c r="F150" s="213"/>
    </row>
    <row r="151" spans="1:6" ht="14.4" x14ac:dyDescent="0.3">
      <c r="A151" s="213"/>
      <c r="B151" s="213"/>
      <c r="C151" s="213"/>
      <c r="D151" s="213"/>
      <c r="E151" s="213"/>
      <c r="F151" s="213"/>
    </row>
    <row r="152" spans="1:6" ht="14.4" x14ac:dyDescent="0.3">
      <c r="A152" s="213"/>
      <c r="B152" s="213"/>
      <c r="C152" s="213"/>
      <c r="D152" s="213"/>
      <c r="E152" s="213"/>
      <c r="F152" s="213"/>
    </row>
    <row r="153" spans="1:6" ht="14.4" x14ac:dyDescent="0.3">
      <c r="A153" s="213"/>
      <c r="B153" s="213"/>
      <c r="C153" s="213"/>
      <c r="D153" s="213"/>
      <c r="E153" s="213"/>
      <c r="F153" s="213"/>
    </row>
    <row r="154" spans="1:6" ht="14.4" x14ac:dyDescent="0.3">
      <c r="A154" s="213"/>
      <c r="B154" s="213"/>
      <c r="C154" s="213"/>
      <c r="D154" s="213"/>
      <c r="E154" s="213"/>
      <c r="F154" s="213"/>
    </row>
    <row r="155" spans="1:6" ht="14.4" x14ac:dyDescent="0.3">
      <c r="A155" s="213"/>
      <c r="B155" s="213"/>
      <c r="C155" s="213"/>
      <c r="D155" s="213"/>
      <c r="E155" s="213"/>
      <c r="F155" s="213"/>
    </row>
    <row r="156" spans="1:6" ht="14.4" x14ac:dyDescent="0.3">
      <c r="A156" s="213"/>
      <c r="B156" s="213"/>
      <c r="C156" s="213"/>
      <c r="D156" s="213"/>
      <c r="E156" s="213"/>
      <c r="F156" s="213"/>
    </row>
    <row r="157" spans="1:6" ht="14.4" x14ac:dyDescent="0.3">
      <c r="A157" s="213"/>
      <c r="B157" s="213"/>
      <c r="C157" s="213"/>
      <c r="D157" s="213"/>
      <c r="E157" s="213"/>
      <c r="F157" s="213"/>
    </row>
    <row r="158" spans="1:6" ht="14.4" x14ac:dyDescent="0.3">
      <c r="A158" s="213"/>
      <c r="B158" s="213"/>
      <c r="C158" s="213"/>
      <c r="D158" s="213"/>
      <c r="E158" s="213"/>
      <c r="F158" s="213"/>
    </row>
    <row r="159" spans="1:6" ht="14.4" x14ac:dyDescent="0.3">
      <c r="A159" s="213"/>
      <c r="B159" s="213"/>
      <c r="C159" s="213"/>
      <c r="D159" s="213"/>
      <c r="E159" s="213"/>
      <c r="F159" s="213"/>
    </row>
    <row r="160" spans="1:6" ht="14.4" x14ac:dyDescent="0.3">
      <c r="A160" s="213"/>
      <c r="B160" s="213"/>
      <c r="C160" s="213"/>
      <c r="D160" s="213"/>
      <c r="E160" s="213"/>
      <c r="F160" s="213"/>
    </row>
    <row r="161" spans="1:6" ht="14.4" x14ac:dyDescent="0.3">
      <c r="A161" s="213"/>
      <c r="B161" s="213"/>
      <c r="C161" s="213"/>
      <c r="D161" s="213"/>
      <c r="E161" s="213"/>
      <c r="F161" s="213"/>
    </row>
    <row r="162" spans="1:6" ht="14.4" x14ac:dyDescent="0.3">
      <c r="A162" s="213"/>
      <c r="B162" s="213"/>
      <c r="C162" s="213"/>
      <c r="D162" s="213"/>
      <c r="E162" s="213"/>
      <c r="F162" s="213"/>
    </row>
    <row r="163" spans="1:6" ht="14.4" x14ac:dyDescent="0.3">
      <c r="A163" s="213"/>
      <c r="B163" s="213"/>
      <c r="C163" s="213"/>
      <c r="D163" s="213"/>
      <c r="E163" s="213"/>
      <c r="F163" s="213"/>
    </row>
    <row r="164" spans="1:6" ht="14.4" x14ac:dyDescent="0.3">
      <c r="A164" s="213"/>
      <c r="B164" s="213"/>
      <c r="C164" s="213"/>
      <c r="D164" s="213"/>
      <c r="E164" s="213"/>
      <c r="F164" s="213"/>
    </row>
    <row r="165" spans="1:6" ht="14.4" x14ac:dyDescent="0.3">
      <c r="A165" s="213"/>
      <c r="B165" s="213"/>
      <c r="C165" s="213"/>
      <c r="D165" s="213"/>
      <c r="E165" s="213"/>
      <c r="F165" s="213"/>
    </row>
    <row r="166" spans="1:6" ht="14.4" x14ac:dyDescent="0.3">
      <c r="A166" s="213"/>
      <c r="B166" s="213"/>
      <c r="C166" s="213"/>
      <c r="D166" s="213"/>
      <c r="E166" s="213"/>
      <c r="F166" s="213"/>
    </row>
    <row r="167" spans="1:6" ht="14.4" x14ac:dyDescent="0.3">
      <c r="A167" s="213"/>
      <c r="B167" s="213"/>
      <c r="C167" s="213"/>
      <c r="D167" s="213"/>
      <c r="E167" s="213"/>
      <c r="F167" s="213"/>
    </row>
    <row r="168" spans="1:6" ht="14.4" x14ac:dyDescent="0.3">
      <c r="A168" s="213"/>
      <c r="B168" s="213"/>
      <c r="C168" s="213"/>
      <c r="D168" s="213"/>
      <c r="E168" s="213"/>
      <c r="F168" s="213"/>
    </row>
    <row r="169" spans="1:6" ht="14.4" x14ac:dyDescent="0.3">
      <c r="A169" s="213"/>
      <c r="B169" s="213"/>
      <c r="C169" s="213"/>
      <c r="D169" s="213"/>
      <c r="E169" s="213"/>
      <c r="F169" s="213"/>
    </row>
    <row r="170" spans="1:6" ht="14.4" x14ac:dyDescent="0.3">
      <c r="A170" s="213"/>
      <c r="B170" s="213"/>
      <c r="C170" s="213"/>
      <c r="D170" s="213"/>
      <c r="E170" s="213"/>
      <c r="F170" s="213"/>
    </row>
    <row r="171" spans="1:6" ht="14.4" x14ac:dyDescent="0.3">
      <c r="A171" s="213"/>
      <c r="B171" s="213"/>
      <c r="C171" s="213"/>
      <c r="D171" s="213"/>
      <c r="E171" s="213"/>
      <c r="F171" s="213"/>
    </row>
    <row r="172" spans="1:6" ht="14.4" x14ac:dyDescent="0.3">
      <c r="A172" s="213"/>
      <c r="B172" s="213"/>
      <c r="C172" s="213"/>
      <c r="D172" s="213"/>
      <c r="E172" s="213"/>
      <c r="F172" s="213"/>
    </row>
    <row r="173" spans="1:6" ht="14.4" x14ac:dyDescent="0.3">
      <c r="A173" s="213"/>
      <c r="B173" s="213"/>
      <c r="C173" s="213"/>
      <c r="D173" s="213"/>
      <c r="E173" s="213"/>
      <c r="F173" s="213"/>
    </row>
    <row r="174" spans="1:6" ht="14.4" x14ac:dyDescent="0.3">
      <c r="A174" s="213"/>
      <c r="B174" s="213"/>
      <c r="C174" s="213"/>
      <c r="D174" s="213"/>
      <c r="E174" s="213"/>
      <c r="F174" s="213"/>
    </row>
    <row r="175" spans="1:6" ht="14.4" x14ac:dyDescent="0.3">
      <c r="A175" s="213"/>
      <c r="B175" s="213"/>
      <c r="C175" s="213"/>
      <c r="D175" s="213"/>
      <c r="E175" s="213"/>
      <c r="F175" s="213"/>
    </row>
    <row r="176" spans="1:6" ht="14.4" x14ac:dyDescent="0.3">
      <c r="A176" s="213"/>
      <c r="B176" s="213"/>
      <c r="C176" s="213"/>
      <c r="D176" s="213"/>
      <c r="E176" s="213"/>
      <c r="F176" s="213"/>
    </row>
    <row r="177" spans="1:6" ht="14.4" x14ac:dyDescent="0.3">
      <c r="A177" s="213"/>
      <c r="B177" s="213"/>
      <c r="C177" s="213"/>
      <c r="D177" s="213"/>
      <c r="E177" s="213"/>
      <c r="F177" s="213"/>
    </row>
    <row r="178" spans="1:6" ht="14.4" x14ac:dyDescent="0.3">
      <c r="A178" s="213"/>
      <c r="B178" s="213"/>
      <c r="C178" s="213"/>
      <c r="D178" s="213"/>
      <c r="E178" s="213"/>
      <c r="F178" s="213"/>
    </row>
    <row r="179" spans="1:6" ht="14.4" x14ac:dyDescent="0.3">
      <c r="A179" s="213"/>
      <c r="B179" s="213"/>
      <c r="C179" s="213"/>
      <c r="D179" s="213"/>
      <c r="E179" s="213"/>
      <c r="F179" s="213"/>
    </row>
    <row r="180" spans="1:6" ht="14.4" x14ac:dyDescent="0.3">
      <c r="A180" s="213"/>
      <c r="B180" s="213"/>
      <c r="C180" s="213"/>
      <c r="D180" s="213"/>
      <c r="E180" s="213"/>
      <c r="F180" s="213"/>
    </row>
    <row r="181" spans="1:6" ht="14.4" x14ac:dyDescent="0.3">
      <c r="A181" s="213"/>
      <c r="B181" s="213"/>
      <c r="C181" s="213"/>
      <c r="D181" s="213"/>
      <c r="E181" s="213"/>
      <c r="F181" s="213"/>
    </row>
    <row r="182" spans="1:6" ht="14.4" x14ac:dyDescent="0.3">
      <c r="A182" s="213"/>
      <c r="B182" s="213"/>
      <c r="C182" s="213"/>
      <c r="D182" s="213"/>
      <c r="E182" s="213"/>
      <c r="F182" s="213"/>
    </row>
    <row r="183" spans="1:6" ht="14.4" x14ac:dyDescent="0.3">
      <c r="A183" s="213"/>
      <c r="B183" s="213"/>
      <c r="C183" s="213"/>
      <c r="D183" s="213"/>
      <c r="E183" s="213"/>
      <c r="F183" s="213"/>
    </row>
    <row r="184" spans="1:6" ht="14.4" x14ac:dyDescent="0.3">
      <c r="A184" s="213"/>
      <c r="B184" s="213"/>
      <c r="C184" s="213"/>
      <c r="D184" s="213"/>
      <c r="E184" s="213"/>
      <c r="F184" s="213"/>
    </row>
    <row r="185" spans="1:6" ht="14.4" x14ac:dyDescent="0.3">
      <c r="A185" s="213"/>
      <c r="B185" s="213"/>
      <c r="C185" s="213"/>
      <c r="D185" s="213"/>
      <c r="E185" s="213"/>
      <c r="F185" s="213"/>
    </row>
    <row r="186" spans="1:6" ht="14.4" x14ac:dyDescent="0.3">
      <c r="A186" s="213"/>
      <c r="B186" s="213"/>
      <c r="C186" s="213"/>
      <c r="D186" s="213"/>
      <c r="E186" s="213"/>
      <c r="F186" s="213"/>
    </row>
    <row r="187" spans="1:6" ht="14.4" x14ac:dyDescent="0.3">
      <c r="A187" s="213"/>
      <c r="B187" s="213"/>
      <c r="C187" s="213"/>
      <c r="D187" s="213"/>
      <c r="E187" s="213"/>
      <c r="F187" s="213"/>
    </row>
    <row r="188" spans="1:6" ht="14.4" x14ac:dyDescent="0.3">
      <c r="A188" s="213"/>
      <c r="B188" s="213"/>
      <c r="C188" s="213"/>
      <c r="D188" s="213"/>
      <c r="E188" s="213"/>
      <c r="F188" s="213"/>
    </row>
    <row r="189" spans="1:6" ht="14.4" x14ac:dyDescent="0.3">
      <c r="A189" s="213"/>
      <c r="B189" s="213"/>
      <c r="C189" s="213"/>
      <c r="D189" s="213"/>
      <c r="E189" s="213"/>
      <c r="F189" s="213"/>
    </row>
    <row r="190" spans="1:6" ht="14.4" x14ac:dyDescent="0.3">
      <c r="A190" s="213"/>
      <c r="B190" s="213"/>
      <c r="C190" s="213"/>
      <c r="D190" s="213"/>
      <c r="E190" s="213"/>
      <c r="F190" s="213"/>
    </row>
    <row r="191" spans="1:6" ht="14.4" x14ac:dyDescent="0.3">
      <c r="A191" s="213"/>
      <c r="B191" s="213"/>
      <c r="C191" s="213"/>
      <c r="D191" s="213"/>
      <c r="E191" s="213"/>
      <c r="F191" s="213"/>
    </row>
    <row r="192" spans="1:6" ht="14.4" x14ac:dyDescent="0.3">
      <c r="A192" s="213"/>
      <c r="B192" s="213"/>
      <c r="C192" s="213"/>
      <c r="D192" s="213"/>
      <c r="E192" s="213"/>
      <c r="F192" s="213"/>
    </row>
  </sheetData>
  <mergeCells count="2">
    <mergeCell ref="B1:E1"/>
    <mergeCell ref="G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topLeftCell="F2" zoomScale="90" zoomScaleNormal="90" workbookViewId="0">
      <selection activeCell="H76" sqref="H76"/>
    </sheetView>
  </sheetViews>
  <sheetFormatPr baseColWidth="10" defaultColWidth="11.44140625" defaultRowHeight="13.2" x14ac:dyDescent="0.25"/>
  <cols>
    <col min="1" max="1" width="16.33203125" style="671" customWidth="1"/>
    <col min="2" max="2" width="19.44140625" style="671" customWidth="1"/>
    <col min="3" max="3" width="22.33203125" style="685" customWidth="1"/>
    <col min="4" max="4" width="19.6640625" style="671" customWidth="1"/>
    <col min="5" max="5" width="21.109375" style="671" customWidth="1"/>
    <col min="6" max="6" width="16.77734375" style="671" customWidth="1"/>
    <col min="7" max="7" width="27.6640625" style="671" customWidth="1"/>
    <col min="8" max="8" width="18.88671875" style="671" customWidth="1"/>
    <col min="9" max="10" width="14.44140625" style="671" customWidth="1"/>
    <col min="11" max="12" width="17.33203125" style="671" customWidth="1"/>
    <col min="13" max="13" width="19.33203125" style="671" customWidth="1"/>
    <col min="14" max="14" width="15.33203125" style="671" bestFit="1" customWidth="1"/>
    <col min="15" max="15" width="11.44140625" style="671"/>
    <col min="16" max="16384" width="11.44140625" style="413"/>
  </cols>
  <sheetData>
    <row r="1" spans="1:16" ht="15" customHeight="1" x14ac:dyDescent="0.25">
      <c r="A1" s="963" t="s">
        <v>1411</v>
      </c>
      <c r="B1" s="963"/>
      <c r="C1" s="963"/>
      <c r="D1" s="963"/>
      <c r="E1" s="963"/>
      <c r="F1" s="963"/>
      <c r="G1" s="963"/>
      <c r="H1" s="963"/>
      <c r="I1" s="963"/>
      <c r="J1" s="963"/>
      <c r="K1" s="963"/>
      <c r="L1" s="963"/>
      <c r="M1" s="963"/>
      <c r="N1" s="963"/>
      <c r="O1" s="964"/>
    </row>
    <row r="2" spans="1:16" s="9" customFormat="1" ht="41.25" customHeight="1" x14ac:dyDescent="0.25">
      <c r="A2" s="476" t="s">
        <v>21</v>
      </c>
      <c r="B2" s="476" t="s">
        <v>22</v>
      </c>
      <c r="C2" s="476" t="s">
        <v>20</v>
      </c>
      <c r="D2" s="476" t="s">
        <v>23</v>
      </c>
      <c r="E2" s="476" t="s">
        <v>24</v>
      </c>
      <c r="F2" s="476" t="s">
        <v>25</v>
      </c>
      <c r="G2" s="476" t="s">
        <v>27</v>
      </c>
      <c r="H2" s="476" t="s">
        <v>26</v>
      </c>
      <c r="I2" s="476" t="s">
        <v>1259</v>
      </c>
      <c r="J2" s="476" t="s">
        <v>1370</v>
      </c>
      <c r="K2" s="476" t="s">
        <v>1369</v>
      </c>
      <c r="L2" s="476" t="s">
        <v>1371</v>
      </c>
      <c r="M2" s="476" t="s">
        <v>1372</v>
      </c>
      <c r="N2" s="476" t="s">
        <v>30</v>
      </c>
      <c r="O2" s="476" t="s">
        <v>31</v>
      </c>
      <c r="P2" s="306"/>
    </row>
    <row r="3" spans="1:16" ht="118.8" x14ac:dyDescent="0.25">
      <c r="A3" s="670" t="s">
        <v>1276</v>
      </c>
      <c r="B3" s="670" t="s">
        <v>1350</v>
      </c>
      <c r="C3" s="686" t="s">
        <v>13</v>
      </c>
      <c r="D3" s="670" t="s">
        <v>176</v>
      </c>
      <c r="E3" s="670" t="s">
        <v>711</v>
      </c>
      <c r="F3" s="670" t="s">
        <v>147</v>
      </c>
      <c r="G3" s="670" t="s">
        <v>149</v>
      </c>
      <c r="H3" s="672" t="s">
        <v>1959</v>
      </c>
      <c r="I3" s="672" t="s">
        <v>1403</v>
      </c>
      <c r="J3" s="670" t="s">
        <v>1393</v>
      </c>
      <c r="K3" s="670">
        <v>5</v>
      </c>
      <c r="L3" s="673">
        <v>4000000</v>
      </c>
      <c r="M3" s="674">
        <f>+(K3*L3)*11</f>
        <v>220000000</v>
      </c>
      <c r="N3" s="675">
        <v>44936</v>
      </c>
      <c r="O3" s="675">
        <v>45240</v>
      </c>
    </row>
    <row r="4" spans="1:16" ht="118.8" x14ac:dyDescent="0.25">
      <c r="A4" s="670" t="s">
        <v>1276</v>
      </c>
      <c r="B4" s="670" t="s">
        <v>1350</v>
      </c>
      <c r="C4" s="686" t="s">
        <v>13</v>
      </c>
      <c r="D4" s="670" t="s">
        <v>176</v>
      </c>
      <c r="E4" s="670" t="s">
        <v>711</v>
      </c>
      <c r="F4" s="670" t="s">
        <v>1406</v>
      </c>
      <c r="G4" s="670" t="s">
        <v>149</v>
      </c>
      <c r="H4" s="672" t="s">
        <v>1412</v>
      </c>
      <c r="I4" s="672" t="s">
        <v>1404</v>
      </c>
      <c r="J4" s="670" t="s">
        <v>1393</v>
      </c>
      <c r="K4" s="670">
        <v>1</v>
      </c>
      <c r="L4" s="673">
        <v>6000000</v>
      </c>
      <c r="M4" s="674">
        <f>L4*11</f>
        <v>66000000</v>
      </c>
      <c r="N4" s="675">
        <v>44936</v>
      </c>
      <c r="O4" s="675">
        <v>45240</v>
      </c>
    </row>
    <row r="5" spans="1:16" ht="118.8" x14ac:dyDescent="0.25">
      <c r="A5" s="670" t="s">
        <v>1276</v>
      </c>
      <c r="B5" s="670" t="s">
        <v>1350</v>
      </c>
      <c r="C5" s="686" t="s">
        <v>13</v>
      </c>
      <c r="D5" s="670" t="s">
        <v>145</v>
      </c>
      <c r="E5" s="670" t="s">
        <v>132</v>
      </c>
      <c r="F5" s="670" t="s">
        <v>55</v>
      </c>
      <c r="G5" s="670" t="s">
        <v>57</v>
      </c>
      <c r="H5" s="672" t="s">
        <v>1407</v>
      </c>
      <c r="I5" s="672" t="s">
        <v>1403</v>
      </c>
      <c r="J5" s="672" t="s">
        <v>1405</v>
      </c>
      <c r="K5" s="670">
        <v>1</v>
      </c>
      <c r="L5" s="673">
        <v>3100000</v>
      </c>
      <c r="M5" s="674">
        <f>L5*11</f>
        <v>34100000</v>
      </c>
      <c r="N5" s="675">
        <v>44936</v>
      </c>
      <c r="O5" s="675">
        <v>45240</v>
      </c>
    </row>
    <row r="6" spans="1:16" ht="105.6" x14ac:dyDescent="0.25">
      <c r="A6" s="670" t="s">
        <v>1278</v>
      </c>
      <c r="B6" s="670" t="s">
        <v>1359</v>
      </c>
      <c r="C6" s="686" t="s">
        <v>13</v>
      </c>
      <c r="D6" s="670" t="s">
        <v>203</v>
      </c>
      <c r="E6" s="670" t="s">
        <v>1202</v>
      </c>
      <c r="F6" s="670" t="s">
        <v>1203</v>
      </c>
      <c r="G6" s="670" t="s">
        <v>207</v>
      </c>
      <c r="H6" s="672" t="s">
        <v>1408</v>
      </c>
      <c r="I6" s="672" t="s">
        <v>1403</v>
      </c>
      <c r="J6" s="670" t="s">
        <v>1393</v>
      </c>
      <c r="K6" s="670">
        <v>1</v>
      </c>
      <c r="L6" s="673">
        <f>3000000*1.1</f>
        <v>3300000.0000000005</v>
      </c>
      <c r="M6" s="674">
        <f>+(K6*L6)*11</f>
        <v>36300000.000000007</v>
      </c>
      <c r="N6" s="675">
        <v>44936</v>
      </c>
      <c r="O6" s="675">
        <v>45240</v>
      </c>
    </row>
    <row r="7" spans="1:16" ht="118.8" x14ac:dyDescent="0.25">
      <c r="A7" s="670" t="s">
        <v>1276</v>
      </c>
      <c r="B7" s="670" t="s">
        <v>1350</v>
      </c>
      <c r="C7" s="686" t="s">
        <v>13</v>
      </c>
      <c r="D7" s="670" t="s">
        <v>1361</v>
      </c>
      <c r="E7" s="670" t="s">
        <v>132</v>
      </c>
      <c r="F7" s="670" t="s">
        <v>55</v>
      </c>
      <c r="G7" s="670" t="s">
        <v>57</v>
      </c>
      <c r="H7" s="672" t="s">
        <v>1413</v>
      </c>
      <c r="I7" s="672" t="s">
        <v>1403</v>
      </c>
      <c r="J7" s="672" t="s">
        <v>1405</v>
      </c>
      <c r="K7" s="670">
        <v>1</v>
      </c>
      <c r="L7" s="673">
        <v>3500000</v>
      </c>
      <c r="M7" s="674">
        <f>L7*11</f>
        <v>38500000</v>
      </c>
      <c r="N7" s="675">
        <v>44936</v>
      </c>
      <c r="O7" s="675">
        <v>45240</v>
      </c>
    </row>
    <row r="8" spans="1:16" ht="118.8" x14ac:dyDescent="0.25">
      <c r="A8" s="670" t="s">
        <v>1276</v>
      </c>
      <c r="B8" s="670" t="s">
        <v>1350</v>
      </c>
      <c r="C8" s="686" t="s">
        <v>13</v>
      </c>
      <c r="D8" s="670" t="s">
        <v>120</v>
      </c>
      <c r="E8" s="670" t="s">
        <v>132</v>
      </c>
      <c r="F8" s="670" t="s">
        <v>55</v>
      </c>
      <c r="G8" s="670" t="s">
        <v>57</v>
      </c>
      <c r="H8" s="672" t="s">
        <v>1409</v>
      </c>
      <c r="I8" s="672" t="s">
        <v>1403</v>
      </c>
      <c r="J8" s="672" t="s">
        <v>1405</v>
      </c>
      <c r="K8" s="670">
        <v>1</v>
      </c>
      <c r="L8" s="673">
        <f>3100000*1.1</f>
        <v>3410000.0000000005</v>
      </c>
      <c r="M8" s="674">
        <f>L8*11</f>
        <v>37510000.000000007</v>
      </c>
      <c r="N8" s="675">
        <v>44936</v>
      </c>
      <c r="O8" s="675">
        <v>45240</v>
      </c>
    </row>
    <row r="9" spans="1:16" ht="118.8" x14ac:dyDescent="0.25">
      <c r="A9" s="670" t="s">
        <v>1276</v>
      </c>
      <c r="B9" s="670" t="s">
        <v>1350</v>
      </c>
      <c r="C9" s="686" t="s">
        <v>13</v>
      </c>
      <c r="D9" s="670" t="s">
        <v>120</v>
      </c>
      <c r="E9" s="670" t="s">
        <v>132</v>
      </c>
      <c r="F9" s="670" t="s">
        <v>55</v>
      </c>
      <c r="G9" s="670" t="s">
        <v>57</v>
      </c>
      <c r="H9" s="672" t="s">
        <v>1410</v>
      </c>
      <c r="I9" s="672" t="s">
        <v>1403</v>
      </c>
      <c r="J9" s="672" t="s">
        <v>1405</v>
      </c>
      <c r="K9" s="670">
        <v>1</v>
      </c>
      <c r="L9" s="673">
        <v>4500000</v>
      </c>
      <c r="M9" s="674">
        <f>L9*11</f>
        <v>49500000</v>
      </c>
      <c r="N9" s="675">
        <v>44936</v>
      </c>
      <c r="O9" s="675">
        <v>45240</v>
      </c>
    </row>
    <row r="10" spans="1:16" ht="118.8" customHeight="1" x14ac:dyDescent="0.25">
      <c r="A10" s="962" t="s">
        <v>1276</v>
      </c>
      <c r="B10" s="962" t="s">
        <v>1350</v>
      </c>
      <c r="C10" s="965" t="s">
        <v>13</v>
      </c>
      <c r="D10" s="965" t="s">
        <v>272</v>
      </c>
      <c r="E10" s="962" t="s">
        <v>132</v>
      </c>
      <c r="F10" s="962" t="s">
        <v>273</v>
      </c>
      <c r="G10" s="961" t="s">
        <v>275</v>
      </c>
      <c r="H10" s="676" t="s">
        <v>1884</v>
      </c>
      <c r="I10" s="677" t="s">
        <v>1885</v>
      </c>
      <c r="J10" s="683" t="s">
        <v>1395</v>
      </c>
      <c r="K10" s="677">
        <v>2</v>
      </c>
      <c r="L10" s="677">
        <v>0</v>
      </c>
      <c r="M10" s="677">
        <v>0</v>
      </c>
      <c r="N10" s="675">
        <v>44936</v>
      </c>
      <c r="O10" s="675">
        <v>45290</v>
      </c>
    </row>
    <row r="11" spans="1:16" ht="82.8" x14ac:dyDescent="0.25">
      <c r="A11" s="962"/>
      <c r="B11" s="962"/>
      <c r="C11" s="965"/>
      <c r="D11" s="965"/>
      <c r="E11" s="962"/>
      <c r="F11" s="962"/>
      <c r="G11" s="961"/>
      <c r="H11" s="676" t="s">
        <v>1886</v>
      </c>
      <c r="I11" s="677" t="s">
        <v>1887</v>
      </c>
      <c r="J11" s="683" t="s">
        <v>1395</v>
      </c>
      <c r="K11" s="677">
        <v>2</v>
      </c>
      <c r="L11" s="677">
        <v>0</v>
      </c>
      <c r="M11" s="677">
        <v>0</v>
      </c>
      <c r="N11" s="675">
        <v>44936</v>
      </c>
      <c r="O11" s="675">
        <v>45290</v>
      </c>
    </row>
    <row r="12" spans="1:16" ht="234.6" x14ac:dyDescent="0.25">
      <c r="A12" s="962"/>
      <c r="B12" s="962"/>
      <c r="C12" s="965"/>
      <c r="D12" s="965"/>
      <c r="E12" s="962"/>
      <c r="F12" s="962"/>
      <c r="G12" s="961"/>
      <c r="H12" s="679" t="s">
        <v>1888</v>
      </c>
      <c r="I12" s="680"/>
      <c r="J12" s="683" t="s">
        <v>1393</v>
      </c>
      <c r="K12" s="681">
        <v>11.7</v>
      </c>
      <c r="L12" s="682">
        <v>3800000</v>
      </c>
      <c r="M12" s="682">
        <f>L12*K12</f>
        <v>44460000</v>
      </c>
      <c r="N12" s="675">
        <v>44936</v>
      </c>
      <c r="O12" s="675">
        <v>45290</v>
      </c>
    </row>
    <row r="13" spans="1:16" ht="248.4" x14ac:dyDescent="0.25">
      <c r="A13" s="962"/>
      <c r="B13" s="962"/>
      <c r="C13" s="965"/>
      <c r="D13" s="965"/>
      <c r="E13" s="962"/>
      <c r="F13" s="962"/>
      <c r="G13" s="961"/>
      <c r="H13" s="679" t="s">
        <v>1889</v>
      </c>
      <c r="I13" s="477"/>
      <c r="J13" s="683" t="s">
        <v>1393</v>
      </c>
      <c r="K13" s="681">
        <v>11</v>
      </c>
      <c r="L13" s="682">
        <v>3600000</v>
      </c>
      <c r="M13" s="682">
        <f t="shared" ref="M13:M23" si="0">+L13*K13</f>
        <v>39600000</v>
      </c>
      <c r="N13" s="675">
        <v>44936</v>
      </c>
      <c r="O13" s="675">
        <v>45275</v>
      </c>
    </row>
    <row r="14" spans="1:16" ht="207" x14ac:dyDescent="0.25">
      <c r="A14" s="962"/>
      <c r="B14" s="962"/>
      <c r="C14" s="965"/>
      <c r="D14" s="965"/>
      <c r="E14" s="962"/>
      <c r="F14" s="962"/>
      <c r="G14" s="961"/>
      <c r="H14" s="679" t="s">
        <v>1890</v>
      </c>
      <c r="I14" s="477"/>
      <c r="J14" s="683" t="s">
        <v>1393</v>
      </c>
      <c r="K14" s="681">
        <v>11</v>
      </c>
      <c r="L14" s="682">
        <v>2500000</v>
      </c>
      <c r="M14" s="682">
        <f t="shared" si="0"/>
        <v>27500000</v>
      </c>
      <c r="N14" s="675">
        <v>44936</v>
      </c>
      <c r="O14" s="675">
        <v>45275</v>
      </c>
    </row>
    <row r="15" spans="1:16" ht="234.6" x14ac:dyDescent="0.25">
      <c r="A15" s="962"/>
      <c r="B15" s="962"/>
      <c r="C15" s="965"/>
      <c r="D15" s="965"/>
      <c r="E15" s="962"/>
      <c r="F15" s="962"/>
      <c r="G15" s="961"/>
      <c r="H15" s="679" t="s">
        <v>1891</v>
      </c>
      <c r="I15" s="477"/>
      <c r="J15" s="683" t="s">
        <v>1393</v>
      </c>
      <c r="K15" s="681">
        <v>11</v>
      </c>
      <c r="L15" s="682">
        <v>2500000</v>
      </c>
      <c r="M15" s="682">
        <f t="shared" si="0"/>
        <v>27500000</v>
      </c>
      <c r="N15" s="675">
        <v>44936</v>
      </c>
      <c r="O15" s="675">
        <v>45275</v>
      </c>
    </row>
    <row r="16" spans="1:16" ht="124.2" x14ac:dyDescent="0.25">
      <c r="A16" s="962"/>
      <c r="B16" s="962"/>
      <c r="C16" s="965"/>
      <c r="D16" s="965"/>
      <c r="E16" s="962"/>
      <c r="F16" s="962"/>
      <c r="G16" s="961"/>
      <c r="H16" s="679" t="s">
        <v>1892</v>
      </c>
      <c r="I16" s="477"/>
      <c r="J16" s="683" t="s">
        <v>1393</v>
      </c>
      <c r="K16" s="681">
        <v>10</v>
      </c>
      <c r="L16" s="682">
        <v>2500000</v>
      </c>
      <c r="M16" s="682">
        <f t="shared" si="0"/>
        <v>25000000</v>
      </c>
      <c r="N16" s="675">
        <v>44958</v>
      </c>
      <c r="O16" s="675">
        <v>45260</v>
      </c>
    </row>
    <row r="17" spans="1:15" ht="138" x14ac:dyDescent="0.25">
      <c r="A17" s="962"/>
      <c r="B17" s="962"/>
      <c r="C17" s="965"/>
      <c r="D17" s="965"/>
      <c r="E17" s="961" t="s">
        <v>1902</v>
      </c>
      <c r="F17" s="961" t="s">
        <v>1901</v>
      </c>
      <c r="G17" s="961" t="s">
        <v>1900</v>
      </c>
      <c r="H17" s="679" t="s">
        <v>1893</v>
      </c>
      <c r="I17" s="477"/>
      <c r="J17" s="678" t="s">
        <v>1373</v>
      </c>
      <c r="K17" s="681">
        <v>1</v>
      </c>
      <c r="L17" s="682">
        <v>300000000</v>
      </c>
      <c r="M17" s="682">
        <f t="shared" si="0"/>
        <v>300000000</v>
      </c>
      <c r="N17" s="675">
        <v>44958</v>
      </c>
      <c r="O17" s="675">
        <v>45260</v>
      </c>
    </row>
    <row r="18" spans="1:15" ht="96.6" x14ac:dyDescent="0.25">
      <c r="A18" s="962"/>
      <c r="B18" s="962"/>
      <c r="C18" s="965"/>
      <c r="D18" s="965"/>
      <c r="E18" s="961"/>
      <c r="F18" s="961"/>
      <c r="G18" s="961"/>
      <c r="H18" s="679" t="s">
        <v>1894</v>
      </c>
      <c r="I18" s="477"/>
      <c r="J18" s="678" t="s">
        <v>1373</v>
      </c>
      <c r="K18" s="681">
        <v>1</v>
      </c>
      <c r="L18" s="682">
        <v>2000000</v>
      </c>
      <c r="M18" s="682">
        <f t="shared" si="0"/>
        <v>2000000</v>
      </c>
      <c r="N18" s="675">
        <v>44958</v>
      </c>
      <c r="O18" s="675">
        <v>45260</v>
      </c>
    </row>
    <row r="19" spans="1:15" ht="69" x14ac:dyDescent="0.25">
      <c r="A19" s="962"/>
      <c r="B19" s="962"/>
      <c r="C19" s="965"/>
      <c r="D19" s="965"/>
      <c r="E19" s="961"/>
      <c r="F19" s="961"/>
      <c r="G19" s="961"/>
      <c r="H19" s="679" t="s">
        <v>1895</v>
      </c>
      <c r="I19" s="477"/>
      <c r="J19" s="678" t="s">
        <v>1373</v>
      </c>
      <c r="K19" s="681">
        <v>1</v>
      </c>
      <c r="L19" s="682">
        <v>70000000</v>
      </c>
      <c r="M19" s="682">
        <f t="shared" si="0"/>
        <v>70000000</v>
      </c>
      <c r="N19" s="675">
        <v>44958</v>
      </c>
      <c r="O19" s="675">
        <v>45260</v>
      </c>
    </row>
    <row r="20" spans="1:15" ht="55.2" x14ac:dyDescent="0.25">
      <c r="A20" s="962"/>
      <c r="B20" s="962"/>
      <c r="C20" s="965"/>
      <c r="D20" s="965"/>
      <c r="E20" s="961"/>
      <c r="F20" s="961"/>
      <c r="G20" s="961"/>
      <c r="H20" s="679" t="s">
        <v>1896</v>
      </c>
      <c r="I20" s="477"/>
      <c r="J20" s="678" t="s">
        <v>1373</v>
      </c>
      <c r="K20" s="681">
        <v>1</v>
      </c>
      <c r="L20" s="682">
        <v>50000000</v>
      </c>
      <c r="M20" s="682">
        <f t="shared" si="0"/>
        <v>50000000</v>
      </c>
      <c r="N20" s="675">
        <v>44958</v>
      </c>
      <c r="O20" s="675">
        <v>45260</v>
      </c>
    </row>
    <row r="21" spans="1:15" ht="55.2" x14ac:dyDescent="0.25">
      <c r="A21" s="962"/>
      <c r="B21" s="962"/>
      <c r="C21" s="965"/>
      <c r="D21" s="965"/>
      <c r="E21" s="961"/>
      <c r="F21" s="961"/>
      <c r="G21" s="961"/>
      <c r="H21" s="679" t="s">
        <v>1897</v>
      </c>
      <c r="I21" s="477"/>
      <c r="J21" s="678" t="s">
        <v>1373</v>
      </c>
      <c r="K21" s="681">
        <v>1</v>
      </c>
      <c r="L21" s="682">
        <v>60000000</v>
      </c>
      <c r="M21" s="682">
        <f t="shared" si="0"/>
        <v>60000000</v>
      </c>
      <c r="N21" s="675">
        <v>44958</v>
      </c>
      <c r="O21" s="675">
        <v>45260</v>
      </c>
    </row>
    <row r="22" spans="1:15" ht="55.2" x14ac:dyDescent="0.25">
      <c r="A22" s="962"/>
      <c r="B22" s="962"/>
      <c r="C22" s="965"/>
      <c r="D22" s="965"/>
      <c r="E22" s="961"/>
      <c r="F22" s="961"/>
      <c r="G22" s="961"/>
      <c r="H22" s="679" t="s">
        <v>1898</v>
      </c>
      <c r="I22" s="477"/>
      <c r="J22" s="678" t="s">
        <v>1373</v>
      </c>
      <c r="K22" s="681">
        <v>1</v>
      </c>
      <c r="L22" s="682">
        <v>15000000</v>
      </c>
      <c r="M22" s="682">
        <f t="shared" si="0"/>
        <v>15000000</v>
      </c>
      <c r="N22" s="675">
        <v>44958</v>
      </c>
      <c r="O22" s="675">
        <v>45260</v>
      </c>
    </row>
    <row r="23" spans="1:15" ht="82.8" x14ac:dyDescent="0.25">
      <c r="A23" s="962"/>
      <c r="B23" s="962"/>
      <c r="C23" s="965"/>
      <c r="D23" s="965"/>
      <c r="E23" s="961"/>
      <c r="F23" s="961"/>
      <c r="G23" s="961"/>
      <c r="H23" s="679" t="s">
        <v>1899</v>
      </c>
      <c r="I23" s="477"/>
      <c r="J23" s="678" t="s">
        <v>1373</v>
      </c>
      <c r="K23" s="681">
        <v>1</v>
      </c>
      <c r="L23" s="682">
        <v>2000000</v>
      </c>
      <c r="M23" s="682">
        <f t="shared" si="0"/>
        <v>2000000</v>
      </c>
      <c r="N23" s="675">
        <v>44958</v>
      </c>
      <c r="O23" s="675">
        <v>45260</v>
      </c>
    </row>
    <row r="24" spans="1:15" ht="118.8" customHeight="1" x14ac:dyDescent="0.25">
      <c r="A24" s="961" t="s">
        <v>1276</v>
      </c>
      <c r="B24" s="961" t="s">
        <v>1905</v>
      </c>
      <c r="C24" s="961" t="s">
        <v>13</v>
      </c>
      <c r="D24" s="961" t="s">
        <v>108</v>
      </c>
      <c r="E24" s="962" t="s">
        <v>132</v>
      </c>
      <c r="F24" s="961" t="s">
        <v>55</v>
      </c>
      <c r="G24" s="961" t="s">
        <v>57</v>
      </c>
      <c r="H24" s="691" t="s">
        <v>1903</v>
      </c>
      <c r="I24" s="672" t="s">
        <v>113</v>
      </c>
      <c r="J24" s="672" t="s">
        <v>1397</v>
      </c>
      <c r="K24" s="687">
        <v>1</v>
      </c>
      <c r="L24" s="692">
        <v>39853275</v>
      </c>
      <c r="M24" s="688">
        <f>+L24</f>
        <v>39853275</v>
      </c>
      <c r="N24" s="675">
        <v>44958</v>
      </c>
      <c r="O24" s="675">
        <v>45260</v>
      </c>
    </row>
    <row r="25" spans="1:15" ht="26.4" x14ac:dyDescent="0.25">
      <c r="A25" s="961"/>
      <c r="B25" s="961"/>
      <c r="C25" s="962"/>
      <c r="D25" s="962"/>
      <c r="E25" s="962"/>
      <c r="F25" s="961"/>
      <c r="G25" s="961"/>
      <c r="H25" s="694" t="s">
        <v>1904</v>
      </c>
      <c r="I25" s="670" t="s">
        <v>1397</v>
      </c>
      <c r="J25" s="689"/>
      <c r="K25" s="690">
        <v>1</v>
      </c>
      <c r="L25" s="693">
        <v>12900000</v>
      </c>
      <c r="M25" s="693">
        <v>12900000</v>
      </c>
      <c r="N25" s="675">
        <v>44958</v>
      </c>
      <c r="O25" s="675">
        <v>45260</v>
      </c>
    </row>
    <row r="26" spans="1:15" ht="198" x14ac:dyDescent="0.25">
      <c r="A26" s="670" t="s">
        <v>1276</v>
      </c>
      <c r="B26" s="670" t="s">
        <v>1359</v>
      </c>
      <c r="C26" s="686" t="s">
        <v>13</v>
      </c>
      <c r="D26" s="670" t="s">
        <v>1361</v>
      </c>
      <c r="E26" s="670" t="s">
        <v>1124</v>
      </c>
      <c r="F26" s="670" t="s">
        <v>597</v>
      </c>
      <c r="G26" s="670" t="s">
        <v>599</v>
      </c>
      <c r="H26" s="686" t="s">
        <v>1906</v>
      </c>
      <c r="I26" s="684" t="s">
        <v>1907</v>
      </c>
      <c r="J26" s="686" t="s">
        <v>1908</v>
      </c>
      <c r="K26" s="686">
        <v>20</v>
      </c>
      <c r="L26" s="695">
        <v>1250000</v>
      </c>
      <c r="M26" s="695">
        <v>25000000</v>
      </c>
      <c r="N26" s="675" t="s">
        <v>1909</v>
      </c>
      <c r="O26" s="675" t="s">
        <v>1910</v>
      </c>
    </row>
    <row r="27" spans="1:15" ht="118.8" x14ac:dyDescent="0.25">
      <c r="A27" s="670" t="s">
        <v>1276</v>
      </c>
      <c r="B27" s="670" t="s">
        <v>1350</v>
      </c>
      <c r="C27" s="686" t="s">
        <v>13</v>
      </c>
      <c r="D27" s="670" t="s">
        <v>1361</v>
      </c>
      <c r="E27" s="670" t="s">
        <v>132</v>
      </c>
      <c r="F27" s="670" t="s">
        <v>597</v>
      </c>
      <c r="G27" s="670" t="s">
        <v>599</v>
      </c>
      <c r="H27" s="684" t="s">
        <v>1911</v>
      </c>
      <c r="I27" s="696" t="s">
        <v>1912</v>
      </c>
      <c r="J27" s="686" t="s">
        <v>1913</v>
      </c>
      <c r="K27" s="686">
        <v>1</v>
      </c>
      <c r="L27" s="695">
        <v>18000000</v>
      </c>
      <c r="M27" s="695">
        <v>18000000</v>
      </c>
      <c r="N27" s="675" t="s">
        <v>1914</v>
      </c>
      <c r="O27" s="675" t="s">
        <v>1910</v>
      </c>
    </row>
    <row r="28" spans="1:15" ht="132" x14ac:dyDescent="0.25">
      <c r="A28" s="670" t="s">
        <v>1276</v>
      </c>
      <c r="B28" s="670" t="s">
        <v>1350</v>
      </c>
      <c r="C28" s="686" t="s">
        <v>13</v>
      </c>
      <c r="D28" s="670" t="s">
        <v>1361</v>
      </c>
      <c r="E28" s="670" t="s">
        <v>132</v>
      </c>
      <c r="F28" s="670" t="s">
        <v>597</v>
      </c>
      <c r="G28" s="670" t="s">
        <v>599</v>
      </c>
      <c r="H28" s="686" t="s">
        <v>1915</v>
      </c>
      <c r="I28" s="696" t="s">
        <v>1916</v>
      </c>
      <c r="J28" s="684" t="s">
        <v>1917</v>
      </c>
      <c r="K28" s="686">
        <v>1</v>
      </c>
      <c r="L28" s="695">
        <v>7000000</v>
      </c>
      <c r="M28" s="695">
        <v>7000000</v>
      </c>
      <c r="N28" s="675" t="s">
        <v>1918</v>
      </c>
      <c r="O28" s="675" t="s">
        <v>1910</v>
      </c>
    </row>
    <row r="29" spans="1:15" ht="316.8" x14ac:dyDescent="0.25">
      <c r="A29" s="670" t="s">
        <v>1276</v>
      </c>
      <c r="B29" s="670" t="s">
        <v>1350</v>
      </c>
      <c r="C29" s="686" t="s">
        <v>13</v>
      </c>
      <c r="D29" s="670" t="s">
        <v>1361</v>
      </c>
      <c r="E29" s="670" t="s">
        <v>295</v>
      </c>
      <c r="F29" s="670" t="s">
        <v>597</v>
      </c>
      <c r="G29" s="670" t="s">
        <v>599</v>
      </c>
      <c r="H29" s="684" t="s">
        <v>1919</v>
      </c>
      <c r="I29" s="696" t="s">
        <v>1920</v>
      </c>
      <c r="J29" s="684" t="s">
        <v>1921</v>
      </c>
      <c r="K29" s="686">
        <v>1</v>
      </c>
      <c r="L29" s="697">
        <v>65000000</v>
      </c>
      <c r="M29" s="697">
        <v>65000000</v>
      </c>
      <c r="N29" s="675" t="s">
        <v>1922</v>
      </c>
      <c r="O29" s="675" t="s">
        <v>1910</v>
      </c>
    </row>
    <row r="30" spans="1:15" ht="198" x14ac:dyDescent="0.25">
      <c r="A30" s="670" t="s">
        <v>1276</v>
      </c>
      <c r="B30" s="670" t="s">
        <v>1350</v>
      </c>
      <c r="C30" s="686" t="s">
        <v>13</v>
      </c>
      <c r="D30" s="670" t="s">
        <v>1361</v>
      </c>
      <c r="E30" s="670" t="s">
        <v>295</v>
      </c>
      <c r="F30" s="670" t="s">
        <v>597</v>
      </c>
      <c r="G30" s="670" t="s">
        <v>599</v>
      </c>
      <c r="H30" s="684" t="s">
        <v>1923</v>
      </c>
      <c r="I30" s="696" t="s">
        <v>1912</v>
      </c>
      <c r="J30" s="684" t="s">
        <v>1924</v>
      </c>
      <c r="K30" s="686">
        <v>1</v>
      </c>
      <c r="L30" s="697">
        <v>32000000</v>
      </c>
      <c r="M30" s="697">
        <v>32000000</v>
      </c>
      <c r="N30" s="675" t="s">
        <v>1918</v>
      </c>
      <c r="O30" s="675" t="s">
        <v>1914</v>
      </c>
    </row>
    <row r="31" spans="1:15" ht="303.60000000000002" x14ac:dyDescent="0.25">
      <c r="A31" s="670" t="s">
        <v>1276</v>
      </c>
      <c r="B31" s="670" t="s">
        <v>1359</v>
      </c>
      <c r="C31" s="686" t="s">
        <v>13</v>
      </c>
      <c r="D31" s="670" t="s">
        <v>1361</v>
      </c>
      <c r="E31" s="670" t="s">
        <v>1124</v>
      </c>
      <c r="F31" s="670" t="s">
        <v>597</v>
      </c>
      <c r="G31" s="670" t="s">
        <v>599</v>
      </c>
      <c r="H31" s="686" t="s">
        <v>1925</v>
      </c>
      <c r="I31" s="684" t="s">
        <v>1926</v>
      </c>
      <c r="J31" s="686" t="s">
        <v>1927</v>
      </c>
      <c r="K31" s="686">
        <v>1</v>
      </c>
      <c r="L31" s="695">
        <v>9000000</v>
      </c>
      <c r="M31" s="695">
        <v>9000000</v>
      </c>
      <c r="N31" s="675" t="s">
        <v>1922</v>
      </c>
      <c r="O31" s="675" t="s">
        <v>1910</v>
      </c>
    </row>
    <row r="32" spans="1:15" ht="198" x14ac:dyDescent="0.25">
      <c r="A32" s="670" t="s">
        <v>1276</v>
      </c>
      <c r="B32" s="670" t="s">
        <v>1359</v>
      </c>
      <c r="C32" s="686" t="s">
        <v>13</v>
      </c>
      <c r="D32" s="670" t="s">
        <v>1361</v>
      </c>
      <c r="E32" s="670" t="s">
        <v>132</v>
      </c>
      <c r="F32" s="670" t="s">
        <v>597</v>
      </c>
      <c r="G32" s="670" t="s">
        <v>599</v>
      </c>
      <c r="H32" s="686" t="s">
        <v>1928</v>
      </c>
      <c r="I32" s="696" t="s">
        <v>1929</v>
      </c>
      <c r="J32" s="686" t="s">
        <v>1930</v>
      </c>
      <c r="K32" s="686">
        <v>1</v>
      </c>
      <c r="L32" s="695">
        <v>5000000</v>
      </c>
      <c r="M32" s="695">
        <v>5000000</v>
      </c>
      <c r="N32" s="675" t="s">
        <v>1922</v>
      </c>
      <c r="O32" s="675" t="s">
        <v>1910</v>
      </c>
    </row>
    <row r="33" spans="1:15" ht="330" x14ac:dyDescent="0.25">
      <c r="A33" s="670" t="s">
        <v>1276</v>
      </c>
      <c r="B33" s="670" t="s">
        <v>1359</v>
      </c>
      <c r="C33" s="686" t="s">
        <v>13</v>
      </c>
      <c r="D33" s="670" t="s">
        <v>1361</v>
      </c>
      <c r="E33" s="670" t="s">
        <v>1124</v>
      </c>
      <c r="F33" s="670" t="s">
        <v>597</v>
      </c>
      <c r="G33" s="670" t="s">
        <v>599</v>
      </c>
      <c r="H33" s="686" t="s">
        <v>1931</v>
      </c>
      <c r="I33" s="698" t="s">
        <v>1932</v>
      </c>
      <c r="J33" s="686" t="s">
        <v>1933</v>
      </c>
      <c r="K33" s="686">
        <v>1</v>
      </c>
      <c r="L33" s="695">
        <v>2200000</v>
      </c>
      <c r="M33" s="695">
        <v>22000000</v>
      </c>
      <c r="N33" s="675" t="s">
        <v>1909</v>
      </c>
      <c r="O33" s="675" t="s">
        <v>1910</v>
      </c>
    </row>
    <row r="34" spans="1:15" ht="105.6" x14ac:dyDescent="0.25">
      <c r="A34" s="670" t="s">
        <v>1278</v>
      </c>
      <c r="B34" s="670" t="s">
        <v>1359</v>
      </c>
      <c r="C34" s="670" t="s">
        <v>13</v>
      </c>
      <c r="D34" s="670" t="s">
        <v>203</v>
      </c>
      <c r="E34" s="672" t="s">
        <v>1213</v>
      </c>
      <c r="F34" s="670" t="s">
        <v>1214</v>
      </c>
      <c r="G34" s="670" t="s">
        <v>1217</v>
      </c>
      <c r="H34" s="672" t="s">
        <v>1934</v>
      </c>
      <c r="I34" s="672" t="s">
        <v>1935</v>
      </c>
      <c r="J34" s="672" t="s">
        <v>1935</v>
      </c>
      <c r="K34" s="670" t="s">
        <v>1936</v>
      </c>
      <c r="L34" s="699">
        <v>600000</v>
      </c>
      <c r="M34" s="699">
        <f>12*600000</f>
        <v>7200000</v>
      </c>
      <c r="N34" s="675">
        <v>44927</v>
      </c>
      <c r="O34" s="675">
        <v>45231</v>
      </c>
    </row>
    <row r="35" spans="1:15" ht="118.8" x14ac:dyDescent="0.25">
      <c r="A35" s="670" t="s">
        <v>1278</v>
      </c>
      <c r="B35" s="670" t="s">
        <v>1359</v>
      </c>
      <c r="C35" s="670" t="s">
        <v>13</v>
      </c>
      <c r="D35" s="670" t="s">
        <v>203</v>
      </c>
      <c r="E35" s="672" t="s">
        <v>1202</v>
      </c>
      <c r="F35" s="670" t="s">
        <v>1212</v>
      </c>
      <c r="G35" s="670" t="s">
        <v>246</v>
      </c>
      <c r="H35" s="670" t="s">
        <v>1937</v>
      </c>
      <c r="I35" s="670" t="s">
        <v>1938</v>
      </c>
      <c r="J35" s="672" t="s">
        <v>1935</v>
      </c>
      <c r="K35" s="670">
        <v>1</v>
      </c>
      <c r="L35" s="699">
        <v>8000000</v>
      </c>
      <c r="M35" s="699">
        <v>8000000</v>
      </c>
      <c r="N35" s="675">
        <v>44927</v>
      </c>
      <c r="O35" s="675">
        <v>45231</v>
      </c>
    </row>
    <row r="36" spans="1:15" ht="118.8" x14ac:dyDescent="0.25">
      <c r="A36" s="670" t="s">
        <v>1278</v>
      </c>
      <c r="B36" s="670" t="s">
        <v>1359</v>
      </c>
      <c r="C36" s="670" t="s">
        <v>13</v>
      </c>
      <c r="D36" s="670" t="s">
        <v>203</v>
      </c>
      <c r="E36" s="672" t="s">
        <v>1202</v>
      </c>
      <c r="F36" s="670" t="s">
        <v>1212</v>
      </c>
      <c r="G36" s="670" t="s">
        <v>246</v>
      </c>
      <c r="H36" s="670" t="s">
        <v>1937</v>
      </c>
      <c r="I36" s="670" t="s">
        <v>1939</v>
      </c>
      <c r="J36" s="672" t="s">
        <v>1935</v>
      </c>
      <c r="K36" s="670">
        <v>1</v>
      </c>
      <c r="L36" s="699">
        <v>15000000</v>
      </c>
      <c r="M36" s="699">
        <v>15000000</v>
      </c>
      <c r="N36" s="675">
        <v>44927</v>
      </c>
      <c r="O36" s="675">
        <v>45231</v>
      </c>
    </row>
    <row r="37" spans="1:15" ht="118.8" x14ac:dyDescent="0.25">
      <c r="A37" s="670" t="s">
        <v>1278</v>
      </c>
      <c r="B37" s="670" t="s">
        <v>1359</v>
      </c>
      <c r="C37" s="670" t="s">
        <v>13</v>
      </c>
      <c r="D37" s="670" t="s">
        <v>203</v>
      </c>
      <c r="E37" s="672" t="s">
        <v>1202</v>
      </c>
      <c r="F37" s="670" t="s">
        <v>1212</v>
      </c>
      <c r="G37" s="670" t="s">
        <v>246</v>
      </c>
      <c r="H37" s="670" t="s">
        <v>1940</v>
      </c>
      <c r="I37" s="670" t="s">
        <v>1393</v>
      </c>
      <c r="J37" s="672" t="s">
        <v>1935</v>
      </c>
      <c r="K37" s="670">
        <v>1</v>
      </c>
      <c r="L37" s="699">
        <v>6000000</v>
      </c>
      <c r="M37" s="699">
        <v>6000000</v>
      </c>
      <c r="N37" s="675">
        <v>44927</v>
      </c>
      <c r="O37" s="675">
        <v>45047</v>
      </c>
    </row>
    <row r="38" spans="1:15" ht="118.8" x14ac:dyDescent="0.25">
      <c r="A38" s="670" t="s">
        <v>1278</v>
      </c>
      <c r="B38" s="670" t="s">
        <v>1359</v>
      </c>
      <c r="C38" s="670" t="s">
        <v>13</v>
      </c>
      <c r="D38" s="670" t="s">
        <v>203</v>
      </c>
      <c r="E38" s="672" t="s">
        <v>1202</v>
      </c>
      <c r="F38" s="670" t="s">
        <v>1212</v>
      </c>
      <c r="G38" s="670" t="s">
        <v>246</v>
      </c>
      <c r="H38" s="670" t="s">
        <v>1941</v>
      </c>
      <c r="I38" s="670" t="s">
        <v>1373</v>
      </c>
      <c r="J38" s="672" t="s">
        <v>1935</v>
      </c>
      <c r="K38" s="670">
        <v>150</v>
      </c>
      <c r="L38" s="699">
        <v>6000000</v>
      </c>
      <c r="M38" s="699">
        <v>6000000</v>
      </c>
      <c r="N38" s="675">
        <v>44927</v>
      </c>
      <c r="O38" s="675">
        <v>45047</v>
      </c>
    </row>
    <row r="39" spans="1:15" ht="105.6" x14ac:dyDescent="0.25">
      <c r="A39" s="670" t="s">
        <v>1278</v>
      </c>
      <c r="B39" s="670" t="s">
        <v>1359</v>
      </c>
      <c r="C39" s="670" t="s">
        <v>13</v>
      </c>
      <c r="D39" s="670" t="s">
        <v>203</v>
      </c>
      <c r="E39" s="672" t="s">
        <v>1202</v>
      </c>
      <c r="F39" s="670" t="s">
        <v>1203</v>
      </c>
      <c r="G39" s="670" t="s">
        <v>207</v>
      </c>
      <c r="H39" s="670" t="s">
        <v>1942</v>
      </c>
      <c r="I39" s="670" t="s">
        <v>1943</v>
      </c>
      <c r="J39" s="672" t="s">
        <v>1935</v>
      </c>
      <c r="K39" s="670">
        <v>1</v>
      </c>
      <c r="L39" s="699">
        <v>12000000</v>
      </c>
      <c r="M39" s="699">
        <v>12000000</v>
      </c>
      <c r="N39" s="675">
        <v>44927</v>
      </c>
      <c r="O39" s="675">
        <v>45108</v>
      </c>
    </row>
    <row r="40" spans="1:15" ht="105.6" x14ac:dyDescent="0.25">
      <c r="A40" s="670" t="s">
        <v>1278</v>
      </c>
      <c r="B40" s="670" t="s">
        <v>1359</v>
      </c>
      <c r="C40" s="670" t="s">
        <v>13</v>
      </c>
      <c r="D40" s="670" t="s">
        <v>203</v>
      </c>
      <c r="E40" s="672" t="s">
        <v>1202</v>
      </c>
      <c r="F40" s="670" t="s">
        <v>1203</v>
      </c>
      <c r="G40" s="670" t="s">
        <v>207</v>
      </c>
      <c r="H40" s="670" t="s">
        <v>1945</v>
      </c>
      <c r="I40" s="670" t="s">
        <v>1944</v>
      </c>
      <c r="J40" s="672" t="s">
        <v>1935</v>
      </c>
      <c r="K40" s="670">
        <v>2</v>
      </c>
      <c r="L40" s="699">
        <f>1800000*10</f>
        <v>18000000</v>
      </c>
      <c r="M40" s="699">
        <f>1800000*10</f>
        <v>18000000</v>
      </c>
      <c r="N40" s="675">
        <v>44927</v>
      </c>
      <c r="O40" s="675">
        <v>45231</v>
      </c>
    </row>
    <row r="41" spans="1:15" ht="118.8" x14ac:dyDescent="0.25">
      <c r="A41" s="670" t="s">
        <v>1278</v>
      </c>
      <c r="B41" s="670" t="s">
        <v>1359</v>
      </c>
      <c r="C41" s="670" t="s">
        <v>13</v>
      </c>
      <c r="D41" s="670" t="s">
        <v>203</v>
      </c>
      <c r="E41" s="672" t="s">
        <v>1202</v>
      </c>
      <c r="F41" s="670" t="s">
        <v>1203</v>
      </c>
      <c r="G41" s="670" t="s">
        <v>207</v>
      </c>
      <c r="H41" s="670" t="s">
        <v>1946</v>
      </c>
      <c r="I41" s="670" t="s">
        <v>1947</v>
      </c>
      <c r="J41" s="672" t="s">
        <v>1935</v>
      </c>
      <c r="K41" s="670">
        <v>1</v>
      </c>
      <c r="L41" s="699">
        <v>2500000</v>
      </c>
      <c r="M41" s="699">
        <v>2500000</v>
      </c>
      <c r="N41" s="675">
        <v>44562</v>
      </c>
      <c r="O41" s="675">
        <v>44621</v>
      </c>
    </row>
    <row r="42" spans="1:15" ht="118.8" x14ac:dyDescent="0.25">
      <c r="A42" s="670" t="s">
        <v>1278</v>
      </c>
      <c r="B42" s="670" t="s">
        <v>1359</v>
      </c>
      <c r="C42" s="670" t="s">
        <v>13</v>
      </c>
      <c r="D42" s="670" t="s">
        <v>203</v>
      </c>
      <c r="E42" s="672" t="s">
        <v>1202</v>
      </c>
      <c r="F42" s="670" t="s">
        <v>1203</v>
      </c>
      <c r="G42" s="670" t="s">
        <v>1948</v>
      </c>
      <c r="H42" s="670" t="s">
        <v>1949</v>
      </c>
      <c r="I42" s="670" t="s">
        <v>1950</v>
      </c>
      <c r="J42" s="672" t="s">
        <v>1935</v>
      </c>
      <c r="K42" s="670">
        <v>1</v>
      </c>
      <c r="L42" s="699">
        <v>20000000</v>
      </c>
      <c r="M42" s="699">
        <v>20000000</v>
      </c>
      <c r="N42" s="675">
        <v>44927</v>
      </c>
      <c r="O42" s="675">
        <v>45108</v>
      </c>
    </row>
    <row r="43" spans="1:15" ht="105.6" x14ac:dyDescent="0.25">
      <c r="A43" s="670" t="s">
        <v>1278</v>
      </c>
      <c r="B43" s="670" t="s">
        <v>1359</v>
      </c>
      <c r="C43" s="670" t="s">
        <v>13</v>
      </c>
      <c r="D43" s="670" t="s">
        <v>203</v>
      </c>
      <c r="E43" s="672" t="s">
        <v>1202</v>
      </c>
      <c r="F43" s="670" t="s">
        <v>1203</v>
      </c>
      <c r="G43" s="670" t="s">
        <v>1951</v>
      </c>
      <c r="H43" s="670" t="s">
        <v>1952</v>
      </c>
      <c r="I43" s="700" t="s">
        <v>1953</v>
      </c>
      <c r="J43" s="672" t="s">
        <v>1935</v>
      </c>
      <c r="K43" s="670">
        <v>1</v>
      </c>
      <c r="L43" s="699">
        <v>30000000</v>
      </c>
      <c r="M43" s="699">
        <v>3000000</v>
      </c>
      <c r="N43" s="675">
        <v>44986</v>
      </c>
      <c r="O43" s="675">
        <v>45261</v>
      </c>
    </row>
    <row r="44" spans="1:15" ht="105.6" x14ac:dyDescent="0.25">
      <c r="A44" s="670" t="s">
        <v>1278</v>
      </c>
      <c r="B44" s="670" t="s">
        <v>1359</v>
      </c>
      <c r="C44" s="670" t="s">
        <v>13</v>
      </c>
      <c r="D44" s="670" t="s">
        <v>203</v>
      </c>
      <c r="E44" s="672" t="s">
        <v>1202</v>
      </c>
      <c r="F44" s="670" t="s">
        <v>1203</v>
      </c>
      <c r="G44" s="670" t="s">
        <v>1954</v>
      </c>
      <c r="H44" s="670" t="s">
        <v>1955</v>
      </c>
      <c r="I44" s="670" t="s">
        <v>1956</v>
      </c>
      <c r="J44" s="672" t="s">
        <v>1935</v>
      </c>
      <c r="K44" s="670">
        <v>1</v>
      </c>
      <c r="L44" s="699">
        <v>3000000</v>
      </c>
      <c r="M44" s="699">
        <v>3000000</v>
      </c>
      <c r="N44" s="675">
        <v>44927</v>
      </c>
      <c r="O44" s="675">
        <v>45261</v>
      </c>
    </row>
    <row r="45" spans="1:15" ht="132" x14ac:dyDescent="0.25">
      <c r="A45" s="670" t="s">
        <v>1278</v>
      </c>
      <c r="B45" s="670" t="s">
        <v>1359</v>
      </c>
      <c r="C45" s="670" t="s">
        <v>13</v>
      </c>
      <c r="D45" s="670" t="s">
        <v>203</v>
      </c>
      <c r="E45" s="672" t="s">
        <v>1202</v>
      </c>
      <c r="F45" s="670" t="s">
        <v>1203</v>
      </c>
      <c r="G45" s="670" t="s">
        <v>1957</v>
      </c>
      <c r="H45" s="670" t="s">
        <v>1958</v>
      </c>
      <c r="I45" s="670" t="s">
        <v>1957</v>
      </c>
      <c r="J45" s="672" t="s">
        <v>1935</v>
      </c>
      <c r="K45" s="670">
        <v>1</v>
      </c>
      <c r="L45" s="699">
        <v>25000000</v>
      </c>
      <c r="M45" s="699">
        <v>25000000</v>
      </c>
      <c r="N45" s="675">
        <v>44927</v>
      </c>
      <c r="O45" s="675">
        <v>45139</v>
      </c>
    </row>
    <row r="46" spans="1:15" ht="39.6" x14ac:dyDescent="0.25">
      <c r="A46" s="962" t="s">
        <v>1276</v>
      </c>
      <c r="B46" s="962" t="s">
        <v>1350</v>
      </c>
      <c r="C46" s="962" t="s">
        <v>13</v>
      </c>
      <c r="D46" s="962" t="s">
        <v>159</v>
      </c>
      <c r="E46" s="962" t="s">
        <v>711</v>
      </c>
      <c r="F46" s="962" t="s">
        <v>55</v>
      </c>
      <c r="G46" s="962" t="s">
        <v>57</v>
      </c>
      <c r="H46" s="670" t="s">
        <v>1960</v>
      </c>
      <c r="I46" s="670" t="s">
        <v>1961</v>
      </c>
      <c r="J46" s="670"/>
      <c r="K46" s="670">
        <v>1</v>
      </c>
      <c r="L46" s="670">
        <v>1500000</v>
      </c>
      <c r="M46" s="670">
        <v>1500000</v>
      </c>
      <c r="N46" s="675" t="s">
        <v>1962</v>
      </c>
      <c r="O46" s="675" t="s">
        <v>1963</v>
      </c>
    </row>
    <row r="47" spans="1:15" ht="66" x14ac:dyDescent="0.25">
      <c r="A47" s="962"/>
      <c r="B47" s="962"/>
      <c r="C47" s="962"/>
      <c r="D47" s="962"/>
      <c r="E47" s="962"/>
      <c r="F47" s="962"/>
      <c r="G47" s="962"/>
      <c r="H47" s="670" t="s">
        <v>1964</v>
      </c>
      <c r="I47" s="670" t="s">
        <v>1965</v>
      </c>
      <c r="J47" s="670"/>
      <c r="K47" s="670">
        <v>1</v>
      </c>
      <c r="L47" s="670">
        <v>22000000</v>
      </c>
      <c r="M47" s="670">
        <v>2200000</v>
      </c>
      <c r="N47" s="675" t="s">
        <v>1962</v>
      </c>
      <c r="O47" s="675" t="s">
        <v>1963</v>
      </c>
    </row>
    <row r="48" spans="1:15" ht="26.4" x14ac:dyDescent="0.25">
      <c r="A48" s="962"/>
      <c r="B48" s="962"/>
      <c r="C48" s="962"/>
      <c r="D48" s="962"/>
      <c r="E48" s="962"/>
      <c r="F48" s="962"/>
      <c r="G48" s="962"/>
      <c r="H48" s="670" t="s">
        <v>1966</v>
      </c>
      <c r="I48" s="670" t="s">
        <v>1967</v>
      </c>
      <c r="J48" s="670"/>
      <c r="K48" s="670">
        <v>1</v>
      </c>
      <c r="L48" s="670">
        <v>8000000</v>
      </c>
      <c r="M48" s="670">
        <v>8000000</v>
      </c>
      <c r="N48" s="675" t="s">
        <v>1962</v>
      </c>
      <c r="O48" s="675" t="s">
        <v>1963</v>
      </c>
    </row>
    <row r="49" spans="1:15" ht="105.6" x14ac:dyDescent="0.25">
      <c r="A49" s="962"/>
      <c r="B49" s="962"/>
      <c r="C49" s="962"/>
      <c r="D49" s="962"/>
      <c r="E49" s="962"/>
      <c r="F49" s="962"/>
      <c r="G49" s="962"/>
      <c r="H49" s="670" t="s">
        <v>1968</v>
      </c>
      <c r="I49" s="670" t="s">
        <v>1969</v>
      </c>
      <c r="J49" s="670"/>
      <c r="K49" s="670">
        <v>1</v>
      </c>
      <c r="L49" s="670">
        <v>2000000</v>
      </c>
      <c r="M49" s="670">
        <v>2000000</v>
      </c>
      <c r="N49" s="675" t="s">
        <v>1962</v>
      </c>
      <c r="O49" s="675" t="s">
        <v>1963</v>
      </c>
    </row>
    <row r="50" spans="1:15" ht="145.19999999999999" x14ac:dyDescent="0.25">
      <c r="A50" s="962"/>
      <c r="B50" s="962"/>
      <c r="C50" s="962"/>
      <c r="D50" s="962"/>
      <c r="E50" s="962"/>
      <c r="F50" s="962"/>
      <c r="G50" s="962"/>
      <c r="H50" s="670" t="s">
        <v>1970</v>
      </c>
      <c r="I50" s="670" t="s">
        <v>1971</v>
      </c>
      <c r="J50" s="670"/>
      <c r="K50" s="670">
        <v>1</v>
      </c>
      <c r="L50" s="670">
        <v>6000000</v>
      </c>
      <c r="M50" s="670">
        <v>12000000</v>
      </c>
      <c r="N50" s="675" t="s">
        <v>1962</v>
      </c>
      <c r="O50" s="675" t="s">
        <v>1963</v>
      </c>
    </row>
    <row r="51" spans="1:15" ht="118.8" x14ac:dyDescent="0.25">
      <c r="A51" s="670" t="s">
        <v>1276</v>
      </c>
      <c r="B51" s="670" t="s">
        <v>1350</v>
      </c>
      <c r="C51" s="686" t="s">
        <v>13</v>
      </c>
      <c r="D51" s="684" t="s">
        <v>53</v>
      </c>
      <c r="E51" s="670" t="s">
        <v>132</v>
      </c>
      <c r="F51" s="670" t="s">
        <v>55</v>
      </c>
      <c r="G51" s="670" t="s">
        <v>57</v>
      </c>
      <c r="H51" s="672" t="s">
        <v>2088</v>
      </c>
      <c r="I51" s="672" t="s">
        <v>1403</v>
      </c>
      <c r="J51" s="670"/>
      <c r="K51" s="670">
        <v>1</v>
      </c>
      <c r="L51" s="673">
        <v>3570000</v>
      </c>
      <c r="M51" s="674">
        <f>L51*11</f>
        <v>39270000</v>
      </c>
      <c r="N51" s="675">
        <v>44936</v>
      </c>
      <c r="O51" s="675">
        <v>45240</v>
      </c>
    </row>
    <row r="52" spans="1:15" ht="118.8" x14ac:dyDescent="0.25">
      <c r="A52" s="670" t="s">
        <v>1276</v>
      </c>
      <c r="B52" s="670" t="s">
        <v>1350</v>
      </c>
      <c r="C52" s="686" t="s">
        <v>13</v>
      </c>
      <c r="D52" s="684" t="s">
        <v>53</v>
      </c>
      <c r="E52" s="670" t="s">
        <v>132</v>
      </c>
      <c r="F52" s="670" t="s">
        <v>55</v>
      </c>
      <c r="G52" s="670" t="s">
        <v>57</v>
      </c>
      <c r="H52" s="672" t="s">
        <v>2089</v>
      </c>
      <c r="I52" s="672" t="s">
        <v>1403</v>
      </c>
      <c r="J52" s="670"/>
      <c r="K52" s="670">
        <v>1</v>
      </c>
      <c r="L52" s="673">
        <v>3150000</v>
      </c>
      <c r="M52" s="674">
        <f>L52*11</f>
        <v>34650000</v>
      </c>
      <c r="N52" s="675">
        <v>44936</v>
      </c>
      <c r="O52" s="675">
        <v>45240</v>
      </c>
    </row>
    <row r="53" spans="1:15" ht="132" x14ac:dyDescent="0.25">
      <c r="A53" s="670" t="s">
        <v>1276</v>
      </c>
      <c r="B53" s="670" t="s">
        <v>1352</v>
      </c>
      <c r="C53" s="686" t="s">
        <v>13</v>
      </c>
      <c r="D53" s="684" t="s">
        <v>2090</v>
      </c>
      <c r="E53" s="1165" t="s">
        <v>2091</v>
      </c>
      <c r="F53" s="1165" t="s">
        <v>2092</v>
      </c>
      <c r="G53" s="1165" t="s">
        <v>2093</v>
      </c>
      <c r="H53" s="672" t="s">
        <v>2094</v>
      </c>
      <c r="I53" s="672" t="s">
        <v>2095</v>
      </c>
      <c r="J53" s="670"/>
      <c r="K53" s="670">
        <v>6</v>
      </c>
      <c r="L53" s="690">
        <f>+M53/K53</f>
        <v>1900000</v>
      </c>
      <c r="M53" s="690">
        <v>11400000</v>
      </c>
      <c r="N53" s="675"/>
      <c r="O53" s="675"/>
    </row>
    <row r="54" spans="1:15" ht="132" x14ac:dyDescent="0.25">
      <c r="A54" s="670" t="s">
        <v>1276</v>
      </c>
      <c r="B54" s="670" t="s">
        <v>1354</v>
      </c>
      <c r="C54" s="686" t="s">
        <v>13</v>
      </c>
      <c r="D54" s="684" t="s">
        <v>2090</v>
      </c>
      <c r="E54" s="1165" t="s">
        <v>899</v>
      </c>
      <c r="F54" s="1165" t="s">
        <v>2096</v>
      </c>
      <c r="G54" s="1165" t="s">
        <v>907</v>
      </c>
      <c r="H54" s="672" t="s">
        <v>2097</v>
      </c>
      <c r="I54" s="672" t="s">
        <v>2098</v>
      </c>
      <c r="J54" s="670"/>
      <c r="K54" s="670">
        <v>1</v>
      </c>
      <c r="L54" s="690">
        <v>2415000</v>
      </c>
      <c r="M54" s="690">
        <f>+L54*11</f>
        <v>26565000</v>
      </c>
      <c r="N54" s="675">
        <v>44942</v>
      </c>
      <c r="O54" s="675">
        <v>45276</v>
      </c>
    </row>
    <row r="55" spans="1:15" ht="118.8" x14ac:dyDescent="0.25">
      <c r="A55" s="670" t="s">
        <v>1276</v>
      </c>
      <c r="B55" s="670" t="s">
        <v>1354</v>
      </c>
      <c r="C55" s="686" t="s">
        <v>13</v>
      </c>
      <c r="D55" s="684" t="s">
        <v>2090</v>
      </c>
      <c r="E55" s="1165" t="s">
        <v>899</v>
      </c>
      <c r="F55" s="1165" t="s">
        <v>2096</v>
      </c>
      <c r="G55" s="1165" t="s">
        <v>907</v>
      </c>
      <c r="H55" s="672" t="s">
        <v>2099</v>
      </c>
      <c r="I55" s="672" t="s">
        <v>2098</v>
      </c>
      <c r="J55" s="670"/>
      <c r="K55" s="670">
        <v>1</v>
      </c>
      <c r="L55" s="690">
        <v>1650000</v>
      </c>
      <c r="M55" s="690">
        <f>+L55*11</f>
        <v>18150000</v>
      </c>
      <c r="N55" s="675">
        <v>44942</v>
      </c>
      <c r="O55" s="675">
        <v>45276</v>
      </c>
    </row>
    <row r="56" spans="1:15" ht="171.6" x14ac:dyDescent="0.25">
      <c r="A56" s="670" t="s">
        <v>1276</v>
      </c>
      <c r="B56" s="672" t="s">
        <v>1353</v>
      </c>
      <c r="C56" s="686" t="s">
        <v>13</v>
      </c>
      <c r="D56" s="684" t="s">
        <v>3</v>
      </c>
      <c r="E56" s="1165" t="s">
        <v>1261</v>
      </c>
      <c r="F56" s="1165" t="s">
        <v>103</v>
      </c>
      <c r="G56" s="1165" t="s">
        <v>2100</v>
      </c>
      <c r="H56" s="672" t="s">
        <v>2101</v>
      </c>
      <c r="I56" s="672" t="s">
        <v>2102</v>
      </c>
      <c r="J56" s="670"/>
      <c r="K56" s="670">
        <v>1</v>
      </c>
      <c r="L56" s="690">
        <v>2800000</v>
      </c>
      <c r="M56" s="690">
        <f>+L56*11</f>
        <v>30800000</v>
      </c>
      <c r="N56" s="675">
        <v>44942</v>
      </c>
      <c r="O56" s="675">
        <v>45276</v>
      </c>
    </row>
    <row r="57" spans="1:15" ht="118.8" x14ac:dyDescent="0.25">
      <c r="A57" s="670" t="s">
        <v>1276</v>
      </c>
      <c r="B57" s="670" t="s">
        <v>1350</v>
      </c>
      <c r="C57" s="686" t="s">
        <v>13</v>
      </c>
      <c r="D57" s="684" t="s">
        <v>2103</v>
      </c>
      <c r="E57" s="670" t="s">
        <v>711</v>
      </c>
      <c r="F57" s="670" t="s">
        <v>147</v>
      </c>
      <c r="G57" s="1165"/>
      <c r="H57" s="1167" t="s">
        <v>2104</v>
      </c>
      <c r="I57" s="672"/>
      <c r="J57" s="670"/>
      <c r="K57" s="670"/>
      <c r="L57" s="690">
        <v>5000000</v>
      </c>
      <c r="M57" s="690">
        <v>5000000</v>
      </c>
      <c r="N57" s="675"/>
      <c r="O57" s="675"/>
    </row>
    <row r="58" spans="1:15" ht="118.8" x14ac:dyDescent="0.25">
      <c r="A58" s="670" t="s">
        <v>1276</v>
      </c>
      <c r="B58" s="670" t="s">
        <v>1350</v>
      </c>
      <c r="C58" s="686" t="s">
        <v>13</v>
      </c>
      <c r="D58" s="684" t="s">
        <v>2103</v>
      </c>
      <c r="E58" s="670" t="s">
        <v>711</v>
      </c>
      <c r="F58" s="670" t="s">
        <v>147</v>
      </c>
      <c r="G58" s="1165"/>
      <c r="H58" s="1167" t="s">
        <v>2105</v>
      </c>
      <c r="I58" s="672"/>
      <c r="J58" s="670"/>
      <c r="K58" s="670"/>
      <c r="L58" s="690">
        <v>133000000</v>
      </c>
      <c r="M58" s="690">
        <v>133000000</v>
      </c>
      <c r="N58" s="675"/>
      <c r="O58" s="675"/>
    </row>
    <row r="59" spans="1:15" ht="118.8" x14ac:dyDescent="0.25">
      <c r="A59" s="670" t="s">
        <v>1276</v>
      </c>
      <c r="B59" s="670" t="s">
        <v>1350</v>
      </c>
      <c r="C59" s="686" t="s">
        <v>13</v>
      </c>
      <c r="D59" s="684" t="s">
        <v>2103</v>
      </c>
      <c r="E59" s="670" t="s">
        <v>711</v>
      </c>
      <c r="F59" s="670" t="s">
        <v>147</v>
      </c>
      <c r="G59" s="1165"/>
      <c r="H59" s="1168" t="s">
        <v>2106</v>
      </c>
      <c r="I59" s="672"/>
      <c r="J59" s="670"/>
      <c r="K59" s="670"/>
      <c r="L59" s="690">
        <v>165000000</v>
      </c>
      <c r="M59" s="690">
        <v>165000000</v>
      </c>
      <c r="N59" s="675"/>
      <c r="O59" s="675"/>
    </row>
    <row r="60" spans="1:15" ht="118.8" x14ac:dyDescent="0.25">
      <c r="A60" s="670" t="s">
        <v>1276</v>
      </c>
      <c r="B60" s="670" t="s">
        <v>1350</v>
      </c>
      <c r="C60" s="686" t="s">
        <v>13</v>
      </c>
      <c r="D60" s="684" t="s">
        <v>2103</v>
      </c>
      <c r="E60" s="670" t="s">
        <v>711</v>
      </c>
      <c r="F60" s="670" t="s">
        <v>147</v>
      </c>
      <c r="G60" s="1165"/>
      <c r="H60" s="1168" t="s">
        <v>2107</v>
      </c>
      <c r="I60" s="672"/>
      <c r="J60" s="670"/>
      <c r="K60" s="670"/>
      <c r="L60" s="690">
        <v>8000000</v>
      </c>
      <c r="M60" s="690">
        <v>8000000</v>
      </c>
      <c r="N60" s="675"/>
      <c r="O60" s="675"/>
    </row>
    <row r="61" spans="1:15" ht="118.8" x14ac:dyDescent="0.25">
      <c r="A61" s="670" t="s">
        <v>1276</v>
      </c>
      <c r="B61" s="670" t="s">
        <v>1350</v>
      </c>
      <c r="C61" s="686" t="s">
        <v>13</v>
      </c>
      <c r="D61" s="684" t="s">
        <v>2103</v>
      </c>
      <c r="E61" s="670" t="s">
        <v>711</v>
      </c>
      <c r="F61" s="670" t="s">
        <v>147</v>
      </c>
      <c r="G61" s="1165"/>
      <c r="H61" s="1168" t="s">
        <v>2108</v>
      </c>
      <c r="I61" s="672"/>
      <c r="J61" s="670"/>
      <c r="K61" s="670"/>
      <c r="L61" s="690">
        <v>3500000000</v>
      </c>
      <c r="M61" s="690">
        <v>3500000000</v>
      </c>
      <c r="N61" s="675"/>
      <c r="O61" s="675"/>
    </row>
    <row r="62" spans="1:15" ht="118.8" x14ac:dyDescent="0.25">
      <c r="A62" s="670" t="s">
        <v>1276</v>
      </c>
      <c r="B62" s="670" t="s">
        <v>1350</v>
      </c>
      <c r="C62" s="686" t="s">
        <v>13</v>
      </c>
      <c r="D62" s="684" t="s">
        <v>2103</v>
      </c>
      <c r="E62" s="670" t="s">
        <v>711</v>
      </c>
      <c r="F62" s="670" t="s">
        <v>147</v>
      </c>
      <c r="G62" s="1165"/>
      <c r="H62" s="1168" t="s">
        <v>2109</v>
      </c>
      <c r="I62" s="672"/>
      <c r="J62" s="670"/>
      <c r="K62" s="670"/>
      <c r="L62" s="690">
        <v>200000000</v>
      </c>
      <c r="M62" s="690">
        <v>200000000</v>
      </c>
      <c r="N62" s="675"/>
      <c r="O62" s="675"/>
    </row>
    <row r="63" spans="1:15" ht="132" x14ac:dyDescent="0.25">
      <c r="A63" s="670" t="s">
        <v>1276</v>
      </c>
      <c r="B63" s="670" t="s">
        <v>1350</v>
      </c>
      <c r="C63" s="686" t="s">
        <v>13</v>
      </c>
      <c r="D63" s="684" t="s">
        <v>2103</v>
      </c>
      <c r="E63" s="670" t="s">
        <v>711</v>
      </c>
      <c r="F63" s="670" t="s">
        <v>147</v>
      </c>
      <c r="G63" s="1165"/>
      <c r="H63" s="1168" t="s">
        <v>2110</v>
      </c>
      <c r="I63" s="672"/>
      <c r="J63" s="670"/>
      <c r="K63" s="670"/>
      <c r="L63" s="690">
        <v>100000000</v>
      </c>
      <c r="M63" s="690">
        <v>100000000</v>
      </c>
      <c r="N63" s="675"/>
      <c r="O63" s="675"/>
    </row>
    <row r="64" spans="1:15" ht="277.2" x14ac:dyDescent="0.25">
      <c r="A64" s="670" t="s">
        <v>1276</v>
      </c>
      <c r="B64" s="670" t="s">
        <v>1350</v>
      </c>
      <c r="C64" s="686" t="s">
        <v>13</v>
      </c>
      <c r="D64" s="684" t="s">
        <v>2103</v>
      </c>
      <c r="E64" s="670" t="s">
        <v>711</v>
      </c>
      <c r="F64" s="670" t="s">
        <v>147</v>
      </c>
      <c r="G64" s="1165"/>
      <c r="H64" s="1168" t="s">
        <v>2111</v>
      </c>
      <c r="I64" s="672"/>
      <c r="J64" s="670"/>
      <c r="K64" s="670"/>
      <c r="L64" s="690">
        <v>25300000</v>
      </c>
      <c r="M64" s="690">
        <v>25300000</v>
      </c>
      <c r="N64" s="675"/>
      <c r="O64" s="675"/>
    </row>
    <row r="65" spans="1:15" ht="277.2" x14ac:dyDescent="0.25">
      <c r="A65" s="670" t="s">
        <v>1276</v>
      </c>
      <c r="B65" s="670" t="s">
        <v>1350</v>
      </c>
      <c r="C65" s="686" t="s">
        <v>13</v>
      </c>
      <c r="D65" s="684" t="s">
        <v>2103</v>
      </c>
      <c r="E65" s="670" t="s">
        <v>711</v>
      </c>
      <c r="F65" s="670" t="s">
        <v>147</v>
      </c>
      <c r="G65" s="1165"/>
      <c r="H65" s="1169" t="s">
        <v>2112</v>
      </c>
      <c r="I65" s="672"/>
      <c r="J65" s="670"/>
      <c r="K65" s="670"/>
      <c r="L65" s="690">
        <v>26400000</v>
      </c>
      <c r="M65" s="690">
        <v>26400000</v>
      </c>
      <c r="N65" s="675"/>
      <c r="O65" s="675"/>
    </row>
    <row r="66" spans="1:15" ht="224.4" x14ac:dyDescent="0.25">
      <c r="A66" s="670" t="s">
        <v>1276</v>
      </c>
      <c r="B66" s="670" t="s">
        <v>1350</v>
      </c>
      <c r="C66" s="686" t="s">
        <v>13</v>
      </c>
      <c r="D66" s="684" t="s">
        <v>2103</v>
      </c>
      <c r="E66" s="670" t="s">
        <v>711</v>
      </c>
      <c r="F66" s="670" t="s">
        <v>147</v>
      </c>
      <c r="G66" s="1165"/>
      <c r="H66" s="1168" t="s">
        <v>2113</v>
      </c>
      <c r="I66" s="672"/>
      <c r="J66" s="670"/>
      <c r="K66" s="670"/>
      <c r="L66" s="690">
        <v>52000000</v>
      </c>
      <c r="M66" s="690">
        <v>52000000</v>
      </c>
      <c r="N66" s="675"/>
      <c r="O66" s="675"/>
    </row>
    <row r="67" spans="1:15" ht="118.8" x14ac:dyDescent="0.25">
      <c r="A67" s="670" t="s">
        <v>1276</v>
      </c>
      <c r="B67" s="670" t="s">
        <v>1350</v>
      </c>
      <c r="C67" s="686" t="s">
        <v>13</v>
      </c>
      <c r="D67" s="684" t="s">
        <v>2103</v>
      </c>
      <c r="E67" s="670" t="s">
        <v>711</v>
      </c>
      <c r="F67" s="670" t="s">
        <v>147</v>
      </c>
      <c r="G67" s="1165"/>
      <c r="H67" s="1168" t="s">
        <v>2114</v>
      </c>
      <c r="I67" s="672"/>
      <c r="J67" s="670"/>
      <c r="K67" s="670"/>
      <c r="L67" s="690">
        <v>101800000</v>
      </c>
      <c r="M67" s="690">
        <v>101800000</v>
      </c>
      <c r="N67" s="675"/>
      <c r="O67" s="675"/>
    </row>
    <row r="68" spans="1:15" ht="171.6" x14ac:dyDescent="0.25">
      <c r="A68" s="670" t="s">
        <v>1276</v>
      </c>
      <c r="B68" s="670" t="s">
        <v>1350</v>
      </c>
      <c r="C68" s="686" t="s">
        <v>13</v>
      </c>
      <c r="D68" s="684" t="s">
        <v>2103</v>
      </c>
      <c r="E68" s="670" t="s">
        <v>711</v>
      </c>
      <c r="F68" s="670" t="s">
        <v>147</v>
      </c>
      <c r="G68" s="1165"/>
      <c r="H68" s="1168" t="s">
        <v>2115</v>
      </c>
      <c r="I68" s="672"/>
      <c r="J68" s="670"/>
      <c r="K68" s="670"/>
      <c r="L68" s="690">
        <v>27850000</v>
      </c>
      <c r="M68" s="690">
        <v>27850000</v>
      </c>
      <c r="N68" s="675"/>
      <c r="O68" s="675"/>
    </row>
    <row r="69" spans="1:15" ht="264" x14ac:dyDescent="0.25">
      <c r="A69" s="670" t="s">
        <v>1276</v>
      </c>
      <c r="B69" s="670" t="s">
        <v>1350</v>
      </c>
      <c r="C69" s="686" t="s">
        <v>13</v>
      </c>
      <c r="D69" s="684" t="s">
        <v>2103</v>
      </c>
      <c r="E69" s="670" t="s">
        <v>711</v>
      </c>
      <c r="F69" s="670" t="s">
        <v>147</v>
      </c>
      <c r="G69" s="1165"/>
      <c r="H69" s="1168" t="s">
        <v>2116</v>
      </c>
      <c r="I69" s="672"/>
      <c r="J69" s="670"/>
      <c r="K69" s="670"/>
      <c r="L69" s="690">
        <v>750000000</v>
      </c>
      <c r="M69" s="690">
        <v>750000000</v>
      </c>
      <c r="N69" s="675"/>
      <c r="O69" s="675"/>
    </row>
    <row r="70" spans="1:15" ht="118.8" x14ac:dyDescent="0.25">
      <c r="A70" s="670" t="s">
        <v>1276</v>
      </c>
      <c r="B70" s="670" t="s">
        <v>1350</v>
      </c>
      <c r="C70" s="686" t="s">
        <v>13</v>
      </c>
      <c r="D70" s="684" t="s">
        <v>2103</v>
      </c>
      <c r="E70" s="670" t="s">
        <v>711</v>
      </c>
      <c r="F70" s="670" t="s">
        <v>147</v>
      </c>
      <c r="G70" s="1165"/>
      <c r="H70" s="1168" t="s">
        <v>2117</v>
      </c>
      <c r="I70" s="672"/>
      <c r="J70" s="670"/>
      <c r="K70" s="670"/>
      <c r="L70" s="690">
        <v>15500000</v>
      </c>
      <c r="M70" s="690">
        <v>15500000</v>
      </c>
      <c r="N70" s="675"/>
      <c r="O70" s="675"/>
    </row>
    <row r="71" spans="1:15" ht="118.8" x14ac:dyDescent="0.25">
      <c r="A71" s="670" t="s">
        <v>1276</v>
      </c>
      <c r="B71" s="670" t="s">
        <v>1350</v>
      </c>
      <c r="C71" s="686" t="s">
        <v>13</v>
      </c>
      <c r="D71" s="684" t="s">
        <v>2103</v>
      </c>
      <c r="E71" s="670" t="s">
        <v>711</v>
      </c>
      <c r="F71" s="670" t="s">
        <v>147</v>
      </c>
      <c r="G71" s="1165"/>
      <c r="H71" s="1168" t="s">
        <v>2118</v>
      </c>
      <c r="I71" s="672"/>
      <c r="J71" s="670"/>
      <c r="K71" s="670"/>
      <c r="L71" s="690">
        <v>20500000</v>
      </c>
      <c r="M71" s="690">
        <v>20500000</v>
      </c>
      <c r="N71" s="675"/>
      <c r="O71" s="675"/>
    </row>
    <row r="72" spans="1:15" ht="118.8" x14ac:dyDescent="0.25">
      <c r="A72" s="670" t="s">
        <v>1276</v>
      </c>
      <c r="B72" s="670" t="s">
        <v>1350</v>
      </c>
      <c r="C72" s="686" t="s">
        <v>13</v>
      </c>
      <c r="D72" s="684" t="s">
        <v>2103</v>
      </c>
      <c r="E72" s="670" t="s">
        <v>711</v>
      </c>
      <c r="F72" s="670" t="s">
        <v>147</v>
      </c>
      <c r="G72" s="1165"/>
      <c r="H72" s="1168" t="s">
        <v>2119</v>
      </c>
      <c r="I72" s="672"/>
      <c r="J72" s="670"/>
      <c r="K72" s="670"/>
      <c r="L72" s="690">
        <v>8500000</v>
      </c>
      <c r="M72" s="690">
        <v>8500000</v>
      </c>
      <c r="N72" s="675"/>
      <c r="O72" s="675"/>
    </row>
    <row r="73" spans="1:15" ht="118.8" x14ac:dyDescent="0.25">
      <c r="A73" s="670" t="s">
        <v>1276</v>
      </c>
      <c r="B73" s="670" t="s">
        <v>1350</v>
      </c>
      <c r="C73" s="686" t="s">
        <v>13</v>
      </c>
      <c r="D73" s="684" t="s">
        <v>2103</v>
      </c>
      <c r="E73" s="670" t="s">
        <v>711</v>
      </c>
      <c r="F73" s="670" t="s">
        <v>147</v>
      </c>
      <c r="G73" s="1165"/>
      <c r="H73" s="1168" t="s">
        <v>2120</v>
      </c>
      <c r="I73" s="672"/>
      <c r="J73" s="670"/>
      <c r="K73" s="670"/>
      <c r="L73" s="690">
        <v>8500000</v>
      </c>
      <c r="M73" s="690">
        <v>8500000</v>
      </c>
      <c r="N73" s="675"/>
      <c r="O73" s="675"/>
    </row>
    <row r="74" spans="1:15" ht="118.8" x14ac:dyDescent="0.25">
      <c r="A74" s="670" t="s">
        <v>1276</v>
      </c>
      <c r="B74" s="670" t="s">
        <v>1350</v>
      </c>
      <c r="C74" s="686" t="s">
        <v>13</v>
      </c>
      <c r="D74" s="684" t="s">
        <v>2103</v>
      </c>
      <c r="E74" s="670" t="s">
        <v>711</v>
      </c>
      <c r="F74" s="670" t="s">
        <v>147</v>
      </c>
      <c r="G74" s="1165"/>
      <c r="H74" s="1168" t="s">
        <v>2121</v>
      </c>
      <c r="I74" s="672"/>
      <c r="J74" s="670"/>
      <c r="K74" s="670"/>
      <c r="L74" s="690">
        <v>3800000</v>
      </c>
      <c r="M74" s="690">
        <v>3800000</v>
      </c>
      <c r="N74" s="675"/>
      <c r="O74" s="675"/>
    </row>
    <row r="75" spans="1:15" ht="118.8" x14ac:dyDescent="0.25">
      <c r="A75" s="670" t="s">
        <v>1276</v>
      </c>
      <c r="B75" s="670" t="s">
        <v>1350</v>
      </c>
      <c r="C75" s="686" t="s">
        <v>13</v>
      </c>
      <c r="D75" s="684" t="s">
        <v>2103</v>
      </c>
      <c r="E75" s="670" t="s">
        <v>711</v>
      </c>
      <c r="F75" s="670" t="s">
        <v>147</v>
      </c>
      <c r="G75" s="1165"/>
      <c r="H75" s="1168" t="s">
        <v>2122</v>
      </c>
      <c r="I75" s="672"/>
      <c r="J75" s="670"/>
      <c r="K75" s="670"/>
      <c r="L75" s="690">
        <v>9200000</v>
      </c>
      <c r="M75" s="690">
        <v>9200000</v>
      </c>
      <c r="N75" s="675"/>
      <c r="O75" s="675"/>
    </row>
    <row r="76" spans="1:15" ht="118.8" x14ac:dyDescent="0.25">
      <c r="A76" s="670" t="s">
        <v>1276</v>
      </c>
      <c r="B76" s="670" t="s">
        <v>1350</v>
      </c>
      <c r="C76" s="686" t="s">
        <v>13</v>
      </c>
      <c r="D76" s="684" t="s">
        <v>2103</v>
      </c>
      <c r="E76" s="670" t="s">
        <v>711</v>
      </c>
      <c r="F76" s="670" t="s">
        <v>147</v>
      </c>
      <c r="G76" s="1165"/>
      <c r="H76" s="1168" t="s">
        <v>2123</v>
      </c>
      <c r="I76" s="672"/>
      <c r="J76" s="670"/>
      <c r="K76" s="670"/>
      <c r="L76" s="690">
        <v>3500000</v>
      </c>
      <c r="M76" s="690">
        <v>3500000</v>
      </c>
      <c r="N76" s="675"/>
      <c r="O76" s="675"/>
    </row>
    <row r="77" spans="1:15" ht="13.8" thickBot="1" x14ac:dyDescent="0.3">
      <c r="A77" s="1160"/>
      <c r="B77" s="1163"/>
      <c r="C77" s="1159"/>
      <c r="D77" s="1161"/>
      <c r="E77" s="1162"/>
      <c r="F77" s="1162"/>
      <c r="G77" s="1162"/>
      <c r="H77" s="1163"/>
      <c r="I77" s="1163"/>
      <c r="J77" s="1160"/>
      <c r="K77" s="1160"/>
      <c r="L77" s="1164"/>
      <c r="M77" s="1164"/>
      <c r="N77" s="1166"/>
      <c r="O77" s="1166"/>
    </row>
    <row r="78" spans="1:15" ht="15" thickTop="1" thickBot="1" x14ac:dyDescent="0.3">
      <c r="E78" s="960" t="s">
        <v>1084</v>
      </c>
      <c r="F78" s="960"/>
      <c r="G78" s="740" t="s">
        <v>2086</v>
      </c>
      <c r="H78" s="740" t="s">
        <v>1085</v>
      </c>
      <c r="I78" s="740" t="s">
        <v>2087</v>
      </c>
      <c r="J78" s="960" t="s">
        <v>1087</v>
      </c>
      <c r="K78" s="960"/>
      <c r="L78" s="740">
        <v>2</v>
      </c>
    </row>
    <row r="79" spans="1:15" ht="13.8" thickTop="1" x14ac:dyDescent="0.25"/>
  </sheetData>
  <mergeCells count="27">
    <mergeCell ref="B24:B25"/>
    <mergeCell ref="A24:A25"/>
    <mergeCell ref="F46:F50"/>
    <mergeCell ref="G46:G50"/>
    <mergeCell ref="A46:A50"/>
    <mergeCell ref="B46:B50"/>
    <mergeCell ref="C46:C50"/>
    <mergeCell ref="D46:D50"/>
    <mergeCell ref="E46:E50"/>
    <mergeCell ref="A1:O1"/>
    <mergeCell ref="F10:F16"/>
    <mergeCell ref="G10:G16"/>
    <mergeCell ref="E10:E16"/>
    <mergeCell ref="G17:G23"/>
    <mergeCell ref="F17:F23"/>
    <mergeCell ref="E17:E23"/>
    <mergeCell ref="D10:D23"/>
    <mergeCell ref="C10:C23"/>
    <mergeCell ref="B10:B23"/>
    <mergeCell ref="A10:A23"/>
    <mergeCell ref="J78:K78"/>
    <mergeCell ref="G24:G25"/>
    <mergeCell ref="E24:E25"/>
    <mergeCell ref="F24:F25"/>
    <mergeCell ref="C24:C25"/>
    <mergeCell ref="E78:F78"/>
    <mergeCell ref="D24:D25"/>
  </mergeCells>
  <dataValidations count="8">
    <dataValidation type="list" allowBlank="1" showInputMessage="1" showErrorMessage="1" sqref="A3:A10 A26:A46 A51:A77" xr:uid="{00000000-0002-0000-0100-000000000000}">
      <formula1>ESTRATEGIA</formula1>
    </dataValidation>
    <dataValidation type="list" allowBlank="1" showInputMessage="1" showErrorMessage="1" sqref="F3:F10 F24 F26:F46 F51:F52 F57:F76" xr:uid="{00000000-0002-0000-0100-000002000000}">
      <formula1>ME</formula1>
    </dataValidation>
    <dataValidation type="list" allowBlank="1" showInputMessage="1" showErrorMessage="1" sqref="B3:B10 B26:B46 B51:B77" xr:uid="{00000000-0002-0000-0100-000003000000}">
      <formula1>OE</formula1>
    </dataValidation>
    <dataValidation type="list" allowBlank="1" showInputMessage="1" showErrorMessage="1" sqref="C3:C10 C26:C46 C51:C77" xr:uid="{00000000-0002-0000-0100-000004000000}">
      <formula1>DE</formula1>
    </dataValidation>
    <dataValidation type="list" allowBlank="1" showInputMessage="1" showErrorMessage="1" sqref="D3:D10 D26:D46" xr:uid="{00000000-0002-0000-0100-000005000000}">
      <formula1>SU</formula1>
    </dataValidation>
    <dataValidation type="list" allowBlank="1" showInputMessage="1" showErrorMessage="1" sqref="G3:G9 G26:G41 G46 G51:G52" xr:uid="{00000000-0002-0000-0100-000006000000}">
      <formula1>IN</formula1>
    </dataValidation>
    <dataValidation type="list" allowBlank="1" showInputMessage="1" showErrorMessage="1" sqref="E24 E26:E45" xr:uid="{E5214C66-BCD0-46C6-9549-7F0C6388D2BB}">
      <formula1>PES</formula1>
    </dataValidation>
    <dataValidation type="list" allowBlank="1" showInputMessage="1" showErrorMessage="1" sqref="E46" xr:uid="{4F3EBAD7-1281-4AEE-B09B-3D342270336C}">
      <formula1>INDIRECT(EST)</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Hoja3!$A$2:$A$30</xm:f>
          </x14:formula1>
          <xm:sqref>J3:J4 J6 J57:J77</xm:sqref>
        </x14:dataValidation>
        <x14:dataValidation type="list" allowBlank="1" showInputMessage="1" showErrorMessage="1" xr:uid="{C2BB66B6-39C8-4E46-A360-816D18BA80CC}">
          <x14:formula1>
            <xm:f>Hoja2!$C$3:$C$29</xm:f>
          </x14:formula1>
          <xm:sqref>E3:E10 E51:E52 E57:E76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900A-422D-49CD-AB4D-D30E345AC45C}">
  <dimension ref="B1:Q241"/>
  <sheetViews>
    <sheetView showGridLines="0" topLeftCell="A208" workbookViewId="0">
      <selection activeCell="A217" sqref="A217:XFD238"/>
    </sheetView>
  </sheetViews>
  <sheetFormatPr baseColWidth="10" defaultRowHeight="13.2" x14ac:dyDescent="0.25"/>
  <cols>
    <col min="1" max="1" width="11.5546875" style="478"/>
    <col min="2" max="3" width="17.33203125" style="478" customWidth="1"/>
    <col min="4" max="5" width="17.33203125" style="479" customWidth="1"/>
    <col min="6" max="8" width="17.33203125" style="478" customWidth="1"/>
    <col min="9" max="9" width="23.109375" style="478" customWidth="1"/>
    <col min="10" max="11" width="17.33203125" style="478" customWidth="1"/>
    <col min="12" max="12" width="10.88671875" style="478" bestFit="1" customWidth="1"/>
    <col min="13" max="14" width="15.5546875" style="478" bestFit="1" customWidth="1"/>
    <col min="15" max="15" width="11.33203125" style="478" bestFit="1" customWidth="1"/>
    <col min="16" max="16" width="10.44140625" style="478" bestFit="1" customWidth="1"/>
    <col min="17" max="16384" width="11.5546875" style="478"/>
  </cols>
  <sheetData>
    <row r="1" spans="2:17" s="491" customFormat="1" ht="15" customHeight="1" x14ac:dyDescent="0.25">
      <c r="B1" s="977" t="s">
        <v>1411</v>
      </c>
      <c r="C1" s="977"/>
      <c r="D1" s="977"/>
      <c r="E1" s="977"/>
      <c r="F1" s="977"/>
      <c r="G1" s="977"/>
      <c r="H1" s="977"/>
      <c r="I1" s="977"/>
      <c r="J1" s="977"/>
      <c r="K1" s="977"/>
      <c r="L1" s="977"/>
      <c r="M1" s="977"/>
      <c r="N1" s="977"/>
      <c r="O1" s="977"/>
      <c r="P1" s="978"/>
    </row>
    <row r="2" spans="2:17" s="534" customFormat="1" ht="21.75" customHeight="1" x14ac:dyDescent="0.25">
      <c r="B2" s="574" t="s">
        <v>21</v>
      </c>
      <c r="C2" s="574" t="s">
        <v>22</v>
      </c>
      <c r="D2" s="574" t="s">
        <v>20</v>
      </c>
      <c r="E2" s="574" t="s">
        <v>23</v>
      </c>
      <c r="F2" s="574" t="s">
        <v>24</v>
      </c>
      <c r="G2" s="574" t="s">
        <v>25</v>
      </c>
      <c r="H2" s="574" t="s">
        <v>27</v>
      </c>
      <c r="I2" s="574" t="s">
        <v>26</v>
      </c>
      <c r="J2" s="574" t="s">
        <v>1259</v>
      </c>
      <c r="K2" s="574" t="s">
        <v>1370</v>
      </c>
      <c r="L2" s="574" t="s">
        <v>1369</v>
      </c>
      <c r="M2" s="574" t="s">
        <v>1371</v>
      </c>
      <c r="N2" s="574" t="s">
        <v>1372</v>
      </c>
      <c r="O2" s="574" t="s">
        <v>30</v>
      </c>
      <c r="P2" s="574" t="s">
        <v>31</v>
      </c>
      <c r="Q2" s="524"/>
    </row>
    <row r="3" spans="2:17" s="534" customFormat="1" ht="73.5" customHeight="1" x14ac:dyDescent="0.25">
      <c r="B3" s="969" t="s">
        <v>1276</v>
      </c>
      <c r="C3" s="969" t="s">
        <v>1350</v>
      </c>
      <c r="D3" s="969" t="s">
        <v>14</v>
      </c>
      <c r="E3" s="971" t="s">
        <v>1363</v>
      </c>
      <c r="F3" s="969" t="s">
        <v>1697</v>
      </c>
      <c r="G3" s="969" t="s">
        <v>1696</v>
      </c>
      <c r="H3" s="969" t="s">
        <v>149</v>
      </c>
      <c r="I3" s="538" t="s">
        <v>1711</v>
      </c>
      <c r="J3" s="537" t="s">
        <v>1434</v>
      </c>
      <c r="K3" s="537" t="s">
        <v>1417</v>
      </c>
      <c r="L3" s="536">
        <v>1</v>
      </c>
      <c r="M3" s="535">
        <v>24698712.500000004</v>
      </c>
      <c r="N3" s="531">
        <f t="shared" ref="N3:N9" si="0">+M3*L3</f>
        <v>24698712.500000004</v>
      </c>
      <c r="O3" s="499">
        <v>44942</v>
      </c>
      <c r="P3" s="499">
        <v>45275</v>
      </c>
      <c r="Q3" s="524"/>
    </row>
    <row r="4" spans="2:17" s="534" customFormat="1" ht="60" customHeight="1" x14ac:dyDescent="0.25">
      <c r="B4" s="970"/>
      <c r="C4" s="970"/>
      <c r="D4" s="970"/>
      <c r="E4" s="972"/>
      <c r="F4" s="970"/>
      <c r="G4" s="970"/>
      <c r="H4" s="970"/>
      <c r="I4" s="538" t="s">
        <v>1710</v>
      </c>
      <c r="J4" s="537" t="s">
        <v>1434</v>
      </c>
      <c r="K4" s="537" t="s">
        <v>1417</v>
      </c>
      <c r="L4" s="536">
        <v>1</v>
      </c>
      <c r="M4" s="535">
        <v>43129973.700000003</v>
      </c>
      <c r="N4" s="531">
        <f t="shared" si="0"/>
        <v>43129973.700000003</v>
      </c>
      <c r="O4" s="499">
        <v>44942</v>
      </c>
      <c r="P4" s="499">
        <v>45275</v>
      </c>
      <c r="Q4" s="524"/>
    </row>
    <row r="5" spans="2:17" s="534" customFormat="1" ht="66" customHeight="1" x14ac:dyDescent="0.25">
      <c r="B5" s="970"/>
      <c r="C5" s="970"/>
      <c r="D5" s="970"/>
      <c r="E5" s="972"/>
      <c r="F5" s="970"/>
      <c r="G5" s="970"/>
      <c r="H5" s="970"/>
      <c r="I5" s="538" t="s">
        <v>1709</v>
      </c>
      <c r="J5" s="537" t="s">
        <v>1434</v>
      </c>
      <c r="K5" s="537" t="s">
        <v>1417</v>
      </c>
      <c r="L5" s="536">
        <v>1</v>
      </c>
      <c r="M5" s="535">
        <v>39145928.800000004</v>
      </c>
      <c r="N5" s="531">
        <f t="shared" si="0"/>
        <v>39145928.800000004</v>
      </c>
      <c r="O5" s="499">
        <v>44942</v>
      </c>
      <c r="P5" s="499">
        <v>45275</v>
      </c>
      <c r="Q5" s="524"/>
    </row>
    <row r="6" spans="2:17" s="534" customFormat="1" ht="41.25" customHeight="1" x14ac:dyDescent="0.25">
      <c r="B6" s="966" t="s">
        <v>1277</v>
      </c>
      <c r="C6" s="966" t="s">
        <v>1355</v>
      </c>
      <c r="D6" s="969" t="s">
        <v>14</v>
      </c>
      <c r="E6" s="971" t="s">
        <v>1363</v>
      </c>
      <c r="F6" s="966" t="s">
        <v>1708</v>
      </c>
      <c r="G6" s="966" t="s">
        <v>1671</v>
      </c>
      <c r="H6" s="966" t="s">
        <v>1670</v>
      </c>
      <c r="I6" s="538" t="s">
        <v>1707</v>
      </c>
      <c r="J6" s="537" t="s">
        <v>1434</v>
      </c>
      <c r="K6" s="537" t="s">
        <v>1417</v>
      </c>
      <c r="L6" s="536">
        <v>1</v>
      </c>
      <c r="M6" s="535">
        <v>39145928.800000004</v>
      </c>
      <c r="N6" s="531">
        <f t="shared" si="0"/>
        <v>39145928.800000004</v>
      </c>
      <c r="O6" s="499">
        <v>44942</v>
      </c>
      <c r="P6" s="499">
        <v>45275</v>
      </c>
      <c r="Q6" s="524"/>
    </row>
    <row r="7" spans="2:17" s="534" customFormat="1" ht="41.25" customHeight="1" x14ac:dyDescent="0.25">
      <c r="B7" s="967"/>
      <c r="C7" s="967"/>
      <c r="D7" s="970"/>
      <c r="E7" s="972"/>
      <c r="F7" s="967"/>
      <c r="G7" s="967"/>
      <c r="H7" s="967"/>
      <c r="I7" s="538" t="s">
        <v>1706</v>
      </c>
      <c r="J7" s="537" t="s">
        <v>1434</v>
      </c>
      <c r="K7" s="537" t="s">
        <v>1417</v>
      </c>
      <c r="L7" s="536">
        <v>1</v>
      </c>
      <c r="M7" s="535">
        <v>24698712.500000004</v>
      </c>
      <c r="N7" s="531">
        <f t="shared" si="0"/>
        <v>24698712.500000004</v>
      </c>
      <c r="O7" s="499">
        <v>44942</v>
      </c>
      <c r="P7" s="499">
        <v>45275</v>
      </c>
      <c r="Q7" s="524"/>
    </row>
    <row r="8" spans="2:17" s="534" customFormat="1" ht="41.25" customHeight="1" x14ac:dyDescent="0.25">
      <c r="B8" s="968"/>
      <c r="C8" s="968"/>
      <c r="D8" s="973"/>
      <c r="E8" s="974"/>
      <c r="F8" s="968"/>
      <c r="G8" s="968"/>
      <c r="H8" s="968"/>
      <c r="I8" s="538" t="s">
        <v>1705</v>
      </c>
      <c r="J8" s="537" t="s">
        <v>1434</v>
      </c>
      <c r="K8" s="537" t="s">
        <v>1417</v>
      </c>
      <c r="L8" s="536">
        <v>1</v>
      </c>
      <c r="M8" s="535">
        <v>24698712.500000004</v>
      </c>
      <c r="N8" s="531">
        <f t="shared" si="0"/>
        <v>24698712.500000004</v>
      </c>
      <c r="O8" s="499">
        <v>44942</v>
      </c>
      <c r="P8" s="499">
        <v>45275</v>
      </c>
      <c r="Q8" s="524"/>
    </row>
    <row r="9" spans="2:17" s="534" customFormat="1" ht="41.25" customHeight="1" x14ac:dyDescent="0.25">
      <c r="B9" s="966" t="s">
        <v>1276</v>
      </c>
      <c r="C9" s="966" t="s">
        <v>1350</v>
      </c>
      <c r="D9" s="969" t="s">
        <v>14</v>
      </c>
      <c r="E9" s="971" t="s">
        <v>1363</v>
      </c>
      <c r="F9" s="966" t="s">
        <v>1677</v>
      </c>
      <c r="G9" s="966" t="s">
        <v>1704</v>
      </c>
      <c r="H9" s="520" t="s">
        <v>719</v>
      </c>
      <c r="I9" s="981" t="s">
        <v>1703</v>
      </c>
      <c r="J9" s="981" t="s">
        <v>1434</v>
      </c>
      <c r="K9" s="981" t="s">
        <v>1417</v>
      </c>
      <c r="L9" s="983">
        <v>1</v>
      </c>
      <c r="M9" s="985">
        <v>39145928.800000004</v>
      </c>
      <c r="N9" s="975">
        <f t="shared" si="0"/>
        <v>39145928.800000004</v>
      </c>
      <c r="O9" s="979">
        <v>44942</v>
      </c>
      <c r="P9" s="979">
        <v>45275</v>
      </c>
      <c r="Q9" s="524"/>
    </row>
    <row r="10" spans="2:17" s="534" customFormat="1" ht="41.25" customHeight="1" x14ac:dyDescent="0.25">
      <c r="B10" s="967"/>
      <c r="C10" s="967"/>
      <c r="D10" s="970"/>
      <c r="E10" s="972"/>
      <c r="F10" s="967"/>
      <c r="G10" s="967"/>
      <c r="H10" s="501" t="s">
        <v>1674</v>
      </c>
      <c r="I10" s="982"/>
      <c r="J10" s="982"/>
      <c r="K10" s="982"/>
      <c r="L10" s="984"/>
      <c r="M10" s="986"/>
      <c r="N10" s="976"/>
      <c r="O10" s="980"/>
      <c r="P10" s="980">
        <v>45275</v>
      </c>
      <c r="Q10" s="524"/>
    </row>
    <row r="11" spans="2:17" s="508" customFormat="1" ht="49.5" customHeight="1" x14ac:dyDescent="0.25">
      <c r="B11" s="501" t="s">
        <v>1276</v>
      </c>
      <c r="C11" s="501" t="s">
        <v>1350</v>
      </c>
      <c r="D11" s="500" t="s">
        <v>14</v>
      </c>
      <c r="E11" s="569" t="s">
        <v>1363</v>
      </c>
      <c r="F11" s="501" t="s">
        <v>1702</v>
      </c>
      <c r="G11" s="573" t="s">
        <v>1701</v>
      </c>
      <c r="H11" s="495" t="s">
        <v>1700</v>
      </c>
      <c r="I11" s="501" t="s">
        <v>1699</v>
      </c>
      <c r="J11" s="500" t="s">
        <v>1698</v>
      </c>
      <c r="K11" s="500" t="s">
        <v>1373</v>
      </c>
      <c r="L11" s="572">
        <v>4000</v>
      </c>
      <c r="M11" s="531">
        <v>80000</v>
      </c>
      <c r="N11" s="531">
        <f>+M11*L11</f>
        <v>320000000</v>
      </c>
      <c r="O11" s="499">
        <v>45170</v>
      </c>
      <c r="P11" s="499">
        <v>45290</v>
      </c>
    </row>
    <row r="12" spans="2:17" s="508" customFormat="1" ht="40.5" customHeight="1" x14ac:dyDescent="0.25">
      <c r="B12" s="966" t="s">
        <v>1276</v>
      </c>
      <c r="C12" s="966" t="s">
        <v>1350</v>
      </c>
      <c r="D12" s="969" t="s">
        <v>14</v>
      </c>
      <c r="E12" s="971" t="s">
        <v>1363</v>
      </c>
      <c r="F12" s="966" t="s">
        <v>1697</v>
      </c>
      <c r="G12" s="966" t="s">
        <v>1696</v>
      </c>
      <c r="H12" s="501" t="s">
        <v>149</v>
      </c>
      <c r="I12" s="501" t="s">
        <v>1695</v>
      </c>
      <c r="J12" s="500" t="s">
        <v>1694</v>
      </c>
      <c r="K12" s="500" t="s">
        <v>1375</v>
      </c>
      <c r="L12" s="500">
        <v>1</v>
      </c>
      <c r="M12" s="531"/>
      <c r="N12" s="531"/>
      <c r="O12" s="499">
        <v>44942</v>
      </c>
      <c r="P12" s="499">
        <v>45276</v>
      </c>
    </row>
    <row r="13" spans="2:17" s="508" customFormat="1" ht="40.5" customHeight="1" x14ac:dyDescent="0.25">
      <c r="B13" s="967"/>
      <c r="C13" s="967"/>
      <c r="D13" s="970"/>
      <c r="E13" s="972"/>
      <c r="F13" s="967"/>
      <c r="G13" s="967"/>
      <c r="H13" s="501" t="s">
        <v>1693</v>
      </c>
      <c r="I13" s="501" t="s">
        <v>1692</v>
      </c>
      <c r="J13" s="500" t="s">
        <v>1691</v>
      </c>
      <c r="K13" s="500" t="s">
        <v>1373</v>
      </c>
      <c r="L13" s="500">
        <v>29</v>
      </c>
      <c r="M13" s="531">
        <v>11035000</v>
      </c>
      <c r="N13" s="531">
        <f t="shared" ref="N13:N18" si="1">+M13*L13</f>
        <v>320015000</v>
      </c>
      <c r="O13" s="499">
        <v>44942</v>
      </c>
      <c r="P13" s="499">
        <v>45276</v>
      </c>
    </row>
    <row r="14" spans="2:17" s="508" customFormat="1" ht="40.5" customHeight="1" x14ac:dyDescent="0.25">
      <c r="B14" s="967"/>
      <c r="C14" s="967"/>
      <c r="D14" s="970"/>
      <c r="E14" s="972"/>
      <c r="F14" s="967"/>
      <c r="G14" s="967"/>
      <c r="H14" s="501" t="s">
        <v>1690</v>
      </c>
      <c r="I14" s="501" t="s">
        <v>1689</v>
      </c>
      <c r="J14" s="500" t="s">
        <v>1688</v>
      </c>
      <c r="K14" s="500" t="s">
        <v>1397</v>
      </c>
      <c r="L14" s="500">
        <v>5</v>
      </c>
      <c r="M14" s="531">
        <v>20000000</v>
      </c>
      <c r="N14" s="531">
        <f t="shared" si="1"/>
        <v>100000000</v>
      </c>
      <c r="O14" s="499">
        <v>44942</v>
      </c>
      <c r="P14" s="499">
        <v>45276</v>
      </c>
    </row>
    <row r="15" spans="2:17" s="508" customFormat="1" ht="40.5" customHeight="1" x14ac:dyDescent="0.25">
      <c r="B15" s="967"/>
      <c r="C15" s="967"/>
      <c r="D15" s="970"/>
      <c r="E15" s="972"/>
      <c r="F15" s="967"/>
      <c r="G15" s="967"/>
      <c r="H15" s="495" t="s">
        <v>1687</v>
      </c>
      <c r="I15" s="501" t="s">
        <v>1686</v>
      </c>
      <c r="J15" s="500" t="s">
        <v>1685</v>
      </c>
      <c r="K15" s="500" t="s">
        <v>1373</v>
      </c>
      <c r="L15" s="500">
        <v>1</v>
      </c>
      <c r="M15" s="531">
        <v>50000000</v>
      </c>
      <c r="N15" s="531">
        <f t="shared" si="1"/>
        <v>50000000</v>
      </c>
      <c r="O15" s="499">
        <v>44942</v>
      </c>
      <c r="P15" s="499">
        <v>45276</v>
      </c>
    </row>
    <row r="16" spans="2:17" s="508" customFormat="1" ht="54" customHeight="1" x14ac:dyDescent="0.25">
      <c r="B16" s="967"/>
      <c r="C16" s="967"/>
      <c r="D16" s="970"/>
      <c r="E16" s="972"/>
      <c r="F16" s="967"/>
      <c r="G16" s="967"/>
      <c r="H16" s="494" t="s">
        <v>1684</v>
      </c>
      <c r="I16" s="501" t="s">
        <v>1683</v>
      </c>
      <c r="J16" s="500" t="s">
        <v>1682</v>
      </c>
      <c r="K16" s="500" t="s">
        <v>1681</v>
      </c>
      <c r="L16" s="500">
        <v>10</v>
      </c>
      <c r="M16" s="531">
        <v>10000000</v>
      </c>
      <c r="N16" s="531">
        <f t="shared" si="1"/>
        <v>100000000</v>
      </c>
      <c r="O16" s="499">
        <v>44942</v>
      </c>
      <c r="P16" s="499">
        <v>45276</v>
      </c>
    </row>
    <row r="17" spans="2:16" s="508" customFormat="1" ht="52.5" customHeight="1" x14ac:dyDescent="0.25">
      <c r="B17" s="968"/>
      <c r="C17" s="968"/>
      <c r="D17" s="973"/>
      <c r="E17" s="974"/>
      <c r="F17" s="968"/>
      <c r="G17" s="968"/>
      <c r="H17" s="494" t="s">
        <v>1680</v>
      </c>
      <c r="I17" s="501" t="s">
        <v>1679</v>
      </c>
      <c r="J17" s="500" t="s">
        <v>1678</v>
      </c>
      <c r="K17" s="500" t="s">
        <v>1373</v>
      </c>
      <c r="L17" s="500">
        <v>1</v>
      </c>
      <c r="M17" s="531">
        <v>80000000</v>
      </c>
      <c r="N17" s="531">
        <f t="shared" si="1"/>
        <v>80000000</v>
      </c>
      <c r="O17" s="499">
        <v>44942</v>
      </c>
      <c r="P17" s="499">
        <v>45276</v>
      </c>
    </row>
    <row r="18" spans="2:16" s="508" customFormat="1" ht="68.25" customHeight="1" x14ac:dyDescent="0.25">
      <c r="B18" s="966" t="s">
        <v>1276</v>
      </c>
      <c r="C18" s="966" t="s">
        <v>1350</v>
      </c>
      <c r="D18" s="969" t="s">
        <v>14</v>
      </c>
      <c r="E18" s="971" t="s">
        <v>1363</v>
      </c>
      <c r="F18" s="966" t="s">
        <v>1677</v>
      </c>
      <c r="G18" s="969" t="s">
        <v>1676</v>
      </c>
      <c r="H18" s="520" t="s">
        <v>719</v>
      </c>
      <c r="I18" s="501" t="s">
        <v>689</v>
      </c>
      <c r="J18" s="500" t="s">
        <v>1675</v>
      </c>
      <c r="K18" s="500" t="s">
        <v>1379</v>
      </c>
      <c r="L18" s="500">
        <v>1</v>
      </c>
      <c r="M18" s="531">
        <v>50000000</v>
      </c>
      <c r="N18" s="531">
        <f t="shared" si="1"/>
        <v>50000000</v>
      </c>
      <c r="O18" s="499">
        <v>44958</v>
      </c>
      <c r="P18" s="499">
        <v>45290</v>
      </c>
    </row>
    <row r="19" spans="2:16" s="508" customFormat="1" ht="61.5" customHeight="1" x14ac:dyDescent="0.25">
      <c r="B19" s="967"/>
      <c r="C19" s="967"/>
      <c r="D19" s="970"/>
      <c r="E19" s="972"/>
      <c r="F19" s="967"/>
      <c r="G19" s="970"/>
      <c r="H19" s="501" t="s">
        <v>1674</v>
      </c>
      <c r="I19" s="501" t="s">
        <v>691</v>
      </c>
      <c r="J19" s="500" t="s">
        <v>1673</v>
      </c>
      <c r="K19" s="500" t="s">
        <v>1375</v>
      </c>
      <c r="L19" s="500">
        <v>1</v>
      </c>
      <c r="M19" s="531"/>
      <c r="N19" s="531"/>
      <c r="O19" s="499">
        <v>44942</v>
      </c>
      <c r="P19" s="499">
        <v>45276</v>
      </c>
    </row>
    <row r="20" spans="2:16" s="508" customFormat="1" ht="58.5" customHeight="1" x14ac:dyDescent="0.25">
      <c r="B20" s="501" t="s">
        <v>1277</v>
      </c>
      <c r="C20" s="501" t="s">
        <v>1355</v>
      </c>
      <c r="D20" s="500" t="s">
        <v>14</v>
      </c>
      <c r="E20" s="569" t="s">
        <v>1363</v>
      </c>
      <c r="F20" s="501" t="s">
        <v>1672</v>
      </c>
      <c r="G20" s="501" t="s">
        <v>1671</v>
      </c>
      <c r="H20" s="571" t="s">
        <v>1670</v>
      </c>
      <c r="I20" s="570" t="s">
        <v>1669</v>
      </c>
      <c r="J20" s="500" t="s">
        <v>1434</v>
      </c>
      <c r="K20" s="500" t="s">
        <v>1373</v>
      </c>
      <c r="L20" s="500">
        <v>3</v>
      </c>
      <c r="M20" s="531"/>
      <c r="N20" s="531"/>
      <c r="O20" s="499">
        <v>44958</v>
      </c>
      <c r="P20" s="499">
        <v>45290</v>
      </c>
    </row>
    <row r="21" spans="2:16" s="508" customFormat="1" ht="84" customHeight="1" x14ac:dyDescent="0.25">
      <c r="B21" s="501" t="s">
        <v>1276</v>
      </c>
      <c r="C21" s="501" t="s">
        <v>1352</v>
      </c>
      <c r="D21" s="500" t="s">
        <v>14</v>
      </c>
      <c r="E21" s="569" t="s">
        <v>1363</v>
      </c>
      <c r="F21" s="501" t="s">
        <v>1668</v>
      </c>
      <c r="G21" s="501" t="s">
        <v>1667</v>
      </c>
      <c r="H21" s="501" t="s">
        <v>1666</v>
      </c>
      <c r="I21" s="568" t="s">
        <v>1665</v>
      </c>
      <c r="J21" s="500" t="s">
        <v>1664</v>
      </c>
      <c r="K21" s="500" t="s">
        <v>1395</v>
      </c>
      <c r="L21" s="500">
        <v>1</v>
      </c>
      <c r="M21" s="531">
        <v>100000000</v>
      </c>
      <c r="N21" s="531">
        <f>+M21*L21</f>
        <v>100000000</v>
      </c>
      <c r="O21" s="499">
        <v>44958</v>
      </c>
      <c r="P21" s="499">
        <v>45290</v>
      </c>
    </row>
    <row r="22" spans="2:16" s="508" customFormat="1" ht="52.5" customHeight="1" x14ac:dyDescent="0.25">
      <c r="B22" s="501" t="s">
        <v>1277</v>
      </c>
      <c r="C22" s="501" t="s">
        <v>1355</v>
      </c>
      <c r="D22" s="500" t="s">
        <v>14</v>
      </c>
      <c r="E22" s="567" t="s">
        <v>601</v>
      </c>
      <c r="F22" s="501" t="s">
        <v>1663</v>
      </c>
      <c r="G22" s="501" t="s">
        <v>1662</v>
      </c>
      <c r="H22" s="495" t="s">
        <v>1661</v>
      </c>
      <c r="I22" s="504" t="s">
        <v>1660</v>
      </c>
      <c r="J22" s="500" t="s">
        <v>1659</v>
      </c>
      <c r="K22" s="500" t="s">
        <v>1380</v>
      </c>
      <c r="L22" s="500" t="s">
        <v>1658</v>
      </c>
      <c r="M22" s="501"/>
      <c r="N22" s="531"/>
      <c r="O22" s="499">
        <v>44958</v>
      </c>
      <c r="P22" s="499">
        <v>45290</v>
      </c>
    </row>
    <row r="23" spans="2:16" s="508" customFormat="1" ht="48" customHeight="1" x14ac:dyDescent="0.25">
      <c r="B23" s="501" t="s">
        <v>1276</v>
      </c>
      <c r="C23" s="501" t="s">
        <v>1352</v>
      </c>
      <c r="D23" s="500" t="s">
        <v>14</v>
      </c>
      <c r="E23" s="566" t="s">
        <v>846</v>
      </c>
      <c r="F23" s="501" t="s">
        <v>548</v>
      </c>
      <c r="G23" s="501" t="s">
        <v>296</v>
      </c>
      <c r="H23" s="501" t="s">
        <v>1655</v>
      </c>
      <c r="I23" s="495" t="s">
        <v>1657</v>
      </c>
      <c r="J23" s="501" t="s">
        <v>1656</v>
      </c>
      <c r="K23" s="501" t="s">
        <v>1373</v>
      </c>
      <c r="L23" s="500">
        <v>1</v>
      </c>
      <c r="M23" s="565">
        <v>200000000</v>
      </c>
      <c r="N23" s="531">
        <f>+M23*L23</f>
        <v>200000000</v>
      </c>
      <c r="O23" s="499">
        <v>44958</v>
      </c>
      <c r="P23" s="499">
        <v>45290</v>
      </c>
    </row>
    <row r="24" spans="2:16" s="508" customFormat="1" ht="51.75" customHeight="1" x14ac:dyDescent="0.25">
      <c r="B24" s="501" t="s">
        <v>1276</v>
      </c>
      <c r="C24" s="501" t="s">
        <v>1352</v>
      </c>
      <c r="D24" s="500" t="s">
        <v>14</v>
      </c>
      <c r="E24" s="566" t="s">
        <v>846</v>
      </c>
      <c r="F24" s="501" t="s">
        <v>548</v>
      </c>
      <c r="G24" s="501" t="s">
        <v>296</v>
      </c>
      <c r="H24" s="501" t="s">
        <v>1655</v>
      </c>
      <c r="I24" s="495" t="s">
        <v>1654</v>
      </c>
      <c r="J24" s="501" t="s">
        <v>1585</v>
      </c>
      <c r="K24" s="501" t="s">
        <v>1373</v>
      </c>
      <c r="L24" s="500">
        <v>10</v>
      </c>
      <c r="M24" s="565">
        <v>40000000</v>
      </c>
      <c r="N24" s="565">
        <v>400000000</v>
      </c>
      <c r="O24" s="499">
        <v>44958</v>
      </c>
      <c r="P24" s="499">
        <v>45290</v>
      </c>
    </row>
    <row r="25" spans="2:16" ht="54" customHeight="1" x14ac:dyDescent="0.25">
      <c r="B25" s="548" t="s">
        <v>1276</v>
      </c>
      <c r="C25" s="548" t="s">
        <v>1350</v>
      </c>
      <c r="D25" s="536" t="s">
        <v>14</v>
      </c>
      <c r="E25" s="562" t="s">
        <v>815</v>
      </c>
      <c r="F25" s="548" t="s">
        <v>711</v>
      </c>
      <c r="G25" s="548" t="s">
        <v>147</v>
      </c>
      <c r="H25" s="548" t="s">
        <v>486</v>
      </c>
      <c r="I25" s="548" t="s">
        <v>1653</v>
      </c>
      <c r="J25" s="548" t="s">
        <v>1434</v>
      </c>
      <c r="K25" s="548" t="s">
        <v>1417</v>
      </c>
      <c r="L25" s="536">
        <v>1</v>
      </c>
      <c r="M25" s="535">
        <v>39145928.800000004</v>
      </c>
      <c r="N25" s="531">
        <f>+M25*L25</f>
        <v>39145928.800000004</v>
      </c>
      <c r="O25" s="499">
        <v>44942</v>
      </c>
      <c r="P25" s="499">
        <v>45275</v>
      </c>
    </row>
    <row r="26" spans="2:16" s="508" customFormat="1" ht="53.25" customHeight="1" x14ac:dyDescent="0.25">
      <c r="B26" s="966" t="s">
        <v>1276</v>
      </c>
      <c r="C26" s="501" t="s">
        <v>1352</v>
      </c>
      <c r="D26" s="500" t="s">
        <v>14</v>
      </c>
      <c r="E26" s="562" t="s">
        <v>815</v>
      </c>
      <c r="F26" s="501" t="s">
        <v>548</v>
      </c>
      <c r="G26" s="501" t="s">
        <v>296</v>
      </c>
      <c r="H26" s="966" t="s">
        <v>1651</v>
      </c>
      <c r="I26" s="966" t="s">
        <v>1652</v>
      </c>
      <c r="J26" s="966" t="s">
        <v>1609</v>
      </c>
      <c r="K26" s="966" t="s">
        <v>1373</v>
      </c>
      <c r="L26" s="969">
        <v>4</v>
      </c>
      <c r="M26" s="975">
        <v>25000000</v>
      </c>
      <c r="N26" s="975">
        <f>+M26*L26</f>
        <v>100000000</v>
      </c>
      <c r="O26" s="979">
        <v>44958</v>
      </c>
      <c r="P26" s="979">
        <v>45290</v>
      </c>
    </row>
    <row r="27" spans="2:16" s="491" customFormat="1" ht="55.5" customHeight="1" x14ac:dyDescent="0.25">
      <c r="B27" s="968"/>
      <c r="C27" s="501" t="s">
        <v>1350</v>
      </c>
      <c r="D27" s="500" t="s">
        <v>14</v>
      </c>
      <c r="E27" s="562" t="s">
        <v>815</v>
      </c>
      <c r="F27" s="501" t="s">
        <v>711</v>
      </c>
      <c r="G27" s="501" t="s">
        <v>147</v>
      </c>
      <c r="H27" s="968"/>
      <c r="I27" s="968"/>
      <c r="J27" s="968"/>
      <c r="K27" s="968"/>
      <c r="L27" s="973"/>
      <c r="M27" s="976"/>
      <c r="N27" s="976"/>
      <c r="O27" s="980"/>
      <c r="P27" s="980"/>
    </row>
    <row r="28" spans="2:16" s="491" customFormat="1" ht="42.75" customHeight="1" x14ac:dyDescent="0.25">
      <c r="B28" s="501" t="s">
        <v>1276</v>
      </c>
      <c r="C28" s="520" t="s">
        <v>1352</v>
      </c>
      <c r="D28" s="969" t="s">
        <v>14</v>
      </c>
      <c r="E28" s="992" t="s">
        <v>815</v>
      </c>
      <c r="F28" s="501" t="s">
        <v>548</v>
      </c>
      <c r="G28" s="501" t="s">
        <v>296</v>
      </c>
      <c r="H28" s="966" t="s">
        <v>1651</v>
      </c>
      <c r="I28" s="966" t="s">
        <v>1650</v>
      </c>
      <c r="J28" s="966" t="s">
        <v>1609</v>
      </c>
      <c r="K28" s="966" t="s">
        <v>1373</v>
      </c>
      <c r="L28" s="969">
        <v>1</v>
      </c>
      <c r="M28" s="975">
        <v>100000000</v>
      </c>
      <c r="N28" s="975">
        <v>20000000</v>
      </c>
      <c r="O28" s="979">
        <v>44958</v>
      </c>
      <c r="P28" s="979">
        <v>45290</v>
      </c>
    </row>
    <row r="29" spans="2:16" s="491" customFormat="1" ht="36.75" customHeight="1" x14ac:dyDescent="0.25">
      <c r="B29" s="501" t="s">
        <v>1277</v>
      </c>
      <c r="C29" s="520" t="s">
        <v>1355</v>
      </c>
      <c r="D29" s="973"/>
      <c r="E29" s="993"/>
      <c r="F29" s="501" t="s">
        <v>186</v>
      </c>
      <c r="G29" s="501" t="s">
        <v>1152</v>
      </c>
      <c r="H29" s="968"/>
      <c r="I29" s="968"/>
      <c r="J29" s="968"/>
      <c r="K29" s="968"/>
      <c r="L29" s="973"/>
      <c r="M29" s="976"/>
      <c r="N29" s="976"/>
      <c r="O29" s="980"/>
      <c r="P29" s="980"/>
    </row>
    <row r="30" spans="2:16" s="491" customFormat="1" ht="42.75" customHeight="1" x14ac:dyDescent="0.25">
      <c r="B30" s="501" t="s">
        <v>1276</v>
      </c>
      <c r="C30" s="501" t="s">
        <v>1352</v>
      </c>
      <c r="D30" s="500" t="s">
        <v>14</v>
      </c>
      <c r="E30" s="562" t="s">
        <v>815</v>
      </c>
      <c r="F30" s="501" t="s">
        <v>548</v>
      </c>
      <c r="G30" s="501" t="s">
        <v>296</v>
      </c>
      <c r="H30" s="501" t="s">
        <v>298</v>
      </c>
      <c r="I30" s="495" t="s">
        <v>1649</v>
      </c>
      <c r="J30" s="501" t="s">
        <v>1648</v>
      </c>
      <c r="K30" s="501" t="s">
        <v>1373</v>
      </c>
      <c r="L30" s="500">
        <v>1</v>
      </c>
      <c r="M30" s="564" t="s">
        <v>1644</v>
      </c>
      <c r="N30" s="564"/>
      <c r="O30" s="499">
        <v>44958</v>
      </c>
      <c r="P30" s="499">
        <v>45290</v>
      </c>
    </row>
    <row r="31" spans="2:16" s="491" customFormat="1" ht="63" customHeight="1" x14ac:dyDescent="0.25">
      <c r="B31" s="501" t="s">
        <v>1276</v>
      </c>
      <c r="C31" s="501" t="s">
        <v>1352</v>
      </c>
      <c r="D31" s="500" t="s">
        <v>14</v>
      </c>
      <c r="E31" s="562" t="s">
        <v>815</v>
      </c>
      <c r="F31" s="501" t="s">
        <v>548</v>
      </c>
      <c r="G31" s="501" t="s">
        <v>296</v>
      </c>
      <c r="H31" s="501" t="s">
        <v>298</v>
      </c>
      <c r="I31" s="495" t="s">
        <v>1647</v>
      </c>
      <c r="J31" s="501" t="s">
        <v>1605</v>
      </c>
      <c r="K31" s="501" t="s">
        <v>1373</v>
      </c>
      <c r="L31" s="500">
        <v>1</v>
      </c>
      <c r="M31" s="564" t="s">
        <v>1644</v>
      </c>
      <c r="N31" s="564"/>
      <c r="O31" s="499">
        <v>44958</v>
      </c>
      <c r="P31" s="499">
        <v>45290</v>
      </c>
    </row>
    <row r="32" spans="2:16" s="491" customFormat="1" ht="42" customHeight="1" x14ac:dyDescent="0.25">
      <c r="B32" s="501" t="s">
        <v>1276</v>
      </c>
      <c r="C32" s="501" t="s">
        <v>1352</v>
      </c>
      <c r="D32" s="500" t="s">
        <v>14</v>
      </c>
      <c r="E32" s="562" t="s">
        <v>815</v>
      </c>
      <c r="F32" s="501" t="s">
        <v>548</v>
      </c>
      <c r="G32" s="501" t="s">
        <v>296</v>
      </c>
      <c r="H32" s="501" t="s">
        <v>298</v>
      </c>
      <c r="I32" s="495" t="s">
        <v>1646</v>
      </c>
      <c r="J32" s="501" t="s">
        <v>1645</v>
      </c>
      <c r="K32" s="501" t="s">
        <v>1373</v>
      </c>
      <c r="L32" s="500">
        <v>1</v>
      </c>
      <c r="M32" s="563" t="s">
        <v>1644</v>
      </c>
      <c r="N32" s="563"/>
      <c r="O32" s="499">
        <v>44958</v>
      </c>
      <c r="P32" s="499">
        <v>45290</v>
      </c>
    </row>
    <row r="33" spans="2:17" ht="63.75" customHeight="1" x14ac:dyDescent="0.25">
      <c r="B33" s="561" t="s">
        <v>1276</v>
      </c>
      <c r="C33" s="561" t="s">
        <v>1353</v>
      </c>
      <c r="D33" s="500" t="s">
        <v>14</v>
      </c>
      <c r="E33" s="562" t="s">
        <v>815</v>
      </c>
      <c r="F33" s="561" t="s">
        <v>726</v>
      </c>
      <c r="G33" s="561" t="s">
        <v>103</v>
      </c>
      <c r="H33" s="561" t="s">
        <v>105</v>
      </c>
      <c r="I33" s="561" t="s">
        <v>830</v>
      </c>
      <c r="J33" s="561" t="s">
        <v>1588</v>
      </c>
      <c r="K33" s="561" t="s">
        <v>1401</v>
      </c>
      <c r="L33" s="561">
        <v>1</v>
      </c>
      <c r="M33" s="560">
        <v>5000000</v>
      </c>
      <c r="N33" s="560">
        <v>5000000</v>
      </c>
      <c r="O33" s="499">
        <v>44958</v>
      </c>
      <c r="P33" s="499">
        <v>45107</v>
      </c>
    </row>
    <row r="34" spans="2:17" ht="110.4" x14ac:dyDescent="0.25">
      <c r="B34" s="561" t="s">
        <v>1276</v>
      </c>
      <c r="C34" s="561" t="s">
        <v>1642</v>
      </c>
      <c r="D34" s="500" t="s">
        <v>14</v>
      </c>
      <c r="E34" s="562" t="s">
        <v>815</v>
      </c>
      <c r="F34" s="561" t="s">
        <v>726</v>
      </c>
      <c r="G34" s="561" t="s">
        <v>103</v>
      </c>
      <c r="H34" s="561" t="s">
        <v>105</v>
      </c>
      <c r="I34" s="561" t="s">
        <v>1643</v>
      </c>
      <c r="J34" s="561" t="s">
        <v>1640</v>
      </c>
      <c r="K34" s="561" t="s">
        <v>1375</v>
      </c>
      <c r="L34" s="561">
        <v>1</v>
      </c>
      <c r="M34" s="560">
        <v>15000000</v>
      </c>
      <c r="N34" s="560">
        <v>15000000</v>
      </c>
      <c r="O34" s="499">
        <v>44958</v>
      </c>
      <c r="P34" s="499">
        <v>45107</v>
      </c>
    </row>
    <row r="35" spans="2:17" ht="110.4" x14ac:dyDescent="0.25">
      <c r="B35" s="561" t="s">
        <v>1276</v>
      </c>
      <c r="C35" s="561" t="s">
        <v>1642</v>
      </c>
      <c r="D35" s="500" t="s">
        <v>14</v>
      </c>
      <c r="E35" s="562" t="s">
        <v>815</v>
      </c>
      <c r="F35" s="561" t="s">
        <v>726</v>
      </c>
      <c r="G35" s="561" t="s">
        <v>103</v>
      </c>
      <c r="H35" s="561" t="s">
        <v>105</v>
      </c>
      <c r="I35" s="561" t="s">
        <v>1641</v>
      </c>
      <c r="J35" s="561" t="s">
        <v>1640</v>
      </c>
      <c r="K35" s="561" t="s">
        <v>1375</v>
      </c>
      <c r="L35" s="561">
        <v>1</v>
      </c>
      <c r="M35" s="560">
        <v>15000000</v>
      </c>
      <c r="N35" s="560">
        <v>15000000</v>
      </c>
      <c r="O35" s="499">
        <v>44958</v>
      </c>
      <c r="P35" s="499" t="s">
        <v>1639</v>
      </c>
    </row>
    <row r="36" spans="2:17" ht="63" customHeight="1" x14ac:dyDescent="0.25">
      <c r="B36" s="561" t="s">
        <v>1276</v>
      </c>
      <c r="C36" s="561" t="s">
        <v>1353</v>
      </c>
      <c r="D36" s="500" t="s">
        <v>14</v>
      </c>
      <c r="E36" s="562" t="s">
        <v>815</v>
      </c>
      <c r="F36" s="561" t="s">
        <v>726</v>
      </c>
      <c r="G36" s="561" t="s">
        <v>103</v>
      </c>
      <c r="H36" s="561" t="s">
        <v>105</v>
      </c>
      <c r="I36" s="561" t="s">
        <v>833</v>
      </c>
      <c r="J36" s="561" t="s">
        <v>1638</v>
      </c>
      <c r="K36" s="561" t="s">
        <v>1375</v>
      </c>
      <c r="L36" s="561">
        <v>2</v>
      </c>
      <c r="M36" s="560">
        <v>800000</v>
      </c>
      <c r="N36" s="560">
        <v>1600000</v>
      </c>
      <c r="O36" s="499">
        <v>44958</v>
      </c>
      <c r="P36" s="499">
        <v>45290</v>
      </c>
    </row>
    <row r="37" spans="2:17" ht="51.75" customHeight="1" x14ac:dyDescent="0.25">
      <c r="B37" s="561" t="s">
        <v>1276</v>
      </c>
      <c r="C37" s="501" t="s">
        <v>1350</v>
      </c>
      <c r="D37" s="500" t="s">
        <v>14</v>
      </c>
      <c r="E37" s="562" t="s">
        <v>815</v>
      </c>
      <c r="F37" s="561" t="s">
        <v>1637</v>
      </c>
      <c r="G37" s="501" t="s">
        <v>688</v>
      </c>
      <c r="H37" s="501" t="s">
        <v>719</v>
      </c>
      <c r="I37" s="561" t="s">
        <v>1636</v>
      </c>
      <c r="J37" s="561" t="s">
        <v>1635</v>
      </c>
      <c r="K37" s="561" t="s">
        <v>1397</v>
      </c>
      <c r="L37" s="561">
        <v>2</v>
      </c>
      <c r="M37" s="560">
        <v>800000</v>
      </c>
      <c r="N37" s="560">
        <v>1600000</v>
      </c>
      <c r="O37" s="499">
        <v>44958</v>
      </c>
      <c r="P37" s="499">
        <v>45290</v>
      </c>
    </row>
    <row r="38" spans="2:17" ht="74.25" customHeight="1" x14ac:dyDescent="0.25">
      <c r="B38" s="561" t="s">
        <v>1276</v>
      </c>
      <c r="C38" s="501" t="s">
        <v>1350</v>
      </c>
      <c r="D38" s="500" t="s">
        <v>14</v>
      </c>
      <c r="E38" s="562" t="s">
        <v>815</v>
      </c>
      <c r="F38" s="561" t="s">
        <v>711</v>
      </c>
      <c r="G38" s="501" t="s">
        <v>147</v>
      </c>
      <c r="H38" s="501" t="s">
        <v>149</v>
      </c>
      <c r="I38" s="561" t="s">
        <v>772</v>
      </c>
      <c r="J38" s="561" t="s">
        <v>1633</v>
      </c>
      <c r="K38" s="561" t="s">
        <v>1379</v>
      </c>
      <c r="L38" s="561">
        <v>2</v>
      </c>
      <c r="M38" s="560">
        <v>8000000</v>
      </c>
      <c r="N38" s="560">
        <v>16000000</v>
      </c>
      <c r="O38" s="499">
        <v>44958</v>
      </c>
      <c r="P38" s="499">
        <v>45290</v>
      </c>
    </row>
    <row r="39" spans="2:17" ht="65.25" customHeight="1" x14ac:dyDescent="0.25">
      <c r="B39" s="561" t="s">
        <v>1276</v>
      </c>
      <c r="C39" s="501" t="s">
        <v>1350</v>
      </c>
      <c r="D39" s="500" t="s">
        <v>14</v>
      </c>
      <c r="E39" s="562" t="s">
        <v>815</v>
      </c>
      <c r="F39" s="561" t="s">
        <v>711</v>
      </c>
      <c r="G39" s="501" t="s">
        <v>147</v>
      </c>
      <c r="H39" s="501" t="s">
        <v>149</v>
      </c>
      <c r="I39" s="561" t="s">
        <v>1634</v>
      </c>
      <c r="J39" s="561" t="s">
        <v>1633</v>
      </c>
      <c r="K39" s="561" t="s">
        <v>1379</v>
      </c>
      <c r="L39" s="561">
        <v>2</v>
      </c>
      <c r="M39" s="560">
        <v>200000</v>
      </c>
      <c r="N39" s="560">
        <v>200000</v>
      </c>
      <c r="O39" s="499">
        <v>44958</v>
      </c>
      <c r="P39" s="499">
        <v>45290</v>
      </c>
    </row>
    <row r="40" spans="2:17" ht="55.5" customHeight="1" x14ac:dyDescent="0.25">
      <c r="B40" s="561" t="s">
        <v>1276</v>
      </c>
      <c r="C40" s="501" t="s">
        <v>1350</v>
      </c>
      <c r="D40" s="500" t="s">
        <v>14</v>
      </c>
      <c r="E40" s="562" t="s">
        <v>815</v>
      </c>
      <c r="F40" s="561" t="s">
        <v>711</v>
      </c>
      <c r="G40" s="501" t="s">
        <v>1406</v>
      </c>
      <c r="H40" s="501" t="s">
        <v>149</v>
      </c>
      <c r="I40" s="561" t="s">
        <v>823</v>
      </c>
      <c r="J40" s="561" t="s">
        <v>1629</v>
      </c>
      <c r="K40" s="561" t="s">
        <v>1397</v>
      </c>
      <c r="L40" s="561">
        <v>2</v>
      </c>
      <c r="M40" s="560">
        <v>10000000</v>
      </c>
      <c r="N40" s="560">
        <v>20000000</v>
      </c>
      <c r="O40" s="499">
        <v>44958</v>
      </c>
      <c r="P40" s="499">
        <v>45290</v>
      </c>
    </row>
    <row r="41" spans="2:17" ht="65.25" customHeight="1" x14ac:dyDescent="0.25">
      <c r="B41" s="561" t="s">
        <v>1276</v>
      </c>
      <c r="C41" s="501" t="s">
        <v>1350</v>
      </c>
      <c r="D41" s="500" t="s">
        <v>14</v>
      </c>
      <c r="E41" s="562" t="s">
        <v>815</v>
      </c>
      <c r="F41" s="561" t="s">
        <v>711</v>
      </c>
      <c r="G41" s="501" t="s">
        <v>1632</v>
      </c>
      <c r="H41" s="501" t="s">
        <v>149</v>
      </c>
      <c r="I41" s="561" t="s">
        <v>1631</v>
      </c>
      <c r="J41" s="561" t="s">
        <v>1629</v>
      </c>
      <c r="K41" s="561" t="s">
        <v>1373</v>
      </c>
      <c r="L41" s="561">
        <v>1</v>
      </c>
      <c r="M41" s="560">
        <v>10000000</v>
      </c>
      <c r="N41" s="560">
        <v>10000000</v>
      </c>
      <c r="O41" s="499">
        <v>44958</v>
      </c>
      <c r="P41" s="499">
        <v>45290</v>
      </c>
    </row>
    <row r="42" spans="2:17" ht="69.75" customHeight="1" x14ac:dyDescent="0.25">
      <c r="B42" s="561" t="s">
        <v>1276</v>
      </c>
      <c r="C42" s="501" t="s">
        <v>1350</v>
      </c>
      <c r="D42" s="500" t="s">
        <v>14</v>
      </c>
      <c r="E42" s="562" t="s">
        <v>815</v>
      </c>
      <c r="F42" s="561" t="s">
        <v>711</v>
      </c>
      <c r="G42" s="501" t="s">
        <v>1630</v>
      </c>
      <c r="H42" s="501" t="s">
        <v>149</v>
      </c>
      <c r="I42" s="561" t="s">
        <v>825</v>
      </c>
      <c r="J42" s="561" t="s">
        <v>1629</v>
      </c>
      <c r="K42" s="561" t="s">
        <v>1397</v>
      </c>
      <c r="L42" s="561">
        <v>2</v>
      </c>
      <c r="M42" s="560">
        <v>1000000</v>
      </c>
      <c r="N42" s="560">
        <v>2000000</v>
      </c>
      <c r="O42" s="499">
        <v>44958</v>
      </c>
      <c r="P42" s="499">
        <v>45290</v>
      </c>
    </row>
    <row r="43" spans="2:17" ht="48" customHeight="1" x14ac:dyDescent="0.25">
      <c r="B43" s="561" t="s">
        <v>1276</v>
      </c>
      <c r="C43" s="501" t="s">
        <v>1353</v>
      </c>
      <c r="D43" s="500" t="s">
        <v>14</v>
      </c>
      <c r="E43" s="562" t="s">
        <v>815</v>
      </c>
      <c r="F43" s="561" t="s">
        <v>726</v>
      </c>
      <c r="G43" s="501" t="s">
        <v>103</v>
      </c>
      <c r="H43" s="501" t="s">
        <v>105</v>
      </c>
      <c r="I43" s="561" t="s">
        <v>834</v>
      </c>
      <c r="J43" s="561" t="s">
        <v>1629</v>
      </c>
      <c r="K43" s="561" t="s">
        <v>1373</v>
      </c>
      <c r="L43" s="561">
        <v>1</v>
      </c>
      <c r="M43" s="560">
        <v>1700000</v>
      </c>
      <c r="N43" s="560">
        <v>1700000</v>
      </c>
      <c r="O43" s="499">
        <v>44958</v>
      </c>
      <c r="P43" s="499">
        <v>45290</v>
      </c>
    </row>
    <row r="44" spans="2:17" s="534" customFormat="1" ht="54.75" customHeight="1" x14ac:dyDescent="0.25">
      <c r="B44" s="548" t="s">
        <v>1276</v>
      </c>
      <c r="C44" s="548" t="s">
        <v>1350</v>
      </c>
      <c r="D44" s="500" t="s">
        <v>14</v>
      </c>
      <c r="E44" s="557" t="s">
        <v>774</v>
      </c>
      <c r="F44" s="536" t="s">
        <v>711</v>
      </c>
      <c r="G44" s="536" t="s">
        <v>147</v>
      </c>
      <c r="H44" s="536" t="s">
        <v>486</v>
      </c>
      <c r="I44" s="547" t="s">
        <v>1628</v>
      </c>
      <c r="J44" s="537" t="s">
        <v>1434</v>
      </c>
      <c r="K44" s="537" t="s">
        <v>1417</v>
      </c>
      <c r="L44" s="536">
        <v>1</v>
      </c>
      <c r="M44" s="535">
        <v>39145928.800000004</v>
      </c>
      <c r="N44" s="531">
        <f t="shared" ref="N44:N49" si="2">+M44*L44</f>
        <v>39145928.800000004</v>
      </c>
      <c r="O44" s="499">
        <v>44942</v>
      </c>
      <c r="P44" s="499">
        <v>45275</v>
      </c>
      <c r="Q44" s="524"/>
    </row>
    <row r="45" spans="2:17" s="491" customFormat="1" ht="51.75" customHeight="1" x14ac:dyDescent="0.25">
      <c r="B45" s="501" t="s">
        <v>1277</v>
      </c>
      <c r="C45" s="501" t="s">
        <v>1358</v>
      </c>
      <c r="D45" s="500" t="s">
        <v>14</v>
      </c>
      <c r="E45" s="557" t="s">
        <v>774</v>
      </c>
      <c r="F45" s="501" t="s">
        <v>982</v>
      </c>
      <c r="G45" s="501" t="s">
        <v>1070</v>
      </c>
      <c r="H45" s="501" t="s">
        <v>1627</v>
      </c>
      <c r="I45" s="495" t="s">
        <v>794</v>
      </c>
      <c r="J45" s="501" t="s">
        <v>1626</v>
      </c>
      <c r="K45" s="501" t="s">
        <v>1373</v>
      </c>
      <c r="L45" s="500">
        <v>1</v>
      </c>
      <c r="M45" s="559">
        <v>20000000</v>
      </c>
      <c r="N45" s="531">
        <f t="shared" si="2"/>
        <v>20000000</v>
      </c>
      <c r="O45" s="499">
        <v>44958</v>
      </c>
      <c r="P45" s="499">
        <v>45290</v>
      </c>
    </row>
    <row r="46" spans="2:17" s="491" customFormat="1" ht="75.75" customHeight="1" x14ac:dyDescent="0.25">
      <c r="B46" s="501" t="s">
        <v>1276</v>
      </c>
      <c r="C46" s="501" t="s">
        <v>1352</v>
      </c>
      <c r="D46" s="500" t="s">
        <v>14</v>
      </c>
      <c r="E46" s="557" t="s">
        <v>774</v>
      </c>
      <c r="F46" s="501" t="s">
        <v>548</v>
      </c>
      <c r="G46" s="501" t="s">
        <v>549</v>
      </c>
      <c r="H46" s="501" t="s">
        <v>1625</v>
      </c>
      <c r="I46" s="495" t="s">
        <v>787</v>
      </c>
      <c r="J46" s="501" t="s">
        <v>1624</v>
      </c>
      <c r="K46" s="501" t="s">
        <v>1373</v>
      </c>
      <c r="L46" s="500">
        <v>1</v>
      </c>
      <c r="M46" s="531">
        <v>7290000</v>
      </c>
      <c r="N46" s="531">
        <f t="shared" si="2"/>
        <v>7290000</v>
      </c>
      <c r="O46" s="499">
        <v>44958</v>
      </c>
      <c r="P46" s="499">
        <v>45290</v>
      </c>
    </row>
    <row r="47" spans="2:17" s="491" customFormat="1" ht="49.5" customHeight="1" x14ac:dyDescent="0.25">
      <c r="B47" s="501" t="s">
        <v>1276</v>
      </c>
      <c r="C47" s="501" t="s">
        <v>1352</v>
      </c>
      <c r="D47" s="500" t="s">
        <v>14</v>
      </c>
      <c r="E47" s="557" t="s">
        <v>774</v>
      </c>
      <c r="F47" s="501" t="s">
        <v>548</v>
      </c>
      <c r="G47" s="501" t="s">
        <v>549</v>
      </c>
      <c r="H47" s="501" t="s">
        <v>1621</v>
      </c>
      <c r="I47" s="558" t="s">
        <v>1623</v>
      </c>
      <c r="J47" s="501" t="s">
        <v>1622</v>
      </c>
      <c r="K47" s="501" t="s">
        <v>1373</v>
      </c>
      <c r="L47" s="500">
        <v>1</v>
      </c>
      <c r="M47" s="531">
        <v>3915000</v>
      </c>
      <c r="N47" s="531">
        <f t="shared" si="2"/>
        <v>3915000</v>
      </c>
      <c r="O47" s="499">
        <v>44958</v>
      </c>
      <c r="P47" s="499">
        <v>45290</v>
      </c>
    </row>
    <row r="48" spans="2:17" s="491" customFormat="1" ht="64.5" customHeight="1" x14ac:dyDescent="0.25">
      <c r="B48" s="501" t="s">
        <v>1276</v>
      </c>
      <c r="C48" s="501" t="s">
        <v>1352</v>
      </c>
      <c r="D48" s="500" t="s">
        <v>14</v>
      </c>
      <c r="E48" s="557" t="s">
        <v>774</v>
      </c>
      <c r="F48" s="501" t="s">
        <v>548</v>
      </c>
      <c r="G48" s="501" t="s">
        <v>549</v>
      </c>
      <c r="H48" s="501" t="s">
        <v>1621</v>
      </c>
      <c r="I48" s="556" t="s">
        <v>796</v>
      </c>
      <c r="J48" s="501" t="s">
        <v>1620</v>
      </c>
      <c r="K48" s="501" t="s">
        <v>1373</v>
      </c>
      <c r="L48" s="500">
        <v>1</v>
      </c>
      <c r="M48" s="531">
        <v>10000000</v>
      </c>
      <c r="N48" s="531">
        <f t="shared" si="2"/>
        <v>10000000</v>
      </c>
      <c r="O48" s="499">
        <v>44958</v>
      </c>
      <c r="P48" s="499">
        <v>45290</v>
      </c>
    </row>
    <row r="49" spans="2:17" s="491" customFormat="1" ht="64.5" customHeight="1" x14ac:dyDescent="0.25">
      <c r="B49" s="501" t="s">
        <v>1276</v>
      </c>
      <c r="C49" s="520" t="s">
        <v>1353</v>
      </c>
      <c r="D49" s="500" t="s">
        <v>14</v>
      </c>
      <c r="E49" s="557" t="s">
        <v>774</v>
      </c>
      <c r="F49" s="501" t="s">
        <v>1261</v>
      </c>
      <c r="G49" s="501" t="s">
        <v>103</v>
      </c>
      <c r="H49" s="501" t="s">
        <v>486</v>
      </c>
      <c r="I49" s="556" t="s">
        <v>1619</v>
      </c>
      <c r="J49" s="501" t="s">
        <v>1618</v>
      </c>
      <c r="K49" s="501" t="s">
        <v>1401</v>
      </c>
      <c r="L49" s="500">
        <v>5</v>
      </c>
      <c r="M49" s="555">
        <f>783*5000</f>
        <v>3915000</v>
      </c>
      <c r="N49" s="531">
        <f t="shared" si="2"/>
        <v>19575000</v>
      </c>
      <c r="O49" s="499">
        <v>44958</v>
      </c>
      <c r="P49" s="499">
        <v>45290</v>
      </c>
    </row>
    <row r="50" spans="2:17" s="491" customFormat="1" ht="64.5" customHeight="1" x14ac:dyDescent="0.25">
      <c r="B50" s="501" t="s">
        <v>1276</v>
      </c>
      <c r="C50" s="520" t="s">
        <v>1353</v>
      </c>
      <c r="D50" s="500" t="s">
        <v>14</v>
      </c>
      <c r="E50" s="557" t="s">
        <v>774</v>
      </c>
      <c r="F50" s="501" t="s">
        <v>1261</v>
      </c>
      <c r="G50" s="501" t="s">
        <v>103</v>
      </c>
      <c r="H50" s="501" t="s">
        <v>486</v>
      </c>
      <c r="I50" s="556" t="s">
        <v>1617</v>
      </c>
      <c r="J50" s="501" t="s">
        <v>1616</v>
      </c>
      <c r="K50" s="501" t="s">
        <v>1401</v>
      </c>
      <c r="L50" s="500">
        <v>1</v>
      </c>
      <c r="M50" s="737" t="s">
        <v>1615</v>
      </c>
      <c r="N50" s="531">
        <v>4000000</v>
      </c>
      <c r="O50" s="499">
        <v>44958</v>
      </c>
      <c r="P50" s="499">
        <v>45290</v>
      </c>
    </row>
    <row r="51" spans="2:17" s="491" customFormat="1" ht="64.5" customHeight="1" x14ac:dyDescent="0.25">
      <c r="B51" s="501" t="s">
        <v>1276</v>
      </c>
      <c r="C51" s="520" t="s">
        <v>1350</v>
      </c>
      <c r="D51" s="500" t="s">
        <v>14</v>
      </c>
      <c r="E51" s="557" t="s">
        <v>774</v>
      </c>
      <c r="F51" s="501" t="s">
        <v>687</v>
      </c>
      <c r="G51" s="501" t="s">
        <v>688</v>
      </c>
      <c r="H51" s="501" t="s">
        <v>486</v>
      </c>
      <c r="I51" s="556" t="s">
        <v>781</v>
      </c>
      <c r="J51" s="501" t="s">
        <v>1614</v>
      </c>
      <c r="K51" s="501" t="s">
        <v>1397</v>
      </c>
      <c r="L51" s="500">
        <v>1</v>
      </c>
      <c r="M51" s="737">
        <v>1000000</v>
      </c>
      <c r="N51" s="531">
        <f>+M51*L51</f>
        <v>1000000</v>
      </c>
      <c r="O51" s="499">
        <v>44958</v>
      </c>
      <c r="P51" s="499">
        <v>45290</v>
      </c>
    </row>
    <row r="52" spans="2:17" s="491" customFormat="1" ht="64.5" customHeight="1" x14ac:dyDescent="0.25">
      <c r="B52" s="501" t="s">
        <v>1276</v>
      </c>
      <c r="C52" s="520" t="s">
        <v>1350</v>
      </c>
      <c r="D52" s="500" t="s">
        <v>14</v>
      </c>
      <c r="E52" s="557" t="s">
        <v>774</v>
      </c>
      <c r="F52" s="501" t="s">
        <v>711</v>
      </c>
      <c r="G52" s="501" t="s">
        <v>147</v>
      </c>
      <c r="H52" s="501" t="s">
        <v>486</v>
      </c>
      <c r="I52" s="556" t="s">
        <v>794</v>
      </c>
      <c r="J52" s="501" t="s">
        <v>1613</v>
      </c>
      <c r="K52" s="501" t="s">
        <v>1382</v>
      </c>
      <c r="L52" s="500">
        <v>2</v>
      </c>
      <c r="M52" s="555">
        <v>50000000</v>
      </c>
      <c r="N52" s="531">
        <f>+M52*L52</f>
        <v>100000000</v>
      </c>
      <c r="O52" s="499">
        <v>44958</v>
      </c>
      <c r="P52" s="499">
        <v>45290</v>
      </c>
    </row>
    <row r="53" spans="2:17" s="534" customFormat="1" ht="54.75" customHeight="1" x14ac:dyDescent="0.25">
      <c r="B53" s="548" t="s">
        <v>1276</v>
      </c>
      <c r="C53" s="548" t="s">
        <v>1350</v>
      </c>
      <c r="D53" s="536" t="s">
        <v>14</v>
      </c>
      <c r="E53" s="506" t="s">
        <v>750</v>
      </c>
      <c r="F53" s="536" t="s">
        <v>711</v>
      </c>
      <c r="G53" s="536" t="s">
        <v>147</v>
      </c>
      <c r="H53" s="536" t="s">
        <v>486</v>
      </c>
      <c r="I53" s="547" t="s">
        <v>1612</v>
      </c>
      <c r="J53" s="537" t="s">
        <v>1434</v>
      </c>
      <c r="K53" s="537" t="s">
        <v>1417</v>
      </c>
      <c r="L53" s="536">
        <v>1</v>
      </c>
      <c r="M53" s="535">
        <v>15000000</v>
      </c>
      <c r="N53" s="531">
        <f>+M53*L53</f>
        <v>15000000</v>
      </c>
      <c r="O53" s="499">
        <v>44942</v>
      </c>
      <c r="P53" s="499">
        <v>45275</v>
      </c>
      <c r="Q53" s="524"/>
    </row>
    <row r="54" spans="2:17" s="534" customFormat="1" ht="54.75" customHeight="1" x14ac:dyDescent="0.25">
      <c r="B54" s="548" t="s">
        <v>1276</v>
      </c>
      <c r="C54" s="548" t="s">
        <v>1350</v>
      </c>
      <c r="D54" s="536" t="s">
        <v>14</v>
      </c>
      <c r="E54" s="506" t="s">
        <v>750</v>
      </c>
      <c r="F54" s="536" t="s">
        <v>711</v>
      </c>
      <c r="G54" s="536" t="s">
        <v>147</v>
      </c>
      <c r="H54" s="536" t="s">
        <v>486</v>
      </c>
      <c r="I54" s="547" t="s">
        <v>1611</v>
      </c>
      <c r="J54" s="537" t="s">
        <v>1434</v>
      </c>
      <c r="K54" s="537" t="s">
        <v>1417</v>
      </c>
      <c r="L54" s="536">
        <v>1</v>
      </c>
      <c r="M54" s="535">
        <v>60000000</v>
      </c>
      <c r="N54" s="531">
        <f>+M54*L54</f>
        <v>60000000</v>
      </c>
      <c r="O54" s="499">
        <v>44942</v>
      </c>
      <c r="P54" s="499">
        <v>45275</v>
      </c>
      <c r="Q54" s="524"/>
    </row>
    <row r="55" spans="2:17" s="491" customFormat="1" ht="49.5" customHeight="1" x14ac:dyDescent="0.25">
      <c r="B55" s="501" t="s">
        <v>1276</v>
      </c>
      <c r="C55" s="520" t="s">
        <v>1352</v>
      </c>
      <c r="D55" s="500" t="s">
        <v>14</v>
      </c>
      <c r="E55" s="506" t="s">
        <v>750</v>
      </c>
      <c r="F55" s="501" t="s">
        <v>548</v>
      </c>
      <c r="G55" s="501" t="s">
        <v>296</v>
      </c>
      <c r="H55" s="501" t="s">
        <v>298</v>
      </c>
      <c r="I55" s="495" t="s">
        <v>1610</v>
      </c>
      <c r="J55" s="501" t="s">
        <v>1609</v>
      </c>
      <c r="K55" s="501" t="s">
        <v>1373</v>
      </c>
      <c r="L55" s="500">
        <v>10</v>
      </c>
      <c r="M55" s="531">
        <v>25000000</v>
      </c>
      <c r="N55" s="531">
        <f>+M55*L55</f>
        <v>250000000</v>
      </c>
      <c r="O55" s="499">
        <v>44958</v>
      </c>
      <c r="P55" s="499">
        <v>45290</v>
      </c>
    </row>
    <row r="56" spans="2:17" s="491" customFormat="1" ht="48.75" customHeight="1" x14ac:dyDescent="0.25">
      <c r="B56" s="501" t="s">
        <v>1276</v>
      </c>
      <c r="C56" s="520" t="s">
        <v>1352</v>
      </c>
      <c r="D56" s="500" t="s">
        <v>14</v>
      </c>
      <c r="E56" s="506" t="s">
        <v>750</v>
      </c>
      <c r="F56" s="501" t="s">
        <v>548</v>
      </c>
      <c r="G56" s="501" t="s">
        <v>296</v>
      </c>
      <c r="H56" s="501" t="s">
        <v>298</v>
      </c>
      <c r="I56" s="495" t="s">
        <v>1608</v>
      </c>
      <c r="J56" s="501" t="s">
        <v>1607</v>
      </c>
      <c r="K56" s="501" t="s">
        <v>1373</v>
      </c>
      <c r="L56" s="500">
        <v>4</v>
      </c>
      <c r="M56" s="531">
        <f>7000000*23</f>
        <v>161000000</v>
      </c>
      <c r="N56" s="531">
        <f>+L56*M56</f>
        <v>644000000</v>
      </c>
      <c r="O56" s="499">
        <v>44958</v>
      </c>
      <c r="P56" s="499">
        <v>45290</v>
      </c>
    </row>
    <row r="57" spans="2:17" s="491" customFormat="1" ht="57.75" customHeight="1" x14ac:dyDescent="0.25">
      <c r="B57" s="501" t="s">
        <v>1276</v>
      </c>
      <c r="C57" s="520" t="s">
        <v>1352</v>
      </c>
      <c r="D57" s="500" t="s">
        <v>14</v>
      </c>
      <c r="E57" s="506" t="s">
        <v>750</v>
      </c>
      <c r="F57" s="501" t="s">
        <v>548</v>
      </c>
      <c r="G57" s="501" t="s">
        <v>549</v>
      </c>
      <c r="H57" s="501" t="s">
        <v>298</v>
      </c>
      <c r="I57" s="495" t="s">
        <v>1606</v>
      </c>
      <c r="J57" s="501" t="s">
        <v>1605</v>
      </c>
      <c r="K57" s="501" t="s">
        <v>1373</v>
      </c>
      <c r="L57" s="500">
        <v>1</v>
      </c>
      <c r="M57" s="531">
        <v>500000000</v>
      </c>
      <c r="N57" s="531">
        <f>+L57*M57</f>
        <v>500000000</v>
      </c>
      <c r="O57" s="499">
        <v>44958</v>
      </c>
      <c r="P57" s="499">
        <v>45290</v>
      </c>
    </row>
    <row r="58" spans="2:17" s="534" customFormat="1" ht="41.25" customHeight="1" x14ac:dyDescent="0.25">
      <c r="B58" s="548" t="s">
        <v>1276</v>
      </c>
      <c r="C58" s="548" t="s">
        <v>1350</v>
      </c>
      <c r="D58" s="536" t="s">
        <v>14</v>
      </c>
      <c r="E58" s="554" t="s">
        <v>698</v>
      </c>
      <c r="F58" s="536" t="s">
        <v>711</v>
      </c>
      <c r="G58" s="536" t="s">
        <v>147</v>
      </c>
      <c r="H58" s="538" t="s">
        <v>486</v>
      </c>
      <c r="I58" s="547" t="s">
        <v>1604</v>
      </c>
      <c r="J58" s="537" t="s">
        <v>1434</v>
      </c>
      <c r="K58" s="536" t="s">
        <v>1417</v>
      </c>
      <c r="L58" s="500">
        <v>1</v>
      </c>
      <c r="M58" s="531">
        <v>39145928.800000004</v>
      </c>
      <c r="N58" s="531">
        <f>+L58*M58</f>
        <v>39145928.800000004</v>
      </c>
      <c r="O58" s="499">
        <v>44942</v>
      </c>
      <c r="P58" s="499">
        <v>45275</v>
      </c>
    </row>
    <row r="59" spans="2:17" s="491" customFormat="1" ht="65.25" customHeight="1" x14ac:dyDescent="0.25">
      <c r="B59" s="501" t="s">
        <v>1277</v>
      </c>
      <c r="C59" s="501" t="s">
        <v>1357</v>
      </c>
      <c r="D59" s="500" t="s">
        <v>14</v>
      </c>
      <c r="E59" s="554" t="s">
        <v>698</v>
      </c>
      <c r="F59" s="501" t="s">
        <v>791</v>
      </c>
      <c r="G59" s="501" t="s">
        <v>737</v>
      </c>
      <c r="H59" s="501" t="s">
        <v>1603</v>
      </c>
      <c r="I59" s="495" t="s">
        <v>1602</v>
      </c>
      <c r="J59" s="501" t="s">
        <v>1601</v>
      </c>
      <c r="K59" s="501" t="s">
        <v>1373</v>
      </c>
      <c r="L59" s="500">
        <v>2</v>
      </c>
      <c r="M59" s="531">
        <v>75000000</v>
      </c>
      <c r="N59" s="531">
        <f>+L59*M59</f>
        <v>150000000</v>
      </c>
      <c r="O59" s="499">
        <v>44958</v>
      </c>
      <c r="P59" s="499">
        <v>45290</v>
      </c>
    </row>
    <row r="60" spans="2:17" s="491" customFormat="1" ht="52.5" customHeight="1" x14ac:dyDescent="0.25">
      <c r="B60" s="501" t="s">
        <v>1276</v>
      </c>
      <c r="C60" s="520" t="s">
        <v>1352</v>
      </c>
      <c r="D60" s="500" t="s">
        <v>14</v>
      </c>
      <c r="E60" s="554" t="s">
        <v>698</v>
      </c>
      <c r="F60" s="501" t="s">
        <v>548</v>
      </c>
      <c r="G60" s="501" t="s">
        <v>549</v>
      </c>
      <c r="H60" s="501" t="s">
        <v>1600</v>
      </c>
      <c r="I60" s="495" t="s">
        <v>1599</v>
      </c>
      <c r="J60" s="501" t="s">
        <v>1598</v>
      </c>
      <c r="K60" s="501" t="s">
        <v>1379</v>
      </c>
      <c r="L60" s="500">
        <v>2</v>
      </c>
      <c r="M60" s="531">
        <v>10000000</v>
      </c>
      <c r="N60" s="531">
        <f>+L60*M60</f>
        <v>20000000</v>
      </c>
      <c r="O60" s="499">
        <v>44958</v>
      </c>
      <c r="P60" s="499">
        <v>45290</v>
      </c>
    </row>
    <row r="61" spans="2:17" s="534" customFormat="1" ht="41.25" customHeight="1" x14ac:dyDescent="0.25">
      <c r="B61" s="501" t="s">
        <v>1276</v>
      </c>
      <c r="C61" s="520" t="s">
        <v>1352</v>
      </c>
      <c r="D61" s="500" t="s">
        <v>14</v>
      </c>
      <c r="E61" s="554" t="s">
        <v>698</v>
      </c>
      <c r="F61" s="501" t="s">
        <v>548</v>
      </c>
      <c r="G61" s="501" t="s">
        <v>549</v>
      </c>
      <c r="H61" s="501" t="s">
        <v>1600</v>
      </c>
      <c r="I61" s="553" t="s">
        <v>1599</v>
      </c>
      <c r="J61" s="552" t="s">
        <v>1598</v>
      </c>
      <c r="K61" s="552" t="s">
        <v>1379</v>
      </c>
      <c r="L61" s="551">
        <v>2</v>
      </c>
      <c r="M61" s="550">
        <v>10000000</v>
      </c>
      <c r="N61" s="550">
        <v>20000000</v>
      </c>
      <c r="O61" s="549">
        <v>44958</v>
      </c>
      <c r="P61" s="549">
        <v>45290</v>
      </c>
      <c r="Q61" s="524"/>
    </row>
    <row r="62" spans="2:17" s="534" customFormat="1" ht="54.75" customHeight="1" x14ac:dyDescent="0.25">
      <c r="B62" s="548" t="s">
        <v>1276</v>
      </c>
      <c r="C62" s="548" t="s">
        <v>1353</v>
      </c>
      <c r="D62" s="536" t="s">
        <v>14</v>
      </c>
      <c r="E62" s="546" t="s">
        <v>802</v>
      </c>
      <c r="F62" s="536" t="s">
        <v>1261</v>
      </c>
      <c r="G62" s="536" t="s">
        <v>103</v>
      </c>
      <c r="H62" s="536" t="s">
        <v>486</v>
      </c>
      <c r="I62" s="547" t="s">
        <v>1597</v>
      </c>
      <c r="J62" s="537" t="s">
        <v>1434</v>
      </c>
      <c r="K62" s="537" t="s">
        <v>1417</v>
      </c>
      <c r="L62" s="536">
        <v>1</v>
      </c>
      <c r="M62" s="535">
        <v>39145928.800000004</v>
      </c>
      <c r="N62" s="531">
        <f>+M62*L62</f>
        <v>39145928.800000004</v>
      </c>
      <c r="O62" s="499">
        <v>44942</v>
      </c>
      <c r="P62" s="499">
        <v>45275</v>
      </c>
      <c r="Q62" s="524"/>
    </row>
    <row r="63" spans="2:17" s="534" customFormat="1" ht="54.75" customHeight="1" x14ac:dyDescent="0.25">
      <c r="B63" s="548" t="s">
        <v>1276</v>
      </c>
      <c r="C63" s="548" t="s">
        <v>1353</v>
      </c>
      <c r="D63" s="536" t="s">
        <v>14</v>
      </c>
      <c r="E63" s="546" t="s">
        <v>802</v>
      </c>
      <c r="F63" s="536" t="s">
        <v>1261</v>
      </c>
      <c r="G63" s="536" t="s">
        <v>103</v>
      </c>
      <c r="H63" s="536" t="s">
        <v>486</v>
      </c>
      <c r="I63" s="547" t="s">
        <v>1596</v>
      </c>
      <c r="J63" s="537" t="s">
        <v>1434</v>
      </c>
      <c r="K63" s="537" t="s">
        <v>1417</v>
      </c>
      <c r="L63" s="536">
        <v>1</v>
      </c>
      <c r="M63" s="535">
        <v>20010375</v>
      </c>
      <c r="N63" s="531">
        <f>+M63*L63</f>
        <v>20010375</v>
      </c>
      <c r="O63" s="499">
        <v>44942</v>
      </c>
      <c r="P63" s="499">
        <v>45275</v>
      </c>
      <c r="Q63" s="524"/>
    </row>
    <row r="64" spans="2:17" s="491" customFormat="1" ht="63.75" customHeight="1" x14ac:dyDescent="0.25">
      <c r="B64" s="501" t="s">
        <v>1276</v>
      </c>
      <c r="C64" s="501" t="s">
        <v>1353</v>
      </c>
      <c r="D64" s="500" t="s">
        <v>14</v>
      </c>
      <c r="E64" s="546" t="s">
        <v>802</v>
      </c>
      <c r="F64" s="501" t="s">
        <v>1261</v>
      </c>
      <c r="G64" s="501" t="s">
        <v>103</v>
      </c>
      <c r="H64" s="501" t="s">
        <v>486</v>
      </c>
      <c r="I64" s="495" t="s">
        <v>1595</v>
      </c>
      <c r="J64" s="501" t="s">
        <v>1593</v>
      </c>
      <c r="K64" s="501" t="s">
        <v>1401</v>
      </c>
      <c r="L64" s="545">
        <v>1</v>
      </c>
      <c r="M64" s="544">
        <v>25000000</v>
      </c>
      <c r="N64" s="544">
        <v>25000000</v>
      </c>
      <c r="O64" s="499">
        <v>44958</v>
      </c>
      <c r="P64" s="499">
        <v>45290</v>
      </c>
    </row>
    <row r="65" spans="2:17" s="491" customFormat="1" ht="66.75" customHeight="1" x14ac:dyDescent="0.25">
      <c r="B65" s="501" t="s">
        <v>1276</v>
      </c>
      <c r="C65" s="501" t="s">
        <v>1353</v>
      </c>
      <c r="D65" s="500" t="s">
        <v>14</v>
      </c>
      <c r="E65" s="546" t="s">
        <v>802</v>
      </c>
      <c r="F65" s="501" t="s">
        <v>1261</v>
      </c>
      <c r="G65" s="501" t="s">
        <v>103</v>
      </c>
      <c r="H65" s="501" t="s">
        <v>486</v>
      </c>
      <c r="I65" s="495" t="s">
        <v>1594</v>
      </c>
      <c r="J65" s="501" t="s">
        <v>1593</v>
      </c>
      <c r="K65" s="501" t="s">
        <v>1401</v>
      </c>
      <c r="L65" s="545">
        <v>1</v>
      </c>
      <c r="M65" s="544">
        <v>25000000</v>
      </c>
      <c r="N65" s="544">
        <v>25000000</v>
      </c>
      <c r="O65" s="499">
        <v>44958</v>
      </c>
      <c r="P65" s="499">
        <v>45290</v>
      </c>
    </row>
    <row r="66" spans="2:17" s="491" customFormat="1" ht="53.25" customHeight="1" x14ac:dyDescent="0.25">
      <c r="B66" s="501" t="s">
        <v>1276</v>
      </c>
      <c r="C66" s="501" t="s">
        <v>1353</v>
      </c>
      <c r="D66" s="500" t="s">
        <v>14</v>
      </c>
      <c r="E66" s="546" t="s">
        <v>802</v>
      </c>
      <c r="F66" s="501" t="s">
        <v>1261</v>
      </c>
      <c r="G66" s="501" t="s">
        <v>103</v>
      </c>
      <c r="H66" s="501" t="s">
        <v>486</v>
      </c>
      <c r="I66" s="495" t="s">
        <v>1592</v>
      </c>
      <c r="J66" s="501" t="s">
        <v>1591</v>
      </c>
      <c r="K66" s="501" t="s">
        <v>1377</v>
      </c>
      <c r="L66" s="545">
        <v>1</v>
      </c>
      <c r="M66" s="544">
        <v>15000000</v>
      </c>
      <c r="N66" s="544">
        <v>15000000</v>
      </c>
      <c r="O66" s="499">
        <v>44958</v>
      </c>
      <c r="P66" s="499">
        <v>45290</v>
      </c>
    </row>
    <row r="67" spans="2:17" s="491" customFormat="1" ht="64.5" customHeight="1" x14ac:dyDescent="0.25">
      <c r="B67" s="501" t="s">
        <v>1276</v>
      </c>
      <c r="C67" s="501" t="s">
        <v>1353</v>
      </c>
      <c r="D67" s="500" t="s">
        <v>14</v>
      </c>
      <c r="E67" s="987" t="s">
        <v>1590</v>
      </c>
      <c r="F67" s="501" t="s">
        <v>1261</v>
      </c>
      <c r="G67" s="501" t="s">
        <v>103</v>
      </c>
      <c r="H67" s="501" t="s">
        <v>105</v>
      </c>
      <c r="I67" s="495" t="s">
        <v>730</v>
      </c>
      <c r="J67" s="501" t="s">
        <v>1588</v>
      </c>
      <c r="K67" s="501" t="s">
        <v>1401</v>
      </c>
      <c r="L67" s="543">
        <v>6</v>
      </c>
      <c r="M67" s="540">
        <v>70000000</v>
      </c>
      <c r="N67" s="540">
        <f>+L67*M67</f>
        <v>420000000</v>
      </c>
      <c r="O67" s="499">
        <v>44958</v>
      </c>
      <c r="P67" s="499">
        <v>45290</v>
      </c>
    </row>
    <row r="68" spans="2:17" s="491" customFormat="1" ht="57" customHeight="1" x14ac:dyDescent="0.25">
      <c r="B68" s="501" t="s">
        <v>1276</v>
      </c>
      <c r="C68" s="501" t="s">
        <v>1353</v>
      </c>
      <c r="D68" s="500" t="s">
        <v>14</v>
      </c>
      <c r="E68" s="988"/>
      <c r="F68" s="501" t="s">
        <v>1261</v>
      </c>
      <c r="G68" s="501" t="s">
        <v>103</v>
      </c>
      <c r="H68" s="501" t="s">
        <v>105</v>
      </c>
      <c r="I68" s="495" t="s">
        <v>752</v>
      </c>
      <c r="J68" s="501" t="s">
        <v>1588</v>
      </c>
      <c r="K68" s="501" t="s">
        <v>1401</v>
      </c>
      <c r="L68" s="541">
        <v>6</v>
      </c>
      <c r="M68" s="542">
        <v>40000000</v>
      </c>
      <c r="N68" s="540">
        <f>+L68*M68</f>
        <v>240000000</v>
      </c>
      <c r="O68" s="499">
        <v>44958</v>
      </c>
      <c r="P68" s="499">
        <v>45290</v>
      </c>
    </row>
    <row r="69" spans="2:17" s="491" customFormat="1" ht="63" customHeight="1" x14ac:dyDescent="0.25">
      <c r="B69" s="501" t="s">
        <v>1276</v>
      </c>
      <c r="C69" s="501" t="s">
        <v>1353</v>
      </c>
      <c r="D69" s="500" t="s">
        <v>14</v>
      </c>
      <c r="E69" s="988"/>
      <c r="F69" s="501" t="s">
        <v>1261</v>
      </c>
      <c r="G69" s="501" t="s">
        <v>103</v>
      </c>
      <c r="H69" s="501" t="s">
        <v>105</v>
      </c>
      <c r="I69" s="495" t="s">
        <v>753</v>
      </c>
      <c r="J69" s="501" t="s">
        <v>1588</v>
      </c>
      <c r="K69" s="501" t="s">
        <v>1401</v>
      </c>
      <c r="L69" s="541">
        <v>6</v>
      </c>
      <c r="M69" s="542">
        <v>100000000</v>
      </c>
      <c r="N69" s="540">
        <f>+L69*M69</f>
        <v>600000000</v>
      </c>
      <c r="O69" s="499">
        <v>44958</v>
      </c>
      <c r="P69" s="499">
        <v>45290</v>
      </c>
    </row>
    <row r="70" spans="2:17" s="491" customFormat="1" ht="56.25" customHeight="1" x14ac:dyDescent="0.25">
      <c r="B70" s="501" t="s">
        <v>1276</v>
      </c>
      <c r="C70" s="501" t="s">
        <v>1353</v>
      </c>
      <c r="D70" s="500" t="s">
        <v>14</v>
      </c>
      <c r="E70" s="988"/>
      <c r="F70" s="501" t="s">
        <v>1261</v>
      </c>
      <c r="G70" s="501" t="s">
        <v>103</v>
      </c>
      <c r="H70" s="501" t="s">
        <v>105</v>
      </c>
      <c r="I70" s="495" t="s">
        <v>754</v>
      </c>
      <c r="J70" s="501" t="s">
        <v>1588</v>
      </c>
      <c r="K70" s="501" t="s">
        <v>1401</v>
      </c>
      <c r="L70" s="541">
        <v>6</v>
      </c>
      <c r="M70" s="542">
        <v>60000000</v>
      </c>
      <c r="N70" s="540">
        <f>+L70*M70</f>
        <v>360000000</v>
      </c>
      <c r="O70" s="499">
        <v>44958</v>
      </c>
      <c r="P70" s="499">
        <v>45290</v>
      </c>
    </row>
    <row r="71" spans="2:17" s="491" customFormat="1" ht="68.25" customHeight="1" x14ac:dyDescent="0.25">
      <c r="B71" s="501" t="s">
        <v>1276</v>
      </c>
      <c r="C71" s="501" t="s">
        <v>1353</v>
      </c>
      <c r="D71" s="500" t="s">
        <v>14</v>
      </c>
      <c r="E71" s="988"/>
      <c r="F71" s="501" t="s">
        <v>1261</v>
      </c>
      <c r="G71" s="501" t="s">
        <v>103</v>
      </c>
      <c r="H71" s="501" t="s">
        <v>105</v>
      </c>
      <c r="I71" s="495" t="s">
        <v>1589</v>
      </c>
      <c r="J71" s="501" t="s">
        <v>1588</v>
      </c>
      <c r="K71" s="501" t="s">
        <v>1401</v>
      </c>
      <c r="L71" s="736">
        <v>7</v>
      </c>
      <c r="M71" s="737">
        <v>50000000</v>
      </c>
      <c r="N71" s="531">
        <f>+M71*L71</f>
        <v>350000000</v>
      </c>
      <c r="O71" s="499">
        <v>44958</v>
      </c>
      <c r="P71" s="499">
        <v>45290</v>
      </c>
    </row>
    <row r="72" spans="2:17" s="491" customFormat="1" ht="58.5" customHeight="1" x14ac:dyDescent="0.25">
      <c r="B72" s="501" t="s">
        <v>1276</v>
      </c>
      <c r="C72" s="501" t="s">
        <v>1353</v>
      </c>
      <c r="D72" s="500" t="s">
        <v>14</v>
      </c>
      <c r="E72" s="988"/>
      <c r="F72" s="501" t="s">
        <v>1261</v>
      </c>
      <c r="G72" s="501" t="s">
        <v>103</v>
      </c>
      <c r="H72" s="501" t="s">
        <v>105</v>
      </c>
      <c r="I72" s="495" t="s">
        <v>756</v>
      </c>
      <c r="J72" s="501" t="s">
        <v>1587</v>
      </c>
      <c r="K72" s="501" t="s">
        <v>1391</v>
      </c>
      <c r="L72" s="736">
        <v>6</v>
      </c>
      <c r="M72" s="737">
        <v>15000000</v>
      </c>
      <c r="N72" s="531">
        <f t="shared" ref="N72" si="3">+M72*L72</f>
        <v>90000000</v>
      </c>
      <c r="O72" s="499">
        <v>44958</v>
      </c>
      <c r="P72" s="499">
        <v>45290</v>
      </c>
    </row>
    <row r="73" spans="2:17" s="491" customFormat="1" ht="51.75" customHeight="1" x14ac:dyDescent="0.25">
      <c r="B73" s="501" t="s">
        <v>1276</v>
      </c>
      <c r="C73" s="501" t="s">
        <v>1353</v>
      </c>
      <c r="D73" s="500" t="s">
        <v>14</v>
      </c>
      <c r="E73" s="988"/>
      <c r="F73" s="501" t="s">
        <v>1260</v>
      </c>
      <c r="G73" s="501" t="s">
        <v>284</v>
      </c>
      <c r="H73" s="501" t="s">
        <v>286</v>
      </c>
      <c r="I73" s="495" t="s">
        <v>1586</v>
      </c>
      <c r="J73" s="501" t="s">
        <v>1585</v>
      </c>
      <c r="K73" s="501" t="s">
        <v>1373</v>
      </c>
      <c r="L73" s="541">
        <v>6</v>
      </c>
      <c r="M73" s="737">
        <v>25000000</v>
      </c>
      <c r="N73" s="540">
        <f>+L73*M73</f>
        <v>150000000</v>
      </c>
      <c r="O73" s="499">
        <v>44958</v>
      </c>
      <c r="P73" s="499">
        <v>45290</v>
      </c>
    </row>
    <row r="74" spans="2:17" s="491" customFormat="1" ht="54" customHeight="1" x14ac:dyDescent="0.25">
      <c r="B74" s="501" t="s">
        <v>1276</v>
      </c>
      <c r="C74" s="501" t="s">
        <v>1350</v>
      </c>
      <c r="D74" s="500" t="s">
        <v>14</v>
      </c>
      <c r="E74" s="989"/>
      <c r="F74" s="501" t="s">
        <v>721</v>
      </c>
      <c r="G74" s="501" t="s">
        <v>767</v>
      </c>
      <c r="H74" s="501" t="s">
        <v>723</v>
      </c>
      <c r="I74" s="495" t="s">
        <v>1584</v>
      </c>
      <c r="J74" s="501" t="s">
        <v>1583</v>
      </c>
      <c r="K74" s="501" t="s">
        <v>1395</v>
      </c>
      <c r="L74" s="736">
        <v>6</v>
      </c>
      <c r="M74" s="737">
        <v>60000000</v>
      </c>
      <c r="N74" s="531">
        <f t="shared" ref="N74:N105" si="4">+M74*L74</f>
        <v>360000000</v>
      </c>
      <c r="O74" s="499">
        <v>44958</v>
      </c>
      <c r="P74" s="499">
        <v>45290</v>
      </c>
    </row>
    <row r="75" spans="2:17" s="534" customFormat="1" ht="60" customHeight="1" x14ac:dyDescent="0.25">
      <c r="B75" s="538" t="s">
        <v>1276</v>
      </c>
      <c r="C75" s="538" t="s">
        <v>1352</v>
      </c>
      <c r="D75" s="538" t="s">
        <v>14</v>
      </c>
      <c r="E75" s="539" t="s">
        <v>8</v>
      </c>
      <c r="F75" s="538" t="s">
        <v>869</v>
      </c>
      <c r="G75" s="538" t="s">
        <v>870</v>
      </c>
      <c r="H75" s="538" t="s">
        <v>298</v>
      </c>
      <c r="I75" s="538" t="s">
        <v>1582</v>
      </c>
      <c r="J75" s="537" t="s">
        <v>1560</v>
      </c>
      <c r="K75" s="537" t="s">
        <v>1417</v>
      </c>
      <c r="L75" s="536">
        <v>1</v>
      </c>
      <c r="M75" s="535">
        <v>23373356.529600002</v>
      </c>
      <c r="N75" s="531">
        <f t="shared" si="4"/>
        <v>23373356.529600002</v>
      </c>
      <c r="O75" s="499">
        <v>44942</v>
      </c>
      <c r="P75" s="499">
        <v>45275</v>
      </c>
      <c r="Q75" s="524"/>
    </row>
    <row r="76" spans="2:17" s="534" customFormat="1" ht="60" customHeight="1" x14ac:dyDescent="0.25">
      <c r="B76" s="538" t="s">
        <v>1276</v>
      </c>
      <c r="C76" s="538" t="s">
        <v>1352</v>
      </c>
      <c r="D76" s="538" t="s">
        <v>14</v>
      </c>
      <c r="E76" s="539" t="s">
        <v>8</v>
      </c>
      <c r="F76" s="538" t="s">
        <v>869</v>
      </c>
      <c r="G76" s="538" t="s">
        <v>870</v>
      </c>
      <c r="H76" s="538" t="s">
        <v>298</v>
      </c>
      <c r="I76" s="538" t="s">
        <v>1568</v>
      </c>
      <c r="J76" s="537" t="s">
        <v>1560</v>
      </c>
      <c r="K76" s="537" t="s">
        <v>1417</v>
      </c>
      <c r="L76" s="536">
        <v>1</v>
      </c>
      <c r="M76" s="535">
        <v>23250338.496000003</v>
      </c>
      <c r="N76" s="531">
        <f t="shared" si="4"/>
        <v>23250338.496000003</v>
      </c>
      <c r="O76" s="499">
        <v>44942</v>
      </c>
      <c r="P76" s="499">
        <v>45275</v>
      </c>
      <c r="Q76" s="524"/>
    </row>
    <row r="77" spans="2:17" s="534" customFormat="1" ht="60" customHeight="1" x14ac:dyDescent="0.25">
      <c r="B77" s="538" t="s">
        <v>1276</v>
      </c>
      <c r="C77" s="538" t="s">
        <v>1352</v>
      </c>
      <c r="D77" s="538" t="s">
        <v>14</v>
      </c>
      <c r="E77" s="539" t="s">
        <v>8</v>
      </c>
      <c r="F77" s="538" t="s">
        <v>869</v>
      </c>
      <c r="G77" s="538" t="s">
        <v>870</v>
      </c>
      <c r="H77" s="538" t="s">
        <v>298</v>
      </c>
      <c r="I77" s="538" t="s">
        <v>1581</v>
      </c>
      <c r="J77" s="537" t="s">
        <v>1560</v>
      </c>
      <c r="K77" s="537" t="s">
        <v>1417</v>
      </c>
      <c r="L77" s="536">
        <v>1</v>
      </c>
      <c r="M77" s="535">
        <v>25446203.798400003</v>
      </c>
      <c r="N77" s="531">
        <f t="shared" si="4"/>
        <v>25446203.798400003</v>
      </c>
      <c r="O77" s="499">
        <v>44942</v>
      </c>
      <c r="P77" s="499">
        <v>45275</v>
      </c>
      <c r="Q77" s="524"/>
    </row>
    <row r="78" spans="2:17" s="534" customFormat="1" ht="60" customHeight="1" x14ac:dyDescent="0.25">
      <c r="B78" s="538" t="s">
        <v>1276</v>
      </c>
      <c r="C78" s="538" t="s">
        <v>1352</v>
      </c>
      <c r="D78" s="538" t="s">
        <v>14</v>
      </c>
      <c r="E78" s="539" t="s">
        <v>8</v>
      </c>
      <c r="F78" s="538" t="s">
        <v>869</v>
      </c>
      <c r="G78" s="538" t="s">
        <v>870</v>
      </c>
      <c r="H78" s="538" t="s">
        <v>298</v>
      </c>
      <c r="I78" s="538" t="s">
        <v>1580</v>
      </c>
      <c r="J78" s="537" t="s">
        <v>1560</v>
      </c>
      <c r="K78" s="537" t="s">
        <v>1417</v>
      </c>
      <c r="L78" s="536">
        <v>1</v>
      </c>
      <c r="M78" s="535">
        <v>28933751</v>
      </c>
      <c r="N78" s="531">
        <f t="shared" si="4"/>
        <v>28933751</v>
      </c>
      <c r="O78" s="499">
        <v>44942</v>
      </c>
      <c r="P78" s="499">
        <v>45275</v>
      </c>
      <c r="Q78" s="524"/>
    </row>
    <row r="79" spans="2:17" s="534" customFormat="1" ht="60" customHeight="1" x14ac:dyDescent="0.25">
      <c r="B79" s="538" t="s">
        <v>1276</v>
      </c>
      <c r="C79" s="538" t="s">
        <v>1352</v>
      </c>
      <c r="D79" s="538" t="s">
        <v>14</v>
      </c>
      <c r="E79" s="539" t="s">
        <v>8</v>
      </c>
      <c r="F79" s="538" t="s">
        <v>869</v>
      </c>
      <c r="G79" s="538" t="s">
        <v>870</v>
      </c>
      <c r="H79" s="538" t="s">
        <v>298</v>
      </c>
      <c r="I79" s="538" t="s">
        <v>1579</v>
      </c>
      <c r="J79" s="537" t="s">
        <v>1560</v>
      </c>
      <c r="K79" s="537" t="s">
        <v>1417</v>
      </c>
      <c r="L79" s="536">
        <v>1</v>
      </c>
      <c r="M79" s="535">
        <v>25446203.798400003</v>
      </c>
      <c r="N79" s="531">
        <f t="shared" si="4"/>
        <v>25446203.798400003</v>
      </c>
      <c r="O79" s="499">
        <v>44942</v>
      </c>
      <c r="P79" s="499">
        <v>45275</v>
      </c>
      <c r="Q79" s="524"/>
    </row>
    <row r="80" spans="2:17" s="534" customFormat="1" ht="60" customHeight="1" x14ac:dyDescent="0.25">
      <c r="B80" s="538" t="s">
        <v>1276</v>
      </c>
      <c r="C80" s="538" t="s">
        <v>1352</v>
      </c>
      <c r="D80" s="538" t="s">
        <v>14</v>
      </c>
      <c r="E80" s="539" t="s">
        <v>8</v>
      </c>
      <c r="F80" s="538" t="s">
        <v>869</v>
      </c>
      <c r="G80" s="538" t="s">
        <v>870</v>
      </c>
      <c r="H80" s="538" t="s">
        <v>298</v>
      </c>
      <c r="I80" s="538" t="s">
        <v>1568</v>
      </c>
      <c r="J80" s="537" t="s">
        <v>1560</v>
      </c>
      <c r="K80" s="537" t="s">
        <v>1417</v>
      </c>
      <c r="L80" s="536">
        <v>1</v>
      </c>
      <c r="M80" s="535">
        <v>23573259.864000004</v>
      </c>
      <c r="N80" s="531">
        <f t="shared" si="4"/>
        <v>23573259.864000004</v>
      </c>
      <c r="O80" s="499">
        <v>44942</v>
      </c>
      <c r="P80" s="499">
        <v>45275</v>
      </c>
      <c r="Q80" s="524"/>
    </row>
    <row r="81" spans="2:17" s="534" customFormat="1" ht="60" customHeight="1" x14ac:dyDescent="0.25">
      <c r="B81" s="538" t="s">
        <v>1276</v>
      </c>
      <c r="C81" s="538" t="s">
        <v>1352</v>
      </c>
      <c r="D81" s="538" t="s">
        <v>14</v>
      </c>
      <c r="E81" s="539" t="s">
        <v>8</v>
      </c>
      <c r="F81" s="538" t="s">
        <v>869</v>
      </c>
      <c r="G81" s="538" t="s">
        <v>870</v>
      </c>
      <c r="H81" s="538" t="s">
        <v>298</v>
      </c>
      <c r="I81" s="538" t="s">
        <v>1578</v>
      </c>
      <c r="J81" s="537" t="s">
        <v>1560</v>
      </c>
      <c r="K81" s="537" t="s">
        <v>1417</v>
      </c>
      <c r="L81" s="536">
        <v>1</v>
      </c>
      <c r="M81" s="535">
        <v>30946201</v>
      </c>
      <c r="N81" s="531">
        <f t="shared" si="4"/>
        <v>30946201</v>
      </c>
      <c r="O81" s="499">
        <v>44942</v>
      </c>
      <c r="P81" s="499">
        <v>45275</v>
      </c>
      <c r="Q81" s="524"/>
    </row>
    <row r="82" spans="2:17" s="534" customFormat="1" ht="60" customHeight="1" x14ac:dyDescent="0.25">
      <c r="B82" s="538" t="s">
        <v>1276</v>
      </c>
      <c r="C82" s="538" t="s">
        <v>1352</v>
      </c>
      <c r="D82" s="538" t="s">
        <v>14</v>
      </c>
      <c r="E82" s="539" t="s">
        <v>8</v>
      </c>
      <c r="F82" s="538" t="s">
        <v>869</v>
      </c>
      <c r="G82" s="538" t="s">
        <v>870</v>
      </c>
      <c r="H82" s="538" t="s">
        <v>298</v>
      </c>
      <c r="I82" s="538" t="s">
        <v>1577</v>
      </c>
      <c r="J82" s="537" t="s">
        <v>1560</v>
      </c>
      <c r="K82" s="537" t="s">
        <v>1417</v>
      </c>
      <c r="L82" s="536">
        <v>1</v>
      </c>
      <c r="M82" s="535">
        <v>22087821.571199998</v>
      </c>
      <c r="N82" s="531">
        <f t="shared" si="4"/>
        <v>22087821.571199998</v>
      </c>
      <c r="O82" s="499">
        <v>44942</v>
      </c>
      <c r="P82" s="499">
        <v>45275</v>
      </c>
      <c r="Q82" s="524"/>
    </row>
    <row r="83" spans="2:17" s="534" customFormat="1" ht="60" customHeight="1" x14ac:dyDescent="0.25">
      <c r="B83" s="538" t="s">
        <v>1276</v>
      </c>
      <c r="C83" s="538" t="s">
        <v>1352</v>
      </c>
      <c r="D83" s="538" t="s">
        <v>14</v>
      </c>
      <c r="E83" s="539" t="s">
        <v>8</v>
      </c>
      <c r="F83" s="538" t="s">
        <v>869</v>
      </c>
      <c r="G83" s="538" t="s">
        <v>870</v>
      </c>
      <c r="H83" s="538" t="s">
        <v>298</v>
      </c>
      <c r="I83" s="538" t="s">
        <v>1576</v>
      </c>
      <c r="J83" s="537" t="s">
        <v>1560</v>
      </c>
      <c r="K83" s="537" t="s">
        <v>1417</v>
      </c>
      <c r="L83" s="536">
        <v>1</v>
      </c>
      <c r="M83" s="535">
        <v>24350337</v>
      </c>
      <c r="N83" s="531">
        <f t="shared" si="4"/>
        <v>24350337</v>
      </c>
      <c r="O83" s="499">
        <v>44942</v>
      </c>
      <c r="P83" s="499">
        <v>45275</v>
      </c>
      <c r="Q83" s="524"/>
    </row>
    <row r="84" spans="2:17" s="534" customFormat="1" ht="60" customHeight="1" x14ac:dyDescent="0.25">
      <c r="B84" s="538" t="s">
        <v>1276</v>
      </c>
      <c r="C84" s="538" t="s">
        <v>1352</v>
      </c>
      <c r="D84" s="538" t="s">
        <v>14</v>
      </c>
      <c r="E84" s="539" t="s">
        <v>8</v>
      </c>
      <c r="F84" s="538" t="s">
        <v>869</v>
      </c>
      <c r="G84" s="538" t="s">
        <v>870</v>
      </c>
      <c r="H84" s="538" t="s">
        <v>298</v>
      </c>
      <c r="I84" s="538" t="s">
        <v>1575</v>
      </c>
      <c r="J84" s="537" t="s">
        <v>1560</v>
      </c>
      <c r="K84" s="537" t="s">
        <v>1417</v>
      </c>
      <c r="L84" s="536">
        <v>1</v>
      </c>
      <c r="M84" s="535">
        <v>22087821.571199998</v>
      </c>
      <c r="N84" s="531">
        <f t="shared" si="4"/>
        <v>22087821.571199998</v>
      </c>
      <c r="O84" s="499">
        <v>44942</v>
      </c>
      <c r="P84" s="499">
        <v>45275</v>
      </c>
      <c r="Q84" s="524"/>
    </row>
    <row r="85" spans="2:17" s="534" customFormat="1" ht="60" customHeight="1" x14ac:dyDescent="0.25">
      <c r="B85" s="538" t="s">
        <v>1276</v>
      </c>
      <c r="C85" s="538" t="s">
        <v>1352</v>
      </c>
      <c r="D85" s="538" t="s">
        <v>14</v>
      </c>
      <c r="E85" s="539" t="s">
        <v>8</v>
      </c>
      <c r="F85" s="538" t="s">
        <v>869</v>
      </c>
      <c r="G85" s="538" t="s">
        <v>870</v>
      </c>
      <c r="H85" s="538" t="s">
        <v>298</v>
      </c>
      <c r="I85" s="538" t="s">
        <v>1574</v>
      </c>
      <c r="J85" s="537" t="s">
        <v>1560</v>
      </c>
      <c r="K85" s="537" t="s">
        <v>1417</v>
      </c>
      <c r="L85" s="536">
        <v>1</v>
      </c>
      <c r="M85" s="535">
        <v>24800361.062400002</v>
      </c>
      <c r="N85" s="531">
        <f t="shared" si="4"/>
        <v>24800361.062400002</v>
      </c>
      <c r="O85" s="499">
        <v>44942</v>
      </c>
      <c r="P85" s="499">
        <v>45275</v>
      </c>
      <c r="Q85" s="524"/>
    </row>
    <row r="86" spans="2:17" s="534" customFormat="1" ht="60" customHeight="1" x14ac:dyDescent="0.25">
      <c r="B86" s="538" t="s">
        <v>1276</v>
      </c>
      <c r="C86" s="538" t="s">
        <v>1352</v>
      </c>
      <c r="D86" s="538" t="s">
        <v>14</v>
      </c>
      <c r="E86" s="539" t="s">
        <v>8</v>
      </c>
      <c r="F86" s="538" t="s">
        <v>869</v>
      </c>
      <c r="G86" s="538" t="s">
        <v>870</v>
      </c>
      <c r="H86" s="538" t="s">
        <v>298</v>
      </c>
      <c r="I86" s="538" t="s">
        <v>1573</v>
      </c>
      <c r="J86" s="537" t="s">
        <v>1560</v>
      </c>
      <c r="K86" s="537" t="s">
        <v>1417</v>
      </c>
      <c r="L86" s="536">
        <v>1</v>
      </c>
      <c r="M86" s="535">
        <v>28933754.572799999</v>
      </c>
      <c r="N86" s="531">
        <f t="shared" si="4"/>
        <v>28933754.572799999</v>
      </c>
      <c r="O86" s="499">
        <v>44942</v>
      </c>
      <c r="P86" s="499">
        <v>45275</v>
      </c>
      <c r="Q86" s="524"/>
    </row>
    <row r="87" spans="2:17" s="534" customFormat="1" ht="60" customHeight="1" x14ac:dyDescent="0.25">
      <c r="B87" s="538" t="s">
        <v>1276</v>
      </c>
      <c r="C87" s="538" t="s">
        <v>1352</v>
      </c>
      <c r="D87" s="538" t="s">
        <v>14</v>
      </c>
      <c r="E87" s="539" t="s">
        <v>8</v>
      </c>
      <c r="F87" s="538" t="s">
        <v>869</v>
      </c>
      <c r="G87" s="538" t="s">
        <v>870</v>
      </c>
      <c r="H87" s="538" t="s">
        <v>298</v>
      </c>
      <c r="I87" s="538" t="s">
        <v>1572</v>
      </c>
      <c r="J87" s="537" t="s">
        <v>1560</v>
      </c>
      <c r="K87" s="537" t="s">
        <v>1417</v>
      </c>
      <c r="L87" s="536">
        <v>1</v>
      </c>
      <c r="M87" s="535">
        <v>28933751</v>
      </c>
      <c r="N87" s="531">
        <f t="shared" si="4"/>
        <v>28933751</v>
      </c>
      <c r="O87" s="499">
        <v>44942</v>
      </c>
      <c r="P87" s="499">
        <v>45275</v>
      </c>
      <c r="Q87" s="524"/>
    </row>
    <row r="88" spans="2:17" s="534" customFormat="1" ht="60" customHeight="1" x14ac:dyDescent="0.25">
      <c r="B88" s="538" t="s">
        <v>1276</v>
      </c>
      <c r="C88" s="538" t="s">
        <v>1352</v>
      </c>
      <c r="D88" s="538" t="s">
        <v>14</v>
      </c>
      <c r="E88" s="539" t="s">
        <v>8</v>
      </c>
      <c r="F88" s="538" t="s">
        <v>869</v>
      </c>
      <c r="G88" s="538" t="s">
        <v>870</v>
      </c>
      <c r="H88" s="538" t="s">
        <v>298</v>
      </c>
      <c r="I88" s="538" t="s">
        <v>1571</v>
      </c>
      <c r="J88" s="537" t="s">
        <v>1560</v>
      </c>
      <c r="K88" s="537" t="s">
        <v>1417</v>
      </c>
      <c r="L88" s="536">
        <v>1</v>
      </c>
      <c r="M88" s="535">
        <v>35521350.480000004</v>
      </c>
      <c r="N88" s="531">
        <f t="shared" si="4"/>
        <v>35521350.480000004</v>
      </c>
      <c r="O88" s="499">
        <v>44942</v>
      </c>
      <c r="P88" s="499">
        <v>45275</v>
      </c>
      <c r="Q88" s="524"/>
    </row>
    <row r="89" spans="2:17" s="534" customFormat="1" ht="60" customHeight="1" x14ac:dyDescent="0.25">
      <c r="B89" s="538" t="s">
        <v>1276</v>
      </c>
      <c r="C89" s="538" t="s">
        <v>1352</v>
      </c>
      <c r="D89" s="538" t="s">
        <v>14</v>
      </c>
      <c r="E89" s="539" t="s">
        <v>8</v>
      </c>
      <c r="F89" s="538" t="s">
        <v>869</v>
      </c>
      <c r="G89" s="538" t="s">
        <v>870</v>
      </c>
      <c r="H89" s="538" t="s">
        <v>298</v>
      </c>
      <c r="I89" s="538" t="s">
        <v>1570</v>
      </c>
      <c r="J89" s="537" t="s">
        <v>1560</v>
      </c>
      <c r="K89" s="537" t="s">
        <v>1417</v>
      </c>
      <c r="L89" s="536">
        <v>1</v>
      </c>
      <c r="M89" s="535">
        <v>23250338.496000003</v>
      </c>
      <c r="N89" s="531">
        <f t="shared" si="4"/>
        <v>23250338.496000003</v>
      </c>
      <c r="O89" s="499">
        <v>44942</v>
      </c>
      <c r="P89" s="499">
        <v>45275</v>
      </c>
      <c r="Q89" s="524"/>
    </row>
    <row r="90" spans="2:17" s="534" customFormat="1" ht="60" customHeight="1" x14ac:dyDescent="0.25">
      <c r="B90" s="538" t="s">
        <v>1276</v>
      </c>
      <c r="C90" s="538" t="s">
        <v>1352</v>
      </c>
      <c r="D90" s="538" t="s">
        <v>14</v>
      </c>
      <c r="E90" s="539" t="s">
        <v>8</v>
      </c>
      <c r="F90" s="538" t="s">
        <v>869</v>
      </c>
      <c r="G90" s="538" t="s">
        <v>870</v>
      </c>
      <c r="H90" s="538" t="s">
        <v>298</v>
      </c>
      <c r="I90" s="538" t="s">
        <v>1569</v>
      </c>
      <c r="J90" s="537" t="s">
        <v>1560</v>
      </c>
      <c r="K90" s="537" t="s">
        <v>1417</v>
      </c>
      <c r="L90" s="536">
        <v>1</v>
      </c>
      <c r="M90" s="535">
        <v>28933751</v>
      </c>
      <c r="N90" s="531">
        <f t="shared" si="4"/>
        <v>28933751</v>
      </c>
      <c r="O90" s="499">
        <v>44942</v>
      </c>
      <c r="P90" s="499">
        <v>45275</v>
      </c>
      <c r="Q90" s="524"/>
    </row>
    <row r="91" spans="2:17" s="534" customFormat="1" ht="60" customHeight="1" x14ac:dyDescent="0.25">
      <c r="B91" s="538" t="s">
        <v>1276</v>
      </c>
      <c r="C91" s="538" t="s">
        <v>1352</v>
      </c>
      <c r="D91" s="538" t="s">
        <v>14</v>
      </c>
      <c r="E91" s="539" t="s">
        <v>8</v>
      </c>
      <c r="F91" s="538" t="s">
        <v>869</v>
      </c>
      <c r="G91" s="538" t="s">
        <v>870</v>
      </c>
      <c r="H91" s="538" t="s">
        <v>298</v>
      </c>
      <c r="I91" s="538" t="s">
        <v>1568</v>
      </c>
      <c r="J91" s="537" t="s">
        <v>1560</v>
      </c>
      <c r="K91" s="537" t="s">
        <v>1417</v>
      </c>
      <c r="L91" s="536">
        <v>1</v>
      </c>
      <c r="M91" s="535">
        <v>23373356.529600002</v>
      </c>
      <c r="N91" s="531">
        <f t="shared" si="4"/>
        <v>23373356.529600002</v>
      </c>
      <c r="O91" s="499">
        <v>44942</v>
      </c>
      <c r="P91" s="499">
        <v>45275</v>
      </c>
      <c r="Q91" s="524"/>
    </row>
    <row r="92" spans="2:17" s="534" customFormat="1" ht="60" customHeight="1" x14ac:dyDescent="0.25">
      <c r="B92" s="538" t="s">
        <v>1276</v>
      </c>
      <c r="C92" s="538" t="s">
        <v>1352</v>
      </c>
      <c r="D92" s="538" t="s">
        <v>14</v>
      </c>
      <c r="E92" s="539" t="s">
        <v>8</v>
      </c>
      <c r="F92" s="538" t="s">
        <v>869</v>
      </c>
      <c r="G92" s="538" t="s">
        <v>870</v>
      </c>
      <c r="H92" s="538" t="s">
        <v>298</v>
      </c>
      <c r="I92" s="538" t="s">
        <v>1567</v>
      </c>
      <c r="J92" s="537" t="s">
        <v>1560</v>
      </c>
      <c r="K92" s="537" t="s">
        <v>1417</v>
      </c>
      <c r="L92" s="536">
        <v>1</v>
      </c>
      <c r="M92" s="535">
        <v>23250338.496000003</v>
      </c>
      <c r="N92" s="531">
        <f t="shared" si="4"/>
        <v>23250338.496000003</v>
      </c>
      <c r="O92" s="499">
        <v>44942</v>
      </c>
      <c r="P92" s="499">
        <v>45275</v>
      </c>
      <c r="Q92" s="524"/>
    </row>
    <row r="93" spans="2:17" s="534" customFormat="1" ht="60" customHeight="1" x14ac:dyDescent="0.25">
      <c r="B93" s="538" t="s">
        <v>1276</v>
      </c>
      <c r="C93" s="538" t="s">
        <v>1352</v>
      </c>
      <c r="D93" s="538" t="s">
        <v>14</v>
      </c>
      <c r="E93" s="539" t="s">
        <v>8</v>
      </c>
      <c r="F93" s="538" t="s">
        <v>869</v>
      </c>
      <c r="G93" s="538" t="s">
        <v>870</v>
      </c>
      <c r="H93" s="538" t="s">
        <v>298</v>
      </c>
      <c r="I93" s="538" t="s">
        <v>1566</v>
      </c>
      <c r="J93" s="537" t="s">
        <v>1560</v>
      </c>
      <c r="K93" s="537" t="s">
        <v>1417</v>
      </c>
      <c r="L93" s="536">
        <v>1</v>
      </c>
      <c r="M93" s="535">
        <v>22143176</v>
      </c>
      <c r="N93" s="531">
        <f t="shared" si="4"/>
        <v>22143176</v>
      </c>
      <c r="O93" s="499">
        <v>44942</v>
      </c>
      <c r="P93" s="499">
        <v>45275</v>
      </c>
      <c r="Q93" s="524"/>
    </row>
    <row r="94" spans="2:17" s="534" customFormat="1" ht="60" customHeight="1" x14ac:dyDescent="0.25">
      <c r="B94" s="538" t="s">
        <v>1276</v>
      </c>
      <c r="C94" s="538" t="s">
        <v>1352</v>
      </c>
      <c r="D94" s="538" t="s">
        <v>14</v>
      </c>
      <c r="E94" s="539" t="s">
        <v>8</v>
      </c>
      <c r="F94" s="538" t="s">
        <v>869</v>
      </c>
      <c r="G94" s="538" t="s">
        <v>870</v>
      </c>
      <c r="H94" s="538" t="s">
        <v>298</v>
      </c>
      <c r="I94" s="538" t="s">
        <v>1565</v>
      </c>
      <c r="J94" s="537" t="s">
        <v>1560</v>
      </c>
      <c r="K94" s="537" t="s">
        <v>1417</v>
      </c>
      <c r="L94" s="536">
        <v>1</v>
      </c>
      <c r="M94" s="535">
        <v>24350337</v>
      </c>
      <c r="N94" s="531">
        <f t="shared" si="4"/>
        <v>24350337</v>
      </c>
      <c r="O94" s="499">
        <v>44942</v>
      </c>
      <c r="P94" s="499">
        <v>45275</v>
      </c>
      <c r="Q94" s="524"/>
    </row>
    <row r="95" spans="2:17" s="534" customFormat="1" ht="60" customHeight="1" x14ac:dyDescent="0.25">
      <c r="B95" s="538" t="s">
        <v>1276</v>
      </c>
      <c r="C95" s="538" t="s">
        <v>1352</v>
      </c>
      <c r="D95" s="538" t="s">
        <v>14</v>
      </c>
      <c r="E95" s="539" t="s">
        <v>8</v>
      </c>
      <c r="F95" s="538" t="s">
        <v>869</v>
      </c>
      <c r="G95" s="538" t="s">
        <v>870</v>
      </c>
      <c r="H95" s="538" t="s">
        <v>298</v>
      </c>
      <c r="I95" s="538" t="s">
        <v>1564</v>
      </c>
      <c r="J95" s="537" t="s">
        <v>1560</v>
      </c>
      <c r="K95" s="537" t="s">
        <v>1417</v>
      </c>
      <c r="L95" s="536">
        <v>1</v>
      </c>
      <c r="M95" s="535">
        <v>21344400.000000004</v>
      </c>
      <c r="N95" s="531">
        <f t="shared" si="4"/>
        <v>21344400.000000004</v>
      </c>
      <c r="O95" s="499">
        <v>44942</v>
      </c>
      <c r="P95" s="499">
        <v>45275</v>
      </c>
      <c r="Q95" s="524"/>
    </row>
    <row r="96" spans="2:17" s="534" customFormat="1" ht="60" customHeight="1" x14ac:dyDescent="0.25">
      <c r="B96" s="538" t="s">
        <v>1276</v>
      </c>
      <c r="C96" s="538" t="s">
        <v>1352</v>
      </c>
      <c r="D96" s="538" t="s">
        <v>14</v>
      </c>
      <c r="E96" s="539" t="s">
        <v>8</v>
      </c>
      <c r="F96" s="538" t="s">
        <v>869</v>
      </c>
      <c r="G96" s="538" t="s">
        <v>870</v>
      </c>
      <c r="H96" s="538" t="s">
        <v>298</v>
      </c>
      <c r="I96" s="538" t="s">
        <v>1563</v>
      </c>
      <c r="J96" s="537" t="s">
        <v>1560</v>
      </c>
      <c r="K96" s="537" t="s">
        <v>1417</v>
      </c>
      <c r="L96" s="536">
        <v>1</v>
      </c>
      <c r="M96" s="535">
        <v>24350337</v>
      </c>
      <c r="N96" s="531">
        <f t="shared" si="4"/>
        <v>24350337</v>
      </c>
      <c r="O96" s="499">
        <v>44942</v>
      </c>
      <c r="P96" s="499">
        <v>45275</v>
      </c>
      <c r="Q96" s="524"/>
    </row>
    <row r="97" spans="2:17" s="534" customFormat="1" ht="60" customHeight="1" x14ac:dyDescent="0.25">
      <c r="B97" s="538" t="s">
        <v>1276</v>
      </c>
      <c r="C97" s="538" t="s">
        <v>1352</v>
      </c>
      <c r="D97" s="538" t="s">
        <v>14</v>
      </c>
      <c r="E97" s="539" t="s">
        <v>8</v>
      </c>
      <c r="F97" s="538" t="s">
        <v>869</v>
      </c>
      <c r="G97" s="538" t="s">
        <v>870</v>
      </c>
      <c r="H97" s="538" t="s">
        <v>298</v>
      </c>
      <c r="I97" s="538" t="s">
        <v>1563</v>
      </c>
      <c r="J97" s="537" t="s">
        <v>1560</v>
      </c>
      <c r="K97" s="537" t="s">
        <v>1417</v>
      </c>
      <c r="L97" s="536">
        <v>1</v>
      </c>
      <c r="M97" s="535">
        <v>23573264</v>
      </c>
      <c r="N97" s="531">
        <f t="shared" si="4"/>
        <v>23573264</v>
      </c>
      <c r="O97" s="499">
        <v>44942</v>
      </c>
      <c r="P97" s="499">
        <v>45275</v>
      </c>
      <c r="Q97" s="524"/>
    </row>
    <row r="98" spans="2:17" s="534" customFormat="1" ht="60" customHeight="1" x14ac:dyDescent="0.25">
      <c r="B98" s="538" t="s">
        <v>1276</v>
      </c>
      <c r="C98" s="538" t="s">
        <v>1352</v>
      </c>
      <c r="D98" s="538" t="s">
        <v>14</v>
      </c>
      <c r="E98" s="539" t="s">
        <v>8</v>
      </c>
      <c r="F98" s="538" t="s">
        <v>869</v>
      </c>
      <c r="G98" s="538" t="s">
        <v>870</v>
      </c>
      <c r="H98" s="538" t="s">
        <v>298</v>
      </c>
      <c r="I98" s="538" t="s">
        <v>1563</v>
      </c>
      <c r="J98" s="537" t="s">
        <v>1560</v>
      </c>
      <c r="K98" s="537" t="s">
        <v>1417</v>
      </c>
      <c r="L98" s="536">
        <v>1</v>
      </c>
      <c r="M98" s="535">
        <v>23573259.864000004</v>
      </c>
      <c r="N98" s="531">
        <f t="shared" si="4"/>
        <v>23573259.864000004</v>
      </c>
      <c r="O98" s="499">
        <v>44942</v>
      </c>
      <c r="P98" s="499">
        <v>45275</v>
      </c>
      <c r="Q98" s="524"/>
    </row>
    <row r="99" spans="2:17" s="534" customFormat="1" ht="60" customHeight="1" x14ac:dyDescent="0.25">
      <c r="B99" s="538" t="s">
        <v>1276</v>
      </c>
      <c r="C99" s="538" t="s">
        <v>1352</v>
      </c>
      <c r="D99" s="538" t="s">
        <v>14</v>
      </c>
      <c r="E99" s="539" t="s">
        <v>8</v>
      </c>
      <c r="F99" s="538" t="s">
        <v>869</v>
      </c>
      <c r="G99" s="538" t="s">
        <v>870</v>
      </c>
      <c r="H99" s="538" t="s">
        <v>298</v>
      </c>
      <c r="I99" s="538" t="s">
        <v>1562</v>
      </c>
      <c r="J99" s="537" t="s">
        <v>1560</v>
      </c>
      <c r="K99" s="537" t="s">
        <v>1417</v>
      </c>
      <c r="L99" s="536">
        <v>1</v>
      </c>
      <c r="M99" s="535">
        <v>30946201</v>
      </c>
      <c r="N99" s="531">
        <f t="shared" si="4"/>
        <v>30946201</v>
      </c>
      <c r="O99" s="499">
        <v>44942</v>
      </c>
      <c r="P99" s="499">
        <v>45275</v>
      </c>
      <c r="Q99" s="524"/>
    </row>
    <row r="100" spans="2:17" s="534" customFormat="1" ht="60" customHeight="1" x14ac:dyDescent="0.25">
      <c r="B100" s="538" t="s">
        <v>1276</v>
      </c>
      <c r="C100" s="538" t="s">
        <v>1352</v>
      </c>
      <c r="D100" s="538" t="s">
        <v>14</v>
      </c>
      <c r="E100" s="539" t="s">
        <v>8</v>
      </c>
      <c r="F100" s="538" t="s">
        <v>869</v>
      </c>
      <c r="G100" s="538" t="s">
        <v>870</v>
      </c>
      <c r="H100" s="538" t="s">
        <v>298</v>
      </c>
      <c r="I100" s="538" t="s">
        <v>1561</v>
      </c>
      <c r="J100" s="537" t="s">
        <v>1560</v>
      </c>
      <c r="K100" s="537" t="s">
        <v>1417</v>
      </c>
      <c r="L100" s="536">
        <v>1</v>
      </c>
      <c r="M100" s="535">
        <v>23573259.864000004</v>
      </c>
      <c r="N100" s="531">
        <f t="shared" si="4"/>
        <v>23573259.864000004</v>
      </c>
      <c r="O100" s="499">
        <v>44942</v>
      </c>
      <c r="P100" s="499">
        <v>45275</v>
      </c>
      <c r="Q100" s="524"/>
    </row>
    <row r="101" spans="2:17" s="534" customFormat="1" ht="60" customHeight="1" x14ac:dyDescent="0.25">
      <c r="B101" s="538" t="s">
        <v>1276</v>
      </c>
      <c r="C101" s="538" t="s">
        <v>1352</v>
      </c>
      <c r="D101" s="538" t="s">
        <v>14</v>
      </c>
      <c r="E101" s="539" t="s">
        <v>8</v>
      </c>
      <c r="F101" s="538" t="s">
        <v>869</v>
      </c>
      <c r="G101" s="538" t="s">
        <v>870</v>
      </c>
      <c r="H101" s="538" t="s">
        <v>298</v>
      </c>
      <c r="I101" s="538" t="s">
        <v>1561</v>
      </c>
      <c r="J101" s="537" t="s">
        <v>1560</v>
      </c>
      <c r="K101" s="537" t="s">
        <v>1417</v>
      </c>
      <c r="L101" s="536">
        <v>1</v>
      </c>
      <c r="M101" s="535">
        <v>23573259.864000004</v>
      </c>
      <c r="N101" s="531">
        <f t="shared" si="4"/>
        <v>23573259.864000004</v>
      </c>
      <c r="O101" s="499">
        <v>44942</v>
      </c>
      <c r="P101" s="499">
        <v>45275</v>
      </c>
      <c r="Q101" s="524"/>
    </row>
    <row r="102" spans="2:17" s="491" customFormat="1" ht="38.25" customHeight="1" x14ac:dyDescent="0.25">
      <c r="B102" s="966" t="s">
        <v>1276</v>
      </c>
      <c r="C102" s="966" t="s">
        <v>1352</v>
      </c>
      <c r="D102" s="966" t="s">
        <v>14</v>
      </c>
      <c r="E102" s="990" t="s">
        <v>8</v>
      </c>
      <c r="F102" s="966" t="s">
        <v>869</v>
      </c>
      <c r="G102" s="966" t="s">
        <v>870</v>
      </c>
      <c r="H102" s="966" t="s">
        <v>298</v>
      </c>
      <c r="I102" s="966" t="s">
        <v>1559</v>
      </c>
      <c r="J102" s="501" t="s">
        <v>576</v>
      </c>
      <c r="K102" s="501" t="s">
        <v>1392</v>
      </c>
      <c r="L102" s="500">
        <v>1</v>
      </c>
      <c r="M102" s="496">
        <v>50000000</v>
      </c>
      <c r="N102" s="531">
        <f t="shared" si="4"/>
        <v>50000000</v>
      </c>
      <c r="O102" s="503" t="s">
        <v>1533</v>
      </c>
      <c r="P102" s="504" t="s">
        <v>1532</v>
      </c>
    </row>
    <row r="103" spans="2:17" s="491" customFormat="1" ht="34.5" customHeight="1" x14ac:dyDescent="0.25">
      <c r="B103" s="968"/>
      <c r="C103" s="968"/>
      <c r="D103" s="968"/>
      <c r="E103" s="991"/>
      <c r="F103" s="968"/>
      <c r="G103" s="968"/>
      <c r="H103" s="968"/>
      <c r="I103" s="968"/>
      <c r="J103" s="501" t="s">
        <v>1076</v>
      </c>
      <c r="K103" s="501" t="s">
        <v>1398</v>
      </c>
      <c r="L103" s="500">
        <v>1</v>
      </c>
      <c r="M103" s="496">
        <v>40000000</v>
      </c>
      <c r="N103" s="531">
        <f t="shared" si="4"/>
        <v>40000000</v>
      </c>
      <c r="O103" s="503" t="s">
        <v>1426</v>
      </c>
      <c r="P103" s="504" t="s">
        <v>1437</v>
      </c>
    </row>
    <row r="104" spans="2:17" s="491" customFormat="1" ht="82.5" customHeight="1" x14ac:dyDescent="0.25">
      <c r="B104" s="966" t="s">
        <v>1276</v>
      </c>
      <c r="C104" s="966" t="s">
        <v>1352</v>
      </c>
      <c r="D104" s="966" t="s">
        <v>14</v>
      </c>
      <c r="E104" s="990" t="s">
        <v>8</v>
      </c>
      <c r="F104" s="966" t="s">
        <v>869</v>
      </c>
      <c r="G104" s="966" t="s">
        <v>870</v>
      </c>
      <c r="H104" s="966" t="s">
        <v>298</v>
      </c>
      <c r="I104" s="966" t="s">
        <v>1558</v>
      </c>
      <c r="J104" s="504" t="s">
        <v>576</v>
      </c>
      <c r="K104" s="501" t="s">
        <v>1392</v>
      </c>
      <c r="L104" s="500">
        <v>1</v>
      </c>
      <c r="M104" s="496">
        <v>6000000</v>
      </c>
      <c r="N104" s="531">
        <f t="shared" si="4"/>
        <v>6000000</v>
      </c>
      <c r="O104" s="503" t="s">
        <v>1533</v>
      </c>
      <c r="P104" s="504" t="s">
        <v>1437</v>
      </c>
    </row>
    <row r="105" spans="2:17" s="491" customFormat="1" ht="82.5" customHeight="1" x14ac:dyDescent="0.25">
      <c r="B105" s="968"/>
      <c r="C105" s="968"/>
      <c r="D105" s="968"/>
      <c r="E105" s="991"/>
      <c r="F105" s="968"/>
      <c r="G105" s="968"/>
      <c r="H105" s="968"/>
      <c r="I105" s="968"/>
      <c r="J105" s="504" t="s">
        <v>1557</v>
      </c>
      <c r="K105" s="501" t="s">
        <v>1373</v>
      </c>
      <c r="L105" s="500">
        <v>1</v>
      </c>
      <c r="M105" s="496">
        <v>10000000</v>
      </c>
      <c r="N105" s="531">
        <f t="shared" si="4"/>
        <v>10000000</v>
      </c>
      <c r="O105" s="503" t="s">
        <v>1426</v>
      </c>
      <c r="P105" s="504" t="s">
        <v>1437</v>
      </c>
    </row>
    <row r="106" spans="2:17" s="491" customFormat="1" ht="63.75" customHeight="1" x14ac:dyDescent="0.25">
      <c r="B106" s="966" t="s">
        <v>1276</v>
      </c>
      <c r="C106" s="966" t="s">
        <v>1352</v>
      </c>
      <c r="D106" s="966" t="s">
        <v>14</v>
      </c>
      <c r="E106" s="990" t="s">
        <v>8</v>
      </c>
      <c r="F106" s="966" t="s">
        <v>869</v>
      </c>
      <c r="G106" s="966" t="s">
        <v>870</v>
      </c>
      <c r="H106" s="966" t="s">
        <v>298</v>
      </c>
      <c r="I106" s="966" t="s">
        <v>1556</v>
      </c>
      <c r="J106" s="504" t="s">
        <v>1555</v>
      </c>
      <c r="K106" s="501" t="s">
        <v>1392</v>
      </c>
      <c r="L106" s="500">
        <v>1</v>
      </c>
      <c r="M106" s="496">
        <v>1500000</v>
      </c>
      <c r="N106" s="531">
        <f t="shared" ref="N106:N129" si="5">+M106*L106</f>
        <v>1500000</v>
      </c>
      <c r="O106" s="503" t="s">
        <v>1533</v>
      </c>
      <c r="P106" s="504" t="s">
        <v>1532</v>
      </c>
    </row>
    <row r="107" spans="2:17" s="491" customFormat="1" ht="33" customHeight="1" x14ac:dyDescent="0.25">
      <c r="B107" s="968"/>
      <c r="C107" s="968"/>
      <c r="D107" s="968"/>
      <c r="E107" s="991"/>
      <c r="F107" s="968"/>
      <c r="G107" s="968"/>
      <c r="H107" s="968"/>
      <c r="I107" s="968"/>
      <c r="J107" s="504" t="s">
        <v>1554</v>
      </c>
      <c r="K107" s="501" t="s">
        <v>1373</v>
      </c>
      <c r="L107" s="500">
        <v>1</v>
      </c>
      <c r="M107" s="496">
        <v>75500000</v>
      </c>
      <c r="N107" s="531">
        <f t="shared" si="5"/>
        <v>75500000</v>
      </c>
      <c r="O107" s="503" t="s">
        <v>1426</v>
      </c>
      <c r="P107" s="504" t="s">
        <v>1437</v>
      </c>
    </row>
    <row r="108" spans="2:17" s="491" customFormat="1" ht="33.75" customHeight="1" x14ac:dyDescent="0.25">
      <c r="B108" s="966" t="s">
        <v>1276</v>
      </c>
      <c r="C108" s="966" t="s">
        <v>1352</v>
      </c>
      <c r="D108" s="966" t="s">
        <v>14</v>
      </c>
      <c r="E108" s="990" t="s">
        <v>8</v>
      </c>
      <c r="F108" s="966" t="s">
        <v>869</v>
      </c>
      <c r="G108" s="966" t="s">
        <v>870</v>
      </c>
      <c r="H108" s="966" t="s">
        <v>298</v>
      </c>
      <c r="I108" s="995" t="s">
        <v>1553</v>
      </c>
      <c r="J108" s="504" t="s">
        <v>576</v>
      </c>
      <c r="K108" s="501" t="s">
        <v>1392</v>
      </c>
      <c r="L108" s="500">
        <v>1</v>
      </c>
      <c r="M108" s="496">
        <v>48000000</v>
      </c>
      <c r="N108" s="531">
        <f t="shared" si="5"/>
        <v>48000000</v>
      </c>
      <c r="O108" s="503" t="s">
        <v>1533</v>
      </c>
      <c r="P108" s="504" t="s">
        <v>1532</v>
      </c>
    </row>
    <row r="109" spans="2:17" s="491" customFormat="1" ht="33.75" customHeight="1" x14ac:dyDescent="0.25">
      <c r="B109" s="967"/>
      <c r="C109" s="967"/>
      <c r="D109" s="967"/>
      <c r="E109" s="994"/>
      <c r="F109" s="967"/>
      <c r="G109" s="967"/>
      <c r="H109" s="967"/>
      <c r="I109" s="995"/>
      <c r="J109" s="501" t="s">
        <v>1536</v>
      </c>
      <c r="K109" s="501" t="s">
        <v>1398</v>
      </c>
      <c r="L109" s="500">
        <v>1</v>
      </c>
      <c r="M109" s="496">
        <v>56000000</v>
      </c>
      <c r="N109" s="531">
        <f t="shared" si="5"/>
        <v>56000000</v>
      </c>
      <c r="O109" s="503" t="s">
        <v>1426</v>
      </c>
      <c r="P109" s="504" t="s">
        <v>1437</v>
      </c>
    </row>
    <row r="110" spans="2:17" s="491" customFormat="1" ht="33.75" customHeight="1" x14ac:dyDescent="0.25">
      <c r="B110" s="967"/>
      <c r="C110" s="967"/>
      <c r="D110" s="967"/>
      <c r="E110" s="994"/>
      <c r="F110" s="967"/>
      <c r="G110" s="967"/>
      <c r="H110" s="967"/>
      <c r="I110" s="995"/>
      <c r="J110" s="504" t="s">
        <v>1529</v>
      </c>
      <c r="K110" s="501" t="s">
        <v>1373</v>
      </c>
      <c r="L110" s="500">
        <v>1</v>
      </c>
      <c r="M110" s="496">
        <v>415000000</v>
      </c>
      <c r="N110" s="531">
        <f t="shared" si="5"/>
        <v>415000000</v>
      </c>
      <c r="O110" s="503" t="s">
        <v>1426</v>
      </c>
      <c r="P110" s="504" t="s">
        <v>1437</v>
      </c>
    </row>
    <row r="111" spans="2:17" s="491" customFormat="1" ht="82.8" x14ac:dyDescent="0.25">
      <c r="B111" s="967"/>
      <c r="C111" s="967"/>
      <c r="D111" s="967"/>
      <c r="E111" s="994"/>
      <c r="F111" s="967"/>
      <c r="G111" s="967"/>
      <c r="H111" s="967"/>
      <c r="I111" s="504" t="s">
        <v>1552</v>
      </c>
      <c r="J111" s="504" t="s">
        <v>1529</v>
      </c>
      <c r="K111" s="501" t="s">
        <v>1373</v>
      </c>
      <c r="L111" s="500">
        <v>1</v>
      </c>
      <c r="M111" s="496">
        <v>4850000</v>
      </c>
      <c r="N111" s="531">
        <f t="shared" si="5"/>
        <v>4850000</v>
      </c>
      <c r="O111" s="503" t="s">
        <v>1426</v>
      </c>
      <c r="P111" s="504" t="s">
        <v>1437</v>
      </c>
    </row>
    <row r="112" spans="2:17" s="491" customFormat="1" ht="82.8" x14ac:dyDescent="0.25">
      <c r="B112" s="967"/>
      <c r="C112" s="967"/>
      <c r="D112" s="967"/>
      <c r="E112" s="994"/>
      <c r="F112" s="967"/>
      <c r="G112" s="967"/>
      <c r="H112" s="967"/>
      <c r="I112" s="504" t="s">
        <v>1551</v>
      </c>
      <c r="J112" s="504" t="s">
        <v>1529</v>
      </c>
      <c r="K112" s="501" t="s">
        <v>1373</v>
      </c>
      <c r="L112" s="500">
        <v>1</v>
      </c>
      <c r="M112" s="496">
        <v>230000000</v>
      </c>
      <c r="N112" s="531">
        <f t="shared" si="5"/>
        <v>230000000</v>
      </c>
      <c r="O112" s="503" t="s">
        <v>1426</v>
      </c>
      <c r="P112" s="504" t="s">
        <v>1437</v>
      </c>
    </row>
    <row r="113" spans="2:16" s="491" customFormat="1" ht="110.4" x14ac:dyDescent="0.25">
      <c r="B113" s="967"/>
      <c r="C113" s="967"/>
      <c r="D113" s="967"/>
      <c r="E113" s="994"/>
      <c r="F113" s="967"/>
      <c r="G113" s="967"/>
      <c r="H113" s="967"/>
      <c r="I113" s="504" t="s">
        <v>1550</v>
      </c>
      <c r="J113" s="504" t="s">
        <v>1529</v>
      </c>
      <c r="K113" s="501" t="s">
        <v>1373</v>
      </c>
      <c r="L113" s="500">
        <v>1</v>
      </c>
      <c r="M113" s="496">
        <v>37000000</v>
      </c>
      <c r="N113" s="531">
        <f t="shared" si="5"/>
        <v>37000000</v>
      </c>
      <c r="O113" s="503" t="s">
        <v>1426</v>
      </c>
      <c r="P113" s="504" t="s">
        <v>1437</v>
      </c>
    </row>
    <row r="114" spans="2:16" s="491" customFormat="1" ht="60.75" customHeight="1" x14ac:dyDescent="0.25">
      <c r="B114" s="967"/>
      <c r="C114" s="967"/>
      <c r="D114" s="967"/>
      <c r="E114" s="994"/>
      <c r="F114" s="967"/>
      <c r="G114" s="967"/>
      <c r="H114" s="967"/>
      <c r="I114" s="504" t="s">
        <v>1549</v>
      </c>
      <c r="J114" s="504" t="s">
        <v>1529</v>
      </c>
      <c r="K114" s="501" t="s">
        <v>1373</v>
      </c>
      <c r="L114" s="500">
        <v>1</v>
      </c>
      <c r="M114" s="496">
        <v>25000000</v>
      </c>
      <c r="N114" s="531">
        <f t="shared" si="5"/>
        <v>25000000</v>
      </c>
      <c r="O114" s="503" t="s">
        <v>1426</v>
      </c>
      <c r="P114" s="504" t="s">
        <v>1437</v>
      </c>
    </row>
    <row r="115" spans="2:16" s="491" customFormat="1" ht="84" customHeight="1" x14ac:dyDescent="0.25">
      <c r="B115" s="966" t="s">
        <v>1276</v>
      </c>
      <c r="C115" s="966" t="s">
        <v>1352</v>
      </c>
      <c r="D115" s="966" t="s">
        <v>14</v>
      </c>
      <c r="E115" s="990" t="s">
        <v>8</v>
      </c>
      <c r="F115" s="966" t="s">
        <v>869</v>
      </c>
      <c r="G115" s="966" t="s">
        <v>870</v>
      </c>
      <c r="H115" s="966" t="s">
        <v>298</v>
      </c>
      <c r="I115" s="966" t="s">
        <v>1548</v>
      </c>
      <c r="J115" s="504" t="s">
        <v>576</v>
      </c>
      <c r="K115" s="501" t="s">
        <v>1392</v>
      </c>
      <c r="L115" s="500">
        <v>1</v>
      </c>
      <c r="M115" s="496">
        <v>200000000</v>
      </c>
      <c r="N115" s="531">
        <f t="shared" si="5"/>
        <v>200000000</v>
      </c>
      <c r="O115" s="503" t="s">
        <v>1533</v>
      </c>
      <c r="P115" s="504" t="s">
        <v>1532</v>
      </c>
    </row>
    <row r="116" spans="2:16" s="491" customFormat="1" ht="58.5" customHeight="1" x14ac:dyDescent="0.25">
      <c r="B116" s="967"/>
      <c r="C116" s="967"/>
      <c r="D116" s="967"/>
      <c r="E116" s="994"/>
      <c r="F116" s="967"/>
      <c r="G116" s="967"/>
      <c r="H116" s="967"/>
      <c r="I116" s="967"/>
      <c r="J116" s="501" t="s">
        <v>1536</v>
      </c>
      <c r="K116" s="501" t="s">
        <v>1398</v>
      </c>
      <c r="L116" s="500">
        <v>1</v>
      </c>
      <c r="M116" s="496">
        <v>215806000</v>
      </c>
      <c r="N116" s="531">
        <f t="shared" si="5"/>
        <v>215806000</v>
      </c>
      <c r="O116" s="503" t="s">
        <v>1426</v>
      </c>
      <c r="P116" s="504" t="s">
        <v>1437</v>
      </c>
    </row>
    <row r="117" spans="2:16" s="491" customFormat="1" ht="45" customHeight="1" x14ac:dyDescent="0.25">
      <c r="B117" s="968"/>
      <c r="C117" s="968"/>
      <c r="D117" s="968"/>
      <c r="E117" s="991"/>
      <c r="F117" s="968"/>
      <c r="G117" s="968"/>
      <c r="H117" s="968"/>
      <c r="I117" s="968"/>
      <c r="J117" s="504" t="s">
        <v>1529</v>
      </c>
      <c r="K117" s="501" t="s">
        <v>1373</v>
      </c>
      <c r="L117" s="500">
        <v>1</v>
      </c>
      <c r="M117" s="496">
        <v>570000000</v>
      </c>
      <c r="N117" s="531">
        <f t="shared" si="5"/>
        <v>570000000</v>
      </c>
      <c r="O117" s="503" t="s">
        <v>1426</v>
      </c>
      <c r="P117" s="504" t="s">
        <v>1437</v>
      </c>
    </row>
    <row r="118" spans="2:16" s="491" customFormat="1" ht="36" customHeight="1" x14ac:dyDescent="0.25">
      <c r="B118" s="966" t="s">
        <v>1276</v>
      </c>
      <c r="C118" s="966" t="s">
        <v>1352</v>
      </c>
      <c r="D118" s="966" t="s">
        <v>14</v>
      </c>
      <c r="E118" s="990" t="s">
        <v>8</v>
      </c>
      <c r="F118" s="966" t="s">
        <v>869</v>
      </c>
      <c r="G118" s="966" t="s">
        <v>870</v>
      </c>
      <c r="H118" s="966" t="s">
        <v>298</v>
      </c>
      <c r="I118" s="966" t="s">
        <v>1547</v>
      </c>
      <c r="J118" s="504" t="s">
        <v>576</v>
      </c>
      <c r="K118" s="501" t="s">
        <v>1392</v>
      </c>
      <c r="L118" s="500">
        <v>1</v>
      </c>
      <c r="M118" s="496">
        <v>30000000</v>
      </c>
      <c r="N118" s="531">
        <f t="shared" si="5"/>
        <v>30000000</v>
      </c>
      <c r="O118" s="503" t="s">
        <v>1533</v>
      </c>
      <c r="P118" s="504" t="s">
        <v>1532</v>
      </c>
    </row>
    <row r="119" spans="2:16" s="491" customFormat="1" ht="36" customHeight="1" x14ac:dyDescent="0.25">
      <c r="B119" s="967"/>
      <c r="C119" s="967"/>
      <c r="D119" s="967"/>
      <c r="E119" s="994"/>
      <c r="F119" s="967"/>
      <c r="G119" s="967"/>
      <c r="H119" s="967"/>
      <c r="I119" s="967"/>
      <c r="J119" s="501" t="s">
        <v>1536</v>
      </c>
      <c r="K119" s="501" t="s">
        <v>1398</v>
      </c>
      <c r="L119" s="500">
        <v>1</v>
      </c>
      <c r="M119" s="496">
        <v>30000000</v>
      </c>
      <c r="N119" s="531">
        <f t="shared" si="5"/>
        <v>30000000</v>
      </c>
      <c r="O119" s="503" t="s">
        <v>1426</v>
      </c>
      <c r="P119" s="504" t="s">
        <v>1437</v>
      </c>
    </row>
    <row r="120" spans="2:16" s="491" customFormat="1" ht="36" customHeight="1" x14ac:dyDescent="0.25">
      <c r="B120" s="968"/>
      <c r="C120" s="968"/>
      <c r="D120" s="968"/>
      <c r="E120" s="991"/>
      <c r="F120" s="968"/>
      <c r="G120" s="968"/>
      <c r="H120" s="968"/>
      <c r="I120" s="968"/>
      <c r="J120" s="504" t="s">
        <v>1529</v>
      </c>
      <c r="K120" s="501" t="s">
        <v>1373</v>
      </c>
      <c r="L120" s="500">
        <v>1</v>
      </c>
      <c r="M120" s="496">
        <v>85000000</v>
      </c>
      <c r="N120" s="531">
        <f t="shared" si="5"/>
        <v>85000000</v>
      </c>
      <c r="O120" s="503" t="s">
        <v>1426</v>
      </c>
      <c r="P120" s="504" t="s">
        <v>1437</v>
      </c>
    </row>
    <row r="121" spans="2:16" s="491" customFormat="1" ht="32.25" customHeight="1" x14ac:dyDescent="0.25">
      <c r="B121" s="966" t="s">
        <v>1276</v>
      </c>
      <c r="C121" s="966" t="s">
        <v>1352</v>
      </c>
      <c r="D121" s="966" t="s">
        <v>14</v>
      </c>
      <c r="E121" s="990" t="s">
        <v>8</v>
      </c>
      <c r="F121" s="966" t="s">
        <v>869</v>
      </c>
      <c r="G121" s="966" t="s">
        <v>870</v>
      </c>
      <c r="H121" s="966" t="s">
        <v>298</v>
      </c>
      <c r="I121" s="966" t="s">
        <v>1546</v>
      </c>
      <c r="J121" s="501" t="s">
        <v>1536</v>
      </c>
      <c r="K121" s="501" t="s">
        <v>1398</v>
      </c>
      <c r="L121" s="500">
        <v>1</v>
      </c>
      <c r="M121" s="496">
        <v>390000000</v>
      </c>
      <c r="N121" s="531">
        <f t="shared" si="5"/>
        <v>390000000</v>
      </c>
      <c r="O121" s="503" t="s">
        <v>1426</v>
      </c>
      <c r="P121" s="504" t="s">
        <v>1437</v>
      </c>
    </row>
    <row r="122" spans="2:16" s="491" customFormat="1" ht="33.75" customHeight="1" x14ac:dyDescent="0.25">
      <c r="B122" s="967"/>
      <c r="C122" s="967"/>
      <c r="D122" s="967"/>
      <c r="E122" s="994"/>
      <c r="F122" s="967"/>
      <c r="G122" s="967"/>
      <c r="H122" s="967"/>
      <c r="I122" s="967"/>
      <c r="J122" s="504" t="s">
        <v>1529</v>
      </c>
      <c r="K122" s="501" t="s">
        <v>1373</v>
      </c>
      <c r="L122" s="500">
        <v>1</v>
      </c>
      <c r="M122" s="496">
        <v>681006299</v>
      </c>
      <c r="N122" s="531">
        <f t="shared" si="5"/>
        <v>681006299</v>
      </c>
      <c r="O122" s="503" t="s">
        <v>1426</v>
      </c>
      <c r="P122" s="504" t="s">
        <v>1437</v>
      </c>
    </row>
    <row r="123" spans="2:16" s="491" customFormat="1" ht="90" customHeight="1" x14ac:dyDescent="0.25">
      <c r="B123" s="966" t="s">
        <v>1276</v>
      </c>
      <c r="C123" s="966" t="s">
        <v>1352</v>
      </c>
      <c r="D123" s="966" t="s">
        <v>14</v>
      </c>
      <c r="E123" s="990" t="s">
        <v>8</v>
      </c>
      <c r="F123" s="966" t="s">
        <v>869</v>
      </c>
      <c r="G123" s="966" t="s">
        <v>870</v>
      </c>
      <c r="H123" s="966" t="s">
        <v>298</v>
      </c>
      <c r="I123" s="966" t="s">
        <v>1545</v>
      </c>
      <c r="J123" s="504" t="s">
        <v>576</v>
      </c>
      <c r="K123" s="501" t="s">
        <v>1392</v>
      </c>
      <c r="L123" s="500">
        <v>1</v>
      </c>
      <c r="M123" s="496">
        <v>49740000</v>
      </c>
      <c r="N123" s="531">
        <f t="shared" si="5"/>
        <v>49740000</v>
      </c>
      <c r="O123" s="503" t="s">
        <v>1533</v>
      </c>
      <c r="P123" s="504" t="s">
        <v>1532</v>
      </c>
    </row>
    <row r="124" spans="2:16" s="491" customFormat="1" ht="90" customHeight="1" x14ac:dyDescent="0.25">
      <c r="B124" s="967"/>
      <c r="C124" s="967"/>
      <c r="D124" s="967"/>
      <c r="E124" s="994"/>
      <c r="F124" s="967"/>
      <c r="G124" s="967"/>
      <c r="H124" s="967"/>
      <c r="I124" s="967"/>
      <c r="J124" s="501" t="s">
        <v>1536</v>
      </c>
      <c r="K124" s="501" t="s">
        <v>1398</v>
      </c>
      <c r="L124" s="500">
        <v>1</v>
      </c>
      <c r="M124" s="496">
        <v>37000000</v>
      </c>
      <c r="N124" s="531">
        <f t="shared" si="5"/>
        <v>37000000</v>
      </c>
      <c r="O124" s="503" t="s">
        <v>1426</v>
      </c>
      <c r="P124" s="504" t="s">
        <v>1437</v>
      </c>
    </row>
    <row r="125" spans="2:16" s="491" customFormat="1" ht="45.75" customHeight="1" x14ac:dyDescent="0.25">
      <c r="B125" s="966" t="s">
        <v>1276</v>
      </c>
      <c r="C125" s="966" t="s">
        <v>1352</v>
      </c>
      <c r="D125" s="966" t="s">
        <v>14</v>
      </c>
      <c r="E125" s="990" t="s">
        <v>8</v>
      </c>
      <c r="F125" s="966" t="s">
        <v>869</v>
      </c>
      <c r="G125" s="966" t="s">
        <v>870</v>
      </c>
      <c r="H125" s="966" t="s">
        <v>298</v>
      </c>
      <c r="I125" s="966" t="s">
        <v>1544</v>
      </c>
      <c r="J125" s="504" t="s">
        <v>576</v>
      </c>
      <c r="K125" s="501" t="s">
        <v>1392</v>
      </c>
      <c r="L125" s="500">
        <v>1</v>
      </c>
      <c r="M125" s="496">
        <v>5000000</v>
      </c>
      <c r="N125" s="531">
        <f t="shared" si="5"/>
        <v>5000000</v>
      </c>
      <c r="O125" s="503" t="s">
        <v>1533</v>
      </c>
      <c r="P125" s="504" t="s">
        <v>1532</v>
      </c>
    </row>
    <row r="126" spans="2:16" s="491" customFormat="1" ht="45.75" customHeight="1" x14ac:dyDescent="0.25">
      <c r="B126" s="967"/>
      <c r="C126" s="967"/>
      <c r="D126" s="967"/>
      <c r="E126" s="994"/>
      <c r="F126" s="967"/>
      <c r="G126" s="967"/>
      <c r="H126" s="967"/>
      <c r="I126" s="967"/>
      <c r="J126" s="501" t="s">
        <v>1536</v>
      </c>
      <c r="K126" s="501" t="s">
        <v>1398</v>
      </c>
      <c r="L126" s="500">
        <v>1</v>
      </c>
      <c r="M126" s="496">
        <v>19200000</v>
      </c>
      <c r="N126" s="531">
        <f t="shared" si="5"/>
        <v>19200000</v>
      </c>
      <c r="O126" s="503" t="s">
        <v>1426</v>
      </c>
      <c r="P126" s="504" t="s">
        <v>1437</v>
      </c>
    </row>
    <row r="127" spans="2:16" s="491" customFormat="1" ht="45.75" customHeight="1" x14ac:dyDescent="0.25">
      <c r="B127" s="968"/>
      <c r="C127" s="968"/>
      <c r="D127" s="968"/>
      <c r="E127" s="991"/>
      <c r="F127" s="968"/>
      <c r="G127" s="968"/>
      <c r="H127" s="968"/>
      <c r="I127" s="968"/>
      <c r="J127" s="504" t="s">
        <v>1529</v>
      </c>
      <c r="K127" s="501" t="s">
        <v>1373</v>
      </c>
      <c r="L127" s="500">
        <v>1</v>
      </c>
      <c r="M127" s="496">
        <v>1000000</v>
      </c>
      <c r="N127" s="531">
        <f t="shared" si="5"/>
        <v>1000000</v>
      </c>
      <c r="O127" s="503" t="s">
        <v>1426</v>
      </c>
      <c r="P127" s="504" t="s">
        <v>1437</v>
      </c>
    </row>
    <row r="128" spans="2:16" s="491" customFormat="1" ht="90.75" customHeight="1" x14ac:dyDescent="0.25">
      <c r="B128" s="520" t="s">
        <v>1276</v>
      </c>
      <c r="C128" s="520" t="s">
        <v>1352</v>
      </c>
      <c r="D128" s="520" t="s">
        <v>14</v>
      </c>
      <c r="E128" s="530" t="s">
        <v>8</v>
      </c>
      <c r="F128" s="520" t="s">
        <v>869</v>
      </c>
      <c r="G128" s="520" t="s">
        <v>870</v>
      </c>
      <c r="H128" s="520" t="s">
        <v>298</v>
      </c>
      <c r="I128" s="501" t="s">
        <v>1543</v>
      </c>
      <c r="J128" s="504" t="s">
        <v>576</v>
      </c>
      <c r="K128" s="501" t="s">
        <v>1392</v>
      </c>
      <c r="L128" s="500">
        <v>1</v>
      </c>
      <c r="M128" s="496">
        <v>3735400</v>
      </c>
      <c r="N128" s="531">
        <f t="shared" si="5"/>
        <v>3735400</v>
      </c>
      <c r="O128" s="503" t="s">
        <v>1533</v>
      </c>
      <c r="P128" s="504" t="s">
        <v>1532</v>
      </c>
    </row>
    <row r="129" spans="2:16" s="491" customFormat="1" ht="66" customHeight="1" x14ac:dyDescent="0.25">
      <c r="B129" s="966" t="s">
        <v>1276</v>
      </c>
      <c r="C129" s="966" t="s">
        <v>1352</v>
      </c>
      <c r="D129" s="966" t="s">
        <v>14</v>
      </c>
      <c r="E129" s="990" t="s">
        <v>8</v>
      </c>
      <c r="F129" s="966" t="s">
        <v>869</v>
      </c>
      <c r="G129" s="966" t="s">
        <v>870</v>
      </c>
      <c r="H129" s="966" t="s">
        <v>298</v>
      </c>
      <c r="I129" s="966" t="s">
        <v>1542</v>
      </c>
      <c r="J129" s="1002" t="s">
        <v>1529</v>
      </c>
      <c r="K129" s="969" t="s">
        <v>1373</v>
      </c>
      <c r="L129" s="969">
        <v>1</v>
      </c>
      <c r="M129" s="996">
        <v>89382000</v>
      </c>
      <c r="N129" s="996">
        <f t="shared" si="5"/>
        <v>89382000</v>
      </c>
      <c r="O129" s="999" t="s">
        <v>1426</v>
      </c>
      <c r="P129" s="1002" t="s">
        <v>1437</v>
      </c>
    </row>
    <row r="130" spans="2:16" s="491" customFormat="1" ht="66" customHeight="1" x14ac:dyDescent="0.25">
      <c r="B130" s="967"/>
      <c r="C130" s="967"/>
      <c r="D130" s="967"/>
      <c r="E130" s="994"/>
      <c r="F130" s="967"/>
      <c r="G130" s="967"/>
      <c r="H130" s="967"/>
      <c r="I130" s="967"/>
      <c r="J130" s="1003"/>
      <c r="K130" s="970"/>
      <c r="L130" s="970"/>
      <c r="M130" s="997"/>
      <c r="N130" s="997"/>
      <c r="O130" s="1000"/>
      <c r="P130" s="1003"/>
    </row>
    <row r="131" spans="2:16" s="491" customFormat="1" ht="66" customHeight="1" x14ac:dyDescent="0.25">
      <c r="B131" s="968"/>
      <c r="C131" s="968"/>
      <c r="D131" s="968"/>
      <c r="E131" s="991"/>
      <c r="F131" s="968"/>
      <c r="G131" s="968"/>
      <c r="H131" s="968"/>
      <c r="I131" s="968"/>
      <c r="J131" s="1004"/>
      <c r="K131" s="973"/>
      <c r="L131" s="973"/>
      <c r="M131" s="998"/>
      <c r="N131" s="998"/>
      <c r="O131" s="1001"/>
      <c r="P131" s="1004"/>
    </row>
    <row r="132" spans="2:16" s="491" customFormat="1" ht="51" customHeight="1" x14ac:dyDescent="0.25">
      <c r="B132" s="966" t="s">
        <v>1276</v>
      </c>
      <c r="C132" s="966" t="s">
        <v>1352</v>
      </c>
      <c r="D132" s="966" t="s">
        <v>14</v>
      </c>
      <c r="E132" s="990" t="s">
        <v>8</v>
      </c>
      <c r="F132" s="966" t="s">
        <v>869</v>
      </c>
      <c r="G132" s="966" t="s">
        <v>870</v>
      </c>
      <c r="H132" s="966" t="s">
        <v>298</v>
      </c>
      <c r="I132" s="501" t="s">
        <v>1541</v>
      </c>
      <c r="J132" s="504" t="s">
        <v>1529</v>
      </c>
      <c r="K132" s="501" t="s">
        <v>1373</v>
      </c>
      <c r="L132" s="500">
        <v>3</v>
      </c>
      <c r="M132" s="532">
        <v>89465600</v>
      </c>
      <c r="N132" s="531">
        <f t="shared" ref="N132:N139" si="6">+M132*L132</f>
        <v>268396800</v>
      </c>
      <c r="O132" s="503" t="s">
        <v>1426</v>
      </c>
      <c r="P132" s="504" t="s">
        <v>1437</v>
      </c>
    </row>
    <row r="133" spans="2:16" s="491" customFormat="1" ht="55.2" x14ac:dyDescent="0.25">
      <c r="B133" s="967"/>
      <c r="C133" s="967"/>
      <c r="D133" s="967"/>
      <c r="E133" s="994"/>
      <c r="F133" s="967"/>
      <c r="G133" s="967"/>
      <c r="H133" s="967"/>
      <c r="I133" s="533" t="s">
        <v>1540</v>
      </c>
      <c r="J133" s="504" t="s">
        <v>1536</v>
      </c>
      <c r="K133" s="501" t="s">
        <v>1398</v>
      </c>
      <c r="L133" s="500">
        <v>23</v>
      </c>
      <c r="M133" s="532">
        <v>5760032.6086956523</v>
      </c>
      <c r="N133" s="531">
        <f t="shared" si="6"/>
        <v>132480750</v>
      </c>
      <c r="O133" s="503" t="s">
        <v>1426</v>
      </c>
      <c r="P133" s="504" t="s">
        <v>1437</v>
      </c>
    </row>
    <row r="134" spans="2:16" s="491" customFormat="1" ht="21.75" customHeight="1" x14ac:dyDescent="0.25">
      <c r="B134" s="967"/>
      <c r="C134" s="967"/>
      <c r="D134" s="967"/>
      <c r="E134" s="994"/>
      <c r="F134" s="967"/>
      <c r="G134" s="967"/>
      <c r="H134" s="967"/>
      <c r="I134" s="533" t="s">
        <v>1539</v>
      </c>
      <c r="J134" s="504" t="s">
        <v>1529</v>
      </c>
      <c r="K134" s="501" t="s">
        <v>1373</v>
      </c>
      <c r="L134" s="500">
        <v>5</v>
      </c>
      <c r="M134" s="532">
        <v>80637732</v>
      </c>
      <c r="N134" s="531">
        <f t="shared" si="6"/>
        <v>403188660</v>
      </c>
      <c r="O134" s="503" t="s">
        <v>1426</v>
      </c>
      <c r="P134" s="504" t="s">
        <v>1437</v>
      </c>
    </row>
    <row r="135" spans="2:16" s="491" customFormat="1" ht="33" customHeight="1" x14ac:dyDescent="0.25">
      <c r="B135" s="968"/>
      <c r="C135" s="968"/>
      <c r="D135" s="968"/>
      <c r="E135" s="991"/>
      <c r="F135" s="968"/>
      <c r="G135" s="968"/>
      <c r="H135" s="968"/>
      <c r="I135" s="533" t="s">
        <v>1538</v>
      </c>
      <c r="J135" s="504" t="s">
        <v>1529</v>
      </c>
      <c r="K135" s="501" t="s">
        <v>1373</v>
      </c>
      <c r="L135" s="500">
        <v>175</v>
      </c>
      <c r="M135" s="532">
        <v>4285714.2857142854</v>
      </c>
      <c r="N135" s="531">
        <f t="shared" si="6"/>
        <v>750000000</v>
      </c>
      <c r="O135" s="503" t="s">
        <v>1426</v>
      </c>
      <c r="P135" s="504" t="s">
        <v>1437</v>
      </c>
    </row>
    <row r="136" spans="2:16" s="491" customFormat="1" ht="47.25" customHeight="1" x14ac:dyDescent="0.25">
      <c r="B136" s="966" t="s">
        <v>1276</v>
      </c>
      <c r="C136" s="966" t="s">
        <v>1352</v>
      </c>
      <c r="D136" s="966" t="s">
        <v>14</v>
      </c>
      <c r="E136" s="990" t="s">
        <v>8</v>
      </c>
      <c r="F136" s="966" t="s">
        <v>869</v>
      </c>
      <c r="G136" s="966" t="s">
        <v>870</v>
      </c>
      <c r="H136" s="966" t="s">
        <v>298</v>
      </c>
      <c r="I136" s="966" t="s">
        <v>1537</v>
      </c>
      <c r="J136" s="504" t="s">
        <v>576</v>
      </c>
      <c r="K136" s="501" t="s">
        <v>1392</v>
      </c>
      <c r="L136" s="500">
        <v>1</v>
      </c>
      <c r="M136" s="496">
        <v>150000000</v>
      </c>
      <c r="N136" s="531">
        <f t="shared" si="6"/>
        <v>150000000</v>
      </c>
      <c r="O136" s="503" t="s">
        <v>1533</v>
      </c>
      <c r="P136" s="504" t="s">
        <v>1532</v>
      </c>
    </row>
    <row r="137" spans="2:16" s="491" customFormat="1" ht="47.25" customHeight="1" x14ac:dyDescent="0.25">
      <c r="B137" s="967"/>
      <c r="C137" s="967"/>
      <c r="D137" s="967"/>
      <c r="E137" s="994"/>
      <c r="F137" s="967"/>
      <c r="G137" s="967"/>
      <c r="H137" s="967"/>
      <c r="I137" s="967"/>
      <c r="J137" s="501" t="s">
        <v>1536</v>
      </c>
      <c r="K137" s="501" t="s">
        <v>1398</v>
      </c>
      <c r="L137" s="500">
        <v>1</v>
      </c>
      <c r="M137" s="496">
        <v>150000000</v>
      </c>
      <c r="N137" s="531">
        <f t="shared" si="6"/>
        <v>150000000</v>
      </c>
      <c r="O137" s="503" t="s">
        <v>1426</v>
      </c>
      <c r="P137" s="504" t="s">
        <v>1437</v>
      </c>
    </row>
    <row r="138" spans="2:16" s="491" customFormat="1" ht="47.25" customHeight="1" x14ac:dyDescent="0.25">
      <c r="B138" s="968"/>
      <c r="C138" s="968"/>
      <c r="D138" s="968"/>
      <c r="E138" s="991"/>
      <c r="F138" s="968"/>
      <c r="G138" s="968"/>
      <c r="H138" s="968"/>
      <c r="I138" s="968"/>
      <c r="J138" s="504" t="s">
        <v>1529</v>
      </c>
      <c r="K138" s="501" t="s">
        <v>1373</v>
      </c>
      <c r="L138" s="500">
        <v>1</v>
      </c>
      <c r="M138" s="496">
        <v>350000000</v>
      </c>
      <c r="N138" s="531">
        <f t="shared" si="6"/>
        <v>350000000</v>
      </c>
      <c r="O138" s="503" t="s">
        <v>1426</v>
      </c>
      <c r="P138" s="504" t="s">
        <v>1437</v>
      </c>
    </row>
    <row r="139" spans="2:16" s="491" customFormat="1" ht="53.25" customHeight="1" x14ac:dyDescent="0.25">
      <c r="B139" s="966" t="s">
        <v>1276</v>
      </c>
      <c r="C139" s="966" t="s">
        <v>1352</v>
      </c>
      <c r="D139" s="966" t="s">
        <v>14</v>
      </c>
      <c r="E139" s="990" t="s">
        <v>8</v>
      </c>
      <c r="F139" s="966" t="s">
        <v>869</v>
      </c>
      <c r="G139" s="966" t="s">
        <v>870</v>
      </c>
      <c r="H139" s="966" t="s">
        <v>298</v>
      </c>
      <c r="I139" s="966" t="s">
        <v>1535</v>
      </c>
      <c r="J139" s="1009" t="s">
        <v>576</v>
      </c>
      <c r="K139" s="969" t="s">
        <v>1392</v>
      </c>
      <c r="L139" s="969">
        <v>1</v>
      </c>
      <c r="M139" s="996">
        <v>88760028</v>
      </c>
      <c r="N139" s="996">
        <f t="shared" si="6"/>
        <v>88760028</v>
      </c>
      <c r="O139" s="999" t="s">
        <v>1533</v>
      </c>
      <c r="P139" s="1002" t="s">
        <v>1532</v>
      </c>
    </row>
    <row r="140" spans="2:16" s="491" customFormat="1" ht="53.25" customHeight="1" x14ac:dyDescent="0.25">
      <c r="B140" s="968"/>
      <c r="C140" s="968"/>
      <c r="D140" s="968"/>
      <c r="E140" s="991"/>
      <c r="F140" s="968"/>
      <c r="G140" s="968"/>
      <c r="H140" s="968"/>
      <c r="I140" s="968"/>
      <c r="J140" s="1010"/>
      <c r="K140" s="973"/>
      <c r="L140" s="973"/>
      <c r="M140" s="998"/>
      <c r="N140" s="998"/>
      <c r="O140" s="1001"/>
      <c r="P140" s="1004"/>
    </row>
    <row r="141" spans="2:16" s="491" customFormat="1" ht="103.5" customHeight="1" x14ac:dyDescent="0.25">
      <c r="B141" s="966" t="s">
        <v>1276</v>
      </c>
      <c r="C141" s="966" t="s">
        <v>1352</v>
      </c>
      <c r="D141" s="966" t="s">
        <v>14</v>
      </c>
      <c r="E141" s="990" t="s">
        <v>8</v>
      </c>
      <c r="F141" s="966" t="s">
        <v>869</v>
      </c>
      <c r="G141" s="966" t="s">
        <v>870</v>
      </c>
      <c r="H141" s="966" t="s">
        <v>298</v>
      </c>
      <c r="I141" s="966" t="s">
        <v>1534</v>
      </c>
      <c r="J141" s="504" t="s">
        <v>576</v>
      </c>
      <c r="K141" s="501" t="s">
        <v>1392</v>
      </c>
      <c r="L141" s="500">
        <v>1</v>
      </c>
      <c r="M141" s="496">
        <v>40000000</v>
      </c>
      <c r="N141" s="496">
        <f t="shared" ref="N141:N154" si="7">+M141*L141</f>
        <v>40000000</v>
      </c>
      <c r="O141" s="503" t="s">
        <v>1533</v>
      </c>
      <c r="P141" s="504" t="s">
        <v>1532</v>
      </c>
    </row>
    <row r="142" spans="2:16" s="491" customFormat="1" ht="103.5" customHeight="1" x14ac:dyDescent="0.25">
      <c r="B142" s="968"/>
      <c r="C142" s="968"/>
      <c r="D142" s="968"/>
      <c r="E142" s="991"/>
      <c r="F142" s="968"/>
      <c r="G142" s="968"/>
      <c r="H142" s="968"/>
      <c r="I142" s="968"/>
      <c r="J142" s="504" t="s">
        <v>1529</v>
      </c>
      <c r="K142" s="501" t="s">
        <v>1373</v>
      </c>
      <c r="L142" s="500">
        <v>1</v>
      </c>
      <c r="M142" s="496">
        <v>765000000</v>
      </c>
      <c r="N142" s="496">
        <f t="shared" si="7"/>
        <v>765000000</v>
      </c>
      <c r="O142" s="503" t="s">
        <v>1426</v>
      </c>
      <c r="P142" s="504" t="s">
        <v>1437</v>
      </c>
    </row>
    <row r="143" spans="2:16" s="491" customFormat="1" ht="53.25" customHeight="1" x14ac:dyDescent="0.25">
      <c r="B143" s="520" t="s">
        <v>1276</v>
      </c>
      <c r="C143" s="520" t="s">
        <v>1352</v>
      </c>
      <c r="D143" s="520" t="s">
        <v>14</v>
      </c>
      <c r="E143" s="530" t="s">
        <v>8</v>
      </c>
      <c r="F143" s="520" t="s">
        <v>869</v>
      </c>
      <c r="G143" s="520" t="s">
        <v>870</v>
      </c>
      <c r="H143" s="520" t="s">
        <v>298</v>
      </c>
      <c r="I143" s="520" t="s">
        <v>1531</v>
      </c>
      <c r="J143" s="504" t="s">
        <v>1529</v>
      </c>
      <c r="K143" s="501" t="s">
        <v>1373</v>
      </c>
      <c r="L143" s="500">
        <v>1</v>
      </c>
      <c r="M143" s="496">
        <v>400000000</v>
      </c>
      <c r="N143" s="496">
        <f t="shared" si="7"/>
        <v>400000000</v>
      </c>
      <c r="O143" s="503" t="s">
        <v>1426</v>
      </c>
      <c r="P143" s="504" t="s">
        <v>1437</v>
      </c>
    </row>
    <row r="144" spans="2:16" s="491" customFormat="1" ht="53.25" customHeight="1" x14ac:dyDescent="0.25">
      <c r="B144" s="501" t="s">
        <v>1276</v>
      </c>
      <c r="C144" s="501" t="s">
        <v>1352</v>
      </c>
      <c r="D144" s="501" t="s">
        <v>14</v>
      </c>
      <c r="E144" s="529" t="s">
        <v>8</v>
      </c>
      <c r="F144" s="501" t="s">
        <v>869</v>
      </c>
      <c r="G144" s="501" t="s">
        <v>870</v>
      </c>
      <c r="H144" s="501" t="s">
        <v>298</v>
      </c>
      <c r="I144" s="501" t="s">
        <v>1530</v>
      </c>
      <c r="J144" s="504" t="s">
        <v>1529</v>
      </c>
      <c r="K144" s="501" t="s">
        <v>1373</v>
      </c>
      <c r="L144" s="500">
        <v>1</v>
      </c>
      <c r="M144" s="496">
        <v>70000000</v>
      </c>
      <c r="N144" s="496">
        <f t="shared" si="7"/>
        <v>70000000</v>
      </c>
      <c r="O144" s="503" t="s">
        <v>1426</v>
      </c>
      <c r="P144" s="504" t="s">
        <v>1437</v>
      </c>
    </row>
    <row r="145" spans="2:16" s="524" customFormat="1" ht="39.75" customHeight="1" x14ac:dyDescent="0.25">
      <c r="B145" s="521" t="s">
        <v>1277</v>
      </c>
      <c r="C145" s="521" t="s">
        <v>1356</v>
      </c>
      <c r="D145" s="523" t="s">
        <v>14</v>
      </c>
      <c r="E145" s="522" t="s">
        <v>6</v>
      </c>
      <c r="F145" s="521" t="s">
        <v>1263</v>
      </c>
      <c r="G145" s="521" t="s">
        <v>649</v>
      </c>
      <c r="H145" s="525" t="s">
        <v>149</v>
      </c>
      <c r="I145" s="518" t="s">
        <v>1528</v>
      </c>
      <c r="J145" s="518" t="s">
        <v>1527</v>
      </c>
      <c r="K145" s="518" t="s">
        <v>1466</v>
      </c>
      <c r="L145" s="518">
        <v>2</v>
      </c>
      <c r="M145" s="517">
        <v>20000000</v>
      </c>
      <c r="N145" s="517">
        <f t="shared" si="7"/>
        <v>40000000</v>
      </c>
      <c r="O145" s="509">
        <v>44958</v>
      </c>
      <c r="P145" s="509">
        <v>45260</v>
      </c>
    </row>
    <row r="146" spans="2:16" s="524" customFormat="1" ht="110.4" x14ac:dyDescent="0.25">
      <c r="B146" s="521" t="s">
        <v>1277</v>
      </c>
      <c r="C146" s="521" t="s">
        <v>1356</v>
      </c>
      <c r="D146" s="523" t="s">
        <v>14</v>
      </c>
      <c r="E146" s="522" t="s">
        <v>6</v>
      </c>
      <c r="F146" s="521" t="s">
        <v>1263</v>
      </c>
      <c r="G146" s="521" t="s">
        <v>649</v>
      </c>
      <c r="H146" s="525" t="s">
        <v>149</v>
      </c>
      <c r="I146" s="518" t="s">
        <v>1526</v>
      </c>
      <c r="J146" s="518" t="s">
        <v>1434</v>
      </c>
      <c r="K146" s="518" t="s">
        <v>1389</v>
      </c>
      <c r="L146" s="528">
        <v>1</v>
      </c>
      <c r="M146" s="527">
        <v>2007500</v>
      </c>
      <c r="N146" s="517">
        <f t="shared" si="7"/>
        <v>2007500</v>
      </c>
      <c r="O146" s="509">
        <v>44958</v>
      </c>
      <c r="P146" s="509">
        <v>45260</v>
      </c>
    </row>
    <row r="147" spans="2:16" s="524" customFormat="1" ht="110.4" x14ac:dyDescent="0.25">
      <c r="B147" s="521" t="s">
        <v>1277</v>
      </c>
      <c r="C147" s="521" t="s">
        <v>1356</v>
      </c>
      <c r="D147" s="523" t="s">
        <v>14</v>
      </c>
      <c r="E147" s="522" t="s">
        <v>6</v>
      </c>
      <c r="F147" s="521" t="s">
        <v>1263</v>
      </c>
      <c r="G147" s="521" t="s">
        <v>649</v>
      </c>
      <c r="H147" s="525" t="s">
        <v>149</v>
      </c>
      <c r="I147" s="518" t="s">
        <v>1525</v>
      </c>
      <c r="J147" s="518" t="s">
        <v>1434</v>
      </c>
      <c r="K147" s="518" t="s">
        <v>1389</v>
      </c>
      <c r="L147" s="528">
        <v>1</v>
      </c>
      <c r="M147" s="527">
        <v>2007500</v>
      </c>
      <c r="N147" s="517">
        <f t="shared" si="7"/>
        <v>2007500</v>
      </c>
      <c r="O147" s="509">
        <v>44958</v>
      </c>
      <c r="P147" s="509">
        <v>45260</v>
      </c>
    </row>
    <row r="148" spans="2:16" s="524" customFormat="1" ht="110.4" x14ac:dyDescent="0.25">
      <c r="B148" s="521" t="s">
        <v>1277</v>
      </c>
      <c r="C148" s="521" t="s">
        <v>1356</v>
      </c>
      <c r="D148" s="523" t="s">
        <v>14</v>
      </c>
      <c r="E148" s="522" t="s">
        <v>6</v>
      </c>
      <c r="F148" s="521" t="s">
        <v>1263</v>
      </c>
      <c r="G148" s="521" t="s">
        <v>649</v>
      </c>
      <c r="H148" s="525" t="s">
        <v>149</v>
      </c>
      <c r="I148" s="518" t="s">
        <v>1524</v>
      </c>
      <c r="J148" s="518" t="s">
        <v>933</v>
      </c>
      <c r="K148" s="518" t="s">
        <v>1375</v>
      </c>
      <c r="L148" s="518">
        <v>1</v>
      </c>
      <c r="M148" s="517">
        <v>7000000</v>
      </c>
      <c r="N148" s="517">
        <f t="shared" si="7"/>
        <v>7000000</v>
      </c>
      <c r="O148" s="509">
        <v>44946</v>
      </c>
      <c r="P148" s="509">
        <v>45280</v>
      </c>
    </row>
    <row r="149" spans="2:16" s="524" customFormat="1" ht="110.4" x14ac:dyDescent="0.25">
      <c r="B149" s="521" t="s">
        <v>1277</v>
      </c>
      <c r="C149" s="521" t="s">
        <v>1356</v>
      </c>
      <c r="D149" s="523" t="s">
        <v>14</v>
      </c>
      <c r="E149" s="522" t="s">
        <v>6</v>
      </c>
      <c r="F149" s="521" t="s">
        <v>1263</v>
      </c>
      <c r="G149" s="521" t="s">
        <v>649</v>
      </c>
      <c r="H149" s="525" t="s">
        <v>149</v>
      </c>
      <c r="I149" s="518" t="s">
        <v>1523</v>
      </c>
      <c r="J149" s="518" t="s">
        <v>933</v>
      </c>
      <c r="K149" s="518" t="s">
        <v>1375</v>
      </c>
      <c r="L149" s="518">
        <v>1</v>
      </c>
      <c r="M149" s="517">
        <v>2000000</v>
      </c>
      <c r="N149" s="517">
        <f t="shared" si="7"/>
        <v>2000000</v>
      </c>
      <c r="O149" s="509">
        <v>44958</v>
      </c>
      <c r="P149" s="509">
        <v>45260</v>
      </c>
    </row>
    <row r="150" spans="2:16" s="524" customFormat="1" ht="110.4" x14ac:dyDescent="0.25">
      <c r="B150" s="521" t="s">
        <v>1277</v>
      </c>
      <c r="C150" s="521" t="s">
        <v>1356</v>
      </c>
      <c r="D150" s="523" t="s">
        <v>14</v>
      </c>
      <c r="E150" s="522" t="s">
        <v>6</v>
      </c>
      <c r="F150" s="521" t="s">
        <v>1263</v>
      </c>
      <c r="G150" s="521" t="s">
        <v>649</v>
      </c>
      <c r="H150" s="525" t="s">
        <v>149</v>
      </c>
      <c r="I150" s="518" t="s">
        <v>1522</v>
      </c>
      <c r="J150" s="518" t="s">
        <v>933</v>
      </c>
      <c r="K150" s="518" t="s">
        <v>1375</v>
      </c>
      <c r="L150" s="518">
        <v>1</v>
      </c>
      <c r="M150" s="517">
        <v>2000000</v>
      </c>
      <c r="N150" s="517">
        <f t="shared" si="7"/>
        <v>2000000</v>
      </c>
      <c r="O150" s="509">
        <v>44958</v>
      </c>
      <c r="P150" s="509">
        <v>45260</v>
      </c>
    </row>
    <row r="151" spans="2:16" s="524" customFormat="1" ht="28.5" customHeight="1" x14ac:dyDescent="0.25">
      <c r="B151" s="521" t="s">
        <v>1277</v>
      </c>
      <c r="C151" s="521" t="s">
        <v>1356</v>
      </c>
      <c r="D151" s="523" t="s">
        <v>14</v>
      </c>
      <c r="E151" s="522" t="s">
        <v>6</v>
      </c>
      <c r="F151" s="521" t="s">
        <v>1263</v>
      </c>
      <c r="G151" s="521" t="s">
        <v>649</v>
      </c>
      <c r="H151" s="525" t="s">
        <v>149</v>
      </c>
      <c r="I151" s="518" t="s">
        <v>1521</v>
      </c>
      <c r="J151" s="518" t="s">
        <v>933</v>
      </c>
      <c r="K151" s="518" t="s">
        <v>1375</v>
      </c>
      <c r="L151" s="518">
        <v>1</v>
      </c>
      <c r="M151" s="517">
        <v>2000000</v>
      </c>
      <c r="N151" s="517">
        <f t="shared" si="7"/>
        <v>2000000</v>
      </c>
      <c r="O151" s="509">
        <v>44958</v>
      </c>
      <c r="P151" s="509">
        <v>45260</v>
      </c>
    </row>
    <row r="152" spans="2:16" s="524" customFormat="1" ht="110.4" x14ac:dyDescent="0.25">
      <c r="B152" s="521" t="s">
        <v>1277</v>
      </c>
      <c r="C152" s="521" t="s">
        <v>1356</v>
      </c>
      <c r="D152" s="523" t="s">
        <v>14</v>
      </c>
      <c r="E152" s="522" t="s">
        <v>6</v>
      </c>
      <c r="F152" s="521" t="s">
        <v>1263</v>
      </c>
      <c r="G152" s="521" t="s">
        <v>649</v>
      </c>
      <c r="H152" s="525" t="s">
        <v>149</v>
      </c>
      <c r="I152" s="518" t="s">
        <v>1520</v>
      </c>
      <c r="J152" s="518" t="s">
        <v>933</v>
      </c>
      <c r="K152" s="518" t="s">
        <v>1375</v>
      </c>
      <c r="L152" s="518">
        <v>1</v>
      </c>
      <c r="M152" s="517">
        <v>2000000</v>
      </c>
      <c r="N152" s="517">
        <f t="shared" si="7"/>
        <v>2000000</v>
      </c>
      <c r="O152" s="509">
        <v>44958</v>
      </c>
      <c r="P152" s="509">
        <v>45260</v>
      </c>
    </row>
    <row r="153" spans="2:16" s="524" customFormat="1" ht="110.4" x14ac:dyDescent="0.25">
      <c r="B153" s="521" t="s">
        <v>1277</v>
      </c>
      <c r="C153" s="521" t="s">
        <v>1356</v>
      </c>
      <c r="D153" s="523" t="s">
        <v>14</v>
      </c>
      <c r="E153" s="522" t="s">
        <v>6</v>
      </c>
      <c r="F153" s="521" t="s">
        <v>1263</v>
      </c>
      <c r="G153" s="521" t="s">
        <v>649</v>
      </c>
      <c r="H153" s="525" t="s">
        <v>149</v>
      </c>
      <c r="I153" s="518" t="s">
        <v>1519</v>
      </c>
      <c r="J153" s="518" t="s">
        <v>1518</v>
      </c>
      <c r="K153" s="518" t="s">
        <v>1375</v>
      </c>
      <c r="L153" s="518">
        <v>2</v>
      </c>
      <c r="M153" s="526">
        <v>4000000</v>
      </c>
      <c r="N153" s="517">
        <f t="shared" si="7"/>
        <v>8000000</v>
      </c>
      <c r="O153" s="509">
        <v>44958</v>
      </c>
      <c r="P153" s="509">
        <v>45260</v>
      </c>
    </row>
    <row r="154" spans="2:16" s="524" customFormat="1" ht="110.4" x14ac:dyDescent="0.25">
      <c r="B154" s="521" t="s">
        <v>1277</v>
      </c>
      <c r="C154" s="521" t="s">
        <v>1356</v>
      </c>
      <c r="D154" s="523" t="s">
        <v>14</v>
      </c>
      <c r="E154" s="522" t="s">
        <v>6</v>
      </c>
      <c r="F154" s="521" t="s">
        <v>1263</v>
      </c>
      <c r="G154" s="521" t="s">
        <v>649</v>
      </c>
      <c r="H154" s="525" t="s">
        <v>149</v>
      </c>
      <c r="I154" s="518" t="s">
        <v>1517</v>
      </c>
      <c r="J154" s="518" t="s">
        <v>1516</v>
      </c>
      <c r="K154" s="518" t="s">
        <v>1375</v>
      </c>
      <c r="L154" s="518">
        <v>3</v>
      </c>
      <c r="M154" s="518">
        <v>2000000</v>
      </c>
      <c r="N154" s="517">
        <f t="shared" si="7"/>
        <v>6000000</v>
      </c>
      <c r="O154" s="509">
        <v>44958</v>
      </c>
      <c r="P154" s="509">
        <v>45260</v>
      </c>
    </row>
    <row r="155" spans="2:16" s="524" customFormat="1" ht="110.4" x14ac:dyDescent="0.25">
      <c r="B155" s="521" t="s">
        <v>1277</v>
      </c>
      <c r="C155" s="521" t="s">
        <v>1356</v>
      </c>
      <c r="D155" s="523" t="s">
        <v>14</v>
      </c>
      <c r="E155" s="522" t="s">
        <v>6</v>
      </c>
      <c r="F155" s="521" t="s">
        <v>1263</v>
      </c>
      <c r="G155" s="521" t="s">
        <v>649</v>
      </c>
      <c r="H155" s="525" t="s">
        <v>149</v>
      </c>
      <c r="I155" s="518" t="s">
        <v>1515</v>
      </c>
      <c r="J155" s="518" t="s">
        <v>1434</v>
      </c>
      <c r="K155" s="518" t="s">
        <v>1389</v>
      </c>
      <c r="L155" s="518">
        <v>11</v>
      </c>
      <c r="M155" s="510">
        <v>2771926</v>
      </c>
      <c r="N155" s="510">
        <f>(M155*L155)</f>
        <v>30491186</v>
      </c>
      <c r="O155" s="509" t="s">
        <v>1461</v>
      </c>
      <c r="P155" s="509">
        <v>45280</v>
      </c>
    </row>
    <row r="156" spans="2:16" s="524" customFormat="1" ht="110.4" x14ac:dyDescent="0.25">
      <c r="B156" s="521" t="s">
        <v>1277</v>
      </c>
      <c r="C156" s="521" t="s">
        <v>1356</v>
      </c>
      <c r="D156" s="523" t="s">
        <v>14</v>
      </c>
      <c r="E156" s="522" t="s">
        <v>6</v>
      </c>
      <c r="F156" s="521" t="s">
        <v>1263</v>
      </c>
      <c r="G156" s="521" t="s">
        <v>649</v>
      </c>
      <c r="H156" s="525" t="s">
        <v>149</v>
      </c>
      <c r="I156" s="518" t="s">
        <v>1514</v>
      </c>
      <c r="J156" s="518" t="s">
        <v>1434</v>
      </c>
      <c r="K156" s="518" t="s">
        <v>1389</v>
      </c>
      <c r="L156" s="518">
        <v>2</v>
      </c>
      <c r="M156" s="510">
        <v>2530000</v>
      </c>
      <c r="N156" s="510">
        <f>(M156*10)*L156</f>
        <v>50600000</v>
      </c>
      <c r="O156" s="509">
        <v>44958</v>
      </c>
      <c r="P156" s="509">
        <v>45260</v>
      </c>
    </row>
    <row r="157" spans="2:16" s="524" customFormat="1" ht="110.4" x14ac:dyDescent="0.25">
      <c r="B157" s="521" t="s">
        <v>1277</v>
      </c>
      <c r="C157" s="521" t="s">
        <v>1356</v>
      </c>
      <c r="D157" s="523" t="s">
        <v>14</v>
      </c>
      <c r="E157" s="522" t="s">
        <v>6</v>
      </c>
      <c r="F157" s="521" t="s">
        <v>1263</v>
      </c>
      <c r="G157" s="521" t="s">
        <v>649</v>
      </c>
      <c r="H157" s="525" t="s">
        <v>149</v>
      </c>
      <c r="I157" s="518" t="s">
        <v>1513</v>
      </c>
      <c r="J157" s="518" t="s">
        <v>1512</v>
      </c>
      <c r="K157" s="518" t="s">
        <v>1375</v>
      </c>
      <c r="L157" s="518"/>
      <c r="M157" s="510"/>
      <c r="N157" s="510"/>
      <c r="O157" s="509">
        <v>44958</v>
      </c>
      <c r="P157" s="509">
        <v>45260</v>
      </c>
    </row>
    <row r="158" spans="2:16" s="524" customFormat="1" ht="110.4" x14ac:dyDescent="0.25">
      <c r="B158" s="521" t="s">
        <v>1277</v>
      </c>
      <c r="C158" s="521" t="s">
        <v>1356</v>
      </c>
      <c r="D158" s="523" t="s">
        <v>14</v>
      </c>
      <c r="E158" s="522" t="s">
        <v>6</v>
      </c>
      <c r="F158" s="521" t="s">
        <v>1263</v>
      </c>
      <c r="G158" s="521" t="s">
        <v>649</v>
      </c>
      <c r="H158" s="525" t="s">
        <v>149</v>
      </c>
      <c r="I158" s="518" t="s">
        <v>1511</v>
      </c>
      <c r="J158" s="518" t="s">
        <v>1510</v>
      </c>
      <c r="K158" s="518" t="s">
        <v>1375</v>
      </c>
      <c r="L158" s="518">
        <v>1200</v>
      </c>
      <c r="M158" s="510"/>
      <c r="N158" s="510">
        <v>400000000</v>
      </c>
      <c r="O158" s="509">
        <v>44958</v>
      </c>
      <c r="P158" s="509">
        <v>45260</v>
      </c>
    </row>
    <row r="159" spans="2:16" s="524" customFormat="1" ht="110.4" x14ac:dyDescent="0.25">
      <c r="B159" s="521" t="s">
        <v>1277</v>
      </c>
      <c r="C159" s="521" t="s">
        <v>1356</v>
      </c>
      <c r="D159" s="523" t="s">
        <v>14</v>
      </c>
      <c r="E159" s="522" t="s">
        <v>6</v>
      </c>
      <c r="F159" s="521" t="s">
        <v>1263</v>
      </c>
      <c r="G159" s="521" t="s">
        <v>649</v>
      </c>
      <c r="H159" s="525" t="s">
        <v>149</v>
      </c>
      <c r="I159" s="518" t="s">
        <v>1509</v>
      </c>
      <c r="J159" s="518" t="s">
        <v>933</v>
      </c>
      <c r="K159" s="518" t="s">
        <v>1375</v>
      </c>
      <c r="L159" s="518"/>
      <c r="M159" s="510"/>
      <c r="N159" s="510"/>
      <c r="O159" s="509">
        <v>44958</v>
      </c>
      <c r="P159" s="509">
        <v>45260</v>
      </c>
    </row>
    <row r="160" spans="2:16" s="524" customFormat="1" ht="110.4" x14ac:dyDescent="0.25">
      <c r="B160" s="521" t="s">
        <v>1277</v>
      </c>
      <c r="C160" s="521" t="s">
        <v>1356</v>
      </c>
      <c r="D160" s="523" t="s">
        <v>14</v>
      </c>
      <c r="E160" s="522" t="s">
        <v>6</v>
      </c>
      <c r="F160" s="521" t="s">
        <v>1263</v>
      </c>
      <c r="G160" s="521" t="s">
        <v>649</v>
      </c>
      <c r="H160" s="525" t="s">
        <v>149</v>
      </c>
      <c r="I160" s="518" t="s">
        <v>1508</v>
      </c>
      <c r="J160" s="518" t="s">
        <v>1507</v>
      </c>
      <c r="K160" s="518" t="s">
        <v>1375</v>
      </c>
      <c r="L160" s="518">
        <v>20</v>
      </c>
      <c r="M160" s="510">
        <v>70000</v>
      </c>
      <c r="N160" s="517">
        <f>+M160*L160</f>
        <v>1400000</v>
      </c>
      <c r="O160" s="509">
        <v>44958</v>
      </c>
      <c r="P160" s="509">
        <v>45260</v>
      </c>
    </row>
    <row r="161" spans="2:16" s="524" customFormat="1" ht="110.4" x14ac:dyDescent="0.25">
      <c r="B161" s="521" t="s">
        <v>1277</v>
      </c>
      <c r="C161" s="521" t="s">
        <v>1356</v>
      </c>
      <c r="D161" s="523" t="s">
        <v>14</v>
      </c>
      <c r="E161" s="522" t="s">
        <v>6</v>
      </c>
      <c r="F161" s="521" t="s">
        <v>1263</v>
      </c>
      <c r="G161" s="521" t="s">
        <v>649</v>
      </c>
      <c r="H161" s="525" t="s">
        <v>149</v>
      </c>
      <c r="I161" s="518" t="s">
        <v>1506</v>
      </c>
      <c r="J161" s="518" t="s">
        <v>1434</v>
      </c>
      <c r="K161" s="518" t="s">
        <v>1389</v>
      </c>
      <c r="L161" s="518">
        <v>1</v>
      </c>
      <c r="M161" s="510">
        <v>2991370.2280000001</v>
      </c>
      <c r="N161" s="517">
        <f>+M161*L161*11</f>
        <v>32905072.508000001</v>
      </c>
      <c r="O161" s="509" t="s">
        <v>1461</v>
      </c>
      <c r="P161" s="509">
        <v>45260</v>
      </c>
    </row>
    <row r="162" spans="2:16" s="524" customFormat="1" ht="110.4" x14ac:dyDescent="0.25">
      <c r="B162" s="521" t="s">
        <v>1277</v>
      </c>
      <c r="C162" s="521" t="s">
        <v>1356</v>
      </c>
      <c r="D162" s="523" t="s">
        <v>14</v>
      </c>
      <c r="E162" s="522" t="s">
        <v>6</v>
      </c>
      <c r="F162" s="521" t="s">
        <v>1263</v>
      </c>
      <c r="G162" s="521" t="s">
        <v>649</v>
      </c>
      <c r="H162" s="525" t="s">
        <v>149</v>
      </c>
      <c r="I162" s="518" t="s">
        <v>1505</v>
      </c>
      <c r="J162" s="518" t="s">
        <v>1434</v>
      </c>
      <c r="K162" s="518" t="s">
        <v>1389</v>
      </c>
      <c r="L162" s="518">
        <v>1</v>
      </c>
      <c r="M162" s="510">
        <v>1700000</v>
      </c>
      <c r="N162" s="510">
        <f>(M162*10)</f>
        <v>17000000</v>
      </c>
      <c r="O162" s="509">
        <v>44958</v>
      </c>
      <c r="P162" s="509">
        <v>45260</v>
      </c>
    </row>
    <row r="163" spans="2:16" s="524" customFormat="1" ht="110.4" x14ac:dyDescent="0.25">
      <c r="B163" s="521" t="s">
        <v>1277</v>
      </c>
      <c r="C163" s="521" t="s">
        <v>1356</v>
      </c>
      <c r="D163" s="523" t="s">
        <v>14</v>
      </c>
      <c r="E163" s="522" t="s">
        <v>6</v>
      </c>
      <c r="F163" s="521" t="s">
        <v>1263</v>
      </c>
      <c r="G163" s="521" t="s">
        <v>649</v>
      </c>
      <c r="H163" s="525" t="s">
        <v>149</v>
      </c>
      <c r="I163" s="518" t="s">
        <v>1504</v>
      </c>
      <c r="J163" s="518" t="s">
        <v>933</v>
      </c>
      <c r="K163" s="518" t="s">
        <v>1466</v>
      </c>
      <c r="L163" s="518">
        <v>4</v>
      </c>
      <c r="M163" s="510"/>
      <c r="N163" s="510">
        <v>5000000</v>
      </c>
      <c r="O163" s="509">
        <v>44958</v>
      </c>
      <c r="P163" s="509">
        <v>45260</v>
      </c>
    </row>
    <row r="164" spans="2:16" s="524" customFormat="1" ht="30" customHeight="1" x14ac:dyDescent="0.25">
      <c r="B164" s="521" t="s">
        <v>1277</v>
      </c>
      <c r="C164" s="521" t="s">
        <v>1356</v>
      </c>
      <c r="D164" s="523" t="s">
        <v>14</v>
      </c>
      <c r="E164" s="522" t="s">
        <v>6</v>
      </c>
      <c r="F164" s="521" t="s">
        <v>1263</v>
      </c>
      <c r="G164" s="521" t="s">
        <v>649</v>
      </c>
      <c r="H164" s="525" t="s">
        <v>149</v>
      </c>
      <c r="I164" s="518" t="s">
        <v>1503</v>
      </c>
      <c r="J164" s="518" t="s">
        <v>1503</v>
      </c>
      <c r="K164" s="518" t="s">
        <v>1466</v>
      </c>
      <c r="L164" s="518">
        <v>100</v>
      </c>
      <c r="M164" s="510">
        <v>16500</v>
      </c>
      <c r="N164" s="510">
        <v>16500000</v>
      </c>
      <c r="O164" s="509">
        <v>44958</v>
      </c>
      <c r="P164" s="509">
        <v>45260</v>
      </c>
    </row>
    <row r="165" spans="2:16" s="524" customFormat="1" ht="110.4" x14ac:dyDescent="0.25">
      <c r="B165" s="521" t="s">
        <v>1277</v>
      </c>
      <c r="C165" s="521" t="s">
        <v>1356</v>
      </c>
      <c r="D165" s="523" t="s">
        <v>14</v>
      </c>
      <c r="E165" s="522" t="s">
        <v>6</v>
      </c>
      <c r="F165" s="521" t="s">
        <v>1263</v>
      </c>
      <c r="G165" s="521" t="s">
        <v>649</v>
      </c>
      <c r="H165" s="525" t="s">
        <v>149</v>
      </c>
      <c r="I165" s="518" t="s">
        <v>1502</v>
      </c>
      <c r="J165" s="518" t="s">
        <v>1502</v>
      </c>
      <c r="K165" s="518" t="s">
        <v>1466</v>
      </c>
      <c r="L165" s="518">
        <v>2</v>
      </c>
      <c r="M165" s="510">
        <v>2000000</v>
      </c>
      <c r="N165" s="510">
        <f>+M165*L165</f>
        <v>4000000</v>
      </c>
      <c r="O165" s="509">
        <v>44958</v>
      </c>
      <c r="P165" s="509">
        <v>45260</v>
      </c>
    </row>
    <row r="166" spans="2:16" s="524" customFormat="1" ht="110.4" x14ac:dyDescent="0.25">
      <c r="B166" s="521" t="s">
        <v>1277</v>
      </c>
      <c r="C166" s="521" t="s">
        <v>1356</v>
      </c>
      <c r="D166" s="523" t="s">
        <v>14</v>
      </c>
      <c r="E166" s="522" t="s">
        <v>6</v>
      </c>
      <c r="F166" s="521" t="s">
        <v>1263</v>
      </c>
      <c r="G166" s="521" t="s">
        <v>649</v>
      </c>
      <c r="H166" s="525" t="s">
        <v>149</v>
      </c>
      <c r="I166" s="518" t="s">
        <v>1501</v>
      </c>
      <c r="J166" s="518" t="s">
        <v>1434</v>
      </c>
      <c r="K166" s="518" t="s">
        <v>1389</v>
      </c>
      <c r="L166" s="518">
        <v>1</v>
      </c>
      <c r="M166" s="510">
        <v>2100000</v>
      </c>
      <c r="N166" s="510">
        <f>+M166*L166*10</f>
        <v>21000000</v>
      </c>
      <c r="O166" s="509">
        <v>44958</v>
      </c>
      <c r="P166" s="509">
        <v>45260</v>
      </c>
    </row>
    <row r="167" spans="2:16" s="524" customFormat="1" ht="110.4" x14ac:dyDescent="0.25">
      <c r="B167" s="521" t="s">
        <v>1277</v>
      </c>
      <c r="C167" s="521" t="s">
        <v>1356</v>
      </c>
      <c r="D167" s="523" t="s">
        <v>14</v>
      </c>
      <c r="E167" s="522" t="s">
        <v>6</v>
      </c>
      <c r="F167" s="521" t="s">
        <v>1263</v>
      </c>
      <c r="G167" s="521" t="s">
        <v>649</v>
      </c>
      <c r="H167" s="525" t="s">
        <v>149</v>
      </c>
      <c r="I167" s="518" t="s">
        <v>1500</v>
      </c>
      <c r="J167" s="518" t="s">
        <v>1434</v>
      </c>
      <c r="K167" s="518" t="s">
        <v>1389</v>
      </c>
      <c r="L167" s="518">
        <v>1</v>
      </c>
      <c r="M167" s="510">
        <v>2100000</v>
      </c>
      <c r="N167" s="510">
        <f>+M167*L167*10</f>
        <v>21000000</v>
      </c>
      <c r="O167" s="509">
        <v>44958</v>
      </c>
      <c r="P167" s="509">
        <v>45260</v>
      </c>
    </row>
    <row r="168" spans="2:16" s="524" customFormat="1" ht="110.4" x14ac:dyDescent="0.25">
      <c r="B168" s="521" t="s">
        <v>1277</v>
      </c>
      <c r="C168" s="521" t="s">
        <v>1356</v>
      </c>
      <c r="D168" s="523" t="s">
        <v>14</v>
      </c>
      <c r="E168" s="522" t="s">
        <v>6</v>
      </c>
      <c r="F168" s="521" t="s">
        <v>1263</v>
      </c>
      <c r="G168" s="521" t="s">
        <v>649</v>
      </c>
      <c r="H168" s="525" t="s">
        <v>149</v>
      </c>
      <c r="I168" s="518" t="s">
        <v>1499</v>
      </c>
      <c r="J168" s="518" t="s">
        <v>933</v>
      </c>
      <c r="K168" s="518" t="s">
        <v>1375</v>
      </c>
      <c r="L168" s="518">
        <v>4</v>
      </c>
      <c r="M168" s="510">
        <v>2500000</v>
      </c>
      <c r="N168" s="510">
        <f>+M168*L168</f>
        <v>10000000</v>
      </c>
      <c r="O168" s="509">
        <v>44958</v>
      </c>
      <c r="P168" s="509">
        <v>45260</v>
      </c>
    </row>
    <row r="169" spans="2:16" s="524" customFormat="1" ht="110.4" x14ac:dyDescent="0.25">
      <c r="B169" s="521" t="s">
        <v>1277</v>
      </c>
      <c r="C169" s="521" t="s">
        <v>1356</v>
      </c>
      <c r="D169" s="523" t="s">
        <v>14</v>
      </c>
      <c r="E169" s="522" t="s">
        <v>6</v>
      </c>
      <c r="F169" s="521" t="s">
        <v>1263</v>
      </c>
      <c r="G169" s="521" t="s">
        <v>649</v>
      </c>
      <c r="H169" s="525" t="s">
        <v>149</v>
      </c>
      <c r="I169" s="518" t="s">
        <v>1498</v>
      </c>
      <c r="J169" s="518" t="s">
        <v>933</v>
      </c>
      <c r="K169" s="518" t="s">
        <v>1375</v>
      </c>
      <c r="L169" s="518">
        <v>4</v>
      </c>
      <c r="M169" s="510">
        <v>20000000</v>
      </c>
      <c r="N169" s="510">
        <f>+M169*L169</f>
        <v>80000000</v>
      </c>
      <c r="O169" s="509">
        <v>44958</v>
      </c>
      <c r="P169" s="509">
        <v>45260</v>
      </c>
    </row>
    <row r="170" spans="2:16" s="524" customFormat="1" ht="110.4" x14ac:dyDescent="0.25">
      <c r="B170" s="521" t="s">
        <v>1277</v>
      </c>
      <c r="C170" s="521" t="s">
        <v>1356</v>
      </c>
      <c r="D170" s="523" t="s">
        <v>14</v>
      </c>
      <c r="E170" s="522" t="s">
        <v>6</v>
      </c>
      <c r="F170" s="521" t="s">
        <v>1263</v>
      </c>
      <c r="G170" s="521" t="s">
        <v>649</v>
      </c>
      <c r="H170" s="525" t="s">
        <v>149</v>
      </c>
      <c r="I170" s="518" t="s">
        <v>1497</v>
      </c>
      <c r="J170" s="518" t="s">
        <v>933</v>
      </c>
      <c r="K170" s="518" t="s">
        <v>1375</v>
      </c>
      <c r="L170" s="518" t="s">
        <v>1495</v>
      </c>
      <c r="M170" s="510"/>
      <c r="N170" s="510">
        <v>10000000</v>
      </c>
      <c r="O170" s="509">
        <v>44958</v>
      </c>
      <c r="P170" s="509">
        <v>45260</v>
      </c>
    </row>
    <row r="171" spans="2:16" s="524" customFormat="1" ht="110.4" x14ac:dyDescent="0.25">
      <c r="B171" s="521" t="s">
        <v>1277</v>
      </c>
      <c r="C171" s="521" t="s">
        <v>1356</v>
      </c>
      <c r="D171" s="523" t="s">
        <v>14</v>
      </c>
      <c r="E171" s="522" t="s">
        <v>6</v>
      </c>
      <c r="F171" s="521" t="s">
        <v>1263</v>
      </c>
      <c r="G171" s="521" t="s">
        <v>649</v>
      </c>
      <c r="H171" s="525" t="s">
        <v>149</v>
      </c>
      <c r="I171" s="518" t="s">
        <v>1496</v>
      </c>
      <c r="J171" s="518" t="s">
        <v>933</v>
      </c>
      <c r="K171" s="518" t="s">
        <v>1375</v>
      </c>
      <c r="L171" s="518">
        <v>2</v>
      </c>
      <c r="M171" s="510">
        <v>1000000</v>
      </c>
      <c r="N171" s="510">
        <f t="shared" ref="N171:N177" si="8">+M171*L171</f>
        <v>2000000</v>
      </c>
      <c r="O171" s="509">
        <v>44958</v>
      </c>
      <c r="P171" s="509">
        <v>45260</v>
      </c>
    </row>
    <row r="172" spans="2:16" s="524" customFormat="1" ht="110.4" x14ac:dyDescent="0.25">
      <c r="B172" s="521" t="s">
        <v>1277</v>
      </c>
      <c r="C172" s="521" t="s">
        <v>1356</v>
      </c>
      <c r="D172" s="523" t="s">
        <v>14</v>
      </c>
      <c r="E172" s="522" t="s">
        <v>6</v>
      </c>
      <c r="F172" s="521" t="s">
        <v>1263</v>
      </c>
      <c r="G172" s="521" t="s">
        <v>649</v>
      </c>
      <c r="H172" s="525" t="s">
        <v>149</v>
      </c>
      <c r="I172" s="518" t="s">
        <v>1494</v>
      </c>
      <c r="J172" s="518" t="s">
        <v>933</v>
      </c>
      <c r="K172" s="518" t="s">
        <v>1375</v>
      </c>
      <c r="L172" s="518">
        <v>2</v>
      </c>
      <c r="M172" s="510">
        <v>1000000</v>
      </c>
      <c r="N172" s="510">
        <f t="shared" si="8"/>
        <v>2000000</v>
      </c>
      <c r="O172" s="509">
        <v>44958</v>
      </c>
      <c r="P172" s="509">
        <v>45260</v>
      </c>
    </row>
    <row r="173" spans="2:16" s="524" customFormat="1" ht="110.4" x14ac:dyDescent="0.25">
      <c r="B173" s="521" t="s">
        <v>1277</v>
      </c>
      <c r="C173" s="521" t="s">
        <v>1356</v>
      </c>
      <c r="D173" s="523" t="s">
        <v>14</v>
      </c>
      <c r="E173" s="522" t="s">
        <v>6</v>
      </c>
      <c r="F173" s="521" t="s">
        <v>1263</v>
      </c>
      <c r="G173" s="521" t="s">
        <v>649</v>
      </c>
      <c r="H173" s="525" t="s">
        <v>149</v>
      </c>
      <c r="I173" s="518" t="s">
        <v>1493</v>
      </c>
      <c r="J173" s="518" t="s">
        <v>1434</v>
      </c>
      <c r="K173" s="518" t="s">
        <v>1389</v>
      </c>
      <c r="L173" s="518">
        <v>11</v>
      </c>
      <c r="M173" s="510">
        <v>3059525.7</v>
      </c>
      <c r="N173" s="510">
        <f t="shared" si="8"/>
        <v>33654782.700000003</v>
      </c>
      <c r="O173" s="509">
        <v>44946</v>
      </c>
      <c r="P173" s="509">
        <v>45280</v>
      </c>
    </row>
    <row r="174" spans="2:16" s="524" customFormat="1" ht="38.25" customHeight="1" x14ac:dyDescent="0.25">
      <c r="B174" s="521" t="s">
        <v>1277</v>
      </c>
      <c r="C174" s="521" t="s">
        <v>1356</v>
      </c>
      <c r="D174" s="523" t="s">
        <v>14</v>
      </c>
      <c r="E174" s="522" t="s">
        <v>6</v>
      </c>
      <c r="F174" s="521" t="s">
        <v>1263</v>
      </c>
      <c r="G174" s="521" t="s">
        <v>649</v>
      </c>
      <c r="H174" s="525" t="s">
        <v>149</v>
      </c>
      <c r="I174" s="518" t="s">
        <v>1492</v>
      </c>
      <c r="J174" s="518" t="s">
        <v>1434</v>
      </c>
      <c r="K174" s="518" t="s">
        <v>1389</v>
      </c>
      <c r="L174" s="518">
        <v>10</v>
      </c>
      <c r="M174" s="510">
        <v>2530000</v>
      </c>
      <c r="N174" s="510">
        <f t="shared" si="8"/>
        <v>25300000</v>
      </c>
      <c r="O174" s="509">
        <v>44958</v>
      </c>
      <c r="P174" s="509">
        <v>45260</v>
      </c>
    </row>
    <row r="175" spans="2:16" s="524" customFormat="1" ht="110.4" x14ac:dyDescent="0.25">
      <c r="B175" s="521" t="s">
        <v>1277</v>
      </c>
      <c r="C175" s="521" t="s">
        <v>1356</v>
      </c>
      <c r="D175" s="523" t="s">
        <v>14</v>
      </c>
      <c r="E175" s="522" t="s">
        <v>6</v>
      </c>
      <c r="F175" s="521" t="s">
        <v>1263</v>
      </c>
      <c r="G175" s="521" t="s">
        <v>649</v>
      </c>
      <c r="H175" s="525" t="s">
        <v>149</v>
      </c>
      <c r="I175" s="518" t="s">
        <v>1491</v>
      </c>
      <c r="J175" s="518" t="s">
        <v>1491</v>
      </c>
      <c r="K175" s="518" t="s">
        <v>1375</v>
      </c>
      <c r="L175" s="518">
        <v>2</v>
      </c>
      <c r="M175" s="510">
        <v>5000000</v>
      </c>
      <c r="N175" s="510">
        <f t="shared" si="8"/>
        <v>10000000</v>
      </c>
      <c r="O175" s="509">
        <v>44958</v>
      </c>
      <c r="P175" s="509">
        <v>45260</v>
      </c>
    </row>
    <row r="176" spans="2:16" s="524" customFormat="1" ht="110.4" x14ac:dyDescent="0.25">
      <c r="B176" s="521" t="s">
        <v>1277</v>
      </c>
      <c r="C176" s="521" t="s">
        <v>1356</v>
      </c>
      <c r="D176" s="523" t="s">
        <v>14</v>
      </c>
      <c r="E176" s="522" t="s">
        <v>6</v>
      </c>
      <c r="F176" s="521" t="s">
        <v>1263</v>
      </c>
      <c r="G176" s="521" t="s">
        <v>649</v>
      </c>
      <c r="H176" s="525" t="s">
        <v>149</v>
      </c>
      <c r="I176" s="518" t="s">
        <v>1490</v>
      </c>
      <c r="J176" s="518" t="s">
        <v>946</v>
      </c>
      <c r="K176" s="518" t="s">
        <v>1392</v>
      </c>
      <c r="L176" s="518">
        <v>2</v>
      </c>
      <c r="M176" s="510">
        <v>10000000</v>
      </c>
      <c r="N176" s="510">
        <f t="shared" si="8"/>
        <v>20000000</v>
      </c>
      <c r="O176" s="509">
        <v>44958</v>
      </c>
      <c r="P176" s="509">
        <v>45260</v>
      </c>
    </row>
    <row r="177" spans="2:16" s="524" customFormat="1" ht="110.4" x14ac:dyDescent="0.25">
      <c r="B177" s="521" t="s">
        <v>1277</v>
      </c>
      <c r="C177" s="521" t="s">
        <v>1356</v>
      </c>
      <c r="D177" s="523" t="s">
        <v>14</v>
      </c>
      <c r="E177" s="522" t="s">
        <v>6</v>
      </c>
      <c r="F177" s="521" t="s">
        <v>1263</v>
      </c>
      <c r="G177" s="521" t="s">
        <v>649</v>
      </c>
      <c r="H177" s="525" t="s">
        <v>149</v>
      </c>
      <c r="I177" s="518" t="s">
        <v>1489</v>
      </c>
      <c r="J177" s="518" t="s">
        <v>933</v>
      </c>
      <c r="K177" s="518" t="s">
        <v>1375</v>
      </c>
      <c r="L177" s="518">
        <v>20</v>
      </c>
      <c r="M177" s="510">
        <v>600000</v>
      </c>
      <c r="N177" s="510">
        <f t="shared" si="8"/>
        <v>12000000</v>
      </c>
      <c r="O177" s="509">
        <v>44958</v>
      </c>
      <c r="P177" s="509">
        <v>45260</v>
      </c>
    </row>
    <row r="178" spans="2:16" s="524" customFormat="1" ht="110.4" x14ac:dyDescent="0.25">
      <c r="B178" s="521" t="s">
        <v>1277</v>
      </c>
      <c r="C178" s="521" t="s">
        <v>1356</v>
      </c>
      <c r="D178" s="523" t="s">
        <v>14</v>
      </c>
      <c r="E178" s="522" t="s">
        <v>6</v>
      </c>
      <c r="F178" s="521" t="s">
        <v>1263</v>
      </c>
      <c r="G178" s="521" t="s">
        <v>649</v>
      </c>
      <c r="H178" s="525" t="s">
        <v>149</v>
      </c>
      <c r="I178" s="518" t="s">
        <v>1488</v>
      </c>
      <c r="J178" s="518" t="s">
        <v>933</v>
      </c>
      <c r="K178" s="518" t="s">
        <v>1375</v>
      </c>
      <c r="L178" s="518" t="s">
        <v>1487</v>
      </c>
      <c r="M178" s="510"/>
      <c r="N178" s="510"/>
      <c r="O178" s="509" t="s">
        <v>1461</v>
      </c>
      <c r="P178" s="509">
        <v>45260</v>
      </c>
    </row>
    <row r="179" spans="2:16" s="524" customFormat="1" ht="42.75" customHeight="1" x14ac:dyDescent="0.25">
      <c r="B179" s="521" t="s">
        <v>1277</v>
      </c>
      <c r="C179" s="521" t="s">
        <v>1356</v>
      </c>
      <c r="D179" s="523" t="s">
        <v>14</v>
      </c>
      <c r="E179" s="522" t="s">
        <v>6</v>
      </c>
      <c r="F179" s="521" t="s">
        <v>1263</v>
      </c>
      <c r="G179" s="521" t="s">
        <v>649</v>
      </c>
      <c r="H179" s="525" t="s">
        <v>149</v>
      </c>
      <c r="I179" s="518" t="s">
        <v>1486</v>
      </c>
      <c r="J179" s="518" t="s">
        <v>1486</v>
      </c>
      <c r="K179" s="518" t="s">
        <v>1375</v>
      </c>
      <c r="L179" s="518">
        <v>4</v>
      </c>
      <c r="M179" s="510">
        <v>2000000</v>
      </c>
      <c r="N179" s="510">
        <f>+M179*L179</f>
        <v>8000000</v>
      </c>
      <c r="O179" s="509" t="s">
        <v>1483</v>
      </c>
      <c r="P179" s="509" t="s">
        <v>1483</v>
      </c>
    </row>
    <row r="180" spans="2:16" s="524" customFormat="1" ht="110.4" x14ac:dyDescent="0.25">
      <c r="B180" s="521" t="s">
        <v>1277</v>
      </c>
      <c r="C180" s="521" t="s">
        <v>1356</v>
      </c>
      <c r="D180" s="523" t="s">
        <v>14</v>
      </c>
      <c r="E180" s="522" t="s">
        <v>6</v>
      </c>
      <c r="F180" s="521" t="s">
        <v>1263</v>
      </c>
      <c r="G180" s="521" t="s">
        <v>649</v>
      </c>
      <c r="H180" s="525" t="s">
        <v>149</v>
      </c>
      <c r="I180" s="518" t="s">
        <v>1485</v>
      </c>
      <c r="J180" s="518" t="s">
        <v>1485</v>
      </c>
      <c r="K180" s="518" t="s">
        <v>1375</v>
      </c>
      <c r="L180" s="518">
        <v>4</v>
      </c>
      <c r="M180" s="510">
        <v>2000000</v>
      </c>
      <c r="N180" s="510">
        <f>+M180*L180</f>
        <v>8000000</v>
      </c>
      <c r="O180" s="509" t="s">
        <v>1484</v>
      </c>
      <c r="P180" s="509" t="s">
        <v>1483</v>
      </c>
    </row>
    <row r="181" spans="2:16" s="524" customFormat="1" ht="110.4" x14ac:dyDescent="0.25">
      <c r="B181" s="521" t="s">
        <v>1277</v>
      </c>
      <c r="C181" s="521" t="s">
        <v>1356</v>
      </c>
      <c r="D181" s="523" t="s">
        <v>14</v>
      </c>
      <c r="E181" s="522" t="s">
        <v>6</v>
      </c>
      <c r="F181" s="521" t="s">
        <v>1263</v>
      </c>
      <c r="G181" s="521" t="s">
        <v>649</v>
      </c>
      <c r="H181" s="525" t="s">
        <v>149</v>
      </c>
      <c r="I181" s="518" t="s">
        <v>1470</v>
      </c>
      <c r="J181" s="518" t="s">
        <v>1470</v>
      </c>
      <c r="K181" s="518" t="s">
        <v>1375</v>
      </c>
      <c r="L181" s="518">
        <v>10</v>
      </c>
      <c r="M181" s="510">
        <v>300000</v>
      </c>
      <c r="N181" s="510">
        <f>+M181*L181</f>
        <v>3000000</v>
      </c>
      <c r="O181" s="509" t="s">
        <v>1482</v>
      </c>
      <c r="P181" s="509">
        <v>45271</v>
      </c>
    </row>
    <row r="182" spans="2:16" s="524" customFormat="1" ht="48.75" customHeight="1" x14ac:dyDescent="0.25">
      <c r="B182" s="521" t="s">
        <v>1277</v>
      </c>
      <c r="C182" s="521" t="s">
        <v>1356</v>
      </c>
      <c r="D182" s="523" t="s">
        <v>14</v>
      </c>
      <c r="E182" s="522" t="s">
        <v>6</v>
      </c>
      <c r="F182" s="521" t="s">
        <v>1263</v>
      </c>
      <c r="G182" s="521" t="s">
        <v>649</v>
      </c>
      <c r="H182" s="525" t="s">
        <v>149</v>
      </c>
      <c r="I182" s="518" t="s">
        <v>1481</v>
      </c>
      <c r="J182" s="518" t="s">
        <v>1481</v>
      </c>
      <c r="K182" s="518" t="s">
        <v>1375</v>
      </c>
      <c r="L182" s="518">
        <v>2</v>
      </c>
      <c r="M182" s="510">
        <v>2500000</v>
      </c>
      <c r="N182" s="510">
        <f>+M182*L182</f>
        <v>5000000</v>
      </c>
      <c r="O182" s="509" t="s">
        <v>1480</v>
      </c>
      <c r="P182" s="509">
        <v>45272</v>
      </c>
    </row>
    <row r="183" spans="2:16" s="524" customFormat="1" ht="49.5" customHeight="1" x14ac:dyDescent="0.25">
      <c r="B183" s="521" t="s">
        <v>1277</v>
      </c>
      <c r="C183" s="521" t="s">
        <v>1356</v>
      </c>
      <c r="D183" s="523" t="s">
        <v>14</v>
      </c>
      <c r="E183" s="522" t="s">
        <v>6</v>
      </c>
      <c r="F183" s="521" t="s">
        <v>1263</v>
      </c>
      <c r="G183" s="521" t="s">
        <v>649</v>
      </c>
      <c r="H183" s="525" t="s">
        <v>149</v>
      </c>
      <c r="I183" s="518" t="s">
        <v>1479</v>
      </c>
      <c r="J183" s="518" t="s">
        <v>1434</v>
      </c>
      <c r="K183" s="518" t="s">
        <v>1375</v>
      </c>
      <c r="L183" s="518">
        <v>1</v>
      </c>
      <c r="M183" s="517">
        <v>2750000</v>
      </c>
      <c r="N183" s="510">
        <f>+M183*L183*11</f>
        <v>30250000</v>
      </c>
      <c r="O183" s="509" t="s">
        <v>1478</v>
      </c>
      <c r="P183" s="509" t="s">
        <v>1477</v>
      </c>
    </row>
    <row r="184" spans="2:16" s="508" customFormat="1" ht="151.80000000000001" x14ac:dyDescent="0.25">
      <c r="B184" s="501" t="s">
        <v>1277</v>
      </c>
      <c r="C184" s="501" t="s">
        <v>1356</v>
      </c>
      <c r="D184" s="500" t="s">
        <v>14</v>
      </c>
      <c r="E184" s="516" t="s">
        <v>6</v>
      </c>
      <c r="F184" s="501" t="s">
        <v>1263</v>
      </c>
      <c r="G184" s="520" t="s">
        <v>1161</v>
      </c>
      <c r="H184" s="520" t="s">
        <v>1476</v>
      </c>
      <c r="I184" s="518" t="s">
        <v>1475</v>
      </c>
      <c r="J184" s="500" t="s">
        <v>1474</v>
      </c>
      <c r="K184" s="501" t="s">
        <v>1473</v>
      </c>
      <c r="L184" s="501">
        <v>1</v>
      </c>
      <c r="M184" s="500"/>
      <c r="N184" s="517" t="s">
        <v>2084</v>
      </c>
      <c r="O184" s="509">
        <v>44958</v>
      </c>
      <c r="P184" s="509">
        <v>45260</v>
      </c>
    </row>
    <row r="185" spans="2:16" s="508" customFormat="1" ht="110.4" x14ac:dyDescent="0.25">
      <c r="B185" s="501" t="s">
        <v>1277</v>
      </c>
      <c r="C185" s="501" t="s">
        <v>1356</v>
      </c>
      <c r="D185" s="500" t="s">
        <v>14</v>
      </c>
      <c r="E185" s="516" t="s">
        <v>6</v>
      </c>
      <c r="F185" s="501" t="s">
        <v>1263</v>
      </c>
      <c r="G185" s="501" t="s">
        <v>636</v>
      </c>
      <c r="H185" s="519" t="s">
        <v>638</v>
      </c>
      <c r="I185" s="519" t="s">
        <v>1465</v>
      </c>
      <c r="J185" s="519" t="s">
        <v>1464</v>
      </c>
      <c r="K185" s="519" t="s">
        <v>1464</v>
      </c>
      <c r="L185" s="518">
        <v>4</v>
      </c>
      <c r="M185" s="517">
        <v>7000000</v>
      </c>
      <c r="N185" s="510">
        <f>+M185*L185</f>
        <v>28000000</v>
      </c>
      <c r="O185" s="509">
        <v>44958</v>
      </c>
      <c r="P185" s="509">
        <v>45260</v>
      </c>
    </row>
    <row r="186" spans="2:16" s="508" customFormat="1" ht="51" customHeight="1" x14ac:dyDescent="0.25">
      <c r="B186" s="501" t="s">
        <v>1277</v>
      </c>
      <c r="C186" s="501" t="s">
        <v>1356</v>
      </c>
      <c r="D186" s="500" t="s">
        <v>14</v>
      </c>
      <c r="E186" s="516" t="s">
        <v>6</v>
      </c>
      <c r="F186" s="501" t="s">
        <v>1263</v>
      </c>
      <c r="G186" s="520" t="s">
        <v>630</v>
      </c>
      <c r="H186" s="520" t="s">
        <v>632</v>
      </c>
      <c r="I186" s="518" t="s">
        <v>1472</v>
      </c>
      <c r="J186" s="500" t="s">
        <v>933</v>
      </c>
      <c r="K186" s="501" t="s">
        <v>1375</v>
      </c>
      <c r="L186" s="518">
        <v>6</v>
      </c>
      <c r="M186" s="517"/>
      <c r="N186" s="517">
        <v>2000000</v>
      </c>
      <c r="O186" s="509">
        <v>44928</v>
      </c>
      <c r="P186" s="509">
        <v>45260</v>
      </c>
    </row>
    <row r="187" spans="2:16" s="508" customFormat="1" ht="124.2" x14ac:dyDescent="0.25">
      <c r="B187" s="501" t="s">
        <v>1277</v>
      </c>
      <c r="C187" s="501" t="s">
        <v>1356</v>
      </c>
      <c r="D187" s="500" t="s">
        <v>14</v>
      </c>
      <c r="E187" s="516" t="s">
        <v>6</v>
      </c>
      <c r="F187" s="501" t="s">
        <v>1263</v>
      </c>
      <c r="G187" s="520" t="s">
        <v>630</v>
      </c>
      <c r="H187" s="520" t="s">
        <v>1471</v>
      </c>
      <c r="I187" s="518" t="s">
        <v>1470</v>
      </c>
      <c r="J187" s="518" t="s">
        <v>1470</v>
      </c>
      <c r="K187" s="501" t="s">
        <v>1375</v>
      </c>
      <c r="L187" s="518">
        <v>12</v>
      </c>
      <c r="M187" s="517">
        <v>250000</v>
      </c>
      <c r="N187" s="510">
        <f>+M187*L187</f>
        <v>3000000</v>
      </c>
      <c r="O187" s="509">
        <v>44930</v>
      </c>
      <c r="P187" s="509">
        <v>45260</v>
      </c>
    </row>
    <row r="188" spans="2:16" s="508" customFormat="1" ht="124.2" x14ac:dyDescent="0.25">
      <c r="B188" s="501" t="s">
        <v>1277</v>
      </c>
      <c r="C188" s="501" t="s">
        <v>1356</v>
      </c>
      <c r="D188" s="500" t="s">
        <v>14</v>
      </c>
      <c r="E188" s="516" t="s">
        <v>6</v>
      </c>
      <c r="F188" s="501" t="s">
        <v>1263</v>
      </c>
      <c r="G188" s="520" t="s">
        <v>630</v>
      </c>
      <c r="H188" s="520" t="s">
        <v>1469</v>
      </c>
      <c r="I188" s="518" t="s">
        <v>1468</v>
      </c>
      <c r="J188" s="500" t="s">
        <v>1467</v>
      </c>
      <c r="K188" s="518" t="s">
        <v>1466</v>
      </c>
      <c r="L188" s="518">
        <v>1</v>
      </c>
      <c r="M188" s="517">
        <v>8000000</v>
      </c>
      <c r="N188" s="510">
        <f>+M188*L188</f>
        <v>8000000</v>
      </c>
      <c r="O188" s="509">
        <v>44594</v>
      </c>
      <c r="P188" s="509">
        <v>45015</v>
      </c>
    </row>
    <row r="189" spans="2:16" s="508" customFormat="1" ht="51.75" customHeight="1" x14ac:dyDescent="0.25">
      <c r="B189" s="501" t="s">
        <v>1278</v>
      </c>
      <c r="C189" s="501" t="s">
        <v>1359</v>
      </c>
      <c r="D189" s="500" t="s">
        <v>14</v>
      </c>
      <c r="E189" s="516" t="s">
        <v>6</v>
      </c>
      <c r="F189" s="501" t="s">
        <v>671</v>
      </c>
      <c r="G189" s="501" t="s">
        <v>672</v>
      </c>
      <c r="H189" s="501" t="s">
        <v>1270</v>
      </c>
      <c r="I189" s="519" t="s">
        <v>1465</v>
      </c>
      <c r="J189" s="519" t="s">
        <v>1464</v>
      </c>
      <c r="K189" s="519" t="s">
        <v>1455</v>
      </c>
      <c r="L189" s="518">
        <v>4</v>
      </c>
      <c r="M189" s="517">
        <v>7000000</v>
      </c>
      <c r="N189" s="510">
        <f>+M189*L189</f>
        <v>28000000</v>
      </c>
      <c r="O189" s="509">
        <v>44958</v>
      </c>
      <c r="P189" s="509">
        <v>45260</v>
      </c>
    </row>
    <row r="190" spans="2:16" s="508" customFormat="1" ht="110.4" x14ac:dyDescent="0.25">
      <c r="B190" s="501" t="s">
        <v>1278</v>
      </c>
      <c r="C190" s="501" t="s">
        <v>1359</v>
      </c>
      <c r="D190" s="500" t="s">
        <v>14</v>
      </c>
      <c r="E190" s="516" t="s">
        <v>6</v>
      </c>
      <c r="F190" s="501" t="s">
        <v>671</v>
      </c>
      <c r="G190" s="501" t="s">
        <v>672</v>
      </c>
      <c r="H190" s="501" t="s">
        <v>1270</v>
      </c>
      <c r="I190" s="512" t="s">
        <v>1463</v>
      </c>
      <c r="J190" s="514" t="s">
        <v>1434</v>
      </c>
      <c r="K190" s="513" t="s">
        <v>1455</v>
      </c>
      <c r="L190" s="512">
        <v>1</v>
      </c>
      <c r="M190" s="511">
        <v>3242340</v>
      </c>
      <c r="N190" s="510">
        <f t="shared" ref="N190:N196" si="9">+M190*L190*10</f>
        <v>32423400</v>
      </c>
      <c r="O190" s="509">
        <v>44928</v>
      </c>
      <c r="P190" s="509">
        <v>45260</v>
      </c>
    </row>
    <row r="191" spans="2:16" s="508" customFormat="1" ht="110.4" x14ac:dyDescent="0.25">
      <c r="B191" s="501" t="s">
        <v>1278</v>
      </c>
      <c r="C191" s="501" t="s">
        <v>1359</v>
      </c>
      <c r="D191" s="500" t="s">
        <v>14</v>
      </c>
      <c r="E191" s="516" t="s">
        <v>6</v>
      </c>
      <c r="F191" s="501" t="s">
        <v>671</v>
      </c>
      <c r="G191" s="501" t="s">
        <v>672</v>
      </c>
      <c r="H191" s="501" t="s">
        <v>1270</v>
      </c>
      <c r="I191" s="512" t="s">
        <v>1462</v>
      </c>
      <c r="J191" s="514" t="s">
        <v>1434</v>
      </c>
      <c r="K191" s="513" t="s">
        <v>1455</v>
      </c>
      <c r="L191" s="512">
        <v>1</v>
      </c>
      <c r="M191" s="511">
        <v>3242340</v>
      </c>
      <c r="N191" s="510">
        <f t="shared" si="9"/>
        <v>32423400</v>
      </c>
      <c r="O191" s="509" t="s">
        <v>1461</v>
      </c>
      <c r="P191" s="509">
        <v>45261</v>
      </c>
    </row>
    <row r="192" spans="2:16" s="508" customFormat="1" ht="58.5" customHeight="1" x14ac:dyDescent="0.25">
      <c r="B192" s="501" t="s">
        <v>1278</v>
      </c>
      <c r="C192" s="501" t="s">
        <v>1359</v>
      </c>
      <c r="D192" s="500" t="s">
        <v>14</v>
      </c>
      <c r="E192" s="516" t="s">
        <v>6</v>
      </c>
      <c r="F192" s="501" t="s">
        <v>671</v>
      </c>
      <c r="G192" s="501" t="s">
        <v>672</v>
      </c>
      <c r="H192" s="501" t="s">
        <v>1270</v>
      </c>
      <c r="I192" s="512" t="s">
        <v>1460</v>
      </c>
      <c r="J192" s="514" t="s">
        <v>1434</v>
      </c>
      <c r="K192" s="513" t="s">
        <v>1455</v>
      </c>
      <c r="L192" s="512">
        <v>1</v>
      </c>
      <c r="M192" s="511">
        <v>2425500</v>
      </c>
      <c r="N192" s="510">
        <f t="shared" si="9"/>
        <v>24255000</v>
      </c>
      <c r="O192" s="509">
        <v>44928</v>
      </c>
      <c r="P192" s="509">
        <v>45262</v>
      </c>
    </row>
    <row r="193" spans="2:16" s="508" customFormat="1" ht="55.5" customHeight="1" x14ac:dyDescent="0.25">
      <c r="B193" s="501" t="s">
        <v>1278</v>
      </c>
      <c r="C193" s="501" t="s">
        <v>1359</v>
      </c>
      <c r="D193" s="500" t="s">
        <v>14</v>
      </c>
      <c r="E193" s="516" t="s">
        <v>6</v>
      </c>
      <c r="F193" s="501" t="s">
        <v>671</v>
      </c>
      <c r="G193" s="501" t="s">
        <v>672</v>
      </c>
      <c r="H193" s="501" t="s">
        <v>1270</v>
      </c>
      <c r="I193" s="512" t="s">
        <v>1459</v>
      </c>
      <c r="J193" s="514" t="s">
        <v>1434</v>
      </c>
      <c r="K193" s="513" t="s">
        <v>1455</v>
      </c>
      <c r="L193" s="512">
        <v>1</v>
      </c>
      <c r="M193" s="511">
        <v>2425500</v>
      </c>
      <c r="N193" s="510">
        <f t="shared" si="9"/>
        <v>24255000</v>
      </c>
      <c r="O193" s="509">
        <v>44929</v>
      </c>
      <c r="P193" s="509">
        <v>45263</v>
      </c>
    </row>
    <row r="194" spans="2:16" s="508" customFormat="1" ht="47.25" customHeight="1" x14ac:dyDescent="0.25">
      <c r="B194" s="501" t="s">
        <v>1278</v>
      </c>
      <c r="C194" s="501" t="s">
        <v>1359</v>
      </c>
      <c r="D194" s="500" t="s">
        <v>14</v>
      </c>
      <c r="E194" s="516" t="s">
        <v>6</v>
      </c>
      <c r="F194" s="501" t="s">
        <v>671</v>
      </c>
      <c r="G194" s="501" t="s">
        <v>672</v>
      </c>
      <c r="H194" s="501" t="s">
        <v>1270</v>
      </c>
      <c r="I194" s="512" t="s">
        <v>1458</v>
      </c>
      <c r="J194" s="514" t="s">
        <v>1434</v>
      </c>
      <c r="K194" s="513" t="s">
        <v>1455</v>
      </c>
      <c r="L194" s="512">
        <v>1</v>
      </c>
      <c r="M194" s="511">
        <v>2425500</v>
      </c>
      <c r="N194" s="510">
        <f t="shared" si="9"/>
        <v>24255000</v>
      </c>
      <c r="O194" s="509">
        <v>44930</v>
      </c>
      <c r="P194" s="509">
        <v>45264</v>
      </c>
    </row>
    <row r="195" spans="2:16" s="508" customFormat="1" ht="110.4" x14ac:dyDescent="0.25">
      <c r="B195" s="501" t="s">
        <v>1278</v>
      </c>
      <c r="C195" s="501" t="s">
        <v>1359</v>
      </c>
      <c r="D195" s="500" t="s">
        <v>14</v>
      </c>
      <c r="E195" s="516" t="s">
        <v>6</v>
      </c>
      <c r="F195" s="501" t="s">
        <v>671</v>
      </c>
      <c r="G195" s="501" t="s">
        <v>672</v>
      </c>
      <c r="H195" s="501" t="s">
        <v>1270</v>
      </c>
      <c r="I195" s="512" t="s">
        <v>1457</v>
      </c>
      <c r="J195" s="514" t="s">
        <v>1434</v>
      </c>
      <c r="K195" s="513" t="s">
        <v>1455</v>
      </c>
      <c r="L195" s="512">
        <v>1</v>
      </c>
      <c r="M195" s="511">
        <v>2425500</v>
      </c>
      <c r="N195" s="510">
        <f t="shared" si="9"/>
        <v>24255000</v>
      </c>
      <c r="O195" s="509">
        <v>44931</v>
      </c>
      <c r="P195" s="509">
        <v>45265</v>
      </c>
    </row>
    <row r="196" spans="2:16" s="508" customFormat="1" ht="110.4" x14ac:dyDescent="0.25">
      <c r="B196" s="501" t="s">
        <v>1278</v>
      </c>
      <c r="C196" s="501" t="s">
        <v>1359</v>
      </c>
      <c r="D196" s="500" t="s">
        <v>14</v>
      </c>
      <c r="E196" s="516" t="s">
        <v>6</v>
      </c>
      <c r="F196" s="501" t="s">
        <v>671</v>
      </c>
      <c r="G196" s="501" t="s">
        <v>672</v>
      </c>
      <c r="H196" s="501" t="s">
        <v>1270</v>
      </c>
      <c r="I196" s="515" t="s">
        <v>1456</v>
      </c>
      <c r="J196" s="514" t="s">
        <v>1434</v>
      </c>
      <c r="K196" s="513" t="s">
        <v>1455</v>
      </c>
      <c r="L196" s="512">
        <v>1</v>
      </c>
      <c r="M196" s="511">
        <v>2425500</v>
      </c>
      <c r="N196" s="510">
        <f t="shared" si="9"/>
        <v>24255000</v>
      </c>
      <c r="O196" s="509">
        <v>44932</v>
      </c>
      <c r="P196" s="509">
        <v>45266</v>
      </c>
    </row>
    <row r="197" spans="2:16" s="491" customFormat="1" ht="38.25" customHeight="1" x14ac:dyDescent="0.25">
      <c r="B197" s="494" t="s">
        <v>1276</v>
      </c>
      <c r="C197" s="494" t="s">
        <v>1352</v>
      </c>
      <c r="D197" s="494" t="s">
        <v>14</v>
      </c>
      <c r="E197" s="507" t="s">
        <v>1440</v>
      </c>
      <c r="F197" s="494" t="s">
        <v>869</v>
      </c>
      <c r="G197" s="494" t="s">
        <v>870</v>
      </c>
      <c r="H197" s="494" t="s">
        <v>298</v>
      </c>
      <c r="I197" s="502" t="s">
        <v>1454</v>
      </c>
      <c r="J197" s="501" t="s">
        <v>1434</v>
      </c>
      <c r="K197" s="501" t="s">
        <v>1417</v>
      </c>
      <c r="L197" s="500">
        <v>1</v>
      </c>
      <c r="M197" s="496">
        <f>2469600*11</f>
        <v>27165600</v>
      </c>
      <c r="N197" s="496">
        <f t="shared" ref="N197:N212" si="10">+M197*L197</f>
        <v>27165600</v>
      </c>
      <c r="O197" s="499">
        <v>44942</v>
      </c>
      <c r="P197" s="499">
        <v>45275</v>
      </c>
    </row>
    <row r="198" spans="2:16" s="491" customFormat="1" ht="38.25" customHeight="1" x14ac:dyDescent="0.25">
      <c r="B198" s="494" t="s">
        <v>1276</v>
      </c>
      <c r="C198" s="494" t="s">
        <v>1352</v>
      </c>
      <c r="D198" s="494" t="s">
        <v>14</v>
      </c>
      <c r="E198" s="507" t="s">
        <v>1440</v>
      </c>
      <c r="F198" s="494" t="s">
        <v>869</v>
      </c>
      <c r="G198" s="494" t="s">
        <v>870</v>
      </c>
      <c r="H198" s="494" t="s">
        <v>298</v>
      </c>
      <c r="I198" s="502" t="s">
        <v>1453</v>
      </c>
      <c r="J198" s="501" t="s">
        <v>1434</v>
      </c>
      <c r="K198" s="501" t="s">
        <v>1417</v>
      </c>
      <c r="L198" s="500">
        <v>1</v>
      </c>
      <c r="M198" s="496">
        <f>1992375*11</f>
        <v>21916125</v>
      </c>
      <c r="N198" s="496">
        <f t="shared" si="10"/>
        <v>21916125</v>
      </c>
      <c r="O198" s="499">
        <v>44942</v>
      </c>
      <c r="P198" s="499">
        <v>45275</v>
      </c>
    </row>
    <row r="199" spans="2:16" s="491" customFormat="1" ht="38.25" customHeight="1" x14ac:dyDescent="0.25">
      <c r="B199" s="494" t="s">
        <v>1276</v>
      </c>
      <c r="C199" s="494" t="s">
        <v>1352</v>
      </c>
      <c r="D199" s="494" t="s">
        <v>14</v>
      </c>
      <c r="E199" s="507" t="s">
        <v>1440</v>
      </c>
      <c r="F199" s="494" t="s">
        <v>869</v>
      </c>
      <c r="G199" s="494" t="s">
        <v>870</v>
      </c>
      <c r="H199" s="494" t="s">
        <v>298</v>
      </c>
      <c r="I199" s="502" t="s">
        <v>1454</v>
      </c>
      <c r="J199" s="501" t="s">
        <v>1434</v>
      </c>
      <c r="K199" s="501" t="s">
        <v>1417</v>
      </c>
      <c r="L199" s="500">
        <v>1</v>
      </c>
      <c r="M199" s="496">
        <f>2469600*11</f>
        <v>27165600</v>
      </c>
      <c r="N199" s="496">
        <f t="shared" si="10"/>
        <v>27165600</v>
      </c>
      <c r="O199" s="499">
        <v>44942</v>
      </c>
      <c r="P199" s="499">
        <v>45275</v>
      </c>
    </row>
    <row r="200" spans="2:16" s="491" customFormat="1" ht="38.25" customHeight="1" x14ac:dyDescent="0.25">
      <c r="B200" s="494" t="s">
        <v>1276</v>
      </c>
      <c r="C200" s="494" t="s">
        <v>1352</v>
      </c>
      <c r="D200" s="494" t="s">
        <v>14</v>
      </c>
      <c r="E200" s="507" t="s">
        <v>1440</v>
      </c>
      <c r="F200" s="494" t="s">
        <v>869</v>
      </c>
      <c r="G200" s="494" t="s">
        <v>870</v>
      </c>
      <c r="H200" s="494" t="s">
        <v>298</v>
      </c>
      <c r="I200" s="502" t="s">
        <v>1453</v>
      </c>
      <c r="J200" s="501" t="s">
        <v>1434</v>
      </c>
      <c r="K200" s="501" t="s">
        <v>1417</v>
      </c>
      <c r="L200" s="500">
        <v>1</v>
      </c>
      <c r="M200" s="496">
        <f>2028600*11</f>
        <v>22314600</v>
      </c>
      <c r="N200" s="496">
        <f t="shared" si="10"/>
        <v>22314600</v>
      </c>
      <c r="O200" s="499">
        <v>44942</v>
      </c>
      <c r="P200" s="499">
        <v>45275</v>
      </c>
    </row>
    <row r="201" spans="2:16" s="491" customFormat="1" ht="38.25" customHeight="1" x14ac:dyDescent="0.25">
      <c r="B201" s="494" t="s">
        <v>1276</v>
      </c>
      <c r="C201" s="494" t="s">
        <v>1352</v>
      </c>
      <c r="D201" s="494" t="s">
        <v>14</v>
      </c>
      <c r="E201" s="507" t="s">
        <v>1440</v>
      </c>
      <c r="F201" s="494" t="s">
        <v>869</v>
      </c>
      <c r="G201" s="494" t="s">
        <v>870</v>
      </c>
      <c r="H201" s="494" t="s">
        <v>298</v>
      </c>
      <c r="I201" s="502" t="s">
        <v>1453</v>
      </c>
      <c r="J201" s="501" t="s">
        <v>1434</v>
      </c>
      <c r="K201" s="501" t="s">
        <v>1417</v>
      </c>
      <c r="L201" s="500">
        <v>1</v>
      </c>
      <c r="M201" s="496">
        <f>2028600*11</f>
        <v>22314600</v>
      </c>
      <c r="N201" s="496">
        <f t="shared" si="10"/>
        <v>22314600</v>
      </c>
      <c r="O201" s="499">
        <v>44942</v>
      </c>
      <c r="P201" s="499">
        <v>45275</v>
      </c>
    </row>
    <row r="202" spans="2:16" s="491" customFormat="1" ht="38.25" customHeight="1" x14ac:dyDescent="0.25">
      <c r="B202" s="494" t="s">
        <v>1276</v>
      </c>
      <c r="C202" s="494" t="s">
        <v>1352</v>
      </c>
      <c r="D202" s="494" t="s">
        <v>14</v>
      </c>
      <c r="E202" s="507" t="s">
        <v>1440</v>
      </c>
      <c r="F202" s="494" t="s">
        <v>869</v>
      </c>
      <c r="G202" s="494" t="s">
        <v>870</v>
      </c>
      <c r="H202" s="494" t="s">
        <v>298</v>
      </c>
      <c r="I202" s="502" t="s">
        <v>1453</v>
      </c>
      <c r="J202" s="501" t="s">
        <v>1434</v>
      </c>
      <c r="K202" s="501" t="s">
        <v>1417</v>
      </c>
      <c r="L202" s="500">
        <v>1</v>
      </c>
      <c r="M202" s="496">
        <f>2028600*11</f>
        <v>22314600</v>
      </c>
      <c r="N202" s="496">
        <f t="shared" si="10"/>
        <v>22314600</v>
      </c>
      <c r="O202" s="499">
        <v>44942</v>
      </c>
      <c r="P202" s="499">
        <v>45275</v>
      </c>
    </row>
    <row r="203" spans="2:16" s="494" customFormat="1" ht="44.25" customHeight="1" x14ac:dyDescent="0.25">
      <c r="B203" s="494" t="s">
        <v>1276</v>
      </c>
      <c r="C203" s="494" t="s">
        <v>1352</v>
      </c>
      <c r="D203" s="494" t="s">
        <v>14</v>
      </c>
      <c r="E203" s="507" t="s">
        <v>1440</v>
      </c>
      <c r="F203" s="494" t="s">
        <v>869</v>
      </c>
      <c r="G203" s="494" t="s">
        <v>870</v>
      </c>
      <c r="H203" s="494" t="s">
        <v>298</v>
      </c>
      <c r="I203" s="494" t="s">
        <v>1452</v>
      </c>
      <c r="J203" s="494" t="s">
        <v>1441</v>
      </c>
      <c r="K203" s="494" t="s">
        <v>1373</v>
      </c>
      <c r="L203" s="494">
        <v>1</v>
      </c>
      <c r="M203" s="496">
        <v>16000000</v>
      </c>
      <c r="N203" s="496">
        <f t="shared" si="10"/>
        <v>16000000</v>
      </c>
      <c r="O203" s="494" t="s">
        <v>1451</v>
      </c>
      <c r="P203" s="494" t="s">
        <v>1450</v>
      </c>
    </row>
    <row r="204" spans="2:16" s="494" customFormat="1" ht="44.25" customHeight="1" x14ac:dyDescent="0.25">
      <c r="B204" s="494" t="s">
        <v>1276</v>
      </c>
      <c r="C204" s="494" t="s">
        <v>1352</v>
      </c>
      <c r="D204" s="494" t="s">
        <v>14</v>
      </c>
      <c r="E204" s="507" t="s">
        <v>1440</v>
      </c>
      <c r="F204" s="494" t="s">
        <v>869</v>
      </c>
      <c r="G204" s="494" t="s">
        <v>870</v>
      </c>
      <c r="H204" s="494" t="s">
        <v>298</v>
      </c>
      <c r="I204" s="494" t="s">
        <v>1449</v>
      </c>
      <c r="J204" s="494" t="s">
        <v>1398</v>
      </c>
      <c r="K204" s="494" t="s">
        <v>1373</v>
      </c>
      <c r="L204" s="494">
        <v>1</v>
      </c>
      <c r="M204" s="496">
        <v>20000000</v>
      </c>
      <c r="N204" s="496">
        <f t="shared" si="10"/>
        <v>20000000</v>
      </c>
      <c r="O204" s="494" t="s">
        <v>1444</v>
      </c>
      <c r="P204" s="494" t="s">
        <v>1443</v>
      </c>
    </row>
    <row r="205" spans="2:16" s="494" customFormat="1" ht="44.25" customHeight="1" x14ac:dyDescent="0.25">
      <c r="B205" s="494" t="s">
        <v>1276</v>
      </c>
      <c r="C205" s="494" t="s">
        <v>1352</v>
      </c>
      <c r="D205" s="494" t="s">
        <v>14</v>
      </c>
      <c r="E205" s="507" t="s">
        <v>1440</v>
      </c>
      <c r="F205" s="494" t="s">
        <v>869</v>
      </c>
      <c r="G205" s="494" t="s">
        <v>870</v>
      </c>
      <c r="H205" s="494" t="s">
        <v>298</v>
      </c>
      <c r="I205" s="494" t="s">
        <v>1448</v>
      </c>
      <c r="J205" s="494" t="s">
        <v>1398</v>
      </c>
      <c r="K205" s="494" t="s">
        <v>1373</v>
      </c>
      <c r="L205" s="494">
        <v>1</v>
      </c>
      <c r="M205" s="496">
        <v>80000000</v>
      </c>
      <c r="N205" s="496">
        <f t="shared" si="10"/>
        <v>80000000</v>
      </c>
      <c r="O205" s="494" t="s">
        <v>1444</v>
      </c>
      <c r="P205" s="494" t="s">
        <v>1443</v>
      </c>
    </row>
    <row r="206" spans="2:16" s="491" customFormat="1" ht="44.25" customHeight="1" x14ac:dyDescent="0.25">
      <c r="B206" s="494" t="s">
        <v>1276</v>
      </c>
      <c r="C206" s="494" t="s">
        <v>1352</v>
      </c>
      <c r="D206" s="494" t="s">
        <v>14</v>
      </c>
      <c r="E206" s="507" t="s">
        <v>1440</v>
      </c>
      <c r="F206" s="494" t="s">
        <v>869</v>
      </c>
      <c r="G206" s="494" t="s">
        <v>870</v>
      </c>
      <c r="H206" s="494" t="s">
        <v>298</v>
      </c>
      <c r="I206" s="502" t="s">
        <v>1447</v>
      </c>
      <c r="J206" s="504" t="s">
        <v>1441</v>
      </c>
      <c r="K206" s="504" t="s">
        <v>1373</v>
      </c>
      <c r="L206" s="500">
        <v>1</v>
      </c>
      <c r="M206" s="496">
        <v>18000000</v>
      </c>
      <c r="N206" s="496">
        <f t="shared" si="10"/>
        <v>18000000</v>
      </c>
      <c r="O206" s="503" t="s">
        <v>1444</v>
      </c>
      <c r="P206" s="503" t="s">
        <v>1443</v>
      </c>
    </row>
    <row r="207" spans="2:16" s="491" customFormat="1" ht="44.25" customHeight="1" x14ac:dyDescent="0.25">
      <c r="B207" s="494" t="s">
        <v>1276</v>
      </c>
      <c r="C207" s="494" t="s">
        <v>1352</v>
      </c>
      <c r="D207" s="494" t="s">
        <v>14</v>
      </c>
      <c r="E207" s="507" t="s">
        <v>1440</v>
      </c>
      <c r="F207" s="494" t="s">
        <v>869</v>
      </c>
      <c r="G207" s="494" t="s">
        <v>870</v>
      </c>
      <c r="H207" s="494" t="s">
        <v>298</v>
      </c>
      <c r="I207" s="502" t="s">
        <v>1446</v>
      </c>
      <c r="J207" s="504" t="s">
        <v>1441</v>
      </c>
      <c r="K207" s="504" t="s">
        <v>1373</v>
      </c>
      <c r="L207" s="500">
        <v>1</v>
      </c>
      <c r="M207" s="496">
        <v>55000000</v>
      </c>
      <c r="N207" s="496">
        <f t="shared" si="10"/>
        <v>55000000</v>
      </c>
      <c r="O207" s="503" t="s">
        <v>1444</v>
      </c>
      <c r="P207" s="503" t="s">
        <v>1443</v>
      </c>
    </row>
    <row r="208" spans="2:16" s="491" customFormat="1" ht="44.25" customHeight="1" x14ac:dyDescent="0.25">
      <c r="B208" s="494" t="s">
        <v>1276</v>
      </c>
      <c r="C208" s="494" t="s">
        <v>1352</v>
      </c>
      <c r="D208" s="494" t="s">
        <v>14</v>
      </c>
      <c r="E208" s="507" t="s">
        <v>1440</v>
      </c>
      <c r="F208" s="494" t="s">
        <v>869</v>
      </c>
      <c r="G208" s="494" t="s">
        <v>870</v>
      </c>
      <c r="H208" s="494" t="s">
        <v>298</v>
      </c>
      <c r="I208" s="502" t="s">
        <v>1445</v>
      </c>
      <c r="J208" s="504" t="s">
        <v>1441</v>
      </c>
      <c r="K208" s="504" t="s">
        <v>1373</v>
      </c>
      <c r="L208" s="500">
        <v>1</v>
      </c>
      <c r="M208" s="496">
        <v>30000000</v>
      </c>
      <c r="N208" s="496">
        <f t="shared" si="10"/>
        <v>30000000</v>
      </c>
      <c r="O208" s="503" t="s">
        <v>1444</v>
      </c>
      <c r="P208" s="503" t="s">
        <v>1443</v>
      </c>
    </row>
    <row r="209" spans="2:16" s="491" customFormat="1" ht="44.25" customHeight="1" x14ac:dyDescent="0.25">
      <c r="B209" s="494" t="s">
        <v>1276</v>
      </c>
      <c r="C209" s="494" t="s">
        <v>1352</v>
      </c>
      <c r="D209" s="494" t="s">
        <v>14</v>
      </c>
      <c r="E209" s="507" t="s">
        <v>1440</v>
      </c>
      <c r="F209" s="494" t="s">
        <v>869</v>
      </c>
      <c r="G209" s="494" t="s">
        <v>870</v>
      </c>
      <c r="H209" s="494" t="s">
        <v>298</v>
      </c>
      <c r="I209" s="502" t="s">
        <v>1442</v>
      </c>
      <c r="J209" s="504" t="s">
        <v>1441</v>
      </c>
      <c r="K209" s="504" t="s">
        <v>1373</v>
      </c>
      <c r="L209" s="500">
        <v>1</v>
      </c>
      <c r="M209" s="496">
        <v>130000000</v>
      </c>
      <c r="N209" s="496">
        <f t="shared" si="10"/>
        <v>130000000</v>
      </c>
      <c r="O209" s="503" t="s">
        <v>1426</v>
      </c>
      <c r="P209" s="503" t="s">
        <v>1437</v>
      </c>
    </row>
    <row r="210" spans="2:16" s="491" customFormat="1" ht="44.25" customHeight="1" x14ac:dyDescent="0.25">
      <c r="B210" s="495" t="s">
        <v>1276</v>
      </c>
      <c r="C210" s="495" t="s">
        <v>1352</v>
      </c>
      <c r="D210" s="495" t="s">
        <v>14</v>
      </c>
      <c r="E210" s="506" t="s">
        <v>1440</v>
      </c>
      <c r="F210" s="495" t="s">
        <v>869</v>
      </c>
      <c r="G210" s="495" t="s">
        <v>870</v>
      </c>
      <c r="H210" s="495" t="s">
        <v>298</v>
      </c>
      <c r="I210" s="505" t="s">
        <v>1439</v>
      </c>
      <c r="J210" s="504" t="s">
        <v>1438</v>
      </c>
      <c r="K210" s="504" t="s">
        <v>1373</v>
      </c>
      <c r="L210" s="500">
        <v>1</v>
      </c>
      <c r="M210" s="496">
        <v>35000000</v>
      </c>
      <c r="N210" s="496">
        <f t="shared" si="10"/>
        <v>35000000</v>
      </c>
      <c r="O210" s="503" t="s">
        <v>1426</v>
      </c>
      <c r="P210" s="503" t="s">
        <v>1437</v>
      </c>
    </row>
    <row r="211" spans="2:16" s="491" customFormat="1" ht="38.25" customHeight="1" x14ac:dyDescent="0.25">
      <c r="B211" s="494" t="s">
        <v>1276</v>
      </c>
      <c r="C211" s="494" t="s">
        <v>1352</v>
      </c>
      <c r="D211" s="494" t="s">
        <v>14</v>
      </c>
      <c r="E211" s="498" t="s">
        <v>1429</v>
      </c>
      <c r="F211" s="494" t="s">
        <v>869</v>
      </c>
      <c r="G211" s="494" t="s">
        <v>870</v>
      </c>
      <c r="H211" s="494" t="s">
        <v>298</v>
      </c>
      <c r="I211" s="502" t="s">
        <v>1436</v>
      </c>
      <c r="J211" s="501" t="s">
        <v>1434</v>
      </c>
      <c r="K211" s="501" t="s">
        <v>1417</v>
      </c>
      <c r="L211" s="500">
        <v>1</v>
      </c>
      <c r="M211" s="496">
        <v>24698712.500000004</v>
      </c>
      <c r="N211" s="496">
        <f t="shared" si="10"/>
        <v>24698712.500000004</v>
      </c>
      <c r="O211" s="499">
        <v>44942</v>
      </c>
      <c r="P211" s="499">
        <v>45275</v>
      </c>
    </row>
    <row r="212" spans="2:16" s="491" customFormat="1" ht="38.25" customHeight="1" x14ac:dyDescent="0.25">
      <c r="B212" s="494" t="s">
        <v>1276</v>
      </c>
      <c r="C212" s="494" t="s">
        <v>1352</v>
      </c>
      <c r="D212" s="494" t="s">
        <v>14</v>
      </c>
      <c r="E212" s="498" t="s">
        <v>1429</v>
      </c>
      <c r="F212" s="494" t="s">
        <v>869</v>
      </c>
      <c r="G212" s="494" t="s">
        <v>870</v>
      </c>
      <c r="H212" s="494" t="s">
        <v>298</v>
      </c>
      <c r="I212" s="502" t="s">
        <v>1435</v>
      </c>
      <c r="J212" s="501" t="s">
        <v>1434</v>
      </c>
      <c r="K212" s="501" t="s">
        <v>1417</v>
      </c>
      <c r="L212" s="500">
        <v>1</v>
      </c>
      <c r="M212" s="496">
        <v>24698712.500000004</v>
      </c>
      <c r="N212" s="496">
        <f t="shared" si="10"/>
        <v>24698712.500000004</v>
      </c>
      <c r="O212" s="499">
        <v>44942</v>
      </c>
      <c r="P212" s="499">
        <v>45275</v>
      </c>
    </row>
    <row r="213" spans="2:16" s="494" customFormat="1" ht="44.25" customHeight="1" x14ac:dyDescent="0.25">
      <c r="B213" s="494" t="s">
        <v>1276</v>
      </c>
      <c r="C213" s="494" t="s">
        <v>1352</v>
      </c>
      <c r="D213" s="494" t="s">
        <v>14</v>
      </c>
      <c r="E213" s="498" t="s">
        <v>1429</v>
      </c>
      <c r="F213" s="494" t="s">
        <v>869</v>
      </c>
      <c r="G213" s="494" t="s">
        <v>870</v>
      </c>
      <c r="H213" s="494" t="s">
        <v>298</v>
      </c>
      <c r="I213" s="494" t="s">
        <v>1433</v>
      </c>
      <c r="J213" s="494" t="s">
        <v>1432</v>
      </c>
      <c r="K213" s="494" t="s">
        <v>1373</v>
      </c>
      <c r="L213" s="494">
        <v>1</v>
      </c>
      <c r="M213" s="496">
        <v>300000000</v>
      </c>
      <c r="N213" s="496">
        <f>+M213</f>
        <v>300000000</v>
      </c>
      <c r="O213" s="494" t="s">
        <v>1426</v>
      </c>
      <c r="P213" s="494" t="s">
        <v>1425</v>
      </c>
    </row>
    <row r="214" spans="2:16" s="494" customFormat="1" ht="44.25" customHeight="1" x14ac:dyDescent="0.25">
      <c r="B214" s="494" t="s">
        <v>1276</v>
      </c>
      <c r="C214" s="494" t="s">
        <v>1352</v>
      </c>
      <c r="D214" s="494" t="s">
        <v>14</v>
      </c>
      <c r="E214" s="498" t="s">
        <v>1429</v>
      </c>
      <c r="F214" s="494" t="s">
        <v>869</v>
      </c>
      <c r="G214" s="494" t="s">
        <v>870</v>
      </c>
      <c r="H214" s="494" t="s">
        <v>298</v>
      </c>
      <c r="I214" s="494" t="s">
        <v>1431</v>
      </c>
      <c r="J214" s="494" t="s">
        <v>1430</v>
      </c>
      <c r="K214" s="494" t="s">
        <v>1373</v>
      </c>
      <c r="L214" s="494">
        <v>1</v>
      </c>
      <c r="M214" s="496">
        <v>3000000</v>
      </c>
      <c r="N214" s="496">
        <f>+M214</f>
        <v>3000000</v>
      </c>
      <c r="O214" s="494" t="s">
        <v>1426</v>
      </c>
      <c r="P214" s="494" t="s">
        <v>1425</v>
      </c>
    </row>
    <row r="215" spans="2:16" s="494" customFormat="1" ht="44.25" customHeight="1" x14ac:dyDescent="0.25">
      <c r="B215" s="495" t="s">
        <v>1276</v>
      </c>
      <c r="C215" s="495" t="s">
        <v>1352</v>
      </c>
      <c r="D215" s="495" t="s">
        <v>14</v>
      </c>
      <c r="E215" s="497" t="s">
        <v>1429</v>
      </c>
      <c r="F215" s="495" t="s">
        <v>869</v>
      </c>
      <c r="G215" s="495" t="s">
        <v>870</v>
      </c>
      <c r="H215" s="495" t="s">
        <v>298</v>
      </c>
      <c r="I215" s="495" t="s">
        <v>1428</v>
      </c>
      <c r="J215" s="495" t="s">
        <v>1427</v>
      </c>
      <c r="K215" s="495" t="s">
        <v>1373</v>
      </c>
      <c r="L215" s="495">
        <v>1</v>
      </c>
      <c r="M215" s="496">
        <v>3000000</v>
      </c>
      <c r="N215" s="496">
        <f>+M215</f>
        <v>3000000</v>
      </c>
      <c r="O215" s="495" t="s">
        <v>1426</v>
      </c>
      <c r="P215" s="495" t="s">
        <v>1425</v>
      </c>
    </row>
    <row r="217" spans="2:16" hidden="1" x14ac:dyDescent="0.25">
      <c r="B217" s="1008" t="s">
        <v>1424</v>
      </c>
      <c r="C217" s="1008"/>
      <c r="D217" s="1008"/>
      <c r="E217" s="1008"/>
      <c r="F217" s="1008"/>
    </row>
    <row r="218" spans="2:16" hidden="1" x14ac:dyDescent="0.25"/>
    <row r="219" spans="2:16" ht="26.4" hidden="1" x14ac:dyDescent="0.25">
      <c r="B219" s="490" t="s">
        <v>1423</v>
      </c>
      <c r="C219" s="490" t="s">
        <v>1417</v>
      </c>
      <c r="D219" s="490" t="s">
        <v>1373</v>
      </c>
    </row>
    <row r="220" spans="2:16" hidden="1" x14ac:dyDescent="0.25">
      <c r="C220" s="489">
        <v>49397425.000000007</v>
      </c>
      <c r="D220" s="489">
        <v>306000000</v>
      </c>
    </row>
    <row r="221" spans="2:16" hidden="1" x14ac:dyDescent="0.25"/>
    <row r="222" spans="2:16" ht="26.4" hidden="1" x14ac:dyDescent="0.25">
      <c r="B222" s="490" t="s">
        <v>1422</v>
      </c>
      <c r="C222" s="490" t="s">
        <v>1417</v>
      </c>
      <c r="D222" s="490" t="s">
        <v>1373</v>
      </c>
    </row>
    <row r="223" spans="2:16" hidden="1" x14ac:dyDescent="0.25">
      <c r="C223" s="489">
        <v>143191125</v>
      </c>
      <c r="D223" s="489">
        <v>384000000</v>
      </c>
    </row>
    <row r="224" spans="2:16" hidden="1" x14ac:dyDescent="0.25"/>
    <row r="225" spans="2:10" ht="26.4" hidden="1" x14ac:dyDescent="0.25">
      <c r="B225" s="490" t="s">
        <v>1421</v>
      </c>
      <c r="C225" s="490" t="s">
        <v>1417</v>
      </c>
      <c r="D225" s="493" t="s">
        <v>1392</v>
      </c>
      <c r="E225" s="493" t="s">
        <v>1416</v>
      </c>
      <c r="F225" s="493" t="s">
        <v>1420</v>
      </c>
    </row>
    <row r="226" spans="2:10" ht="13.8" hidden="1" x14ac:dyDescent="0.25">
      <c r="C226" s="489">
        <v>683919790.85759985</v>
      </c>
      <c r="D226" s="492">
        <v>672735428</v>
      </c>
      <c r="E226" s="492">
        <v>1070486750</v>
      </c>
      <c r="F226" s="492">
        <v>5230323759</v>
      </c>
    </row>
    <row r="227" spans="2:10" hidden="1" x14ac:dyDescent="0.25">
      <c r="C227" s="491"/>
      <c r="D227" s="491"/>
      <c r="E227" s="491"/>
    </row>
    <row r="228" spans="2:10" ht="26.4" hidden="1" x14ac:dyDescent="0.25">
      <c r="B228" s="490" t="s">
        <v>1419</v>
      </c>
      <c r="C228" s="490" t="s">
        <v>1417</v>
      </c>
      <c r="D228" s="490" t="s">
        <v>1373</v>
      </c>
      <c r="E228" s="490" t="s">
        <v>1379</v>
      </c>
      <c r="F228" s="490" t="s">
        <v>1401</v>
      </c>
      <c r="G228" s="490" t="s">
        <v>1415</v>
      </c>
    </row>
    <row r="229" spans="2:10" hidden="1" x14ac:dyDescent="0.25">
      <c r="C229" s="489">
        <v>235750394.00000003</v>
      </c>
      <c r="D229" s="489">
        <v>3356905000</v>
      </c>
      <c r="E229" s="489">
        <v>57800000</v>
      </c>
      <c r="F229" s="489">
        <v>2048575000</v>
      </c>
      <c r="G229" s="489">
        <v>521200000</v>
      </c>
    </row>
    <row r="230" spans="2:10" hidden="1" x14ac:dyDescent="0.25"/>
    <row r="231" spans="2:10" ht="26.4" hidden="1" x14ac:dyDescent="0.25">
      <c r="B231" s="490" t="s">
        <v>1</v>
      </c>
      <c r="C231" s="490" t="s">
        <v>1417</v>
      </c>
      <c r="D231" s="490" t="s">
        <v>1373</v>
      </c>
      <c r="E231" s="490" t="s">
        <v>1379</v>
      </c>
      <c r="F231" s="490" t="s">
        <v>1395</v>
      </c>
    </row>
    <row r="232" spans="2:10" hidden="1" x14ac:dyDescent="0.25">
      <c r="C232" s="489">
        <v>234663897.60000002</v>
      </c>
      <c r="D232" s="489">
        <v>770015000</v>
      </c>
      <c r="E232" s="489">
        <v>150000000</v>
      </c>
      <c r="F232" s="489">
        <v>100000000</v>
      </c>
    </row>
    <row r="233" spans="2:10" hidden="1" x14ac:dyDescent="0.25"/>
    <row r="234" spans="2:10" ht="26.4" hidden="1" x14ac:dyDescent="0.25">
      <c r="B234" s="488" t="s">
        <v>1418</v>
      </c>
      <c r="C234" s="486" t="s">
        <v>1417</v>
      </c>
      <c r="D234" s="486" t="s">
        <v>1392</v>
      </c>
      <c r="E234" s="486" t="s">
        <v>1416</v>
      </c>
      <c r="F234" s="486" t="s">
        <v>1373</v>
      </c>
      <c r="G234" s="486" t="s">
        <v>1379</v>
      </c>
      <c r="H234" s="486" t="s">
        <v>1401</v>
      </c>
      <c r="I234" s="486" t="s">
        <v>1395</v>
      </c>
      <c r="J234" s="486" t="s">
        <v>1415</v>
      </c>
    </row>
    <row r="235" spans="2:10" hidden="1" x14ac:dyDescent="0.25">
      <c r="C235" s="487">
        <f>+C232+C229+C226+C223+C220</f>
        <v>1346922632.4575999</v>
      </c>
      <c r="D235" s="487">
        <f>+D226</f>
        <v>672735428</v>
      </c>
      <c r="E235" s="487">
        <f>+E226</f>
        <v>1070486750</v>
      </c>
      <c r="F235" s="487">
        <f>+D232+D229+D223+D220+F226</f>
        <v>10047243759</v>
      </c>
      <c r="G235" s="487">
        <f>+E229+E232</f>
        <v>207800000</v>
      </c>
      <c r="H235" s="487">
        <f>+F229</f>
        <v>2048575000</v>
      </c>
      <c r="I235" s="487">
        <f>+F232</f>
        <v>100000000</v>
      </c>
      <c r="J235" s="487">
        <f>+G229</f>
        <v>521200000</v>
      </c>
    </row>
    <row r="236" spans="2:10" ht="13.8" hidden="1" thickBot="1" x14ac:dyDescent="0.3"/>
    <row r="237" spans="2:10" ht="27" hidden="1" thickBot="1" x14ac:dyDescent="0.3">
      <c r="C237" s="486" t="str">
        <f>+C234</f>
        <v>Prestación de Servicios</v>
      </c>
      <c r="D237" s="1005" t="s">
        <v>1414</v>
      </c>
      <c r="E237" s="1006"/>
      <c r="F237" s="1006"/>
      <c r="G237" s="1006"/>
      <c r="H237" s="1006"/>
      <c r="I237" s="1006"/>
      <c r="J237" s="1007"/>
    </row>
    <row r="238" spans="2:10" ht="13.8" hidden="1" thickBot="1" x14ac:dyDescent="0.3">
      <c r="C238" s="485">
        <f>+C235</f>
        <v>1346922632.4575999</v>
      </c>
      <c r="D238" s="484"/>
      <c r="E238" s="483"/>
      <c r="F238" s="481"/>
      <c r="G238" s="482">
        <f>SUM(D235:J235)</f>
        <v>14668040937</v>
      </c>
      <c r="H238" s="481"/>
      <c r="I238" s="481"/>
      <c r="J238" s="480"/>
    </row>
    <row r="239" spans="2:10" ht="13.8" thickBot="1" x14ac:dyDescent="0.3"/>
    <row r="240" spans="2:10" ht="15" thickTop="1" thickBot="1" x14ac:dyDescent="0.3">
      <c r="B240" s="960" t="s">
        <v>1084</v>
      </c>
      <c r="C240" s="960"/>
      <c r="D240" s="740" t="s">
        <v>2086</v>
      </c>
      <c r="E240" s="740" t="s">
        <v>1085</v>
      </c>
      <c r="F240" s="740" t="s">
        <v>2087</v>
      </c>
      <c r="G240" s="960" t="s">
        <v>1087</v>
      </c>
      <c r="H240" s="960"/>
      <c r="I240" s="740">
        <v>2</v>
      </c>
    </row>
    <row r="241" ht="13.8" thickTop="1" x14ac:dyDescent="0.25"/>
  </sheetData>
  <autoFilter ref="B2:Q215" xr:uid="{75D2900A-422D-49CD-AB4D-D30E345AC45C}"/>
  <mergeCells count="192">
    <mergeCell ref="M139:M140"/>
    <mergeCell ref="N139:N140"/>
    <mergeCell ref="O139:O140"/>
    <mergeCell ref="D237:J237"/>
    <mergeCell ref="P139:P140"/>
    <mergeCell ref="B141:B142"/>
    <mergeCell ref="C141:C142"/>
    <mergeCell ref="D141:D142"/>
    <mergeCell ref="E141:E142"/>
    <mergeCell ref="F141:F142"/>
    <mergeCell ref="G141:G142"/>
    <mergeCell ref="H141:H142"/>
    <mergeCell ref="I141:I142"/>
    <mergeCell ref="H139:H140"/>
    <mergeCell ref="I139:I140"/>
    <mergeCell ref="B217:F217"/>
    <mergeCell ref="B139:B140"/>
    <mergeCell ref="C139:C140"/>
    <mergeCell ref="D139:D140"/>
    <mergeCell ref="E139:E140"/>
    <mergeCell ref="F139:F140"/>
    <mergeCell ref="G139:G140"/>
    <mergeCell ref="J139:J140"/>
    <mergeCell ref="K139:K140"/>
    <mergeCell ref="L139:L140"/>
    <mergeCell ref="M129:M131"/>
    <mergeCell ref="N129:N131"/>
    <mergeCell ref="O129:O131"/>
    <mergeCell ref="H136:H138"/>
    <mergeCell ref="I136:I138"/>
    <mergeCell ref="P129:P131"/>
    <mergeCell ref="B132:B135"/>
    <mergeCell ref="C132:C135"/>
    <mergeCell ref="D132:D135"/>
    <mergeCell ref="E132:E135"/>
    <mergeCell ref="F132:F135"/>
    <mergeCell ref="G132:G135"/>
    <mergeCell ref="H132:H135"/>
    <mergeCell ref="J129:J131"/>
    <mergeCell ref="K129:K131"/>
    <mergeCell ref="B136:B138"/>
    <mergeCell ref="C136:C138"/>
    <mergeCell ref="D136:D138"/>
    <mergeCell ref="E136:E138"/>
    <mergeCell ref="F136:F138"/>
    <mergeCell ref="G136:G138"/>
    <mergeCell ref="B129:B131"/>
    <mergeCell ref="C129:C131"/>
    <mergeCell ref="D129:D131"/>
    <mergeCell ref="E129:E131"/>
    <mergeCell ref="F129:F131"/>
    <mergeCell ref="G129:G131"/>
    <mergeCell ref="H129:H131"/>
    <mergeCell ref="I129:I131"/>
    <mergeCell ref="L129:L131"/>
    <mergeCell ref="B123:B124"/>
    <mergeCell ref="C123:C124"/>
    <mergeCell ref="D123:D124"/>
    <mergeCell ref="E123:E124"/>
    <mergeCell ref="F123:F124"/>
    <mergeCell ref="G123:G124"/>
    <mergeCell ref="H123:H124"/>
    <mergeCell ref="I123:I124"/>
    <mergeCell ref="B125:B127"/>
    <mergeCell ref="C125:C127"/>
    <mergeCell ref="D125:D127"/>
    <mergeCell ref="E125:E127"/>
    <mergeCell ref="F125:F127"/>
    <mergeCell ref="G125:G127"/>
    <mergeCell ref="H125:H127"/>
    <mergeCell ref="I125:I127"/>
    <mergeCell ref="B118:B120"/>
    <mergeCell ref="C118:C120"/>
    <mergeCell ref="D118:D120"/>
    <mergeCell ref="E118:E120"/>
    <mergeCell ref="F118:F120"/>
    <mergeCell ref="G118:G120"/>
    <mergeCell ref="H118:H120"/>
    <mergeCell ref="I118:I120"/>
    <mergeCell ref="B121:B122"/>
    <mergeCell ref="C121:C122"/>
    <mergeCell ref="D121:D122"/>
    <mergeCell ref="E121:E122"/>
    <mergeCell ref="F121:F122"/>
    <mergeCell ref="G121:G122"/>
    <mergeCell ref="H121:H122"/>
    <mergeCell ref="I121:I122"/>
    <mergeCell ref="C108:C114"/>
    <mergeCell ref="D108:D114"/>
    <mergeCell ref="E108:E114"/>
    <mergeCell ref="F108:F114"/>
    <mergeCell ref="G108:G114"/>
    <mergeCell ref="H108:H114"/>
    <mergeCell ref="I108:I110"/>
    <mergeCell ref="B115:B117"/>
    <mergeCell ref="C115:C117"/>
    <mergeCell ref="D115:D117"/>
    <mergeCell ref="E115:E117"/>
    <mergeCell ref="F115:F117"/>
    <mergeCell ref="G115:G117"/>
    <mergeCell ref="H115:H117"/>
    <mergeCell ref="I115:I117"/>
    <mergeCell ref="I104:I105"/>
    <mergeCell ref="B106:B107"/>
    <mergeCell ref="C106:C107"/>
    <mergeCell ref="D106:D107"/>
    <mergeCell ref="E106:E107"/>
    <mergeCell ref="F106:F107"/>
    <mergeCell ref="G106:G107"/>
    <mergeCell ref="H106:H107"/>
    <mergeCell ref="I106:I107"/>
    <mergeCell ref="O28:O29"/>
    <mergeCell ref="P28:P29"/>
    <mergeCell ref="E67:E74"/>
    <mergeCell ref="M26:M27"/>
    <mergeCell ref="N26:N27"/>
    <mergeCell ref="O26:O27"/>
    <mergeCell ref="P26:P27"/>
    <mergeCell ref="L26:L27"/>
    <mergeCell ref="B102:B103"/>
    <mergeCell ref="C102:C103"/>
    <mergeCell ref="D102:D103"/>
    <mergeCell ref="E102:E103"/>
    <mergeCell ref="F102:F103"/>
    <mergeCell ref="G102:G103"/>
    <mergeCell ref="H102:H103"/>
    <mergeCell ref="I102:I103"/>
    <mergeCell ref="D28:D29"/>
    <mergeCell ref="E28:E29"/>
    <mergeCell ref="H28:H29"/>
    <mergeCell ref="I28:I29"/>
    <mergeCell ref="J28:J29"/>
    <mergeCell ref="K28:K29"/>
    <mergeCell ref="L28:L29"/>
    <mergeCell ref="M28:M29"/>
    <mergeCell ref="M9:M10"/>
    <mergeCell ref="B12:B17"/>
    <mergeCell ref="C12:C17"/>
    <mergeCell ref="C18:C19"/>
    <mergeCell ref="D18:D19"/>
    <mergeCell ref="E18:E19"/>
    <mergeCell ref="F18:F19"/>
    <mergeCell ref="G18:G19"/>
    <mergeCell ref="N9:N10"/>
    <mergeCell ref="N28:N29"/>
    <mergeCell ref="B1:P1"/>
    <mergeCell ref="B3:B5"/>
    <mergeCell ref="C3:C5"/>
    <mergeCell ref="D3:D5"/>
    <mergeCell ref="E3:E5"/>
    <mergeCell ref="F3:F5"/>
    <mergeCell ref="G3:G5"/>
    <mergeCell ref="H3:H5"/>
    <mergeCell ref="O9:O10"/>
    <mergeCell ref="P9:P10"/>
    <mergeCell ref="D12:D17"/>
    <mergeCell ref="E12:E17"/>
    <mergeCell ref="F12:F17"/>
    <mergeCell ref="G12:G17"/>
    <mergeCell ref="I9:I10"/>
    <mergeCell ref="J9:J10"/>
    <mergeCell ref="B26:B27"/>
    <mergeCell ref="H26:H27"/>
    <mergeCell ref="I26:I27"/>
    <mergeCell ref="J26:J27"/>
    <mergeCell ref="K26:K27"/>
    <mergeCell ref="K9:K10"/>
    <mergeCell ref="L9:L10"/>
    <mergeCell ref="B240:C240"/>
    <mergeCell ref="G240:H240"/>
    <mergeCell ref="H6:H8"/>
    <mergeCell ref="B9:B10"/>
    <mergeCell ref="C9:C10"/>
    <mergeCell ref="D9:D10"/>
    <mergeCell ref="E9:E10"/>
    <mergeCell ref="F9:F10"/>
    <mergeCell ref="G9:G10"/>
    <mergeCell ref="B6:B8"/>
    <mergeCell ref="C6:C8"/>
    <mergeCell ref="D6:D8"/>
    <mergeCell ref="E6:E8"/>
    <mergeCell ref="F6:F8"/>
    <mergeCell ref="G6:G8"/>
    <mergeCell ref="B18:B19"/>
    <mergeCell ref="B104:B105"/>
    <mergeCell ref="C104:C105"/>
    <mergeCell ref="D104:D105"/>
    <mergeCell ref="E104:E105"/>
    <mergeCell ref="F104:F105"/>
    <mergeCell ref="G104:G105"/>
    <mergeCell ref="H104:H105"/>
    <mergeCell ref="B108:B114"/>
  </mergeCells>
  <dataValidations count="7">
    <dataValidation type="list" allowBlank="1" showInputMessage="1" showErrorMessage="1" sqref="B20:B26 B11:B12 B18 B3 B9 B6 B28:B32 B44:B104 B106 B108:B113 B115 B118 B121 B123:B125 B128:B129 B132 B136 B139 B141 WVJ145:WVJ189 WLN145:WLN189 WBR145:WBR189 VRV145:VRV189 VHZ145:VHZ189 UYD145:UYD189 UOH145:UOH189 UEL145:UEL189 TUP145:TUP189 TKT145:TKT189 TAX145:TAX189 SRB145:SRB189 SHF145:SHF189 RXJ145:RXJ189 RNN145:RNN189 RDR145:RDR189 QTV145:QTV189 QJZ145:QJZ189 QAD145:QAD189 PQH145:PQH189 PGL145:PGL189 OWP145:OWP189 OMT145:OMT189 OCX145:OCX189 NTB145:NTB189 NJF145:NJF189 MZJ145:MZJ189 MPN145:MPN189 MFR145:MFR189 LVV145:LVV189 LLZ145:LLZ189 LCD145:LCD189 KSH145:KSH189 KIL145:KIL189 JYP145:JYP189 JOT145:JOT189 JEX145:JEX189 IVB145:IVB189 ILF145:ILF189 IBJ145:IBJ189 HRN145:HRN189 HHR145:HHR189 GXV145:GXV189 GNZ145:GNZ189 GED145:GED189 FUH145:FUH189 FKL145:FKL189 FAP145:FAP189 EQT145:EQT189 EGX145:EGX189 DXB145:DXB189 DNF145:DNF189 DDJ145:DDJ189 CTN145:CTN189 CJR145:CJR189 BZV145:BZV189 BPZ145:BPZ189 BGD145:BGD189 AWH145:AWH189 AML145:AML189 ACP145:ACP189 ST145:ST189 IX145:IX189 B143:B215" xr:uid="{175D985C-7464-4480-922A-D3EA7E2BF197}">
      <formula1>ESTRATEGIA</formula1>
    </dataValidation>
    <dataValidation type="list" allowBlank="1" showInputMessage="1" showErrorMessage="1" sqref="F20:F32 F11:F12 F18 F3 F9 F6 F44:F74 WVN145:WVN189 WLR145:WLR189 WBV145:WBV189 VRZ145:VRZ189 VID145:VID189 UYH145:UYH189 UOL145:UOL189 UEP145:UEP189 TUT145:TUT189 TKX145:TKX189 TBB145:TBB189 SRF145:SRF189 SHJ145:SHJ189 RXN145:RXN189 RNR145:RNR189 RDV145:RDV189 QTZ145:QTZ189 QKD145:QKD189 QAH145:QAH189 PQL145:PQL189 PGP145:PGP189 OWT145:OWT189 OMX145:OMX189 ODB145:ODB189 NTF145:NTF189 NJJ145:NJJ189 MZN145:MZN189 MPR145:MPR189 MFV145:MFV189 LVZ145:LVZ189 LMD145:LMD189 LCH145:LCH189 KSL145:KSL189 KIP145:KIP189 JYT145:JYT189 JOX145:JOX189 JFB145:JFB189 IVF145:IVF189 ILJ145:ILJ189 IBN145:IBN189 HRR145:HRR189 HHV145:HHV189 GXZ145:GXZ189 GOD145:GOD189 GEH145:GEH189 FUL145:FUL189 FKP145:FKP189 FAT145:FAT189 EQX145:EQX189 EHB145:EHB189 DXF145:DXF189 DNJ145:DNJ189 DDN145:DDN189 CTR145:CTR189 CJV145:CJV189 BZZ145:BZZ189 BQD145:BQD189 BGH145:BGH189 AWL145:AWL189 AMP145:AMP189 ACT145:ACT189 SX145:SX189 JB145:JB189 F145:F196" xr:uid="{FA16DFCC-BB61-4E73-98E5-7C9249D0F886}">
      <formula1>PES</formula1>
    </dataValidation>
    <dataValidation type="list" allowBlank="1" showInputMessage="1" showErrorMessage="1" sqref="G21:G32 G11:G12 G18 G3 G9 G37:G74 JC185:JC186 SY185:SY186 ACU185:ACU186 AMQ185:AMQ186 AWM185:AWM186 BGI185:BGI186 BQE185:BQE186 CAA185:CAA186 CJW185:CJW186 CTS185:CTS186 DDO185:DDO186 DNK185:DNK186 DXG185:DXG186 EHC185:EHC186 EQY185:EQY186 FAU185:FAU186 FKQ185:FKQ186 FUM185:FUM186 GEI185:GEI186 GOE185:GOE186 GYA185:GYA186 HHW185:HHW186 HRS185:HRS186 IBO185:IBO186 ILK185:ILK186 IVG185:IVG186 JFC185:JFC186 JOY185:JOY186 JYU185:JYU186 KIQ185:KIQ186 KSM185:KSM186 LCI185:LCI186 LME185:LME186 LWA185:LWA186 MFW185:MFW186 MPS185:MPS186 MZO185:MZO186 NJK185:NJK186 NTG185:NTG186 ODC185:ODC186 OMY185:OMY186 OWU185:OWU186 PGQ185:PGQ186 PQM185:PQM186 QAI185:QAI186 QKE185:QKE186 QUA185:QUA186 RDW185:RDW186 RNS185:RNS186 RXO185:RXO186 SHK185:SHK186 SRG185:SRG186 TBC185:TBC186 TKY185:TKY186 TUU185:TUU186 UEQ185:UEQ186 UOM185:UOM186 UYI185:UYI186 VIE185:VIE186 VSA185:VSA186 WBW185:WBW186 WLS185:WLS186 WVO185:WVO186 JC189 SY189 ACU189 AMQ189 AWM189 BGI189 BQE189 CAA189 CJW189 CTS189 DDO189 DNK189 DXG189 EHC189 EQY189 FAU189 FKQ189 FUM189 GEI189 GOE189 GYA189 HHW189 HRS189 IBO189 ILK189 IVG189 JFC189 JOY189 JYU189 KIQ189 KSM189 LCI189 LME189 LWA189 MFW189 MPS189 MZO189 NJK189 NTG189 ODC189 OMY189 OWU189 PGQ189 PQM189 QAI189 QKE189 QUA189 RDW189 RNS189 RXO189 SHK189 SRG189 TBC189 TKY189 TUU189 UEQ189 UOM189 UYI189 VIE189 VSA189 WBW189 WLS189 WVO189 WVO145:WVO183 WLS145:WLS183 WBW145:WBW183 VSA145:VSA183 VIE145:VIE183 UYI145:UYI183 UOM145:UOM183 UEQ145:UEQ183 TUU145:TUU183 TKY145:TKY183 TBC145:TBC183 SRG145:SRG183 SHK145:SHK183 RXO145:RXO183 RNS145:RNS183 RDW145:RDW183 QUA145:QUA183 QKE145:QKE183 QAI145:QAI183 PQM145:PQM183 PGQ145:PGQ183 OWU145:OWU183 OMY145:OMY183 ODC145:ODC183 NTG145:NTG183 NJK145:NJK183 MZO145:MZO183 MPS145:MPS183 MFW145:MFW183 LWA145:LWA183 LME145:LME183 LCI145:LCI183 KSM145:KSM183 KIQ145:KIQ183 JYU145:JYU183 JOY145:JOY183 JFC145:JFC183 IVG145:IVG183 ILK145:ILK183 IBO145:IBO183 HRS145:HRS183 HHW145:HHW183 GYA145:GYA183 GOE145:GOE183 GEI145:GEI183 FUM145:FUM183 FKQ145:FKQ183 FAU145:FAU183 EQY145:EQY183 EHC145:EHC183 DXG145:DXG183 DNK145:DNK183 DDO145:DDO183 CTS145:CTS183 CJW145:CJW183 CAA145:CAA183 BQE145:BQE183 BGI145:BGI183 AWM145:AWM183 AMQ145:AMQ183 ACU145:ACU183 SY145:SY183 JC145:JC183 G145:G196" xr:uid="{382E9E9F-E4F9-49E2-A24A-0A248DA1488F}">
      <formula1>ME</formula1>
    </dataValidation>
    <dataValidation type="list" allowBlank="1" showInputMessage="1" showErrorMessage="1" sqref="E20:E28 E11:E12 E18 E3 E9 E6 E30:E66 E75:E104 E121 E123:E125 E128:E129 E132 E136 E139 E141 E106:E118 WVM145:WVM189 WLQ145:WLQ189 WBU145:WBU189 VRY145:VRY189 VIC145:VIC189 UYG145:UYG189 UOK145:UOK189 UEO145:UEO189 TUS145:TUS189 TKW145:TKW189 TBA145:TBA189 SRE145:SRE189 SHI145:SHI189 RXM145:RXM189 RNQ145:RNQ189 RDU145:RDU189 QTY145:QTY189 QKC145:QKC189 QAG145:QAG189 PQK145:PQK189 PGO145:PGO189 OWS145:OWS189 OMW145:OMW189 ODA145:ODA189 NTE145:NTE189 NJI145:NJI189 MZM145:MZM189 MPQ145:MPQ189 MFU145:MFU189 LVY145:LVY189 LMC145:LMC189 LCG145:LCG189 KSK145:KSK189 KIO145:KIO189 JYS145:JYS189 JOW145:JOW189 JFA145:JFA189 IVE145:IVE189 ILI145:ILI189 IBM145:IBM189 HRQ145:HRQ189 HHU145:HHU189 GXY145:GXY189 GOC145:GOC189 GEG145:GEG189 FUK145:FUK189 FKO145:FKO189 FAS145:FAS189 EQW145:EQW189 EHA145:EHA189 DXE145:DXE189 DNI145:DNI189 DDM145:DDM189 CTQ145:CTQ189 CJU145:CJU189 BZY145:BZY189 BQC145:BQC189 BGG145:BGG189 AWK145:AWK189 AMO145:AMO189 ACS145:ACS189 SW145:SW189 JA145:JA189 E143:E215" xr:uid="{0383091D-B378-455C-ACD8-1E24006743AA}">
      <formula1>SU</formula1>
    </dataValidation>
    <dataValidation type="list" allowBlank="1" showInputMessage="1" showErrorMessage="1" sqref="H22 H20 H11:H12 H18 H3 H9 H6 H25 H49:H58 H62:H74 H30:H32 H37:H44 JD185:JD186 SZ185:SZ186 ACV185:ACV186 AMR185:AMR186 AWN185:AWN186 BGJ185:BGJ186 BQF185:BQF186 CAB185:CAB186 CJX185:CJX186 CTT185:CTT186 DDP185:DDP186 DNL185:DNL186 DXH185:DXH186 EHD185:EHD186 EQZ185:EQZ186 FAV185:FAV186 FKR185:FKR186 FUN185:FUN186 GEJ185:GEJ186 GOF185:GOF186 GYB185:GYB186 HHX185:HHX186 HRT185:HRT186 IBP185:IBP186 ILL185:ILL186 IVH185:IVH186 JFD185:JFD186 JOZ185:JOZ186 JYV185:JYV186 KIR185:KIR186 KSN185:KSN186 LCJ185:LCJ186 LMF185:LMF186 LWB185:LWB186 MFX185:MFX186 MPT185:MPT186 MZP185:MZP186 NJL185:NJL186 NTH185:NTH186 ODD185:ODD186 OMZ185:OMZ186 OWV185:OWV186 PGR185:PGR186 PQN185:PQN186 QAJ185:QAJ186 QKF185:QKF186 QUB185:QUB186 RDX185:RDX186 RNT185:RNT186 RXP185:RXP186 SHL185:SHL186 SRH185:SRH186 TBD185:TBD186 TKZ185:TKZ186 TUV185:TUV186 UER185:UER186 UON185:UON186 UYJ185:UYJ186 VIF185:VIF186 VSB185:VSB186 WBX185:WBX186 WLT185:WLT186 WVP185:WVP186 JD189 SZ189 ACV189 AMR189 AWN189 BGJ189 BQF189 CAB189 CJX189 CTT189 DDP189 DNL189 DXH189 EHD189 EQZ189 FAV189 FKR189 FUN189 GEJ189 GOF189 GYB189 HHX189 HRT189 IBP189 ILL189 IVH189 JFD189 JOZ189 JYV189 KIR189 KSN189 LCJ189 LMF189 LWB189 MFX189 MPT189 MZP189 NJL189 NTH189 ODD189 OMZ189 OWV189 PGR189 PQN189 QAJ189 QKF189 QUB189 RDX189 RNT189 RXP189 SHL189 SRH189 TBD189 TKZ189 TUV189 UER189 UON189 UYJ189 VIF189 VSB189 WBX189 WLT189 WVP189 WVP145:WVP183 WLT145:WLT183 WBX145:WBX183 VSB145:VSB183 VIF145:VIF183 UYJ145:UYJ183 UON145:UON183 UER145:UER183 TUV145:TUV183 TKZ145:TKZ183 TBD145:TBD183 SRH145:SRH183 SHL145:SHL183 RXP145:RXP183 RNT145:RNT183 RDX145:RDX183 QUB145:QUB183 QKF145:QKF183 QAJ145:QAJ183 PQN145:PQN183 PGR145:PGR183 OWV145:OWV183 OMZ145:OMZ183 ODD145:ODD183 NTH145:NTH183 NJL145:NJL183 MZP145:MZP183 MPT145:MPT183 MFX145:MFX183 LWB145:LWB183 LMF145:LMF183 LCJ145:LCJ183 KSN145:KSN183 KIR145:KIR183 JYV145:JYV183 JOZ145:JOZ183 JFD145:JFD183 IVH145:IVH183 ILL145:ILL183 IBP145:IBP183 HRT145:HRT183 HHX145:HHX183 GYB145:GYB183 GOF145:GOF183 GEJ145:GEJ183 FUN145:FUN183 FKR145:FKR183 FAV145:FAV183 EQZ145:EQZ183 EHD145:EHD183 DXH145:DXH183 DNL145:DNL183 DDP145:DDP183 CTT145:CTT183 CJX145:CJX183 CAB145:CAB183 BQF145:BQF183 BGJ145:BGJ183 AWN145:AWN183 AMR145:AMR183 ACV145:ACV183 SZ145:SZ183 JD145:JD183 H145:H196" xr:uid="{E27654F9-54C5-4F3F-98E3-7F2765FC7F70}">
      <formula1>IN</formula1>
    </dataValidation>
    <dataValidation type="list" allowBlank="1" showInputMessage="1" showErrorMessage="1" sqref="C18:C32 C3 C9:C12 C6 C37:C104 C121 C123:C125 C128:C129 C132 C136 C139 C141 C106:C118 WVK145:WVK189 WLO145:WLO189 WBS145:WBS189 VRW145:VRW189 VIA145:VIA189 UYE145:UYE189 UOI145:UOI189 UEM145:UEM189 TUQ145:TUQ189 TKU145:TKU189 TAY145:TAY189 SRC145:SRC189 SHG145:SHG189 RXK145:RXK189 RNO145:RNO189 RDS145:RDS189 QTW145:QTW189 QKA145:QKA189 QAE145:QAE189 PQI145:PQI189 PGM145:PGM189 OWQ145:OWQ189 OMU145:OMU189 OCY145:OCY189 NTC145:NTC189 NJG145:NJG189 MZK145:MZK189 MPO145:MPO189 MFS145:MFS189 LVW145:LVW189 LMA145:LMA189 LCE145:LCE189 KSI145:KSI189 KIM145:KIM189 JYQ145:JYQ189 JOU145:JOU189 JEY145:JEY189 IVC145:IVC189 ILG145:ILG189 IBK145:IBK189 HRO145:HRO189 HHS145:HHS189 GXW145:GXW189 GOA145:GOA189 GEE145:GEE189 FUI145:FUI189 FKM145:FKM189 FAQ145:FAQ189 EQU145:EQU189 EGY145:EGY189 DXC145:DXC189 DNG145:DNG189 DDK145:DDK189 CTO145:CTO189 CJS145:CJS189 BZW145:BZW189 BQA145:BQA189 BGE145:BGE189 AWI145:AWI189 AMM145:AMM189 ACQ145:ACQ189 SU145:SU189 IY145:IY189 C143:C215" xr:uid="{C647E1C9-484B-4C0A-861E-1C8C28554889}">
      <formula1>OE</formula1>
    </dataValidation>
    <dataValidation type="list" allowBlank="1" showInputMessage="1" showErrorMessage="1" sqref="D18:D24 D3 D9:D12 D6 D26:D28 D30:D104 D121 D123:D125 D128:D129 D132 D136 D139 D141 D106:D118 WVL145:WVL189 WLP145:WLP189 WBT145:WBT189 VRX145:VRX189 VIB145:VIB189 UYF145:UYF189 UOJ145:UOJ189 UEN145:UEN189 TUR145:TUR189 TKV145:TKV189 TAZ145:TAZ189 SRD145:SRD189 SHH145:SHH189 RXL145:RXL189 RNP145:RNP189 RDT145:RDT189 QTX145:QTX189 QKB145:QKB189 QAF145:QAF189 PQJ145:PQJ189 PGN145:PGN189 OWR145:OWR189 OMV145:OMV189 OCZ145:OCZ189 NTD145:NTD189 NJH145:NJH189 MZL145:MZL189 MPP145:MPP189 MFT145:MFT189 LVX145:LVX189 LMB145:LMB189 LCF145:LCF189 KSJ145:KSJ189 KIN145:KIN189 JYR145:JYR189 JOV145:JOV189 JEZ145:JEZ189 IVD145:IVD189 ILH145:ILH189 IBL145:IBL189 HRP145:HRP189 HHT145:HHT189 GXX145:GXX189 GOB145:GOB189 GEF145:GEF189 FUJ145:FUJ189 FKN145:FKN189 FAR145:FAR189 EQV145:EQV189 EGZ145:EGZ189 DXD145:DXD189 DNH145:DNH189 DDL145:DDL189 CTP145:CTP189 CJT145:CJT189 BZX145:BZX189 BQB145:BQB189 BGF145:BGF189 AWJ145:AWJ189 AMN145:AMN189 ACR145:ACR189 SV145:SV189 IZ145:IZ189 D143:D215" xr:uid="{4C12BB2E-20E7-4B27-B5FC-A68065F6E5A7}">
      <formula1>DE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6C5B-C260-4173-B3EC-D0B476EC1004}">
  <dimension ref="A1:I32"/>
  <sheetViews>
    <sheetView topLeftCell="A26" zoomScale="90" zoomScaleNormal="90" workbookViewId="0">
      <selection activeCell="A31" sqref="A31:H31"/>
    </sheetView>
  </sheetViews>
  <sheetFormatPr baseColWidth="10" defaultRowHeight="13.2" x14ac:dyDescent="0.25"/>
  <cols>
    <col min="1" max="1" width="19.77734375" customWidth="1"/>
    <col min="2" max="2" width="18.33203125" customWidth="1"/>
    <col min="3" max="3" width="21.5546875" customWidth="1"/>
    <col min="4" max="4" width="20.77734375" customWidth="1"/>
    <col min="5" max="5" width="17" customWidth="1"/>
    <col min="6" max="6" width="18.21875" customWidth="1"/>
    <col min="9" max="9" width="22.5546875" customWidth="1"/>
  </cols>
  <sheetData>
    <row r="1" spans="1:9" ht="17.399999999999999" x14ac:dyDescent="0.25">
      <c r="A1" s="1014" t="s">
        <v>1411</v>
      </c>
      <c r="B1" s="1014"/>
      <c r="C1" s="1014"/>
      <c r="D1" s="1014"/>
      <c r="E1" s="1014"/>
      <c r="F1" s="1014"/>
      <c r="G1" s="1014"/>
      <c r="H1" s="1014"/>
      <c r="I1" s="1014"/>
    </row>
    <row r="2" spans="1:9" s="608" customFormat="1" x14ac:dyDescent="0.25">
      <c r="A2" s="1011" t="s">
        <v>21</v>
      </c>
      <c r="B2" s="1011" t="s">
        <v>22</v>
      </c>
      <c r="C2" s="1011" t="s">
        <v>24</v>
      </c>
      <c r="D2" s="1011" t="s">
        <v>25</v>
      </c>
      <c r="E2" s="1011" t="s">
        <v>26</v>
      </c>
      <c r="F2" s="1011" t="s">
        <v>28</v>
      </c>
      <c r="G2" s="1011" t="s">
        <v>30</v>
      </c>
      <c r="H2" s="1011" t="s">
        <v>31</v>
      </c>
      <c r="I2" s="1023" t="s">
        <v>1712</v>
      </c>
    </row>
    <row r="3" spans="1:9" s="608" customFormat="1" x14ac:dyDescent="0.25">
      <c r="A3" s="1012"/>
      <c r="B3" s="1012"/>
      <c r="C3" s="1012"/>
      <c r="D3" s="1013"/>
      <c r="E3" s="1013"/>
      <c r="F3" s="1012"/>
      <c r="G3" s="1012"/>
      <c r="H3" s="1012"/>
      <c r="I3" s="1023"/>
    </row>
    <row r="4" spans="1:9" ht="343.2" customHeight="1" x14ac:dyDescent="0.25">
      <c r="A4" s="1022" t="s">
        <v>1742</v>
      </c>
      <c r="B4" s="1021" t="s">
        <v>1741</v>
      </c>
      <c r="C4" s="1024" t="s">
        <v>913</v>
      </c>
      <c r="D4" s="1025" t="s">
        <v>914</v>
      </c>
      <c r="E4" s="575" t="s">
        <v>1713</v>
      </c>
      <c r="F4" s="576" t="s">
        <v>1714</v>
      </c>
      <c r="G4" s="577">
        <v>44941</v>
      </c>
      <c r="H4" s="577">
        <v>45275</v>
      </c>
      <c r="I4" s="1027">
        <v>250000000</v>
      </c>
    </row>
    <row r="5" spans="1:9" ht="69" x14ac:dyDescent="0.25">
      <c r="A5" s="1022"/>
      <c r="B5" s="1021"/>
      <c r="C5" s="1024"/>
      <c r="D5" s="1026"/>
      <c r="E5" s="575" t="s">
        <v>1715</v>
      </c>
      <c r="F5" s="576"/>
      <c r="G5" s="577">
        <v>44941</v>
      </c>
      <c r="H5" s="577">
        <v>45275</v>
      </c>
      <c r="I5" s="1027"/>
    </row>
    <row r="6" spans="1:9" ht="41.4" x14ac:dyDescent="0.25">
      <c r="A6" s="1022"/>
      <c r="B6" s="1021"/>
      <c r="C6" s="1024"/>
      <c r="D6" s="1026"/>
      <c r="E6" s="575" t="s">
        <v>1716</v>
      </c>
      <c r="F6" s="576"/>
      <c r="G6" s="577">
        <v>44941</v>
      </c>
      <c r="H6" s="577">
        <v>45275</v>
      </c>
      <c r="I6" s="1027"/>
    </row>
    <row r="7" spans="1:9" ht="27.6" x14ac:dyDescent="0.25">
      <c r="A7" s="1022"/>
      <c r="B7" s="1021"/>
      <c r="C7" s="1024"/>
      <c r="D7" s="1026"/>
      <c r="E7" s="578" t="s">
        <v>1717</v>
      </c>
      <c r="F7" s="576"/>
      <c r="G7" s="579">
        <v>44941</v>
      </c>
      <c r="H7" s="580">
        <v>45275</v>
      </c>
      <c r="I7" s="1027"/>
    </row>
    <row r="8" spans="1:9" ht="220.8" x14ac:dyDescent="0.25">
      <c r="A8" s="1022"/>
      <c r="B8" s="1021"/>
      <c r="C8" s="1028" t="s">
        <v>923</v>
      </c>
      <c r="D8" s="1029" t="s">
        <v>924</v>
      </c>
      <c r="E8" s="581" t="s">
        <v>1718</v>
      </c>
      <c r="F8" s="582" t="s">
        <v>927</v>
      </c>
      <c r="G8" s="583">
        <v>44958</v>
      </c>
      <c r="H8" s="583">
        <v>45261</v>
      </c>
      <c r="I8" s="585">
        <v>47000000</v>
      </c>
    </row>
    <row r="9" spans="1:9" ht="55.2" x14ac:dyDescent="0.25">
      <c r="A9" s="1022"/>
      <c r="B9" s="1021"/>
      <c r="C9" s="1028"/>
      <c r="D9" s="1029"/>
      <c r="E9" s="581" t="s">
        <v>930</v>
      </c>
      <c r="F9" s="582" t="s">
        <v>1719</v>
      </c>
      <c r="G9" s="583">
        <v>44958</v>
      </c>
      <c r="H9" s="583">
        <v>45261</v>
      </c>
      <c r="I9" s="585">
        <v>100000000</v>
      </c>
    </row>
    <row r="10" spans="1:9" ht="55.2" x14ac:dyDescent="0.25">
      <c r="A10" s="1022"/>
      <c r="B10" s="1021"/>
      <c r="C10" s="1028"/>
      <c r="D10" s="1029"/>
      <c r="E10" s="581" t="s">
        <v>934</v>
      </c>
      <c r="F10" s="582" t="s">
        <v>933</v>
      </c>
      <c r="G10" s="583">
        <v>44958</v>
      </c>
      <c r="H10" s="583">
        <v>45261</v>
      </c>
      <c r="I10" s="586">
        <v>45000000</v>
      </c>
    </row>
    <row r="11" spans="1:9" ht="82.8" x14ac:dyDescent="0.25">
      <c r="A11" s="1022"/>
      <c r="B11" s="1021"/>
      <c r="C11" s="1028"/>
      <c r="D11" s="1029" t="s">
        <v>935</v>
      </c>
      <c r="E11" s="581" t="s">
        <v>1720</v>
      </c>
      <c r="F11" s="587" t="s">
        <v>933</v>
      </c>
      <c r="G11" s="583">
        <v>44958</v>
      </c>
      <c r="H11" s="583">
        <v>45261</v>
      </c>
      <c r="I11" s="588">
        <v>75000000</v>
      </c>
    </row>
    <row r="12" spans="1:9" ht="41.4" x14ac:dyDescent="0.25">
      <c r="A12" s="1022"/>
      <c r="B12" s="1021"/>
      <c r="C12" s="1028"/>
      <c r="D12" s="1029"/>
      <c r="E12" s="581" t="s">
        <v>1721</v>
      </c>
      <c r="F12" s="582" t="s">
        <v>942</v>
      </c>
      <c r="G12" s="583">
        <v>44958</v>
      </c>
      <c r="H12" s="583">
        <v>45261</v>
      </c>
      <c r="I12" s="589">
        <v>15000000</v>
      </c>
    </row>
    <row r="13" spans="1:9" ht="27.6" x14ac:dyDescent="0.25">
      <c r="A13" s="1022"/>
      <c r="B13" s="1021"/>
      <c r="C13" s="1028"/>
      <c r="D13" s="1029"/>
      <c r="E13" s="581" t="s">
        <v>1722</v>
      </c>
      <c r="F13" s="582"/>
      <c r="G13" s="583">
        <v>44958</v>
      </c>
      <c r="H13" s="583">
        <v>45261</v>
      </c>
      <c r="I13" s="585">
        <v>0</v>
      </c>
    </row>
    <row r="14" spans="1:9" ht="69" x14ac:dyDescent="0.25">
      <c r="A14" s="1022"/>
      <c r="B14" s="1021"/>
      <c r="C14" s="1028"/>
      <c r="D14" s="1029"/>
      <c r="E14" s="581" t="s">
        <v>1723</v>
      </c>
      <c r="F14" s="582"/>
      <c r="G14" s="583">
        <v>44958</v>
      </c>
      <c r="H14" s="583">
        <v>45261</v>
      </c>
      <c r="I14" s="585">
        <v>200000000</v>
      </c>
    </row>
    <row r="15" spans="1:9" ht="55.2" x14ac:dyDescent="0.25">
      <c r="A15" s="1022"/>
      <c r="B15" s="1021"/>
      <c r="C15" s="1028"/>
      <c r="D15" s="1029"/>
      <c r="E15" s="590" t="s">
        <v>1724</v>
      </c>
      <c r="F15" s="582" t="s">
        <v>944</v>
      </c>
      <c r="G15" s="583">
        <v>44958</v>
      </c>
      <c r="H15" s="583">
        <v>45261</v>
      </c>
      <c r="I15" s="585">
        <v>5000000</v>
      </c>
    </row>
    <row r="16" spans="1:9" ht="69" x14ac:dyDescent="0.25">
      <c r="A16" s="1022"/>
      <c r="B16" s="1021"/>
      <c r="C16" s="1028"/>
      <c r="D16" s="1029"/>
      <c r="E16" s="590" t="s">
        <v>1725</v>
      </c>
      <c r="F16" s="582"/>
      <c r="G16" s="583">
        <v>44958</v>
      </c>
      <c r="H16" s="583">
        <v>45261</v>
      </c>
      <c r="I16" s="585">
        <v>5000000</v>
      </c>
    </row>
    <row r="17" spans="1:9" ht="41.4" x14ac:dyDescent="0.25">
      <c r="A17" s="1022"/>
      <c r="B17" s="1021"/>
      <c r="C17" s="1028"/>
      <c r="D17" s="1029"/>
      <c r="E17" s="581" t="s">
        <v>945</v>
      </c>
      <c r="F17" s="584" t="s">
        <v>946</v>
      </c>
      <c r="G17" s="583">
        <v>44958</v>
      </c>
      <c r="H17" s="583">
        <v>45261</v>
      </c>
      <c r="I17" s="585">
        <v>7000000</v>
      </c>
    </row>
    <row r="18" spans="1:9" ht="27.6" x14ac:dyDescent="0.25">
      <c r="A18" s="1022"/>
      <c r="B18" s="1021"/>
      <c r="C18" s="1028"/>
      <c r="D18" s="1029"/>
      <c r="E18" s="581" t="s">
        <v>949</v>
      </c>
      <c r="F18" s="582" t="s">
        <v>950</v>
      </c>
      <c r="G18" s="583">
        <v>44958</v>
      </c>
      <c r="H18" s="583">
        <v>45261</v>
      </c>
      <c r="I18" s="585" t="s">
        <v>1726</v>
      </c>
    </row>
    <row r="19" spans="1:9" ht="41.4" x14ac:dyDescent="0.25">
      <c r="A19" s="1022"/>
      <c r="B19" s="1021"/>
      <c r="C19" s="1028"/>
      <c r="D19" s="1029"/>
      <c r="E19" s="581" t="s">
        <v>1727</v>
      </c>
      <c r="F19" s="582" t="s">
        <v>952</v>
      </c>
      <c r="G19" s="583">
        <v>44958</v>
      </c>
      <c r="H19" s="583">
        <v>45261</v>
      </c>
      <c r="I19" s="585">
        <v>7000000</v>
      </c>
    </row>
    <row r="20" spans="1:9" ht="303.60000000000002" x14ac:dyDescent="0.25">
      <c r="A20" s="1022"/>
      <c r="B20" s="1021"/>
      <c r="C20" s="1028"/>
      <c r="D20" s="1029"/>
      <c r="E20" s="591" t="s">
        <v>1728</v>
      </c>
      <c r="F20" s="582" t="s">
        <v>946</v>
      </c>
      <c r="G20" s="583">
        <v>44958</v>
      </c>
      <c r="H20" s="583">
        <v>45261</v>
      </c>
      <c r="I20" s="585">
        <v>15000000</v>
      </c>
    </row>
    <row r="21" spans="1:9" ht="55.2" x14ac:dyDescent="0.25">
      <c r="A21" s="1022"/>
      <c r="B21" s="1021"/>
      <c r="C21" s="1028"/>
      <c r="D21" s="1029"/>
      <c r="E21" s="581" t="s">
        <v>1729</v>
      </c>
      <c r="F21" s="582" t="s">
        <v>946</v>
      </c>
      <c r="G21" s="583">
        <v>44958</v>
      </c>
      <c r="H21" s="583">
        <v>45261</v>
      </c>
      <c r="I21" s="585">
        <v>2000000</v>
      </c>
    </row>
    <row r="22" spans="1:9" ht="110.4" x14ac:dyDescent="0.25">
      <c r="A22" s="1022"/>
      <c r="B22" s="1021"/>
      <c r="C22" s="1015" t="s">
        <v>957</v>
      </c>
      <c r="D22" s="1016" t="s">
        <v>1730</v>
      </c>
      <c r="E22" s="593" t="s">
        <v>1731</v>
      </c>
      <c r="F22" s="594"/>
      <c r="G22" s="595">
        <v>44958</v>
      </c>
      <c r="H22" s="595">
        <v>45261</v>
      </c>
      <c r="I22" s="597">
        <v>0</v>
      </c>
    </row>
    <row r="23" spans="1:9" ht="96.6" x14ac:dyDescent="0.25">
      <c r="A23" s="1022"/>
      <c r="B23" s="1021"/>
      <c r="C23" s="1015"/>
      <c r="D23" s="1017"/>
      <c r="E23" s="598" t="s">
        <v>1732</v>
      </c>
      <c r="F23" s="596" t="s">
        <v>933</v>
      </c>
      <c r="G23" s="595">
        <v>44958</v>
      </c>
      <c r="H23" s="595">
        <v>45261</v>
      </c>
      <c r="I23" s="597">
        <v>4600000</v>
      </c>
    </row>
    <row r="24" spans="1:9" ht="179.4" x14ac:dyDescent="0.25">
      <c r="A24" s="1022"/>
      <c r="B24" s="1021"/>
      <c r="C24" s="1015"/>
      <c r="D24" s="592" t="s">
        <v>1733</v>
      </c>
      <c r="E24" s="599" t="s">
        <v>1734</v>
      </c>
      <c r="F24" s="594"/>
      <c r="G24" s="595">
        <v>44958</v>
      </c>
      <c r="H24" s="595">
        <v>45261</v>
      </c>
      <c r="I24" s="597">
        <v>12900000</v>
      </c>
    </row>
    <row r="25" spans="1:9" ht="193.2" x14ac:dyDescent="0.25">
      <c r="A25" s="1022"/>
      <c r="B25" s="1021"/>
      <c r="C25" s="1015"/>
      <c r="D25" s="600" t="s">
        <v>962</v>
      </c>
      <c r="E25" s="599" t="s">
        <v>1735</v>
      </c>
      <c r="F25" s="594" t="s">
        <v>933</v>
      </c>
      <c r="G25" s="595">
        <v>44958</v>
      </c>
      <c r="H25" s="595">
        <v>45261</v>
      </c>
      <c r="I25" s="597">
        <v>1000000</v>
      </c>
    </row>
    <row r="26" spans="1:9" ht="124.2" x14ac:dyDescent="0.25">
      <c r="A26" s="1022"/>
      <c r="B26" s="1021"/>
      <c r="C26" s="1015"/>
      <c r="D26" s="592" t="s">
        <v>970</v>
      </c>
      <c r="E26" s="601" t="s">
        <v>1736</v>
      </c>
      <c r="F26" s="594" t="s">
        <v>1714</v>
      </c>
      <c r="G26" s="595">
        <v>44958</v>
      </c>
      <c r="H26" s="595">
        <v>45272</v>
      </c>
      <c r="I26" s="597">
        <v>0</v>
      </c>
    </row>
    <row r="27" spans="1:9" ht="55.2" x14ac:dyDescent="0.25">
      <c r="A27" s="1022"/>
      <c r="B27" s="1021"/>
      <c r="C27" s="1015"/>
      <c r="D27" s="1016" t="s">
        <v>974</v>
      </c>
      <c r="E27" s="593" t="s">
        <v>1737</v>
      </c>
      <c r="F27" s="594"/>
      <c r="G27" s="595">
        <v>44958</v>
      </c>
      <c r="H27" s="595">
        <v>45261</v>
      </c>
      <c r="I27" s="597">
        <v>20000000</v>
      </c>
    </row>
    <row r="28" spans="1:9" ht="110.4" x14ac:dyDescent="0.25">
      <c r="A28" s="1022"/>
      <c r="B28" s="1021"/>
      <c r="C28" s="1015"/>
      <c r="D28" s="1018"/>
      <c r="E28" s="602" t="s">
        <v>1738</v>
      </c>
      <c r="F28" s="594" t="s">
        <v>1739</v>
      </c>
      <c r="G28" s="595">
        <v>44958</v>
      </c>
      <c r="H28" s="595">
        <v>45261</v>
      </c>
      <c r="I28" s="597">
        <v>3000000</v>
      </c>
    </row>
    <row r="29" spans="1:9" ht="41.4" x14ac:dyDescent="0.25">
      <c r="A29" s="1022"/>
      <c r="B29" s="1021"/>
      <c r="C29" s="1015"/>
      <c r="D29" s="1018"/>
      <c r="E29" s="602" t="s">
        <v>1740</v>
      </c>
      <c r="F29" s="603" t="s">
        <v>933</v>
      </c>
      <c r="G29" s="604">
        <v>44941</v>
      </c>
      <c r="H29" s="604">
        <v>45277</v>
      </c>
      <c r="I29" s="605">
        <v>205000000</v>
      </c>
    </row>
    <row r="30" spans="1:9" ht="13.8" thickBot="1" x14ac:dyDescent="0.3">
      <c r="C30" s="1019" t="s">
        <v>1244</v>
      </c>
      <c r="D30" s="1020"/>
      <c r="E30" s="1020"/>
      <c r="F30" s="606"/>
      <c r="G30" s="606"/>
      <c r="H30" s="606"/>
      <c r="I30" s="607">
        <f>SUM(I4:I29)</f>
        <v>1019500000</v>
      </c>
    </row>
    <row r="31" spans="1:9" ht="15" thickTop="1" thickBot="1" x14ac:dyDescent="0.3">
      <c r="A31" s="960" t="s">
        <v>1084</v>
      </c>
      <c r="B31" s="960"/>
      <c r="C31" s="740" t="s">
        <v>2086</v>
      </c>
      <c r="D31" s="740" t="s">
        <v>1085</v>
      </c>
      <c r="E31" s="740" t="s">
        <v>2087</v>
      </c>
      <c r="F31" s="960" t="s">
        <v>1087</v>
      </c>
      <c r="G31" s="960"/>
      <c r="H31" s="740">
        <v>2</v>
      </c>
    </row>
    <row r="32" spans="1:9" ht="13.8" thickTop="1" x14ac:dyDescent="0.25"/>
  </sheetData>
  <mergeCells count="24">
    <mergeCell ref="A1:I1"/>
    <mergeCell ref="C22:C29"/>
    <mergeCell ref="D22:D23"/>
    <mergeCell ref="D27:D29"/>
    <mergeCell ref="C30:E30"/>
    <mergeCell ref="A2:A3"/>
    <mergeCell ref="B2:B3"/>
    <mergeCell ref="B4:B29"/>
    <mergeCell ref="A4:A29"/>
    <mergeCell ref="I2:I3"/>
    <mergeCell ref="C4:C7"/>
    <mergeCell ref="D4:D7"/>
    <mergeCell ref="I4:I7"/>
    <mergeCell ref="C8:C21"/>
    <mergeCell ref="D8:D10"/>
    <mergeCell ref="D11:D21"/>
    <mergeCell ref="A31:B31"/>
    <mergeCell ref="F31:G31"/>
    <mergeCell ref="G2:G3"/>
    <mergeCell ref="H2:H3"/>
    <mergeCell ref="C2:C3"/>
    <mergeCell ref="D2:D3"/>
    <mergeCell ref="E2:E3"/>
    <mergeCell ref="F2: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FE4DF-DF2F-4C04-A29B-51F06D33B2A7}">
  <dimension ref="A1:K108"/>
  <sheetViews>
    <sheetView showGridLines="0" topLeftCell="A100" zoomScaleNormal="100" workbookViewId="0">
      <selection activeCell="A107" sqref="A107:H107"/>
    </sheetView>
  </sheetViews>
  <sheetFormatPr baseColWidth="10" defaultColWidth="11.44140625" defaultRowHeight="13.2" x14ac:dyDescent="0.25"/>
  <cols>
    <col min="1" max="1" width="11.33203125" style="702" bestFit="1" customWidth="1"/>
    <col min="2" max="2" width="15.6640625" style="702" customWidth="1"/>
    <col min="3" max="3" width="22" style="702" customWidth="1"/>
    <col min="4" max="4" width="35.5546875" style="702" customWidth="1"/>
    <col min="5" max="5" width="19" style="703" bestFit="1" customWidth="1"/>
    <col min="6" max="6" width="50.5546875" style="702" bestFit="1" customWidth="1"/>
    <col min="7" max="7" width="10" style="703" bestFit="1" customWidth="1"/>
    <col min="8" max="8" width="14.5546875" style="702" bestFit="1" customWidth="1"/>
    <col min="9" max="9" width="19.44140625" style="702" bestFit="1" customWidth="1"/>
    <col min="10" max="10" width="28" style="702" customWidth="1"/>
    <col min="11" max="16384" width="11.44140625" style="702"/>
  </cols>
  <sheetData>
    <row r="1" spans="1:10" ht="12.75" customHeight="1" x14ac:dyDescent="0.25">
      <c r="A1" s="1036" t="s">
        <v>1411</v>
      </c>
      <c r="B1" s="1037"/>
      <c r="C1" s="1037"/>
      <c r="D1" s="1037"/>
      <c r="E1" s="1037"/>
      <c r="F1" s="1037"/>
      <c r="G1" s="1037"/>
      <c r="H1" s="1037"/>
      <c r="I1" s="1037"/>
      <c r="J1" s="1038"/>
    </row>
    <row r="2" spans="1:10" x14ac:dyDescent="0.25">
      <c r="A2" s="1039"/>
      <c r="B2" s="1040"/>
      <c r="C2" s="1040"/>
      <c r="D2" s="1040"/>
      <c r="E2" s="1040"/>
      <c r="F2" s="1040"/>
      <c r="G2" s="1040"/>
      <c r="H2" s="1040"/>
      <c r="I2" s="1040"/>
      <c r="J2" s="1041"/>
    </row>
    <row r="3" spans="1:10" ht="12.75" customHeight="1" x14ac:dyDescent="0.25">
      <c r="A3" s="1042" t="s">
        <v>2082</v>
      </c>
      <c r="B3" s="1043"/>
      <c r="C3" s="1043"/>
      <c r="D3" s="1043"/>
      <c r="E3" s="1043"/>
      <c r="F3" s="1043"/>
      <c r="G3" s="1043"/>
      <c r="H3" s="1043"/>
      <c r="I3" s="1043"/>
      <c r="J3" s="1044"/>
    </row>
    <row r="4" spans="1:10" ht="12.75" customHeight="1" x14ac:dyDescent="0.25">
      <c r="A4" s="734" t="s">
        <v>1148</v>
      </c>
      <c r="B4" s="733" t="s">
        <v>2081</v>
      </c>
      <c r="C4" s="733" t="s">
        <v>2080</v>
      </c>
      <c r="D4" s="733" t="s">
        <v>2079</v>
      </c>
      <c r="E4" s="733" t="s">
        <v>2078</v>
      </c>
      <c r="F4" s="733" t="s">
        <v>2077</v>
      </c>
      <c r="G4" s="733" t="s">
        <v>2076</v>
      </c>
      <c r="H4" s="732" t="s">
        <v>2075</v>
      </c>
      <c r="I4" s="735" t="s">
        <v>2074</v>
      </c>
      <c r="J4" s="709" t="s">
        <v>2073</v>
      </c>
    </row>
    <row r="5" spans="1:10" x14ac:dyDescent="0.25">
      <c r="A5" s="734"/>
      <c r="B5" s="733"/>
      <c r="C5" s="733"/>
      <c r="D5" s="733"/>
      <c r="E5" s="733"/>
      <c r="F5" s="733"/>
      <c r="G5" s="733"/>
      <c r="H5" s="732"/>
      <c r="I5" s="731"/>
      <c r="J5" s="709" t="s">
        <v>2072</v>
      </c>
    </row>
    <row r="6" spans="1:10" ht="184.8" x14ac:dyDescent="0.25">
      <c r="A6" s="1033" t="s">
        <v>2071</v>
      </c>
      <c r="B6" s="1031" t="s">
        <v>2070</v>
      </c>
      <c r="C6" s="1045" t="s">
        <v>2069</v>
      </c>
      <c r="D6" s="711" t="s">
        <v>2067</v>
      </c>
      <c r="E6" s="715" t="s">
        <v>1393</v>
      </c>
      <c r="F6" s="719" t="s">
        <v>2068</v>
      </c>
      <c r="G6" s="713">
        <v>11</v>
      </c>
      <c r="H6" s="730">
        <v>4500000</v>
      </c>
      <c r="I6" s="712">
        <f t="shared" ref="I6:I33" si="0">+G6*H6</f>
        <v>49500000</v>
      </c>
      <c r="J6" s="712" t="s">
        <v>2011</v>
      </c>
    </row>
    <row r="7" spans="1:10" ht="184.8" x14ac:dyDescent="0.25">
      <c r="A7" s="1033"/>
      <c r="B7" s="1031"/>
      <c r="C7" s="1045"/>
      <c r="D7" s="711" t="s">
        <v>2067</v>
      </c>
      <c r="E7" s="715" t="s">
        <v>1393</v>
      </c>
      <c r="F7" s="719" t="s">
        <v>2066</v>
      </c>
      <c r="G7" s="713">
        <v>11</v>
      </c>
      <c r="H7" s="730">
        <v>3800000</v>
      </c>
      <c r="I7" s="712">
        <f t="shared" si="0"/>
        <v>41800000</v>
      </c>
      <c r="J7" s="712" t="s">
        <v>2011</v>
      </c>
    </row>
    <row r="8" spans="1:10" ht="79.2" x14ac:dyDescent="0.25">
      <c r="A8" s="1033"/>
      <c r="B8" s="1031"/>
      <c r="C8" s="1045"/>
      <c r="D8" s="711" t="s">
        <v>2065</v>
      </c>
      <c r="E8" s="715" t="s">
        <v>1393</v>
      </c>
      <c r="F8" s="719" t="s">
        <v>2064</v>
      </c>
      <c r="G8" s="713">
        <v>11</v>
      </c>
      <c r="H8" s="730">
        <v>3200000</v>
      </c>
      <c r="I8" s="712">
        <f t="shared" si="0"/>
        <v>35200000</v>
      </c>
      <c r="J8" s="712" t="s">
        <v>2011</v>
      </c>
    </row>
    <row r="9" spans="1:10" ht="145.19999999999999" x14ac:dyDescent="0.25">
      <c r="A9" s="1033"/>
      <c r="B9" s="1031"/>
      <c r="C9" s="1045"/>
      <c r="D9" s="711" t="s">
        <v>2063</v>
      </c>
      <c r="E9" s="715" t="s">
        <v>1393</v>
      </c>
      <c r="F9" s="719" t="s">
        <v>2062</v>
      </c>
      <c r="G9" s="713">
        <v>11</v>
      </c>
      <c r="H9" s="730">
        <v>3200000</v>
      </c>
      <c r="I9" s="712">
        <f t="shared" si="0"/>
        <v>35200000</v>
      </c>
      <c r="J9" s="712" t="s">
        <v>2011</v>
      </c>
    </row>
    <row r="10" spans="1:10" ht="89.25" customHeight="1" x14ac:dyDescent="0.25">
      <c r="A10" s="1033"/>
      <c r="B10" s="1031"/>
      <c r="C10" s="1045"/>
      <c r="D10" s="711" t="s">
        <v>2028</v>
      </c>
      <c r="E10" s="715" t="s">
        <v>1393</v>
      </c>
      <c r="F10" s="729" t="s">
        <v>2061</v>
      </c>
      <c r="G10" s="713">
        <v>36</v>
      </c>
      <c r="H10" s="712">
        <v>50000</v>
      </c>
      <c r="I10" s="712">
        <f t="shared" si="0"/>
        <v>1800000</v>
      </c>
      <c r="J10" s="712" t="s">
        <v>2011</v>
      </c>
    </row>
    <row r="11" spans="1:10" ht="89.25" customHeight="1" x14ac:dyDescent="0.25">
      <c r="A11" s="1033"/>
      <c r="B11" s="1031"/>
      <c r="C11" s="1045"/>
      <c r="D11" s="711" t="s">
        <v>2028</v>
      </c>
      <c r="E11" s="715" t="s">
        <v>1393</v>
      </c>
      <c r="F11" s="729" t="s">
        <v>2060</v>
      </c>
      <c r="G11" s="713">
        <v>54</v>
      </c>
      <c r="H11" s="712">
        <v>50000</v>
      </c>
      <c r="I11" s="712">
        <f t="shared" si="0"/>
        <v>2700000</v>
      </c>
      <c r="J11" s="712" t="s">
        <v>2011</v>
      </c>
    </row>
    <row r="12" spans="1:10" ht="89.25" customHeight="1" x14ac:dyDescent="0.25">
      <c r="A12" s="1033"/>
      <c r="B12" s="1031"/>
      <c r="C12" s="1045"/>
      <c r="D12" s="711" t="s">
        <v>2028</v>
      </c>
      <c r="E12" s="715" t="s">
        <v>1393</v>
      </c>
      <c r="F12" s="729" t="s">
        <v>2059</v>
      </c>
      <c r="G12" s="713">
        <v>54</v>
      </c>
      <c r="H12" s="712">
        <v>50000</v>
      </c>
      <c r="I12" s="712">
        <f t="shared" si="0"/>
        <v>2700000</v>
      </c>
      <c r="J12" s="712" t="s">
        <v>2011</v>
      </c>
    </row>
    <row r="13" spans="1:10" ht="89.25" customHeight="1" x14ac:dyDescent="0.25">
      <c r="A13" s="1033"/>
      <c r="B13" s="1031"/>
      <c r="C13" s="1045"/>
      <c r="D13" s="711" t="s">
        <v>2028</v>
      </c>
      <c r="E13" s="715" t="s">
        <v>1393</v>
      </c>
      <c r="F13" s="729" t="s">
        <v>2058</v>
      </c>
      <c r="G13" s="713">
        <v>108</v>
      </c>
      <c r="H13" s="712">
        <v>50000</v>
      </c>
      <c r="I13" s="712">
        <f t="shared" si="0"/>
        <v>5400000</v>
      </c>
      <c r="J13" s="712" t="s">
        <v>2011</v>
      </c>
    </row>
    <row r="14" spans="1:10" ht="89.25" customHeight="1" x14ac:dyDescent="0.25">
      <c r="A14" s="1033"/>
      <c r="B14" s="1031"/>
      <c r="C14" s="1045"/>
      <c r="D14" s="711" t="s">
        <v>2028</v>
      </c>
      <c r="E14" s="715" t="s">
        <v>1393</v>
      </c>
      <c r="F14" s="729" t="s">
        <v>2057</v>
      </c>
      <c r="G14" s="713">
        <v>108</v>
      </c>
      <c r="H14" s="712">
        <v>50000</v>
      </c>
      <c r="I14" s="712">
        <f t="shared" si="0"/>
        <v>5400000</v>
      </c>
      <c r="J14" s="712" t="s">
        <v>2011</v>
      </c>
    </row>
    <row r="15" spans="1:10" ht="89.25" customHeight="1" x14ac:dyDescent="0.25">
      <c r="A15" s="1033"/>
      <c r="B15" s="1031"/>
      <c r="C15" s="1045"/>
      <c r="D15" s="711" t="s">
        <v>2028</v>
      </c>
      <c r="E15" s="715" t="s">
        <v>1393</v>
      </c>
      <c r="F15" s="729" t="s">
        <v>2056</v>
      </c>
      <c r="G15" s="713">
        <v>36</v>
      </c>
      <c r="H15" s="712">
        <v>50000</v>
      </c>
      <c r="I15" s="712">
        <f t="shared" si="0"/>
        <v>1800000</v>
      </c>
      <c r="J15" s="712" t="s">
        <v>2011</v>
      </c>
    </row>
    <row r="16" spans="1:10" ht="89.25" customHeight="1" x14ac:dyDescent="0.25">
      <c r="A16" s="1033"/>
      <c r="B16" s="1031"/>
      <c r="C16" s="1045"/>
      <c r="D16" s="711" t="s">
        <v>2028</v>
      </c>
      <c r="E16" s="715" t="s">
        <v>1393</v>
      </c>
      <c r="F16" s="729" t="s">
        <v>2055</v>
      </c>
      <c r="G16" s="713">
        <v>54</v>
      </c>
      <c r="H16" s="712">
        <v>50000</v>
      </c>
      <c r="I16" s="712">
        <f t="shared" si="0"/>
        <v>2700000</v>
      </c>
      <c r="J16" s="712" t="s">
        <v>2011</v>
      </c>
    </row>
    <row r="17" spans="1:11" ht="89.25" customHeight="1" x14ac:dyDescent="0.25">
      <c r="A17" s="1033"/>
      <c r="B17" s="1031"/>
      <c r="C17" s="1045"/>
      <c r="D17" s="711" t="s">
        <v>2028</v>
      </c>
      <c r="E17" s="715" t="s">
        <v>1393</v>
      </c>
      <c r="F17" s="729" t="s">
        <v>2054</v>
      </c>
      <c r="G17" s="713">
        <v>54</v>
      </c>
      <c r="H17" s="712">
        <v>50000</v>
      </c>
      <c r="I17" s="712">
        <f t="shared" si="0"/>
        <v>2700000</v>
      </c>
      <c r="J17" s="712" t="s">
        <v>2011</v>
      </c>
    </row>
    <row r="18" spans="1:11" ht="89.25" customHeight="1" x14ac:dyDescent="0.25">
      <c r="A18" s="1033"/>
      <c r="B18" s="1031"/>
      <c r="C18" s="1045"/>
      <c r="D18" s="711" t="s">
        <v>2028</v>
      </c>
      <c r="E18" s="715" t="s">
        <v>1393</v>
      </c>
      <c r="F18" s="729" t="s">
        <v>2053</v>
      </c>
      <c r="G18" s="713">
        <v>108</v>
      </c>
      <c r="H18" s="712">
        <v>50000</v>
      </c>
      <c r="I18" s="712">
        <f t="shared" si="0"/>
        <v>5400000</v>
      </c>
      <c r="J18" s="712" t="s">
        <v>2011</v>
      </c>
    </row>
    <row r="19" spans="1:11" ht="89.25" customHeight="1" x14ac:dyDescent="0.25">
      <c r="A19" s="1033"/>
      <c r="B19" s="1031"/>
      <c r="C19" s="1045"/>
      <c r="D19" s="711" t="s">
        <v>2028</v>
      </c>
      <c r="E19" s="715" t="s">
        <v>1393</v>
      </c>
      <c r="F19" s="729" t="s">
        <v>2052</v>
      </c>
      <c r="G19" s="713">
        <v>108</v>
      </c>
      <c r="H19" s="712">
        <v>50000</v>
      </c>
      <c r="I19" s="712">
        <f t="shared" si="0"/>
        <v>5400000</v>
      </c>
      <c r="J19" s="712" t="s">
        <v>2011</v>
      </c>
    </row>
    <row r="20" spans="1:11" ht="89.25" customHeight="1" x14ac:dyDescent="0.25">
      <c r="A20" s="1033"/>
      <c r="B20" s="1031"/>
      <c r="C20" s="1045"/>
      <c r="D20" s="711" t="s">
        <v>2028</v>
      </c>
      <c r="E20" s="715" t="s">
        <v>1393</v>
      </c>
      <c r="F20" s="729" t="s">
        <v>2051</v>
      </c>
      <c r="G20" s="713">
        <v>120</v>
      </c>
      <c r="H20" s="712">
        <v>120000</v>
      </c>
      <c r="I20" s="712">
        <f t="shared" si="0"/>
        <v>14400000</v>
      </c>
      <c r="J20" s="712" t="s">
        <v>2011</v>
      </c>
    </row>
    <row r="21" spans="1:11" ht="89.25" customHeight="1" x14ac:dyDescent="0.25">
      <c r="A21" s="1033"/>
      <c r="B21" s="1031"/>
      <c r="C21" s="1045"/>
      <c r="D21" s="711" t="s">
        <v>2028</v>
      </c>
      <c r="E21" s="715" t="s">
        <v>1393</v>
      </c>
      <c r="F21" s="729" t="s">
        <v>2050</v>
      </c>
      <c r="G21" s="713">
        <v>120</v>
      </c>
      <c r="H21" s="712">
        <v>110000</v>
      </c>
      <c r="I21" s="712">
        <f t="shared" si="0"/>
        <v>13200000</v>
      </c>
      <c r="J21" s="712" t="s">
        <v>2011</v>
      </c>
    </row>
    <row r="22" spans="1:11" ht="89.25" customHeight="1" x14ac:dyDescent="0.25">
      <c r="A22" s="1033"/>
      <c r="B22" s="1031"/>
      <c r="C22" s="1045"/>
      <c r="D22" s="711" t="s">
        <v>2028</v>
      </c>
      <c r="E22" s="715" t="s">
        <v>1393</v>
      </c>
      <c r="F22" s="729" t="s">
        <v>2049</v>
      </c>
      <c r="G22" s="713">
        <v>120</v>
      </c>
      <c r="H22" s="712">
        <v>120000</v>
      </c>
      <c r="I22" s="712">
        <f t="shared" si="0"/>
        <v>14400000</v>
      </c>
      <c r="J22" s="712" t="s">
        <v>2011</v>
      </c>
      <c r="K22" s="702" t="s">
        <v>2048</v>
      </c>
    </row>
    <row r="23" spans="1:11" ht="89.25" customHeight="1" x14ac:dyDescent="0.25">
      <c r="A23" s="1033"/>
      <c r="B23" s="1031"/>
      <c r="C23" s="1045"/>
      <c r="D23" s="711" t="s">
        <v>2028</v>
      </c>
      <c r="E23" s="715" t="s">
        <v>1393</v>
      </c>
      <c r="F23" s="729" t="s">
        <v>2047</v>
      </c>
      <c r="G23" s="713">
        <v>120</v>
      </c>
      <c r="H23" s="712">
        <v>120000</v>
      </c>
      <c r="I23" s="712">
        <f t="shared" si="0"/>
        <v>14400000</v>
      </c>
      <c r="J23" s="712" t="s">
        <v>2011</v>
      </c>
    </row>
    <row r="24" spans="1:11" ht="79.2" x14ac:dyDescent="0.25">
      <c r="A24" s="1033"/>
      <c r="B24" s="1031"/>
      <c r="C24" s="1045"/>
      <c r="D24" s="711" t="s">
        <v>2028</v>
      </c>
      <c r="E24" s="715" t="s">
        <v>1393</v>
      </c>
      <c r="F24" s="729" t="s">
        <v>2046</v>
      </c>
      <c r="G24" s="713">
        <v>120</v>
      </c>
      <c r="H24" s="712">
        <v>120000</v>
      </c>
      <c r="I24" s="712">
        <f t="shared" si="0"/>
        <v>14400000</v>
      </c>
      <c r="J24" s="712" t="s">
        <v>2011</v>
      </c>
    </row>
    <row r="25" spans="1:11" ht="66" x14ac:dyDescent="0.25">
      <c r="A25" s="1033"/>
      <c r="B25" s="1031"/>
      <c r="C25" s="1045"/>
      <c r="D25" s="711" t="s">
        <v>2028</v>
      </c>
      <c r="E25" s="715" t="s">
        <v>1393</v>
      </c>
      <c r="F25" s="729" t="s">
        <v>2045</v>
      </c>
      <c r="G25" s="713">
        <v>120</v>
      </c>
      <c r="H25" s="712">
        <v>120000</v>
      </c>
      <c r="I25" s="712">
        <f t="shared" si="0"/>
        <v>14400000</v>
      </c>
      <c r="J25" s="712" t="s">
        <v>2011</v>
      </c>
    </row>
    <row r="26" spans="1:11" ht="66" x14ac:dyDescent="0.25">
      <c r="A26" s="1033"/>
      <c r="B26" s="1031"/>
      <c r="C26" s="1045"/>
      <c r="D26" s="711" t="s">
        <v>2028</v>
      </c>
      <c r="E26" s="715" t="s">
        <v>1393</v>
      </c>
      <c r="F26" s="729" t="s">
        <v>2044</v>
      </c>
      <c r="G26" s="713">
        <v>120</v>
      </c>
      <c r="H26" s="712">
        <v>120000</v>
      </c>
      <c r="I26" s="712">
        <f t="shared" si="0"/>
        <v>14400000</v>
      </c>
      <c r="J26" s="712" t="s">
        <v>2011</v>
      </c>
    </row>
    <row r="27" spans="1:11" ht="66" x14ac:dyDescent="0.25">
      <c r="A27" s="1033"/>
      <c r="B27" s="1031"/>
      <c r="C27" s="1045"/>
      <c r="D27" s="711" t="s">
        <v>2028</v>
      </c>
      <c r="E27" s="715" t="s">
        <v>1393</v>
      </c>
      <c r="F27" s="729" t="s">
        <v>2043</v>
      </c>
      <c r="G27" s="713">
        <v>120</v>
      </c>
      <c r="H27" s="712">
        <v>130000</v>
      </c>
      <c r="I27" s="712">
        <f t="shared" si="0"/>
        <v>15600000</v>
      </c>
      <c r="J27" s="712" t="s">
        <v>2011</v>
      </c>
    </row>
    <row r="28" spans="1:11" ht="66" x14ac:dyDescent="0.25">
      <c r="A28" s="1033"/>
      <c r="B28" s="1031"/>
      <c r="C28" s="1045"/>
      <c r="D28" s="711" t="s">
        <v>2028</v>
      </c>
      <c r="E28" s="715" t="s">
        <v>1393</v>
      </c>
      <c r="F28" s="729" t="s">
        <v>2042</v>
      </c>
      <c r="G28" s="713">
        <v>120</v>
      </c>
      <c r="H28" s="712">
        <v>120000</v>
      </c>
      <c r="I28" s="712">
        <f t="shared" si="0"/>
        <v>14400000</v>
      </c>
      <c r="J28" s="712" t="s">
        <v>2011</v>
      </c>
    </row>
    <row r="29" spans="1:11" ht="66" x14ac:dyDescent="0.25">
      <c r="A29" s="1033"/>
      <c r="B29" s="1031"/>
      <c r="C29" s="1045"/>
      <c r="D29" s="711" t="s">
        <v>2028</v>
      </c>
      <c r="E29" s="715" t="s">
        <v>1393</v>
      </c>
      <c r="F29" s="729" t="s">
        <v>2041</v>
      </c>
      <c r="G29" s="713">
        <v>120</v>
      </c>
      <c r="H29" s="712">
        <v>120000</v>
      </c>
      <c r="I29" s="712">
        <f t="shared" si="0"/>
        <v>14400000</v>
      </c>
      <c r="J29" s="712" t="s">
        <v>2011</v>
      </c>
    </row>
    <row r="30" spans="1:11" ht="66" x14ac:dyDescent="0.25">
      <c r="A30" s="1033"/>
      <c r="B30" s="1031"/>
      <c r="C30" s="1045"/>
      <c r="D30" s="711" t="s">
        <v>2028</v>
      </c>
      <c r="E30" s="715" t="s">
        <v>1393</v>
      </c>
      <c r="F30" s="729" t="s">
        <v>2040</v>
      </c>
      <c r="G30" s="713">
        <v>120</v>
      </c>
      <c r="H30" s="712">
        <v>120000</v>
      </c>
      <c r="I30" s="712">
        <f t="shared" si="0"/>
        <v>14400000</v>
      </c>
      <c r="J30" s="712" t="s">
        <v>2011</v>
      </c>
    </row>
    <row r="31" spans="1:11" ht="66" x14ac:dyDescent="0.25">
      <c r="A31" s="1033"/>
      <c r="B31" s="1031"/>
      <c r="C31" s="1045"/>
      <c r="D31" s="711" t="s">
        <v>2028</v>
      </c>
      <c r="E31" s="715" t="s">
        <v>1393</v>
      </c>
      <c r="F31" s="729" t="s">
        <v>2039</v>
      </c>
      <c r="G31" s="713">
        <v>120</v>
      </c>
      <c r="H31" s="712">
        <v>120000</v>
      </c>
      <c r="I31" s="712">
        <f t="shared" si="0"/>
        <v>14400000</v>
      </c>
      <c r="J31" s="712" t="s">
        <v>2011</v>
      </c>
    </row>
    <row r="32" spans="1:11" ht="66" x14ac:dyDescent="0.25">
      <c r="A32" s="1033"/>
      <c r="B32" s="1031"/>
      <c r="C32" s="1045"/>
      <c r="D32" s="711" t="s">
        <v>2028</v>
      </c>
      <c r="E32" s="715" t="s">
        <v>1393</v>
      </c>
      <c r="F32" s="729" t="s">
        <v>2038</v>
      </c>
      <c r="G32" s="713">
        <v>120</v>
      </c>
      <c r="H32" s="712">
        <v>60000</v>
      </c>
      <c r="I32" s="712">
        <f t="shared" si="0"/>
        <v>7200000</v>
      </c>
      <c r="J32" s="712" t="s">
        <v>2011</v>
      </c>
    </row>
    <row r="33" spans="1:10" ht="66" x14ac:dyDescent="0.25">
      <c r="A33" s="1033"/>
      <c r="B33" s="1031"/>
      <c r="C33" s="1045"/>
      <c r="D33" s="711" t="s">
        <v>2028</v>
      </c>
      <c r="E33" s="715" t="s">
        <v>1393</v>
      </c>
      <c r="F33" s="729" t="s">
        <v>2037</v>
      </c>
      <c r="G33" s="713">
        <v>100</v>
      </c>
      <c r="H33" s="712">
        <v>60000</v>
      </c>
      <c r="I33" s="712">
        <f t="shared" si="0"/>
        <v>6000000</v>
      </c>
      <c r="J33" s="712" t="s">
        <v>2011</v>
      </c>
    </row>
    <row r="34" spans="1:10" ht="66" x14ac:dyDescent="0.25">
      <c r="A34" s="1033"/>
      <c r="B34" s="1031"/>
      <c r="C34" s="1045"/>
      <c r="D34" s="711" t="s">
        <v>2028</v>
      </c>
      <c r="E34" s="715" t="s">
        <v>1393</v>
      </c>
      <c r="F34" s="729" t="s">
        <v>2036</v>
      </c>
      <c r="G34" s="713">
        <v>20</v>
      </c>
      <c r="H34" s="714"/>
      <c r="I34" s="712">
        <f>+G34*H36</f>
        <v>1000000</v>
      </c>
      <c r="J34" s="712" t="s">
        <v>2011</v>
      </c>
    </row>
    <row r="35" spans="1:10" ht="66" x14ac:dyDescent="0.25">
      <c r="A35" s="1033"/>
      <c r="B35" s="1031"/>
      <c r="C35" s="1045"/>
      <c r="D35" s="711" t="s">
        <v>2028</v>
      </c>
      <c r="E35" s="715" t="s">
        <v>1393</v>
      </c>
      <c r="F35" s="729" t="s">
        <v>2035</v>
      </c>
      <c r="G35" s="713">
        <v>30</v>
      </c>
      <c r="H35" s="712">
        <v>50000</v>
      </c>
      <c r="I35" s="712">
        <f t="shared" ref="I35:I59" si="1">+G35*H35</f>
        <v>1500000</v>
      </c>
      <c r="J35" s="712" t="s">
        <v>2011</v>
      </c>
    </row>
    <row r="36" spans="1:10" ht="66" x14ac:dyDescent="0.25">
      <c r="A36" s="1033"/>
      <c r="B36" s="1031"/>
      <c r="C36" s="1045"/>
      <c r="D36" s="711" t="s">
        <v>2028</v>
      </c>
      <c r="E36" s="715" t="s">
        <v>1393</v>
      </c>
      <c r="F36" s="729" t="s">
        <v>2034</v>
      </c>
      <c r="G36" s="713">
        <v>40</v>
      </c>
      <c r="H36" s="712">
        <v>50000</v>
      </c>
      <c r="I36" s="712">
        <f t="shared" si="1"/>
        <v>2000000</v>
      </c>
      <c r="J36" s="712" t="s">
        <v>2011</v>
      </c>
    </row>
    <row r="37" spans="1:10" ht="66" x14ac:dyDescent="0.25">
      <c r="A37" s="1033"/>
      <c r="B37" s="1031"/>
      <c r="C37" s="1045"/>
      <c r="D37" s="711" t="s">
        <v>2028</v>
      </c>
      <c r="E37" s="715" t="s">
        <v>1393</v>
      </c>
      <c r="F37" s="729" t="s">
        <v>2029</v>
      </c>
      <c r="G37" s="713">
        <v>50</v>
      </c>
      <c r="H37" s="712">
        <v>50000</v>
      </c>
      <c r="I37" s="712">
        <f t="shared" si="1"/>
        <v>2500000</v>
      </c>
      <c r="J37" s="712" t="s">
        <v>2011</v>
      </c>
    </row>
    <row r="38" spans="1:10" ht="66" x14ac:dyDescent="0.25">
      <c r="A38" s="1033"/>
      <c r="B38" s="1031"/>
      <c r="C38" s="1045"/>
      <c r="D38" s="711" t="s">
        <v>2028</v>
      </c>
      <c r="E38" s="715" t="s">
        <v>1393</v>
      </c>
      <c r="F38" s="729" t="s">
        <v>2033</v>
      </c>
      <c r="G38" s="713">
        <v>60</v>
      </c>
      <c r="H38" s="712">
        <v>50000</v>
      </c>
      <c r="I38" s="712">
        <f t="shared" si="1"/>
        <v>3000000</v>
      </c>
      <c r="J38" s="712" t="s">
        <v>2011</v>
      </c>
    </row>
    <row r="39" spans="1:10" ht="66" x14ac:dyDescent="0.25">
      <c r="A39" s="1033"/>
      <c r="B39" s="1031"/>
      <c r="C39" s="1045"/>
      <c r="D39" s="711" t="s">
        <v>2028</v>
      </c>
      <c r="E39" s="715" t="s">
        <v>1393</v>
      </c>
      <c r="F39" s="729" t="s">
        <v>2032</v>
      </c>
      <c r="G39" s="713">
        <v>20</v>
      </c>
      <c r="H39" s="712">
        <v>50000</v>
      </c>
      <c r="I39" s="712">
        <f t="shared" si="1"/>
        <v>1000000</v>
      </c>
      <c r="J39" s="712" t="s">
        <v>2011</v>
      </c>
    </row>
    <row r="40" spans="1:10" ht="66" x14ac:dyDescent="0.25">
      <c r="A40" s="1033"/>
      <c r="B40" s="1031"/>
      <c r="C40" s="1045"/>
      <c r="D40" s="711" t="s">
        <v>2028</v>
      </c>
      <c r="E40" s="715" t="s">
        <v>1393</v>
      </c>
      <c r="F40" s="729" t="s">
        <v>2031</v>
      </c>
      <c r="G40" s="713">
        <v>30</v>
      </c>
      <c r="H40" s="712">
        <v>50000</v>
      </c>
      <c r="I40" s="712">
        <f t="shared" si="1"/>
        <v>1500000</v>
      </c>
      <c r="J40" s="712" t="s">
        <v>2011</v>
      </c>
    </row>
    <row r="41" spans="1:10" ht="66" x14ac:dyDescent="0.25">
      <c r="A41" s="1033"/>
      <c r="B41" s="1031"/>
      <c r="C41" s="1045"/>
      <c r="D41" s="711" t="s">
        <v>2028</v>
      </c>
      <c r="E41" s="715" t="s">
        <v>1393</v>
      </c>
      <c r="F41" s="729" t="s">
        <v>2030</v>
      </c>
      <c r="G41" s="713">
        <v>40</v>
      </c>
      <c r="H41" s="712">
        <v>50000</v>
      </c>
      <c r="I41" s="712">
        <f t="shared" si="1"/>
        <v>2000000</v>
      </c>
      <c r="J41" s="712" t="s">
        <v>2011</v>
      </c>
    </row>
    <row r="42" spans="1:10" ht="66" x14ac:dyDescent="0.25">
      <c r="A42" s="1033"/>
      <c r="B42" s="1031"/>
      <c r="C42" s="1045"/>
      <c r="D42" s="711" t="s">
        <v>2028</v>
      </c>
      <c r="E42" s="715" t="s">
        <v>1393</v>
      </c>
      <c r="F42" s="729" t="s">
        <v>2029</v>
      </c>
      <c r="G42" s="713">
        <v>50</v>
      </c>
      <c r="H42" s="712">
        <v>50000</v>
      </c>
      <c r="I42" s="712">
        <f t="shared" si="1"/>
        <v>2500000</v>
      </c>
      <c r="J42" s="712" t="s">
        <v>2011</v>
      </c>
    </row>
    <row r="43" spans="1:10" ht="66" x14ac:dyDescent="0.25">
      <c r="A43" s="1033"/>
      <c r="B43" s="1031"/>
      <c r="C43" s="1045"/>
      <c r="D43" s="711" t="s">
        <v>2028</v>
      </c>
      <c r="E43" s="715" t="s">
        <v>1393</v>
      </c>
      <c r="F43" s="729" t="s">
        <v>2027</v>
      </c>
      <c r="G43" s="713">
        <v>60</v>
      </c>
      <c r="H43" s="712">
        <v>50000</v>
      </c>
      <c r="I43" s="712">
        <f t="shared" si="1"/>
        <v>3000000</v>
      </c>
      <c r="J43" s="712" t="s">
        <v>2011</v>
      </c>
    </row>
    <row r="44" spans="1:10" ht="66" x14ac:dyDescent="0.25">
      <c r="A44" s="1033"/>
      <c r="B44" s="1031"/>
      <c r="C44" s="1045"/>
      <c r="D44" s="1033" t="s">
        <v>2026</v>
      </c>
      <c r="E44" s="715" t="s">
        <v>1393</v>
      </c>
      <c r="F44" s="727" t="s">
        <v>2025</v>
      </c>
      <c r="G44" s="713">
        <v>1</v>
      </c>
      <c r="H44" s="712">
        <v>30000000</v>
      </c>
      <c r="I44" s="712">
        <f t="shared" si="1"/>
        <v>30000000</v>
      </c>
      <c r="J44" s="712" t="s">
        <v>2023</v>
      </c>
    </row>
    <row r="45" spans="1:10" ht="52.8" x14ac:dyDescent="0.25">
      <c r="A45" s="1033"/>
      <c r="B45" s="1031"/>
      <c r="C45" s="1045"/>
      <c r="D45" s="1033"/>
      <c r="E45" s="715" t="s">
        <v>1393</v>
      </c>
      <c r="F45" s="727" t="s">
        <v>2024</v>
      </c>
      <c r="G45" s="713">
        <v>1</v>
      </c>
      <c r="H45" s="712">
        <v>80000000</v>
      </c>
      <c r="I45" s="712">
        <f t="shared" si="1"/>
        <v>80000000</v>
      </c>
      <c r="J45" s="712" t="s">
        <v>2023</v>
      </c>
    </row>
    <row r="46" spans="1:10" ht="26.4" x14ac:dyDescent="0.25">
      <c r="A46" s="1033"/>
      <c r="B46" s="1031"/>
      <c r="C46" s="1045"/>
      <c r="D46" s="1033"/>
      <c r="E46" s="715" t="s">
        <v>1393</v>
      </c>
      <c r="F46" s="727" t="s">
        <v>2022</v>
      </c>
      <c r="G46" s="713">
        <v>10</v>
      </c>
      <c r="H46" s="712">
        <v>15000</v>
      </c>
      <c r="I46" s="712">
        <f t="shared" si="1"/>
        <v>150000</v>
      </c>
      <c r="J46" s="712" t="s">
        <v>2017</v>
      </c>
    </row>
    <row r="47" spans="1:10" ht="26.4" x14ac:dyDescent="0.25">
      <c r="A47" s="1033"/>
      <c r="B47" s="1031"/>
      <c r="C47" s="1045"/>
      <c r="D47" s="1033"/>
      <c r="E47" s="715" t="s">
        <v>1393</v>
      </c>
      <c r="F47" s="727" t="s">
        <v>2021</v>
      </c>
      <c r="G47" s="713">
        <v>10</v>
      </c>
      <c r="H47" s="712">
        <v>15000</v>
      </c>
      <c r="I47" s="712">
        <f t="shared" si="1"/>
        <v>150000</v>
      </c>
      <c r="J47" s="712" t="s">
        <v>2017</v>
      </c>
    </row>
    <row r="48" spans="1:10" ht="26.4" x14ac:dyDescent="0.25">
      <c r="A48" s="1033"/>
      <c r="B48" s="1031"/>
      <c r="C48" s="1045"/>
      <c r="D48" s="1033"/>
      <c r="E48" s="715" t="s">
        <v>1393</v>
      </c>
      <c r="F48" s="727" t="s">
        <v>2020</v>
      </c>
      <c r="G48" s="713">
        <v>16</v>
      </c>
      <c r="H48" s="712">
        <v>200000</v>
      </c>
      <c r="I48" s="712">
        <f t="shared" si="1"/>
        <v>3200000</v>
      </c>
      <c r="J48" s="712" t="s">
        <v>2017</v>
      </c>
    </row>
    <row r="49" spans="1:10" ht="26.4" x14ac:dyDescent="0.25">
      <c r="A49" s="1033"/>
      <c r="B49" s="1031"/>
      <c r="C49" s="1045"/>
      <c r="D49" s="1033"/>
      <c r="E49" s="715" t="s">
        <v>1393</v>
      </c>
      <c r="F49" s="727" t="s">
        <v>2019</v>
      </c>
      <c r="G49" s="713">
        <v>3</v>
      </c>
      <c r="H49" s="712">
        <v>500000</v>
      </c>
      <c r="I49" s="712">
        <f t="shared" si="1"/>
        <v>1500000</v>
      </c>
      <c r="J49" s="712" t="s">
        <v>2017</v>
      </c>
    </row>
    <row r="50" spans="1:10" ht="26.4" x14ac:dyDescent="0.25">
      <c r="A50" s="1033"/>
      <c r="B50" s="1031"/>
      <c r="C50" s="1045"/>
      <c r="D50" s="1033"/>
      <c r="E50" s="715" t="s">
        <v>1393</v>
      </c>
      <c r="F50" s="727" t="s">
        <v>2018</v>
      </c>
      <c r="G50" s="713">
        <v>5000</v>
      </c>
      <c r="H50" s="712">
        <v>500</v>
      </c>
      <c r="I50" s="712">
        <f t="shared" si="1"/>
        <v>2500000</v>
      </c>
      <c r="J50" s="712" t="s">
        <v>2017</v>
      </c>
    </row>
    <row r="51" spans="1:10" x14ac:dyDescent="0.25">
      <c r="A51" s="1033"/>
      <c r="B51" s="1031"/>
      <c r="C51" s="1045"/>
      <c r="D51" s="1033"/>
      <c r="E51" s="715" t="s">
        <v>1398</v>
      </c>
      <c r="F51" s="727" t="s">
        <v>2016</v>
      </c>
      <c r="G51" s="713">
        <v>1</v>
      </c>
      <c r="H51" s="712">
        <v>6000000</v>
      </c>
      <c r="I51" s="712">
        <f t="shared" si="1"/>
        <v>6000000</v>
      </c>
      <c r="J51" s="712" t="s">
        <v>1977</v>
      </c>
    </row>
    <row r="52" spans="1:10" ht="26.4" x14ac:dyDescent="0.25">
      <c r="A52" s="1033"/>
      <c r="B52" s="1031"/>
      <c r="C52" s="1045"/>
      <c r="D52" s="1033"/>
      <c r="E52" s="715" t="s">
        <v>1398</v>
      </c>
      <c r="F52" s="727" t="s">
        <v>2015</v>
      </c>
      <c r="G52" s="713">
        <v>30</v>
      </c>
      <c r="H52" s="712">
        <v>5000000</v>
      </c>
      <c r="I52" s="712">
        <f t="shared" si="1"/>
        <v>150000000</v>
      </c>
      <c r="J52" s="712" t="s">
        <v>1977</v>
      </c>
    </row>
    <row r="53" spans="1:10" ht="26.4" x14ac:dyDescent="0.25">
      <c r="A53" s="1033"/>
      <c r="B53" s="1031"/>
      <c r="C53" s="1045"/>
      <c r="D53" s="1033"/>
      <c r="E53" s="715" t="s">
        <v>1398</v>
      </c>
      <c r="F53" s="728" t="s">
        <v>2014</v>
      </c>
      <c r="G53" s="713">
        <v>30</v>
      </c>
      <c r="H53" s="712">
        <v>4000000</v>
      </c>
      <c r="I53" s="712">
        <f t="shared" si="1"/>
        <v>120000000</v>
      </c>
      <c r="J53" s="712" t="s">
        <v>1977</v>
      </c>
    </row>
    <row r="54" spans="1:10" x14ac:dyDescent="0.25">
      <c r="A54" s="1033"/>
      <c r="B54" s="1031"/>
      <c r="C54" s="1045"/>
      <c r="D54" s="1033"/>
      <c r="E54" s="715" t="s">
        <v>1398</v>
      </c>
      <c r="F54" s="728" t="s">
        <v>2013</v>
      </c>
      <c r="G54" s="713">
        <v>4</v>
      </c>
      <c r="H54" s="712">
        <v>15000000</v>
      </c>
      <c r="I54" s="712">
        <f t="shared" si="1"/>
        <v>60000000</v>
      </c>
      <c r="J54" s="712" t="s">
        <v>1977</v>
      </c>
    </row>
    <row r="55" spans="1:10" ht="30.75" customHeight="1" x14ac:dyDescent="0.25">
      <c r="A55" s="1033"/>
      <c r="B55" s="1031"/>
      <c r="C55" s="1045"/>
      <c r="D55" s="1033"/>
      <c r="E55" s="715" t="s">
        <v>1397</v>
      </c>
      <c r="F55" s="728" t="s">
        <v>2012</v>
      </c>
      <c r="G55" s="713">
        <v>12</v>
      </c>
      <c r="H55" s="712">
        <v>100000</v>
      </c>
      <c r="I55" s="712">
        <f t="shared" si="1"/>
        <v>1200000</v>
      </c>
      <c r="J55" s="712" t="s">
        <v>2011</v>
      </c>
    </row>
    <row r="56" spans="1:10" ht="26.4" x14ac:dyDescent="0.25">
      <c r="A56" s="1033"/>
      <c r="B56" s="1031"/>
      <c r="C56" s="1045"/>
      <c r="D56" s="1033" t="s">
        <v>2010</v>
      </c>
      <c r="E56" s="715" t="s">
        <v>1393</v>
      </c>
      <c r="F56" s="728" t="s">
        <v>2009</v>
      </c>
      <c r="G56" s="713">
        <v>20</v>
      </c>
      <c r="H56" s="712">
        <v>200000</v>
      </c>
      <c r="I56" s="712">
        <f t="shared" si="1"/>
        <v>4000000</v>
      </c>
      <c r="J56" s="712" t="s">
        <v>2006</v>
      </c>
    </row>
    <row r="57" spans="1:10" ht="44.25" customHeight="1" x14ac:dyDescent="0.25">
      <c r="A57" s="1033"/>
      <c r="B57" s="1031"/>
      <c r="C57" s="1045"/>
      <c r="D57" s="1033"/>
      <c r="E57" s="715" t="s">
        <v>1393</v>
      </c>
      <c r="F57" s="728" t="s">
        <v>2008</v>
      </c>
      <c r="G57" s="713">
        <v>30</v>
      </c>
      <c r="H57" s="712">
        <v>100000</v>
      </c>
      <c r="I57" s="712">
        <f t="shared" si="1"/>
        <v>3000000</v>
      </c>
      <c r="J57" s="712" t="s">
        <v>2006</v>
      </c>
    </row>
    <row r="58" spans="1:10" ht="39" customHeight="1" x14ac:dyDescent="0.25">
      <c r="A58" s="1033"/>
      <c r="B58" s="1031"/>
      <c r="C58" s="1045"/>
      <c r="D58" s="1033"/>
      <c r="E58" s="715" t="s">
        <v>1393</v>
      </c>
      <c r="F58" s="728" t="s">
        <v>2007</v>
      </c>
      <c r="G58" s="713">
        <v>6</v>
      </c>
      <c r="H58" s="712">
        <v>5000000</v>
      </c>
      <c r="I58" s="712">
        <f t="shared" si="1"/>
        <v>30000000</v>
      </c>
      <c r="J58" s="712" t="s">
        <v>2006</v>
      </c>
    </row>
    <row r="59" spans="1:10" ht="19.5" customHeight="1" x14ac:dyDescent="0.25">
      <c r="A59" s="1033"/>
      <c r="B59" s="1031"/>
      <c r="C59" s="1045"/>
      <c r="D59" s="711"/>
      <c r="E59" s="715"/>
      <c r="F59" s="727"/>
      <c r="G59" s="713"/>
      <c r="H59" s="712"/>
      <c r="I59" s="712">
        <f t="shared" si="1"/>
        <v>0</v>
      </c>
      <c r="J59" s="712"/>
    </row>
    <row r="60" spans="1:10" ht="15.75" customHeight="1" x14ac:dyDescent="0.25">
      <c r="A60" s="706"/>
      <c r="B60" s="706"/>
      <c r="C60" s="711"/>
      <c r="D60" s="711"/>
      <c r="E60" s="1034" t="s">
        <v>1973</v>
      </c>
      <c r="F60" s="1034"/>
      <c r="G60" s="1034"/>
      <c r="H60" s="1034"/>
      <c r="I60" s="710">
        <f>SUM(I6:I58)</f>
        <v>895400000</v>
      </c>
      <c r="J60" s="709"/>
    </row>
    <row r="61" spans="1:10" x14ac:dyDescent="0.25">
      <c r="A61" s="711"/>
      <c r="B61" s="1030"/>
      <c r="C61" s="1030"/>
      <c r="D61" s="1030"/>
      <c r="E61" s="1030"/>
      <c r="F61" s="1030"/>
      <c r="G61" s="1030"/>
      <c r="H61" s="1030"/>
      <c r="I61" s="1030"/>
      <c r="J61" s="718"/>
    </row>
    <row r="62" spans="1:10" ht="39.6" x14ac:dyDescent="0.25">
      <c r="A62" s="1030" t="s">
        <v>1123</v>
      </c>
      <c r="B62" s="1031" t="s">
        <v>51</v>
      </c>
      <c r="C62" s="1045" t="s">
        <v>2005</v>
      </c>
      <c r="D62" s="1033" t="s">
        <v>2004</v>
      </c>
      <c r="E62" s="715" t="s">
        <v>1393</v>
      </c>
      <c r="F62" s="719" t="s">
        <v>2003</v>
      </c>
      <c r="G62" s="713">
        <v>11</v>
      </c>
      <c r="H62" s="712">
        <v>3000000</v>
      </c>
      <c r="I62" s="712">
        <f t="shared" ref="I62:I69" si="2">+G62*H62</f>
        <v>33000000</v>
      </c>
      <c r="J62" s="712" t="s">
        <v>1983</v>
      </c>
    </row>
    <row r="63" spans="1:10" x14ac:dyDescent="0.25">
      <c r="A63" s="1030"/>
      <c r="B63" s="1031"/>
      <c r="C63" s="1045"/>
      <c r="D63" s="1033"/>
      <c r="E63" s="715" t="s">
        <v>1398</v>
      </c>
      <c r="F63" s="726" t="s">
        <v>2002</v>
      </c>
      <c r="G63" s="724">
        <v>1</v>
      </c>
      <c r="H63" s="725">
        <v>5000000</v>
      </c>
      <c r="I63" s="712">
        <f t="shared" si="2"/>
        <v>5000000</v>
      </c>
      <c r="J63" s="712" t="s">
        <v>1977</v>
      </c>
    </row>
    <row r="64" spans="1:10" ht="47.4" customHeight="1" x14ac:dyDescent="0.25">
      <c r="A64" s="1030"/>
      <c r="B64" s="1031"/>
      <c r="C64" s="1045"/>
      <c r="D64" s="1033"/>
      <c r="E64" s="715" t="s">
        <v>1397</v>
      </c>
      <c r="F64" s="719" t="s">
        <v>2001</v>
      </c>
      <c r="G64" s="724">
        <v>12</v>
      </c>
      <c r="H64" s="725">
        <v>100000</v>
      </c>
      <c r="I64" s="712">
        <f t="shared" si="2"/>
        <v>1200000</v>
      </c>
      <c r="J64" s="712" t="s">
        <v>1974</v>
      </c>
    </row>
    <row r="65" spans="1:10" ht="26.4" x14ac:dyDescent="0.25">
      <c r="A65" s="1030"/>
      <c r="B65" s="1031"/>
      <c r="C65" s="1045"/>
      <c r="D65" s="1033"/>
      <c r="E65" s="715" t="s">
        <v>1393</v>
      </c>
      <c r="F65" s="726" t="s">
        <v>2000</v>
      </c>
      <c r="G65" s="724">
        <v>6</v>
      </c>
      <c r="H65" s="725">
        <v>2000000</v>
      </c>
      <c r="I65" s="712">
        <f t="shared" si="2"/>
        <v>12000000</v>
      </c>
      <c r="J65" s="712" t="s">
        <v>1983</v>
      </c>
    </row>
    <row r="66" spans="1:10" x14ac:dyDescent="0.25">
      <c r="A66" s="1030"/>
      <c r="B66" s="1031"/>
      <c r="C66" s="1045"/>
      <c r="D66" s="1033"/>
      <c r="E66" s="715" t="s">
        <v>1392</v>
      </c>
      <c r="F66" s="726" t="s">
        <v>1999</v>
      </c>
      <c r="G66" s="724">
        <v>1</v>
      </c>
      <c r="H66" s="725">
        <v>10000000</v>
      </c>
      <c r="I66" s="712">
        <f t="shared" si="2"/>
        <v>10000000</v>
      </c>
      <c r="J66" s="712" t="s">
        <v>1998</v>
      </c>
    </row>
    <row r="67" spans="1:10" ht="66" x14ac:dyDescent="0.25">
      <c r="A67" s="1030"/>
      <c r="B67" s="1031"/>
      <c r="C67" s="1045"/>
      <c r="D67" s="1033"/>
      <c r="E67" s="715" t="s">
        <v>1393</v>
      </c>
      <c r="F67" s="719" t="s">
        <v>1997</v>
      </c>
      <c r="G67" s="724">
        <v>10</v>
      </c>
      <c r="H67" s="723">
        <v>3000000</v>
      </c>
      <c r="I67" s="712">
        <f t="shared" si="2"/>
        <v>30000000</v>
      </c>
      <c r="J67" s="712" t="s">
        <v>1983</v>
      </c>
    </row>
    <row r="68" spans="1:10" ht="52.8" x14ac:dyDescent="0.25">
      <c r="A68" s="1030"/>
      <c r="B68" s="1031"/>
      <c r="C68" s="1045"/>
      <c r="D68" s="1033"/>
      <c r="E68" s="715" t="s">
        <v>1375</v>
      </c>
      <c r="F68" s="719" t="s">
        <v>1996</v>
      </c>
      <c r="G68" s="724">
        <v>1</v>
      </c>
      <c r="H68" s="723">
        <v>50000000</v>
      </c>
      <c r="I68" s="712">
        <f t="shared" si="2"/>
        <v>50000000</v>
      </c>
      <c r="J68" s="712" t="s">
        <v>1993</v>
      </c>
    </row>
    <row r="69" spans="1:10" x14ac:dyDescent="0.25">
      <c r="A69" s="707"/>
      <c r="B69" s="708"/>
      <c r="C69" s="721"/>
      <c r="D69" s="711"/>
      <c r="E69" s="722"/>
      <c r="F69" s="721"/>
      <c r="G69" s="706"/>
      <c r="H69" s="720"/>
      <c r="I69" s="720">
        <f t="shared" si="2"/>
        <v>0</v>
      </c>
      <c r="J69" s="720"/>
    </row>
    <row r="70" spans="1:10" x14ac:dyDescent="0.25">
      <c r="A70" s="707"/>
      <c r="B70" s="707"/>
      <c r="C70" s="711"/>
      <c r="D70" s="711"/>
      <c r="E70" s="1034" t="s">
        <v>1973</v>
      </c>
      <c r="F70" s="1034"/>
      <c r="G70" s="1034"/>
      <c r="H70" s="1034"/>
      <c r="I70" s="710">
        <f>SUM(I62:I69)</f>
        <v>141200000</v>
      </c>
      <c r="J70" s="709"/>
    </row>
    <row r="71" spans="1:10" x14ac:dyDescent="0.25">
      <c r="A71" s="711"/>
      <c r="B71" s="1032"/>
      <c r="C71" s="1033"/>
      <c r="D71" s="1033"/>
      <c r="E71" s="1033"/>
      <c r="F71" s="1033"/>
      <c r="G71" s="1033"/>
      <c r="H71" s="1033"/>
      <c r="I71" s="1033"/>
      <c r="J71" s="711"/>
    </row>
    <row r="72" spans="1:10" ht="63.6" customHeight="1" x14ac:dyDescent="0.25">
      <c r="A72" s="1030" t="s">
        <v>1995</v>
      </c>
      <c r="B72" s="1031" t="s">
        <v>51</v>
      </c>
      <c r="C72" s="1030" t="s">
        <v>1044</v>
      </c>
      <c r="D72" s="1033" t="s">
        <v>1045</v>
      </c>
      <c r="E72" s="715" t="s">
        <v>1393</v>
      </c>
      <c r="F72" s="719" t="s">
        <v>1994</v>
      </c>
      <c r="G72" s="713">
        <v>11</v>
      </c>
      <c r="H72" s="716">
        <v>2200000</v>
      </c>
      <c r="I72" s="712">
        <f t="shared" ref="I72:I102" si="3">+G72*H72</f>
        <v>24200000</v>
      </c>
      <c r="J72" s="718" t="s">
        <v>1993</v>
      </c>
    </row>
    <row r="73" spans="1:10" ht="45.75" customHeight="1" x14ac:dyDescent="0.25">
      <c r="A73" s="1030"/>
      <c r="B73" s="1031"/>
      <c r="C73" s="1030"/>
      <c r="D73" s="1033"/>
      <c r="E73" s="715" t="s">
        <v>1393</v>
      </c>
      <c r="F73" s="714" t="s">
        <v>1047</v>
      </c>
      <c r="G73" s="713">
        <v>100</v>
      </c>
      <c r="H73" s="716">
        <v>50000</v>
      </c>
      <c r="I73" s="712">
        <f t="shared" si="3"/>
        <v>5000000</v>
      </c>
      <c r="J73" s="711" t="s">
        <v>1983</v>
      </c>
    </row>
    <row r="74" spans="1:10" ht="45.75" customHeight="1" x14ac:dyDescent="0.25">
      <c r="A74" s="1030"/>
      <c r="B74" s="1031"/>
      <c r="C74" s="1030"/>
      <c r="D74" s="1033"/>
      <c r="E74" s="715" t="s">
        <v>1393</v>
      </c>
      <c r="F74" s="714" t="s">
        <v>1048</v>
      </c>
      <c r="G74" s="713">
        <v>120</v>
      </c>
      <c r="H74" s="716">
        <v>50000</v>
      </c>
      <c r="I74" s="712">
        <f t="shared" si="3"/>
        <v>6000000</v>
      </c>
      <c r="J74" s="711" t="s">
        <v>1983</v>
      </c>
    </row>
    <row r="75" spans="1:10" ht="45.75" customHeight="1" x14ac:dyDescent="0.25">
      <c r="A75" s="1030"/>
      <c r="B75" s="1031"/>
      <c r="C75" s="1030"/>
      <c r="D75" s="1033"/>
      <c r="E75" s="715" t="s">
        <v>1393</v>
      </c>
      <c r="F75" s="714" t="s">
        <v>1049</v>
      </c>
      <c r="G75" s="713">
        <v>120</v>
      </c>
      <c r="H75" s="716">
        <v>50000</v>
      </c>
      <c r="I75" s="712">
        <f t="shared" si="3"/>
        <v>6000000</v>
      </c>
      <c r="J75" s="711" t="s">
        <v>1983</v>
      </c>
    </row>
    <row r="76" spans="1:10" ht="45.75" customHeight="1" x14ac:dyDescent="0.25">
      <c r="A76" s="1030"/>
      <c r="B76" s="1031"/>
      <c r="C76" s="1030"/>
      <c r="D76" s="1033"/>
      <c r="E76" s="715" t="s">
        <v>1393</v>
      </c>
      <c r="F76" s="714" t="s">
        <v>1050</v>
      </c>
      <c r="G76" s="713">
        <v>100</v>
      </c>
      <c r="H76" s="716">
        <v>50000</v>
      </c>
      <c r="I76" s="712">
        <f t="shared" si="3"/>
        <v>5000000</v>
      </c>
      <c r="J76" s="711" t="s">
        <v>1983</v>
      </c>
    </row>
    <row r="77" spans="1:10" ht="45.75" customHeight="1" x14ac:dyDescent="0.25">
      <c r="A77" s="1030"/>
      <c r="B77" s="1031"/>
      <c r="C77" s="1030"/>
      <c r="D77" s="1033"/>
      <c r="E77" s="715" t="s">
        <v>1393</v>
      </c>
      <c r="F77" s="714" t="s">
        <v>1051</v>
      </c>
      <c r="G77" s="713">
        <v>100</v>
      </c>
      <c r="H77" s="716">
        <v>50000</v>
      </c>
      <c r="I77" s="712">
        <f t="shared" si="3"/>
        <v>5000000</v>
      </c>
      <c r="J77" s="711" t="s">
        <v>1983</v>
      </c>
    </row>
    <row r="78" spans="1:10" ht="45.75" customHeight="1" x14ac:dyDescent="0.25">
      <c r="A78" s="1030"/>
      <c r="B78" s="1031"/>
      <c r="C78" s="1030"/>
      <c r="D78" s="1033"/>
      <c r="E78" s="715" t="s">
        <v>1393</v>
      </c>
      <c r="F78" s="714" t="s">
        <v>1052</v>
      </c>
      <c r="G78" s="713">
        <v>100</v>
      </c>
      <c r="H78" s="716">
        <v>50000</v>
      </c>
      <c r="I78" s="712">
        <f t="shared" si="3"/>
        <v>5000000</v>
      </c>
      <c r="J78" s="711" t="s">
        <v>1983</v>
      </c>
    </row>
    <row r="79" spans="1:10" ht="45.75" customHeight="1" x14ac:dyDescent="0.25">
      <c r="A79" s="1030"/>
      <c r="B79" s="1031"/>
      <c r="C79" s="1030"/>
      <c r="D79" s="1033"/>
      <c r="E79" s="715" t="s">
        <v>1393</v>
      </c>
      <c r="F79" s="714" t="s">
        <v>1053</v>
      </c>
      <c r="G79" s="713">
        <v>100</v>
      </c>
      <c r="H79" s="716">
        <v>50000</v>
      </c>
      <c r="I79" s="712">
        <f t="shared" si="3"/>
        <v>5000000</v>
      </c>
      <c r="J79" s="711" t="s">
        <v>1983</v>
      </c>
    </row>
    <row r="80" spans="1:10" ht="45.75" customHeight="1" x14ac:dyDescent="0.25">
      <c r="A80" s="1030"/>
      <c r="B80" s="1031"/>
      <c r="C80" s="1030"/>
      <c r="D80" s="1033"/>
      <c r="E80" s="715" t="s">
        <v>1393</v>
      </c>
      <c r="F80" s="714" t="s">
        <v>1054</v>
      </c>
      <c r="G80" s="713">
        <v>100</v>
      </c>
      <c r="H80" s="716">
        <v>50000</v>
      </c>
      <c r="I80" s="712">
        <f t="shared" si="3"/>
        <v>5000000</v>
      </c>
      <c r="J80" s="711" t="s">
        <v>1983</v>
      </c>
    </row>
    <row r="81" spans="1:10" ht="45.75" customHeight="1" x14ac:dyDescent="0.25">
      <c r="A81" s="1030"/>
      <c r="B81" s="1031"/>
      <c r="C81" s="1030"/>
      <c r="D81" s="1033"/>
      <c r="E81" s="715" t="s">
        <v>1393</v>
      </c>
      <c r="F81" s="714" t="s">
        <v>1992</v>
      </c>
      <c r="G81" s="713">
        <v>100</v>
      </c>
      <c r="H81" s="716">
        <v>50000</v>
      </c>
      <c r="I81" s="712">
        <f t="shared" si="3"/>
        <v>5000000</v>
      </c>
      <c r="J81" s="711" t="s">
        <v>1983</v>
      </c>
    </row>
    <row r="82" spans="1:10" ht="45.75" customHeight="1" x14ac:dyDescent="0.25">
      <c r="A82" s="1030"/>
      <c r="B82" s="1031"/>
      <c r="C82" s="1030"/>
      <c r="D82" s="1033"/>
      <c r="E82" s="715" t="s">
        <v>1393</v>
      </c>
      <c r="F82" s="714" t="s">
        <v>1055</v>
      </c>
      <c r="G82" s="713">
        <v>100</v>
      </c>
      <c r="H82" s="716">
        <v>50000</v>
      </c>
      <c r="I82" s="712">
        <f t="shared" si="3"/>
        <v>5000000</v>
      </c>
      <c r="J82" s="711" t="s">
        <v>1983</v>
      </c>
    </row>
    <row r="83" spans="1:10" ht="45.75" customHeight="1" x14ac:dyDescent="0.25">
      <c r="A83" s="1030"/>
      <c r="B83" s="1031"/>
      <c r="C83" s="1030"/>
      <c r="D83" s="1033"/>
      <c r="E83" s="715" t="s">
        <v>1393</v>
      </c>
      <c r="F83" s="714" t="s">
        <v>1056</v>
      </c>
      <c r="G83" s="713">
        <v>120</v>
      </c>
      <c r="H83" s="716">
        <v>50000</v>
      </c>
      <c r="I83" s="712">
        <f t="shared" si="3"/>
        <v>6000000</v>
      </c>
      <c r="J83" s="711" t="s">
        <v>1983</v>
      </c>
    </row>
    <row r="84" spans="1:10" ht="45.75" customHeight="1" x14ac:dyDescent="0.25">
      <c r="A84" s="1030"/>
      <c r="B84" s="1031"/>
      <c r="C84" s="1030"/>
      <c r="D84" s="1033"/>
      <c r="E84" s="715" t="s">
        <v>1393</v>
      </c>
      <c r="F84" s="714" t="s">
        <v>1057</v>
      </c>
      <c r="G84" s="713">
        <v>100</v>
      </c>
      <c r="H84" s="716">
        <v>50000</v>
      </c>
      <c r="I84" s="712">
        <f t="shared" si="3"/>
        <v>5000000</v>
      </c>
      <c r="J84" s="711" t="s">
        <v>1983</v>
      </c>
    </row>
    <row r="85" spans="1:10" ht="45.75" customHeight="1" x14ac:dyDescent="0.25">
      <c r="A85" s="1030"/>
      <c r="B85" s="1031"/>
      <c r="C85" s="1030"/>
      <c r="D85" s="1033"/>
      <c r="E85" s="715" t="s">
        <v>1393</v>
      </c>
      <c r="F85" s="714" t="s">
        <v>1058</v>
      </c>
      <c r="G85" s="713">
        <v>100</v>
      </c>
      <c r="H85" s="716">
        <v>50000</v>
      </c>
      <c r="I85" s="712">
        <f t="shared" si="3"/>
        <v>5000000</v>
      </c>
      <c r="J85" s="711" t="s">
        <v>1983</v>
      </c>
    </row>
    <row r="86" spans="1:10" ht="45.75" customHeight="1" x14ac:dyDescent="0.25">
      <c r="A86" s="1030"/>
      <c r="B86" s="1031"/>
      <c r="C86" s="1030"/>
      <c r="D86" s="1033"/>
      <c r="E86" s="715" t="s">
        <v>1393</v>
      </c>
      <c r="F86" s="714" t="s">
        <v>1059</v>
      </c>
      <c r="G86" s="713">
        <v>100</v>
      </c>
      <c r="H86" s="716">
        <v>50000</v>
      </c>
      <c r="I86" s="712">
        <f t="shared" si="3"/>
        <v>5000000</v>
      </c>
      <c r="J86" s="711" t="s">
        <v>1983</v>
      </c>
    </row>
    <row r="87" spans="1:10" ht="45.75" customHeight="1" x14ac:dyDescent="0.25">
      <c r="A87" s="1030"/>
      <c r="B87" s="1031"/>
      <c r="C87" s="1030"/>
      <c r="D87" s="1033"/>
      <c r="E87" s="715" t="s">
        <v>1393</v>
      </c>
      <c r="F87" s="714" t="s">
        <v>1060</v>
      </c>
      <c r="G87" s="713">
        <v>100</v>
      </c>
      <c r="H87" s="716">
        <v>50000</v>
      </c>
      <c r="I87" s="712">
        <f t="shared" si="3"/>
        <v>5000000</v>
      </c>
      <c r="J87" s="711" t="s">
        <v>1983</v>
      </c>
    </row>
    <row r="88" spans="1:10" ht="45.75" customHeight="1" x14ac:dyDescent="0.25">
      <c r="A88" s="1030"/>
      <c r="B88" s="1031"/>
      <c r="C88" s="1030"/>
      <c r="D88" s="1033"/>
      <c r="E88" s="715" t="s">
        <v>1393</v>
      </c>
      <c r="F88" s="714" t="s">
        <v>1991</v>
      </c>
      <c r="G88" s="713">
        <v>100</v>
      </c>
      <c r="H88" s="716">
        <v>50000</v>
      </c>
      <c r="I88" s="712">
        <f t="shared" si="3"/>
        <v>5000000</v>
      </c>
      <c r="J88" s="711" t="s">
        <v>1983</v>
      </c>
    </row>
    <row r="89" spans="1:10" ht="45.75" customHeight="1" x14ac:dyDescent="0.25">
      <c r="A89" s="1030"/>
      <c r="B89" s="1031"/>
      <c r="C89" s="1030"/>
      <c r="D89" s="1033"/>
      <c r="E89" s="715" t="s">
        <v>1393</v>
      </c>
      <c r="F89" s="714" t="s">
        <v>1990</v>
      </c>
      <c r="G89" s="713">
        <v>80</v>
      </c>
      <c r="H89" s="716">
        <v>50000</v>
      </c>
      <c r="I89" s="712">
        <f t="shared" si="3"/>
        <v>4000000</v>
      </c>
      <c r="J89" s="711" t="s">
        <v>1983</v>
      </c>
    </row>
    <row r="90" spans="1:10" ht="45.75" customHeight="1" x14ac:dyDescent="0.25">
      <c r="A90" s="1030"/>
      <c r="B90" s="1031"/>
      <c r="C90" s="1030"/>
      <c r="D90" s="1033"/>
      <c r="E90" s="715" t="s">
        <v>1393</v>
      </c>
      <c r="F90" s="714" t="s">
        <v>1989</v>
      </c>
      <c r="G90" s="713">
        <v>80</v>
      </c>
      <c r="H90" s="716">
        <v>50000</v>
      </c>
      <c r="I90" s="712">
        <f t="shared" si="3"/>
        <v>4000000</v>
      </c>
      <c r="J90" s="711" t="s">
        <v>1983</v>
      </c>
    </row>
    <row r="91" spans="1:10" ht="45.75" customHeight="1" x14ac:dyDescent="0.25">
      <c r="A91" s="1030"/>
      <c r="B91" s="1031"/>
      <c r="C91" s="1030"/>
      <c r="D91" s="1033"/>
      <c r="E91" s="715" t="s">
        <v>1393</v>
      </c>
      <c r="F91" s="714" t="s">
        <v>1988</v>
      </c>
      <c r="G91" s="713">
        <v>80</v>
      </c>
      <c r="H91" s="716">
        <v>50000</v>
      </c>
      <c r="I91" s="712">
        <f t="shared" si="3"/>
        <v>4000000</v>
      </c>
      <c r="J91" s="711" t="s">
        <v>1983</v>
      </c>
    </row>
    <row r="92" spans="1:10" ht="45.75" customHeight="1" x14ac:dyDescent="0.25">
      <c r="A92" s="1030"/>
      <c r="B92" s="1031"/>
      <c r="C92" s="1030"/>
      <c r="D92" s="1033"/>
      <c r="E92" s="715" t="s">
        <v>1393</v>
      </c>
      <c r="F92" s="714" t="s">
        <v>1987</v>
      </c>
      <c r="G92" s="713">
        <v>80</v>
      </c>
      <c r="H92" s="716">
        <v>50000</v>
      </c>
      <c r="I92" s="712">
        <f t="shared" si="3"/>
        <v>4000000</v>
      </c>
      <c r="J92" s="711" t="s">
        <v>1983</v>
      </c>
    </row>
    <row r="93" spans="1:10" ht="45.75" customHeight="1" x14ac:dyDescent="0.25">
      <c r="A93" s="1030"/>
      <c r="B93" s="1031"/>
      <c r="C93" s="1030"/>
      <c r="D93" s="1033"/>
      <c r="E93" s="715" t="s">
        <v>1393</v>
      </c>
      <c r="F93" s="714" t="s">
        <v>1986</v>
      </c>
      <c r="G93" s="713">
        <v>80</v>
      </c>
      <c r="H93" s="716">
        <v>50000</v>
      </c>
      <c r="I93" s="712">
        <f t="shared" si="3"/>
        <v>4000000</v>
      </c>
      <c r="J93" s="711" t="s">
        <v>1983</v>
      </c>
    </row>
    <row r="94" spans="1:10" ht="45.75" customHeight="1" x14ac:dyDescent="0.25">
      <c r="A94" s="1030"/>
      <c r="B94" s="1031"/>
      <c r="C94" s="1030"/>
      <c r="D94" s="1033"/>
      <c r="E94" s="715" t="s">
        <v>1393</v>
      </c>
      <c r="F94" s="714" t="s">
        <v>1986</v>
      </c>
      <c r="G94" s="713">
        <v>80</v>
      </c>
      <c r="H94" s="716">
        <v>50000</v>
      </c>
      <c r="I94" s="712">
        <f t="shared" si="3"/>
        <v>4000000</v>
      </c>
      <c r="J94" s="711" t="s">
        <v>1983</v>
      </c>
    </row>
    <row r="95" spans="1:10" ht="45.75" customHeight="1" x14ac:dyDescent="0.25">
      <c r="A95" s="1030"/>
      <c r="B95" s="1031"/>
      <c r="C95" s="1030"/>
      <c r="D95" s="1033"/>
      <c r="E95" s="715" t="s">
        <v>1393</v>
      </c>
      <c r="F95" s="714" t="s">
        <v>1985</v>
      </c>
      <c r="G95" s="713">
        <v>80</v>
      </c>
      <c r="H95" s="716">
        <v>50000</v>
      </c>
      <c r="I95" s="712">
        <f t="shared" si="3"/>
        <v>4000000</v>
      </c>
      <c r="J95" s="711" t="s">
        <v>1983</v>
      </c>
    </row>
    <row r="96" spans="1:10" ht="45.75" customHeight="1" x14ac:dyDescent="0.25">
      <c r="A96" s="1030"/>
      <c r="B96" s="1031"/>
      <c r="C96" s="1030"/>
      <c r="D96" s="1033"/>
      <c r="E96" s="715" t="s">
        <v>1393</v>
      </c>
      <c r="F96" s="714" t="s">
        <v>1984</v>
      </c>
      <c r="G96" s="713">
        <v>80</v>
      </c>
      <c r="H96" s="716">
        <v>50000</v>
      </c>
      <c r="I96" s="712">
        <f t="shared" si="3"/>
        <v>4000000</v>
      </c>
      <c r="J96" s="711" t="s">
        <v>1983</v>
      </c>
    </row>
    <row r="97" spans="1:10" ht="45.75" customHeight="1" x14ac:dyDescent="0.25">
      <c r="A97" s="1030"/>
      <c r="B97" s="1031"/>
      <c r="C97" s="1030"/>
      <c r="D97" s="1033"/>
      <c r="E97" s="715" t="s">
        <v>1373</v>
      </c>
      <c r="F97" s="714" t="s">
        <v>1982</v>
      </c>
      <c r="G97" s="713">
        <v>300</v>
      </c>
      <c r="H97" s="716">
        <v>100000</v>
      </c>
      <c r="I97" s="712">
        <f t="shared" si="3"/>
        <v>30000000</v>
      </c>
      <c r="J97" s="711" t="s">
        <v>1980</v>
      </c>
    </row>
    <row r="98" spans="1:10" ht="45.75" customHeight="1" x14ac:dyDescent="0.25">
      <c r="A98" s="1030"/>
      <c r="B98" s="1031"/>
      <c r="C98" s="1030"/>
      <c r="D98" s="1033"/>
      <c r="E98" s="715" t="s">
        <v>1373</v>
      </c>
      <c r="F98" s="714" t="s">
        <v>1981</v>
      </c>
      <c r="G98" s="713">
        <v>500</v>
      </c>
      <c r="H98" s="716">
        <v>100000</v>
      </c>
      <c r="I98" s="712">
        <f t="shared" si="3"/>
        <v>50000000</v>
      </c>
      <c r="J98" s="711" t="s">
        <v>1980</v>
      </c>
    </row>
    <row r="99" spans="1:10" ht="45.75" customHeight="1" x14ac:dyDescent="0.25">
      <c r="A99" s="1030"/>
      <c r="B99" s="1031"/>
      <c r="C99" s="1030"/>
      <c r="D99" s="1033"/>
      <c r="E99" s="715" t="s">
        <v>1373</v>
      </c>
      <c r="F99" s="714" t="s">
        <v>1979</v>
      </c>
      <c r="G99" s="713">
        <v>1</v>
      </c>
      <c r="H99" s="716">
        <v>50000000</v>
      </c>
      <c r="I99" s="712">
        <f t="shared" si="3"/>
        <v>50000000</v>
      </c>
      <c r="J99" s="717" t="s">
        <v>1976</v>
      </c>
    </row>
    <row r="100" spans="1:10" ht="45.75" customHeight="1" x14ac:dyDescent="0.25">
      <c r="A100" s="1030"/>
      <c r="B100" s="1031"/>
      <c r="C100" s="1030"/>
      <c r="D100" s="1033"/>
      <c r="E100" s="715" t="s">
        <v>1373</v>
      </c>
      <c r="F100" s="714" t="s">
        <v>1978</v>
      </c>
      <c r="G100" s="713">
        <v>2</v>
      </c>
      <c r="H100" s="716">
        <v>10000000</v>
      </c>
      <c r="I100" s="712">
        <f t="shared" si="3"/>
        <v>20000000</v>
      </c>
      <c r="J100" s="717" t="s">
        <v>1977</v>
      </c>
    </row>
    <row r="101" spans="1:10" ht="45.75" customHeight="1" x14ac:dyDescent="0.25">
      <c r="A101" s="1030"/>
      <c r="B101" s="1031"/>
      <c r="C101" s="1030"/>
      <c r="D101" s="1033"/>
      <c r="E101" s="715" t="s">
        <v>1373</v>
      </c>
      <c r="F101" s="714" t="s">
        <v>1068</v>
      </c>
      <c r="G101" s="713">
        <v>1</v>
      </c>
      <c r="H101" s="716">
        <v>10000000</v>
      </c>
      <c r="I101" s="712">
        <f t="shared" si="3"/>
        <v>10000000</v>
      </c>
      <c r="J101" s="711" t="s">
        <v>1976</v>
      </c>
    </row>
    <row r="102" spans="1:10" ht="45.75" customHeight="1" x14ac:dyDescent="0.25">
      <c r="A102" s="1030"/>
      <c r="B102" s="1031"/>
      <c r="C102" s="1030"/>
      <c r="D102" s="1033"/>
      <c r="E102" s="715" t="s">
        <v>1397</v>
      </c>
      <c r="F102" s="714" t="s">
        <v>1975</v>
      </c>
      <c r="G102" s="713">
        <v>12</v>
      </c>
      <c r="H102" s="712">
        <v>100000</v>
      </c>
      <c r="I102" s="712">
        <f t="shared" si="3"/>
        <v>1200000</v>
      </c>
      <c r="J102" s="711" t="s">
        <v>1974</v>
      </c>
    </row>
    <row r="103" spans="1:10" x14ac:dyDescent="0.25">
      <c r="A103" s="1030"/>
      <c r="B103" s="1031"/>
      <c r="C103" s="1030"/>
      <c r="D103" s="1033"/>
      <c r="E103" s="1034" t="s">
        <v>1973</v>
      </c>
      <c r="F103" s="1034"/>
      <c r="G103" s="1034"/>
      <c r="H103" s="1034"/>
      <c r="I103" s="710">
        <f>SUM(I72:I102)</f>
        <v>300400000</v>
      </c>
      <c r="J103" s="709"/>
    </row>
    <row r="104" spans="1:10" x14ac:dyDescent="0.25">
      <c r="A104" s="1030"/>
      <c r="B104" s="1031"/>
      <c r="C104" s="1030"/>
      <c r="D104" s="1033"/>
      <c r="E104" s="1035" t="s">
        <v>1244</v>
      </c>
      <c r="F104" s="1035"/>
      <c r="G104" s="1035"/>
      <c r="H104" s="1035"/>
      <c r="I104" s="705">
        <f>+I103+I70+I60</f>
        <v>1337000000</v>
      </c>
      <c r="J104" s="704"/>
    </row>
    <row r="106" spans="1:10" ht="13.8" thickBot="1" x14ac:dyDescent="0.3"/>
    <row r="107" spans="1:10" ht="15" thickTop="1" thickBot="1" x14ac:dyDescent="0.3">
      <c r="A107" s="960" t="s">
        <v>1084</v>
      </c>
      <c r="B107" s="960"/>
      <c r="C107" s="740" t="s">
        <v>2086</v>
      </c>
      <c r="D107" s="740" t="s">
        <v>1085</v>
      </c>
      <c r="E107" s="740" t="s">
        <v>2087</v>
      </c>
      <c r="F107" s="960" t="s">
        <v>1087</v>
      </c>
      <c r="G107" s="960"/>
      <c r="H107" s="740">
        <v>2</v>
      </c>
    </row>
    <row r="108" spans="1:10" ht="13.8" thickTop="1" x14ac:dyDescent="0.25"/>
  </sheetData>
  <mergeCells count="23">
    <mergeCell ref="A1:J2"/>
    <mergeCell ref="A3:J3"/>
    <mergeCell ref="A6:A59"/>
    <mergeCell ref="A62:A68"/>
    <mergeCell ref="E70:H70"/>
    <mergeCell ref="E60:H60"/>
    <mergeCell ref="B6:B59"/>
    <mergeCell ref="C6:C59"/>
    <mergeCell ref="C62:C68"/>
    <mergeCell ref="B62:B68"/>
    <mergeCell ref="D56:D58"/>
    <mergeCell ref="D44:D55"/>
    <mergeCell ref="B61:I61"/>
    <mergeCell ref="B71:I71"/>
    <mergeCell ref="D72:D104"/>
    <mergeCell ref="E103:H103"/>
    <mergeCell ref="E104:H104"/>
    <mergeCell ref="D62:D68"/>
    <mergeCell ref="A107:B107"/>
    <mergeCell ref="F107:G107"/>
    <mergeCell ref="A72:A104"/>
    <mergeCell ref="B72:B104"/>
    <mergeCell ref="C72:C10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239C-6060-4CB1-919D-1BA64CACD148}">
  <dimension ref="A1:O110"/>
  <sheetViews>
    <sheetView topLeftCell="A103" zoomScaleNormal="100" workbookViewId="0">
      <selection activeCell="A109" sqref="A109:H109"/>
    </sheetView>
  </sheetViews>
  <sheetFormatPr baseColWidth="10" defaultColWidth="11.44140625" defaultRowHeight="13.2" x14ac:dyDescent="0.25"/>
  <cols>
    <col min="1" max="1" width="16.33203125" style="491" customWidth="1"/>
    <col min="2" max="2" width="56.44140625" style="491" customWidth="1"/>
    <col min="3" max="3" width="22.33203125" style="491" customWidth="1"/>
    <col min="4" max="4" width="19.6640625" style="491" customWidth="1"/>
    <col min="5" max="5" width="59" style="491" customWidth="1"/>
    <col min="6" max="6" width="34.44140625" style="491" customWidth="1"/>
    <col min="7" max="7" width="14.33203125" style="491" customWidth="1"/>
    <col min="8" max="8" width="14.5546875" style="609" customWidth="1"/>
    <col min="9" max="9" width="14.5546875" style="491" customWidth="1"/>
    <col min="10" max="11" width="17.33203125" style="491" customWidth="1"/>
    <col min="12" max="12" width="19.33203125" style="491" customWidth="1"/>
    <col min="13" max="16384" width="11.44140625" style="491"/>
  </cols>
  <sheetData>
    <row r="1" spans="1:15" ht="15" customHeight="1" x14ac:dyDescent="0.25">
      <c r="A1" s="1046" t="s">
        <v>1368</v>
      </c>
      <c r="B1" s="1046"/>
      <c r="C1" s="1046"/>
      <c r="D1" s="1046"/>
      <c r="E1" s="1046"/>
      <c r="F1" s="1046"/>
      <c r="G1" s="1046"/>
      <c r="H1" s="1046"/>
      <c r="I1" s="1046"/>
      <c r="J1" s="1046"/>
      <c r="K1" s="1046"/>
      <c r="L1" s="1046"/>
      <c r="M1" s="1046"/>
      <c r="N1" s="1047"/>
    </row>
    <row r="2" spans="1:15" s="666" customFormat="1" ht="41.25" customHeight="1" x14ac:dyDescent="0.25">
      <c r="A2" s="668" t="s">
        <v>21</v>
      </c>
      <c r="B2" s="668" t="s">
        <v>22</v>
      </c>
      <c r="C2" s="668" t="s">
        <v>20</v>
      </c>
      <c r="D2" s="668" t="s">
        <v>23</v>
      </c>
      <c r="E2" s="668" t="s">
        <v>25</v>
      </c>
      <c r="F2" s="668" t="s">
        <v>27</v>
      </c>
      <c r="G2" s="668" t="s">
        <v>26</v>
      </c>
      <c r="H2" s="668" t="s">
        <v>1259</v>
      </c>
      <c r="I2" s="668" t="s">
        <v>1370</v>
      </c>
      <c r="J2" s="668" t="s">
        <v>1369</v>
      </c>
      <c r="K2" s="668" t="s">
        <v>1371</v>
      </c>
      <c r="L2" s="668" t="s">
        <v>1372</v>
      </c>
      <c r="M2" s="668" t="s">
        <v>30</v>
      </c>
      <c r="N2" s="668" t="s">
        <v>31</v>
      </c>
      <c r="O2" s="667"/>
    </row>
    <row r="3" spans="1:15" ht="237.6" x14ac:dyDescent="0.25">
      <c r="A3" s="611" t="s">
        <v>1276</v>
      </c>
      <c r="B3" s="611" t="s">
        <v>1352</v>
      </c>
      <c r="C3" s="611" t="s">
        <v>292</v>
      </c>
      <c r="D3" s="611" t="s">
        <v>294</v>
      </c>
      <c r="E3" s="611" t="s">
        <v>296</v>
      </c>
      <c r="F3" s="611" t="s">
        <v>298</v>
      </c>
      <c r="G3" s="626" t="s">
        <v>1883</v>
      </c>
      <c r="H3" s="624" t="s">
        <v>1749</v>
      </c>
      <c r="I3" s="611" t="s">
        <v>1393</v>
      </c>
      <c r="J3" s="611">
        <v>11</v>
      </c>
      <c r="K3" s="664">
        <v>3200000</v>
      </c>
      <c r="L3" s="627">
        <f t="shared" ref="L3:L15" si="0">K3*J3</f>
        <v>35200000</v>
      </c>
      <c r="M3" s="622">
        <v>44936</v>
      </c>
      <c r="N3" s="621">
        <v>45229</v>
      </c>
    </row>
    <row r="4" spans="1:15" ht="290.39999999999998" x14ac:dyDescent="0.25">
      <c r="A4" s="611" t="s">
        <v>1276</v>
      </c>
      <c r="B4" s="611" t="s">
        <v>1352</v>
      </c>
      <c r="C4" s="611" t="s">
        <v>292</v>
      </c>
      <c r="D4" s="611" t="s">
        <v>294</v>
      </c>
      <c r="E4" s="611" t="s">
        <v>296</v>
      </c>
      <c r="F4" s="611" t="s">
        <v>298</v>
      </c>
      <c r="G4" s="626" t="s">
        <v>1882</v>
      </c>
      <c r="H4" s="624" t="s">
        <v>1749</v>
      </c>
      <c r="I4" s="611" t="s">
        <v>1393</v>
      </c>
      <c r="J4" s="611">
        <v>11</v>
      </c>
      <c r="K4" s="664">
        <v>2600000</v>
      </c>
      <c r="L4" s="627">
        <f t="shared" si="0"/>
        <v>28600000</v>
      </c>
      <c r="M4" s="622">
        <v>44936</v>
      </c>
      <c r="N4" s="621">
        <v>45229</v>
      </c>
    </row>
    <row r="5" spans="1:15" ht="224.4" x14ac:dyDescent="0.25">
      <c r="A5" s="611" t="s">
        <v>1276</v>
      </c>
      <c r="B5" s="611" t="s">
        <v>1352</v>
      </c>
      <c r="C5" s="611" t="s">
        <v>292</v>
      </c>
      <c r="D5" s="611" t="s">
        <v>294</v>
      </c>
      <c r="E5" s="611" t="s">
        <v>296</v>
      </c>
      <c r="F5" s="611" t="s">
        <v>298</v>
      </c>
      <c r="G5" s="626" t="s">
        <v>1881</v>
      </c>
      <c r="H5" s="624" t="s">
        <v>1749</v>
      </c>
      <c r="I5" s="631" t="s">
        <v>1393</v>
      </c>
      <c r="J5" s="665">
        <v>11</v>
      </c>
      <c r="K5" s="664">
        <v>2600000</v>
      </c>
      <c r="L5" s="627">
        <f t="shared" si="0"/>
        <v>28600000</v>
      </c>
      <c r="M5" s="622">
        <v>44936</v>
      </c>
      <c r="N5" s="621">
        <v>45229</v>
      </c>
    </row>
    <row r="6" spans="1:15" ht="224.4" x14ac:dyDescent="0.25">
      <c r="A6" s="611" t="s">
        <v>1276</v>
      </c>
      <c r="B6" s="611" t="s">
        <v>1352</v>
      </c>
      <c r="C6" s="611" t="s">
        <v>292</v>
      </c>
      <c r="D6" s="611" t="s">
        <v>294</v>
      </c>
      <c r="E6" s="611" t="s">
        <v>296</v>
      </c>
      <c r="F6" s="611" t="s">
        <v>298</v>
      </c>
      <c r="G6" s="626" t="s">
        <v>1881</v>
      </c>
      <c r="H6" s="624" t="s">
        <v>1749</v>
      </c>
      <c r="I6" s="631" t="s">
        <v>1393</v>
      </c>
      <c r="J6" s="662">
        <v>11</v>
      </c>
      <c r="K6" s="664">
        <v>2600000</v>
      </c>
      <c r="L6" s="627">
        <f t="shared" si="0"/>
        <v>28600000</v>
      </c>
      <c r="M6" s="622">
        <v>44936</v>
      </c>
      <c r="N6" s="621">
        <v>45229</v>
      </c>
    </row>
    <row r="7" spans="1:15" ht="224.4" x14ac:dyDescent="0.25">
      <c r="A7" s="611" t="s">
        <v>1276</v>
      </c>
      <c r="B7" s="611" t="s">
        <v>1352</v>
      </c>
      <c r="C7" s="611" t="s">
        <v>292</v>
      </c>
      <c r="D7" s="611" t="s">
        <v>294</v>
      </c>
      <c r="E7" s="611" t="s">
        <v>296</v>
      </c>
      <c r="F7" s="611" t="s">
        <v>298</v>
      </c>
      <c r="G7" s="626" t="s">
        <v>1881</v>
      </c>
      <c r="H7" s="624" t="s">
        <v>1749</v>
      </c>
      <c r="I7" s="631" t="s">
        <v>1393</v>
      </c>
      <c r="J7" s="662">
        <v>11</v>
      </c>
      <c r="K7" s="664">
        <v>2600000</v>
      </c>
      <c r="L7" s="627">
        <f t="shared" si="0"/>
        <v>28600000</v>
      </c>
      <c r="M7" s="622">
        <v>44936</v>
      </c>
      <c r="N7" s="621">
        <v>45229</v>
      </c>
    </row>
    <row r="8" spans="1:15" ht="171.6" x14ac:dyDescent="0.25">
      <c r="A8" s="611" t="s">
        <v>1276</v>
      </c>
      <c r="B8" s="611" t="s">
        <v>1352</v>
      </c>
      <c r="C8" s="611" t="s">
        <v>292</v>
      </c>
      <c r="D8" s="611" t="s">
        <v>294</v>
      </c>
      <c r="E8" s="611" t="s">
        <v>296</v>
      </c>
      <c r="F8" s="611" t="s">
        <v>298</v>
      </c>
      <c r="G8" s="626" t="s">
        <v>1880</v>
      </c>
      <c r="H8" s="624" t="s">
        <v>1749</v>
      </c>
      <c r="I8" s="631" t="s">
        <v>1393</v>
      </c>
      <c r="J8" s="662">
        <v>11</v>
      </c>
      <c r="K8" s="663">
        <v>1900000</v>
      </c>
      <c r="L8" s="627">
        <f t="shared" si="0"/>
        <v>20900000</v>
      </c>
      <c r="M8" s="622">
        <v>44936</v>
      </c>
      <c r="N8" s="621">
        <v>45229</v>
      </c>
    </row>
    <row r="9" spans="1:15" ht="171.6" x14ac:dyDescent="0.25">
      <c r="A9" s="611" t="s">
        <v>1276</v>
      </c>
      <c r="B9" s="611" t="s">
        <v>1352</v>
      </c>
      <c r="C9" s="611" t="s">
        <v>292</v>
      </c>
      <c r="D9" s="611" t="s">
        <v>294</v>
      </c>
      <c r="E9" s="611" t="s">
        <v>296</v>
      </c>
      <c r="F9" s="611" t="s">
        <v>298</v>
      </c>
      <c r="G9" s="626" t="s">
        <v>1880</v>
      </c>
      <c r="H9" s="624" t="s">
        <v>1749</v>
      </c>
      <c r="I9" s="631" t="s">
        <v>1393</v>
      </c>
      <c r="J9" s="662">
        <v>11</v>
      </c>
      <c r="K9" s="663">
        <v>1900000</v>
      </c>
      <c r="L9" s="627">
        <f t="shared" si="0"/>
        <v>20900000</v>
      </c>
      <c r="M9" s="622">
        <v>44936</v>
      </c>
      <c r="N9" s="621">
        <v>45229</v>
      </c>
    </row>
    <row r="10" spans="1:15" ht="132" x14ac:dyDescent="0.25">
      <c r="A10" s="611" t="s">
        <v>1276</v>
      </c>
      <c r="B10" s="611" t="s">
        <v>1352</v>
      </c>
      <c r="C10" s="611" t="s">
        <v>292</v>
      </c>
      <c r="D10" s="611" t="s">
        <v>294</v>
      </c>
      <c r="E10" s="611" t="s">
        <v>296</v>
      </c>
      <c r="F10" s="611" t="s">
        <v>298</v>
      </c>
      <c r="G10" s="626" t="s">
        <v>303</v>
      </c>
      <c r="H10" s="624" t="s">
        <v>1749</v>
      </c>
      <c r="I10" s="631" t="s">
        <v>1392</v>
      </c>
      <c r="J10" s="662">
        <v>1</v>
      </c>
      <c r="K10" s="630">
        <v>70000000</v>
      </c>
      <c r="L10" s="627">
        <f t="shared" si="0"/>
        <v>70000000</v>
      </c>
      <c r="M10" s="622">
        <v>44936</v>
      </c>
      <c r="N10" s="621">
        <v>45229</v>
      </c>
    </row>
    <row r="11" spans="1:15" ht="92.4" x14ac:dyDescent="0.25">
      <c r="A11" s="611" t="s">
        <v>1276</v>
      </c>
      <c r="B11" s="611" t="s">
        <v>1352</v>
      </c>
      <c r="C11" s="611" t="s">
        <v>292</v>
      </c>
      <c r="D11" s="611" t="s">
        <v>294</v>
      </c>
      <c r="E11" s="611" t="s">
        <v>296</v>
      </c>
      <c r="F11" s="611" t="s">
        <v>298</v>
      </c>
      <c r="G11" s="626" t="s">
        <v>304</v>
      </c>
      <c r="H11" s="624" t="s">
        <v>1749</v>
      </c>
      <c r="I11" s="631" t="s">
        <v>1392</v>
      </c>
      <c r="J11" s="631">
        <v>1</v>
      </c>
      <c r="K11" s="630">
        <v>20300000</v>
      </c>
      <c r="L11" s="627">
        <f t="shared" si="0"/>
        <v>20300000</v>
      </c>
      <c r="M11" s="622">
        <v>44936</v>
      </c>
      <c r="N11" s="621">
        <v>45229</v>
      </c>
    </row>
    <row r="12" spans="1:15" ht="132" x14ac:dyDescent="0.25">
      <c r="A12" s="611" t="s">
        <v>1276</v>
      </c>
      <c r="B12" s="611" t="s">
        <v>1352</v>
      </c>
      <c r="C12" s="611" t="s">
        <v>292</v>
      </c>
      <c r="D12" s="611" t="s">
        <v>294</v>
      </c>
      <c r="E12" s="611" t="s">
        <v>296</v>
      </c>
      <c r="F12" s="611" t="s">
        <v>298</v>
      </c>
      <c r="G12" s="626" t="s">
        <v>308</v>
      </c>
      <c r="H12" s="624" t="s">
        <v>1749</v>
      </c>
      <c r="I12" s="631" t="s">
        <v>1392</v>
      </c>
      <c r="J12" s="631">
        <v>1</v>
      </c>
      <c r="K12" s="630">
        <v>18000000</v>
      </c>
      <c r="L12" s="627">
        <f t="shared" si="0"/>
        <v>18000000</v>
      </c>
      <c r="M12" s="622">
        <v>44936</v>
      </c>
      <c r="N12" s="621">
        <v>45229</v>
      </c>
    </row>
    <row r="13" spans="1:15" ht="92.4" x14ac:dyDescent="0.25">
      <c r="A13" s="611" t="s">
        <v>1276</v>
      </c>
      <c r="B13" s="611" t="s">
        <v>1352</v>
      </c>
      <c r="C13" s="611" t="s">
        <v>292</v>
      </c>
      <c r="D13" s="611" t="s">
        <v>294</v>
      </c>
      <c r="E13" s="611" t="s">
        <v>296</v>
      </c>
      <c r="F13" s="611" t="s">
        <v>298</v>
      </c>
      <c r="G13" s="626" t="s">
        <v>305</v>
      </c>
      <c r="H13" s="624" t="s">
        <v>1749</v>
      </c>
      <c r="I13" s="631" t="s">
        <v>1392</v>
      </c>
      <c r="J13" s="631">
        <v>32</v>
      </c>
      <c r="K13" s="630">
        <v>1100000</v>
      </c>
      <c r="L13" s="627">
        <f t="shared" si="0"/>
        <v>35200000</v>
      </c>
      <c r="M13" s="622">
        <v>44936</v>
      </c>
      <c r="N13" s="621">
        <v>45229</v>
      </c>
    </row>
    <row r="14" spans="1:15" ht="158.4" x14ac:dyDescent="0.25">
      <c r="A14" s="611" t="s">
        <v>1276</v>
      </c>
      <c r="B14" s="611" t="s">
        <v>1352</v>
      </c>
      <c r="C14" s="611" t="s">
        <v>292</v>
      </c>
      <c r="D14" s="611" t="s">
        <v>294</v>
      </c>
      <c r="E14" s="611" t="s">
        <v>296</v>
      </c>
      <c r="F14" s="611" t="s">
        <v>298</v>
      </c>
      <c r="G14" s="626" t="s">
        <v>1879</v>
      </c>
      <c r="H14" s="624" t="s">
        <v>1749</v>
      </c>
      <c r="I14" s="631" t="s">
        <v>1392</v>
      </c>
      <c r="J14" s="631">
        <v>4</v>
      </c>
      <c r="K14" s="630">
        <v>22500000</v>
      </c>
      <c r="L14" s="627">
        <f t="shared" si="0"/>
        <v>90000000</v>
      </c>
      <c r="M14" s="622">
        <v>44936</v>
      </c>
      <c r="N14" s="621">
        <v>45229</v>
      </c>
    </row>
    <row r="15" spans="1:15" ht="105.6" x14ac:dyDescent="0.25">
      <c r="A15" s="611" t="s">
        <v>1276</v>
      </c>
      <c r="B15" s="611" t="s">
        <v>1352</v>
      </c>
      <c r="C15" s="611" t="s">
        <v>292</v>
      </c>
      <c r="D15" s="611" t="s">
        <v>294</v>
      </c>
      <c r="E15" s="611" t="s">
        <v>296</v>
      </c>
      <c r="F15" s="611" t="s">
        <v>298</v>
      </c>
      <c r="G15" s="626" t="s">
        <v>307</v>
      </c>
      <c r="H15" s="624" t="s">
        <v>1749</v>
      </c>
      <c r="I15" s="631" t="s">
        <v>1392</v>
      </c>
      <c r="J15" s="631">
        <v>1</v>
      </c>
      <c r="K15" s="630">
        <v>18000000</v>
      </c>
      <c r="L15" s="627">
        <f t="shared" si="0"/>
        <v>18000000</v>
      </c>
      <c r="M15" s="622">
        <v>44936</v>
      </c>
      <c r="N15" s="621">
        <v>45229</v>
      </c>
    </row>
    <row r="16" spans="1:15" ht="79.2" x14ac:dyDescent="0.25">
      <c r="A16" s="611" t="s">
        <v>1276</v>
      </c>
      <c r="B16" s="611" t="s">
        <v>1352</v>
      </c>
      <c r="C16" s="611" t="s">
        <v>292</v>
      </c>
      <c r="D16" s="611" t="s">
        <v>294</v>
      </c>
      <c r="E16" s="611" t="s">
        <v>296</v>
      </c>
      <c r="F16" s="611" t="s">
        <v>298</v>
      </c>
      <c r="G16" s="626" t="s">
        <v>312</v>
      </c>
      <c r="H16" s="624" t="s">
        <v>1749</v>
      </c>
      <c r="I16" s="631" t="s">
        <v>1392</v>
      </c>
      <c r="J16" s="631">
        <v>1</v>
      </c>
      <c r="K16" s="630">
        <v>28500000</v>
      </c>
      <c r="L16" s="627">
        <v>91530000</v>
      </c>
      <c r="M16" s="622">
        <v>44936</v>
      </c>
      <c r="N16" s="621">
        <v>45229</v>
      </c>
    </row>
    <row r="17" spans="1:14" ht="118.8" x14ac:dyDescent="0.25">
      <c r="A17" s="611" t="s">
        <v>1276</v>
      </c>
      <c r="B17" s="611" t="s">
        <v>1352</v>
      </c>
      <c r="C17" s="611" t="s">
        <v>292</v>
      </c>
      <c r="D17" s="611" t="s">
        <v>294</v>
      </c>
      <c r="E17" s="611" t="s">
        <v>296</v>
      </c>
      <c r="F17" s="611" t="s">
        <v>298</v>
      </c>
      <c r="G17" s="626" t="s">
        <v>1878</v>
      </c>
      <c r="H17" s="632" t="s">
        <v>1877</v>
      </c>
      <c r="I17" s="631" t="s">
        <v>1395</v>
      </c>
      <c r="J17" s="631">
        <v>1</v>
      </c>
      <c r="K17" s="630">
        <v>150000000</v>
      </c>
      <c r="L17" s="627">
        <f t="shared" ref="L17:L24" si="1">K17*J17</f>
        <v>150000000</v>
      </c>
      <c r="M17" s="622">
        <v>44936</v>
      </c>
      <c r="N17" s="621">
        <v>45229</v>
      </c>
    </row>
    <row r="18" spans="1:14" ht="105.6" x14ac:dyDescent="0.25">
      <c r="A18" s="611" t="s">
        <v>1276</v>
      </c>
      <c r="B18" s="611" t="s">
        <v>1352</v>
      </c>
      <c r="C18" s="611" t="s">
        <v>292</v>
      </c>
      <c r="D18" s="611" t="s">
        <v>294</v>
      </c>
      <c r="E18" s="611" t="s">
        <v>296</v>
      </c>
      <c r="F18" s="611" t="s">
        <v>298</v>
      </c>
      <c r="G18" s="626" t="s">
        <v>324</v>
      </c>
      <c r="H18" s="632" t="s">
        <v>1877</v>
      </c>
      <c r="I18" s="631" t="s">
        <v>1395</v>
      </c>
      <c r="J18" s="631">
        <v>1</v>
      </c>
      <c r="K18" s="630">
        <v>150000000</v>
      </c>
      <c r="L18" s="627">
        <f t="shared" si="1"/>
        <v>150000000</v>
      </c>
      <c r="M18" s="622">
        <v>44936</v>
      </c>
      <c r="N18" s="621">
        <v>45229</v>
      </c>
    </row>
    <row r="19" spans="1:14" ht="132" x14ac:dyDescent="0.25">
      <c r="A19" s="611" t="s">
        <v>1276</v>
      </c>
      <c r="B19" s="611" t="s">
        <v>1352</v>
      </c>
      <c r="C19" s="611" t="s">
        <v>292</v>
      </c>
      <c r="D19" s="611" t="s">
        <v>294</v>
      </c>
      <c r="E19" s="611" t="s">
        <v>296</v>
      </c>
      <c r="F19" s="611" t="s">
        <v>298</v>
      </c>
      <c r="G19" s="626" t="s">
        <v>1876</v>
      </c>
      <c r="H19" s="632" t="s">
        <v>1871</v>
      </c>
      <c r="I19" s="631" t="s">
        <v>1395</v>
      </c>
      <c r="J19" s="631">
        <v>1</v>
      </c>
      <c r="K19" s="630">
        <v>150000000</v>
      </c>
      <c r="L19" s="627">
        <f t="shared" si="1"/>
        <v>150000000</v>
      </c>
      <c r="M19" s="622">
        <v>44936</v>
      </c>
      <c r="N19" s="621">
        <v>45229</v>
      </c>
    </row>
    <row r="20" spans="1:14" ht="145.19999999999999" x14ac:dyDescent="0.25">
      <c r="A20" s="611" t="s">
        <v>1276</v>
      </c>
      <c r="B20" s="611" t="s">
        <v>1352</v>
      </c>
      <c r="C20" s="611" t="s">
        <v>292</v>
      </c>
      <c r="D20" s="611" t="s">
        <v>294</v>
      </c>
      <c r="E20" s="611" t="s">
        <v>296</v>
      </c>
      <c r="F20" s="611" t="s">
        <v>298</v>
      </c>
      <c r="G20" s="626" t="s">
        <v>1875</v>
      </c>
      <c r="H20" s="632" t="s">
        <v>1373</v>
      </c>
      <c r="I20" s="631" t="s">
        <v>1398</v>
      </c>
      <c r="J20" s="631">
        <v>1</v>
      </c>
      <c r="K20" s="630">
        <v>150000000</v>
      </c>
      <c r="L20" s="627">
        <f t="shared" si="1"/>
        <v>150000000</v>
      </c>
      <c r="M20" s="622">
        <v>44936</v>
      </c>
      <c r="N20" s="621">
        <v>45229</v>
      </c>
    </row>
    <row r="21" spans="1:14" ht="120" x14ac:dyDescent="0.25">
      <c r="A21" s="611" t="s">
        <v>1276</v>
      </c>
      <c r="B21" s="611" t="s">
        <v>1352</v>
      </c>
      <c r="C21" s="611" t="s">
        <v>292</v>
      </c>
      <c r="D21" s="611" t="s">
        <v>294</v>
      </c>
      <c r="E21" s="611" t="s">
        <v>296</v>
      </c>
      <c r="F21" s="611" t="s">
        <v>298</v>
      </c>
      <c r="G21" s="631" t="s">
        <v>1874</v>
      </c>
      <c r="H21" s="632" t="s">
        <v>1871</v>
      </c>
      <c r="I21" s="631" t="s">
        <v>1395</v>
      </c>
      <c r="J21" s="631">
        <v>1</v>
      </c>
      <c r="K21" s="630">
        <v>150000000</v>
      </c>
      <c r="L21" s="627">
        <f t="shared" si="1"/>
        <v>150000000</v>
      </c>
      <c r="M21" s="622">
        <v>44936</v>
      </c>
      <c r="N21" s="621">
        <v>45229</v>
      </c>
    </row>
    <row r="22" spans="1:14" ht="96" x14ac:dyDescent="0.25">
      <c r="A22" s="611" t="s">
        <v>1276</v>
      </c>
      <c r="B22" s="611" t="s">
        <v>1352</v>
      </c>
      <c r="C22" s="611" t="s">
        <v>292</v>
      </c>
      <c r="D22" s="611" t="s">
        <v>294</v>
      </c>
      <c r="E22" s="611" t="s">
        <v>296</v>
      </c>
      <c r="F22" s="611" t="s">
        <v>298</v>
      </c>
      <c r="G22" s="631" t="s">
        <v>1873</v>
      </c>
      <c r="H22" s="632" t="s">
        <v>1871</v>
      </c>
      <c r="I22" s="631" t="s">
        <v>1395</v>
      </c>
      <c r="J22" s="631">
        <v>1</v>
      </c>
      <c r="K22" s="630">
        <v>150000000</v>
      </c>
      <c r="L22" s="627">
        <f t="shared" si="1"/>
        <v>150000000</v>
      </c>
      <c r="M22" s="622">
        <v>44936</v>
      </c>
      <c r="N22" s="621">
        <v>45229</v>
      </c>
    </row>
    <row r="23" spans="1:14" ht="79.2" x14ac:dyDescent="0.25">
      <c r="A23" s="611" t="s">
        <v>1276</v>
      </c>
      <c r="B23" s="611" t="s">
        <v>1352</v>
      </c>
      <c r="C23" s="611" t="s">
        <v>292</v>
      </c>
      <c r="D23" s="611" t="s">
        <v>294</v>
      </c>
      <c r="E23" s="611" t="s">
        <v>296</v>
      </c>
      <c r="F23" s="611" t="s">
        <v>298</v>
      </c>
      <c r="G23" s="661" t="s">
        <v>1872</v>
      </c>
      <c r="H23" s="632" t="s">
        <v>1871</v>
      </c>
      <c r="I23" s="631" t="s">
        <v>1395</v>
      </c>
      <c r="J23" s="631">
        <v>1</v>
      </c>
      <c r="K23" s="630">
        <v>110000000</v>
      </c>
      <c r="L23" s="627">
        <f t="shared" si="1"/>
        <v>110000000</v>
      </c>
      <c r="M23" s="622">
        <v>44936</v>
      </c>
      <c r="N23" s="621">
        <v>45229</v>
      </c>
    </row>
    <row r="24" spans="1:14" ht="66" x14ac:dyDescent="0.25">
      <c r="A24" s="611" t="s">
        <v>1276</v>
      </c>
      <c r="B24" s="611" t="s">
        <v>1352</v>
      </c>
      <c r="C24" s="611" t="s">
        <v>292</v>
      </c>
      <c r="D24" s="611" t="s">
        <v>294</v>
      </c>
      <c r="E24" s="611" t="s">
        <v>296</v>
      </c>
      <c r="F24" s="611" t="s">
        <v>298</v>
      </c>
      <c r="G24" s="626" t="s">
        <v>332</v>
      </c>
      <c r="H24" s="632" t="s">
        <v>1870</v>
      </c>
      <c r="I24" s="631" t="s">
        <v>1384</v>
      </c>
      <c r="J24" s="631">
        <v>1</v>
      </c>
      <c r="K24" s="630">
        <v>250000000</v>
      </c>
      <c r="L24" s="627">
        <f t="shared" si="1"/>
        <v>250000000</v>
      </c>
      <c r="M24" s="629">
        <v>45078</v>
      </c>
      <c r="N24" s="628">
        <v>44827</v>
      </c>
    </row>
    <row r="25" spans="1:14" ht="145.19999999999999" x14ac:dyDescent="0.25">
      <c r="A25" s="611" t="s">
        <v>1276</v>
      </c>
      <c r="B25" s="611" t="s">
        <v>1353</v>
      </c>
      <c r="C25" s="611" t="s">
        <v>292</v>
      </c>
      <c r="D25" s="611" t="s">
        <v>447</v>
      </c>
      <c r="E25" s="611"/>
      <c r="F25" s="611" t="s">
        <v>451</v>
      </c>
      <c r="G25" s="611" t="s">
        <v>1869</v>
      </c>
      <c r="H25" s="624" t="s">
        <v>385</v>
      </c>
      <c r="I25" s="611" t="s">
        <v>1393</v>
      </c>
      <c r="J25" s="611">
        <v>6</v>
      </c>
      <c r="K25" s="611"/>
      <c r="L25" s="611"/>
      <c r="M25" s="622">
        <v>44958</v>
      </c>
      <c r="N25" s="622">
        <v>45290</v>
      </c>
    </row>
    <row r="26" spans="1:14" ht="132" x14ac:dyDescent="0.25">
      <c r="A26" s="611" t="s">
        <v>1276</v>
      </c>
      <c r="B26" s="611" t="s">
        <v>1353</v>
      </c>
      <c r="C26" s="611" t="s">
        <v>292</v>
      </c>
      <c r="D26" s="611" t="s">
        <v>447</v>
      </c>
      <c r="E26" s="611"/>
      <c r="F26" s="611"/>
      <c r="G26" s="611" t="s">
        <v>1868</v>
      </c>
      <c r="H26" s="624" t="s">
        <v>453</v>
      </c>
      <c r="I26" s="611" t="s">
        <v>1398</v>
      </c>
      <c r="J26" s="611">
        <v>1</v>
      </c>
      <c r="K26" s="659">
        <v>39000000</v>
      </c>
      <c r="L26" s="659">
        <v>39000000</v>
      </c>
      <c r="M26" s="622">
        <v>44958</v>
      </c>
      <c r="N26" s="622">
        <v>45290</v>
      </c>
    </row>
    <row r="27" spans="1:14" ht="52.8" x14ac:dyDescent="0.25">
      <c r="A27" s="611" t="s">
        <v>1276</v>
      </c>
      <c r="B27" s="611" t="s">
        <v>1353</v>
      </c>
      <c r="C27" s="611" t="s">
        <v>292</v>
      </c>
      <c r="D27" s="611" t="s">
        <v>447</v>
      </c>
      <c r="E27" s="611"/>
      <c r="F27" s="611"/>
      <c r="G27" s="611" t="s">
        <v>1867</v>
      </c>
      <c r="H27" s="624" t="s">
        <v>1866</v>
      </c>
      <c r="I27" s="611" t="s">
        <v>1392</v>
      </c>
      <c r="J27" s="611">
        <v>1</v>
      </c>
      <c r="K27" s="659">
        <v>12000000</v>
      </c>
      <c r="L27" s="669">
        <f>+K27</f>
        <v>12000000</v>
      </c>
      <c r="M27" s="622">
        <v>44958</v>
      </c>
      <c r="N27" s="622">
        <v>45290</v>
      </c>
    </row>
    <row r="28" spans="1:14" ht="39.6" x14ac:dyDescent="0.25">
      <c r="A28" s="611" t="s">
        <v>1276</v>
      </c>
      <c r="B28" s="611" t="s">
        <v>1353</v>
      </c>
      <c r="C28" s="611" t="s">
        <v>292</v>
      </c>
      <c r="D28" s="611" t="s">
        <v>447</v>
      </c>
      <c r="E28" s="611"/>
      <c r="F28" s="611"/>
      <c r="G28" s="611" t="s">
        <v>1865</v>
      </c>
      <c r="H28" s="624" t="s">
        <v>1864</v>
      </c>
      <c r="I28" s="611" t="s">
        <v>1393</v>
      </c>
      <c r="J28" s="660" t="s">
        <v>1863</v>
      </c>
      <c r="K28" s="659">
        <v>200000000</v>
      </c>
      <c r="L28" s="659">
        <v>200000000</v>
      </c>
      <c r="M28" s="622">
        <v>44958</v>
      </c>
      <c r="N28" s="622">
        <v>45290</v>
      </c>
    </row>
    <row r="29" spans="1:14" ht="52.8" x14ac:dyDescent="0.25">
      <c r="A29" s="611" t="s">
        <v>1276</v>
      </c>
      <c r="B29" s="611" t="s">
        <v>1353</v>
      </c>
      <c r="C29" s="611" t="s">
        <v>292</v>
      </c>
      <c r="D29" s="611" t="s">
        <v>447</v>
      </c>
      <c r="E29" s="611"/>
      <c r="F29" s="611"/>
      <c r="G29" s="611" t="s">
        <v>1862</v>
      </c>
      <c r="H29" s="624" t="s">
        <v>1861</v>
      </c>
      <c r="I29" s="611" t="s">
        <v>1398</v>
      </c>
      <c r="J29" s="611">
        <v>2</v>
      </c>
      <c r="K29" s="659">
        <v>8000000</v>
      </c>
      <c r="L29" s="659">
        <f>(J29*K29)</f>
        <v>16000000</v>
      </c>
      <c r="M29" s="622">
        <v>44958</v>
      </c>
      <c r="N29" s="622">
        <v>45290</v>
      </c>
    </row>
    <row r="30" spans="1:14" ht="52.8" x14ac:dyDescent="0.25">
      <c r="A30" s="611" t="s">
        <v>1276</v>
      </c>
      <c r="B30" s="611" t="s">
        <v>1353</v>
      </c>
      <c r="C30" s="611" t="s">
        <v>292</v>
      </c>
      <c r="D30" s="611" t="s">
        <v>447</v>
      </c>
      <c r="E30" s="611"/>
      <c r="F30" s="611"/>
      <c r="G30" s="611" t="s">
        <v>1860</v>
      </c>
      <c r="H30" s="624" t="s">
        <v>1859</v>
      </c>
      <c r="I30" s="611" t="s">
        <v>1398</v>
      </c>
      <c r="J30" s="611">
        <v>1</v>
      </c>
      <c r="K30" s="659">
        <v>4330000</v>
      </c>
      <c r="L30" s="659">
        <f>(J30*K30)</f>
        <v>4330000</v>
      </c>
      <c r="M30" s="622">
        <v>44958</v>
      </c>
      <c r="N30" s="622">
        <v>45290</v>
      </c>
    </row>
    <row r="31" spans="1:14" ht="66" x14ac:dyDescent="0.25">
      <c r="A31" s="611" t="s">
        <v>1276</v>
      </c>
      <c r="B31" s="611" t="s">
        <v>1353</v>
      </c>
      <c r="C31" s="611" t="s">
        <v>292</v>
      </c>
      <c r="D31" s="611" t="s">
        <v>447</v>
      </c>
      <c r="E31" s="611"/>
      <c r="F31" s="611"/>
      <c r="G31" s="611" t="s">
        <v>1858</v>
      </c>
      <c r="H31" s="624" t="s">
        <v>1857</v>
      </c>
      <c r="I31" s="611" t="s">
        <v>1398</v>
      </c>
      <c r="J31" s="611">
        <v>1</v>
      </c>
      <c r="K31" s="659">
        <v>3262000</v>
      </c>
      <c r="L31" s="659">
        <f>(J31*K31)</f>
        <v>3262000</v>
      </c>
      <c r="M31" s="622">
        <v>44958</v>
      </c>
      <c r="N31" s="622">
        <v>45290</v>
      </c>
    </row>
    <row r="32" spans="1:14" ht="39.6" x14ac:dyDescent="0.25">
      <c r="A32" s="626" t="s">
        <v>1276</v>
      </c>
      <c r="B32" s="611" t="s">
        <v>1351</v>
      </c>
      <c r="C32" s="626" t="s">
        <v>292</v>
      </c>
      <c r="D32" s="626" t="s">
        <v>5</v>
      </c>
      <c r="E32" s="611" t="s">
        <v>497</v>
      </c>
      <c r="F32" s="658" t="s">
        <v>1121</v>
      </c>
      <c r="G32" s="626" t="s">
        <v>1856</v>
      </c>
      <c r="H32" s="624" t="s">
        <v>1855</v>
      </c>
      <c r="I32" s="626" t="s">
        <v>1397</v>
      </c>
      <c r="J32" s="624">
        <v>1</v>
      </c>
      <c r="K32" s="624" t="s">
        <v>1854</v>
      </c>
      <c r="L32" s="654">
        <v>200000000</v>
      </c>
      <c r="M32" s="657">
        <v>44936</v>
      </c>
      <c r="N32" s="657">
        <v>45276</v>
      </c>
    </row>
    <row r="33" spans="1:14" ht="52.8" x14ac:dyDescent="0.25">
      <c r="A33" s="611" t="s">
        <v>1841</v>
      </c>
      <c r="B33" s="611" t="s">
        <v>1351</v>
      </c>
      <c r="C33" s="626" t="s">
        <v>292</v>
      </c>
      <c r="D33" s="626" t="s">
        <v>5</v>
      </c>
      <c r="E33" s="611" t="s">
        <v>497</v>
      </c>
      <c r="F33" s="626" t="s">
        <v>1121</v>
      </c>
      <c r="G33" s="626" t="s">
        <v>1853</v>
      </c>
      <c r="H33" s="624" t="s">
        <v>1852</v>
      </c>
      <c r="I33" s="626" t="s">
        <v>1397</v>
      </c>
      <c r="J33" s="624">
        <v>1</v>
      </c>
      <c r="K33" s="654">
        <v>15000000</v>
      </c>
      <c r="L33" s="655">
        <v>15000000</v>
      </c>
      <c r="M33" s="653">
        <v>44936</v>
      </c>
      <c r="N33" s="653">
        <v>45276</v>
      </c>
    </row>
    <row r="34" spans="1:14" ht="52.8" x14ac:dyDescent="0.25">
      <c r="A34" s="611" t="s">
        <v>1841</v>
      </c>
      <c r="B34" s="611" t="s">
        <v>1351</v>
      </c>
      <c r="C34" s="626" t="s">
        <v>292</v>
      </c>
      <c r="D34" s="626" t="s">
        <v>5</v>
      </c>
      <c r="E34" s="611" t="s">
        <v>497</v>
      </c>
      <c r="F34" s="626" t="s">
        <v>1366</v>
      </c>
      <c r="G34" s="626" t="s">
        <v>1851</v>
      </c>
      <c r="H34" s="624" t="s">
        <v>1850</v>
      </c>
      <c r="I34" s="626" t="s">
        <v>1397</v>
      </c>
      <c r="J34" s="624" t="s">
        <v>1849</v>
      </c>
      <c r="K34" s="654">
        <v>30000000</v>
      </c>
      <c r="L34" s="655">
        <v>30000000</v>
      </c>
      <c r="M34" s="653">
        <v>44936</v>
      </c>
      <c r="N34" s="653">
        <v>44936</v>
      </c>
    </row>
    <row r="35" spans="1:14" ht="52.8" x14ac:dyDescent="0.25">
      <c r="A35" s="611" t="s">
        <v>1841</v>
      </c>
      <c r="B35" s="611" t="s">
        <v>1351</v>
      </c>
      <c r="C35" s="626" t="s">
        <v>292</v>
      </c>
      <c r="D35" s="626" t="s">
        <v>5</v>
      </c>
      <c r="E35" s="611" t="s">
        <v>497</v>
      </c>
      <c r="F35" s="626" t="s">
        <v>1366</v>
      </c>
      <c r="G35" s="626" t="s">
        <v>1848</v>
      </c>
      <c r="H35" s="624" t="s">
        <v>1839</v>
      </c>
      <c r="I35" s="626" t="s">
        <v>1398</v>
      </c>
      <c r="J35" s="624">
        <v>1</v>
      </c>
      <c r="K35" s="654">
        <v>35000000</v>
      </c>
      <c r="L35" s="655">
        <v>35000000</v>
      </c>
      <c r="M35" s="653">
        <v>44936</v>
      </c>
      <c r="N35" s="653">
        <v>44936</v>
      </c>
    </row>
    <row r="36" spans="1:14" ht="52.8" x14ac:dyDescent="0.25">
      <c r="A36" s="611" t="s">
        <v>1841</v>
      </c>
      <c r="B36" s="611" t="s">
        <v>1351</v>
      </c>
      <c r="C36" s="626" t="s">
        <v>292</v>
      </c>
      <c r="D36" s="626" t="s">
        <v>5</v>
      </c>
      <c r="E36" s="611" t="s">
        <v>497</v>
      </c>
      <c r="F36" s="626" t="s">
        <v>1366</v>
      </c>
      <c r="G36" s="626" t="s">
        <v>1847</v>
      </c>
      <c r="H36" s="624"/>
      <c r="I36" s="626" t="s">
        <v>1393</v>
      </c>
      <c r="J36" s="624">
        <v>1</v>
      </c>
      <c r="K36" s="654">
        <v>40000000</v>
      </c>
      <c r="L36" s="654">
        <v>40000000</v>
      </c>
      <c r="M36" s="657">
        <v>44936</v>
      </c>
      <c r="N36" s="653">
        <v>45276</v>
      </c>
    </row>
    <row r="37" spans="1:14" ht="52.8" x14ac:dyDescent="0.25">
      <c r="A37" s="611" t="s">
        <v>1841</v>
      </c>
      <c r="B37" s="611" t="s">
        <v>1351</v>
      </c>
      <c r="C37" s="626" t="s">
        <v>292</v>
      </c>
      <c r="D37" s="626" t="s">
        <v>5</v>
      </c>
      <c r="E37" s="611" t="s">
        <v>497</v>
      </c>
      <c r="F37" s="626" t="s">
        <v>1366</v>
      </c>
      <c r="G37" s="624" t="s">
        <v>1846</v>
      </c>
      <c r="H37" s="624" t="s">
        <v>1845</v>
      </c>
      <c r="I37" s="626" t="s">
        <v>1398</v>
      </c>
      <c r="J37" s="624">
        <v>1</v>
      </c>
      <c r="K37" s="654">
        <v>300000000</v>
      </c>
      <c r="L37" s="656">
        <v>300000000</v>
      </c>
      <c r="M37" s="653">
        <v>44936</v>
      </c>
      <c r="N37" s="653">
        <v>44936</v>
      </c>
    </row>
    <row r="38" spans="1:14" ht="52.8" x14ac:dyDescent="0.25">
      <c r="A38" s="611" t="s">
        <v>1841</v>
      </c>
      <c r="B38" s="611" t="s">
        <v>1351</v>
      </c>
      <c r="C38" s="626" t="s">
        <v>292</v>
      </c>
      <c r="D38" s="626" t="s">
        <v>5</v>
      </c>
      <c r="E38" s="611" t="s">
        <v>497</v>
      </c>
      <c r="F38" s="626" t="s">
        <v>1366</v>
      </c>
      <c r="G38" s="624" t="s">
        <v>1844</v>
      </c>
      <c r="H38" s="624" t="s">
        <v>1843</v>
      </c>
      <c r="I38" s="626" t="s">
        <v>1398</v>
      </c>
      <c r="J38" s="624">
        <v>32</v>
      </c>
      <c r="K38" s="624" t="s">
        <v>1842</v>
      </c>
      <c r="L38" s="655">
        <v>40000000</v>
      </c>
      <c r="M38" s="653">
        <v>44936</v>
      </c>
      <c r="N38" s="653">
        <v>44936</v>
      </c>
    </row>
    <row r="39" spans="1:14" ht="52.8" x14ac:dyDescent="0.25">
      <c r="A39" s="611" t="s">
        <v>1841</v>
      </c>
      <c r="B39" s="611" t="s">
        <v>1351</v>
      </c>
      <c r="C39" s="626" t="s">
        <v>292</v>
      </c>
      <c r="D39" s="626" t="s">
        <v>5</v>
      </c>
      <c r="E39" s="611" t="s">
        <v>497</v>
      </c>
      <c r="F39" s="626" t="s">
        <v>1366</v>
      </c>
      <c r="G39" s="624" t="s">
        <v>1840</v>
      </c>
      <c r="H39" s="624" t="s">
        <v>1839</v>
      </c>
      <c r="I39" s="624" t="s">
        <v>1398</v>
      </c>
      <c r="J39" s="624">
        <v>500</v>
      </c>
      <c r="K39" s="654">
        <v>185000000</v>
      </c>
      <c r="L39" s="654">
        <v>185000000</v>
      </c>
      <c r="M39" s="653">
        <v>44936</v>
      </c>
      <c r="N39" s="653">
        <v>44936</v>
      </c>
    </row>
    <row r="40" spans="1:14" ht="39.6" x14ac:dyDescent="0.25">
      <c r="B40" s="611" t="s">
        <v>1351</v>
      </c>
      <c r="C40" s="626" t="s">
        <v>292</v>
      </c>
      <c r="D40" s="626" t="s">
        <v>5</v>
      </c>
      <c r="E40" s="611" t="s">
        <v>497</v>
      </c>
      <c r="F40" s="626" t="s">
        <v>1366</v>
      </c>
      <c r="G40" s="624" t="s">
        <v>1838</v>
      </c>
      <c r="H40" s="624" t="s">
        <v>1837</v>
      </c>
      <c r="I40" s="624" t="s">
        <v>1398</v>
      </c>
      <c r="J40" s="624"/>
      <c r="K40" s="654" t="s">
        <v>1836</v>
      </c>
      <c r="L40" s="654">
        <v>150000000</v>
      </c>
      <c r="M40" s="653">
        <v>44936</v>
      </c>
      <c r="N40" s="653">
        <v>44936</v>
      </c>
    </row>
    <row r="41" spans="1:14" ht="211.2" x14ac:dyDescent="0.25">
      <c r="A41" s="633" t="s">
        <v>1276</v>
      </c>
      <c r="B41" s="633" t="s">
        <v>1359</v>
      </c>
      <c r="C41" s="633" t="s">
        <v>292</v>
      </c>
      <c r="D41" s="633" t="s">
        <v>4</v>
      </c>
      <c r="E41" s="633" t="s">
        <v>1220</v>
      </c>
      <c r="F41" s="633" t="s">
        <v>1806</v>
      </c>
      <c r="G41" s="639" t="s">
        <v>1835</v>
      </c>
      <c r="H41" s="649" t="s">
        <v>1819</v>
      </c>
      <c r="I41" s="639" t="s">
        <v>1386</v>
      </c>
      <c r="J41" s="647">
        <v>1</v>
      </c>
      <c r="K41" s="645">
        <v>120000000</v>
      </c>
      <c r="L41" s="652">
        <f t="shared" ref="L41:L60" si="2">K41*J41</f>
        <v>120000000</v>
      </c>
      <c r="M41" s="651" t="s">
        <v>1803</v>
      </c>
      <c r="N41" s="651" t="s">
        <v>1834</v>
      </c>
    </row>
    <row r="42" spans="1:14" ht="52.8" x14ac:dyDescent="0.25">
      <c r="A42" s="639" t="s">
        <v>1276</v>
      </c>
      <c r="B42" s="639" t="s">
        <v>1359</v>
      </c>
      <c r="C42" s="639" t="s">
        <v>292</v>
      </c>
      <c r="D42" s="639" t="s">
        <v>4</v>
      </c>
      <c r="E42" s="639" t="s">
        <v>1220</v>
      </c>
      <c r="F42" s="650" t="s">
        <v>1806</v>
      </c>
      <c r="G42" s="639" t="s">
        <v>1833</v>
      </c>
      <c r="H42" s="649" t="s">
        <v>1824</v>
      </c>
      <c r="I42" s="639" t="s">
        <v>1381</v>
      </c>
      <c r="J42" s="647">
        <v>1</v>
      </c>
      <c r="K42" s="648">
        <v>4500000000</v>
      </c>
      <c r="L42" s="645">
        <f t="shared" si="2"/>
        <v>4500000000</v>
      </c>
      <c r="M42" s="647" t="s">
        <v>1832</v>
      </c>
      <c r="N42" s="639" t="s">
        <v>1802</v>
      </c>
    </row>
    <row r="43" spans="1:14" ht="39.6" x14ac:dyDescent="0.25">
      <c r="A43" s="636" t="s">
        <v>1276</v>
      </c>
      <c r="B43" s="636" t="s">
        <v>1359</v>
      </c>
      <c r="C43" s="636" t="s">
        <v>292</v>
      </c>
      <c r="D43" s="636" t="s">
        <v>4</v>
      </c>
      <c r="E43" s="636" t="s">
        <v>1219</v>
      </c>
      <c r="F43" s="636" t="s">
        <v>1806</v>
      </c>
      <c r="G43" s="636" t="s">
        <v>1831</v>
      </c>
      <c r="H43" s="643" t="s">
        <v>1824</v>
      </c>
      <c r="I43" s="636" t="s">
        <v>1381</v>
      </c>
      <c r="J43" s="636">
        <v>1</v>
      </c>
      <c r="K43" s="634">
        <v>5000000000</v>
      </c>
      <c r="L43" s="634">
        <f t="shared" si="2"/>
        <v>5000000000</v>
      </c>
      <c r="M43" s="636" t="s">
        <v>1803</v>
      </c>
      <c r="N43" s="636" t="s">
        <v>1802</v>
      </c>
    </row>
    <row r="44" spans="1:14" ht="132" x14ac:dyDescent="0.25">
      <c r="A44" s="636" t="s">
        <v>1276</v>
      </c>
      <c r="B44" s="636" t="s">
        <v>1359</v>
      </c>
      <c r="C44" s="636" t="s">
        <v>292</v>
      </c>
      <c r="D44" s="636" t="s">
        <v>4</v>
      </c>
      <c r="E44" s="636" t="s">
        <v>1229</v>
      </c>
      <c r="F44" s="636" t="s">
        <v>1806</v>
      </c>
      <c r="G44" s="633" t="s">
        <v>1830</v>
      </c>
      <c r="H44" s="643" t="s">
        <v>1829</v>
      </c>
      <c r="I44" s="636" t="s">
        <v>1392</v>
      </c>
      <c r="J44" s="633">
        <v>1</v>
      </c>
      <c r="K44" s="641">
        <v>150000000</v>
      </c>
      <c r="L44" s="634">
        <f t="shared" si="2"/>
        <v>150000000</v>
      </c>
      <c r="M44" s="633" t="s">
        <v>1827</v>
      </c>
      <c r="N44" s="633" t="s">
        <v>1826</v>
      </c>
    </row>
    <row r="45" spans="1:14" ht="145.19999999999999" x14ac:dyDescent="0.25">
      <c r="A45" s="636" t="s">
        <v>1276</v>
      </c>
      <c r="B45" s="636" t="s">
        <v>1359</v>
      </c>
      <c r="C45" s="636" t="s">
        <v>292</v>
      </c>
      <c r="D45" s="636" t="s">
        <v>4</v>
      </c>
      <c r="E45" s="636" t="s">
        <v>1225</v>
      </c>
      <c r="F45" s="636" t="s">
        <v>1806</v>
      </c>
      <c r="G45" s="636" t="s">
        <v>1828</v>
      </c>
      <c r="H45" s="643" t="s">
        <v>1824</v>
      </c>
      <c r="I45" s="636" t="s">
        <v>1392</v>
      </c>
      <c r="J45" s="636">
        <v>1</v>
      </c>
      <c r="K45" s="634">
        <v>50000000</v>
      </c>
      <c r="L45" s="634">
        <f t="shared" si="2"/>
        <v>50000000</v>
      </c>
      <c r="M45" s="633" t="s">
        <v>1827</v>
      </c>
      <c r="N45" s="633" t="s">
        <v>1826</v>
      </c>
    </row>
    <row r="46" spans="1:14" ht="211.2" x14ac:dyDescent="0.25">
      <c r="A46" s="636" t="s">
        <v>1276</v>
      </c>
      <c r="B46" s="636" t="s">
        <v>1359</v>
      </c>
      <c r="C46" s="636" t="s">
        <v>292</v>
      </c>
      <c r="D46" s="636" t="s">
        <v>4</v>
      </c>
      <c r="E46" s="636" t="s">
        <v>1220</v>
      </c>
      <c r="F46" s="636" t="s">
        <v>1806</v>
      </c>
      <c r="G46" s="633" t="s">
        <v>1825</v>
      </c>
      <c r="H46" s="643" t="s">
        <v>1824</v>
      </c>
      <c r="I46" s="636" t="s">
        <v>1392</v>
      </c>
      <c r="J46" s="633">
        <v>1</v>
      </c>
      <c r="K46" s="641">
        <v>800000000</v>
      </c>
      <c r="L46" s="634">
        <f t="shared" si="2"/>
        <v>800000000</v>
      </c>
      <c r="M46" s="633" t="s">
        <v>1821</v>
      </c>
      <c r="N46" s="633" t="s">
        <v>1802</v>
      </c>
    </row>
    <row r="47" spans="1:14" ht="330" x14ac:dyDescent="0.25">
      <c r="A47" s="636" t="s">
        <v>1276</v>
      </c>
      <c r="B47" s="636" t="s">
        <v>1359</v>
      </c>
      <c r="C47" s="636" t="s">
        <v>292</v>
      </c>
      <c r="D47" s="636" t="s">
        <v>4</v>
      </c>
      <c r="E47" s="636" t="s">
        <v>1220</v>
      </c>
      <c r="F47" s="642" t="s">
        <v>1806</v>
      </c>
      <c r="G47" s="639" t="s">
        <v>1823</v>
      </c>
      <c r="H47" s="646" t="s">
        <v>1822</v>
      </c>
      <c r="I47" s="642" t="s">
        <v>1383</v>
      </c>
      <c r="J47" s="639">
        <v>1</v>
      </c>
      <c r="K47" s="645">
        <f>K46*0.1</f>
        <v>80000000</v>
      </c>
      <c r="L47" s="640">
        <f t="shared" si="2"/>
        <v>80000000</v>
      </c>
      <c r="M47" s="639" t="s">
        <v>1821</v>
      </c>
      <c r="N47" s="639" t="s">
        <v>1802</v>
      </c>
    </row>
    <row r="48" spans="1:14" ht="79.2" x14ac:dyDescent="0.25">
      <c r="A48" s="636" t="s">
        <v>1276</v>
      </c>
      <c r="B48" s="636" t="s">
        <v>1359</v>
      </c>
      <c r="C48" s="636" t="s">
        <v>292</v>
      </c>
      <c r="D48" s="636" t="s">
        <v>294</v>
      </c>
      <c r="E48" s="636" t="s">
        <v>1208</v>
      </c>
      <c r="F48" s="642" t="s">
        <v>1806</v>
      </c>
      <c r="G48" s="639" t="s">
        <v>1820</v>
      </c>
      <c r="H48" s="646" t="s">
        <v>1819</v>
      </c>
      <c r="I48" s="642" t="s">
        <v>1383</v>
      </c>
      <c r="J48" s="639">
        <v>1</v>
      </c>
      <c r="K48" s="645">
        <v>150000000</v>
      </c>
      <c r="L48" s="640">
        <f t="shared" si="2"/>
        <v>150000000</v>
      </c>
      <c r="M48" s="639" t="s">
        <v>1803</v>
      </c>
      <c r="N48" s="639" t="s">
        <v>1802</v>
      </c>
    </row>
    <row r="49" spans="1:14" ht="171.6" x14ac:dyDescent="0.25">
      <c r="A49" s="636" t="s">
        <v>1276</v>
      </c>
      <c r="B49" s="636" t="s">
        <v>1359</v>
      </c>
      <c r="C49" s="636" t="s">
        <v>292</v>
      </c>
      <c r="D49" s="638" t="s">
        <v>4</v>
      </c>
      <c r="E49" s="636"/>
      <c r="F49" s="642" t="s">
        <v>1806</v>
      </c>
      <c r="G49" s="633" t="s">
        <v>1818</v>
      </c>
      <c r="H49" s="643" t="s">
        <v>1815</v>
      </c>
      <c r="I49" s="642" t="s">
        <v>1393</v>
      </c>
      <c r="J49" s="633">
        <v>12</v>
      </c>
      <c r="K49" s="641">
        <v>3500000</v>
      </c>
      <c r="L49" s="634">
        <f t="shared" si="2"/>
        <v>42000000</v>
      </c>
      <c r="M49" s="639" t="s">
        <v>1803</v>
      </c>
      <c r="N49" s="639" t="s">
        <v>1802</v>
      </c>
    </row>
    <row r="50" spans="1:14" ht="184.8" x14ac:dyDescent="0.25">
      <c r="A50" s="636" t="s">
        <v>1276</v>
      </c>
      <c r="B50" s="636" t="s">
        <v>1359</v>
      </c>
      <c r="C50" s="636" t="s">
        <v>292</v>
      </c>
      <c r="D50" s="638" t="s">
        <v>4</v>
      </c>
      <c r="E50" s="636"/>
      <c r="F50" s="642" t="s">
        <v>1806</v>
      </c>
      <c r="G50" s="633" t="s">
        <v>1817</v>
      </c>
      <c r="H50" s="643" t="s">
        <v>1815</v>
      </c>
      <c r="I50" s="642" t="s">
        <v>1393</v>
      </c>
      <c r="J50" s="633">
        <v>12</v>
      </c>
      <c r="K50" s="641">
        <v>3500000</v>
      </c>
      <c r="L50" s="634">
        <f t="shared" si="2"/>
        <v>42000000</v>
      </c>
      <c r="M50" s="639" t="s">
        <v>1803</v>
      </c>
      <c r="N50" s="639" t="s">
        <v>1802</v>
      </c>
    </row>
    <row r="51" spans="1:14" ht="198" x14ac:dyDescent="0.25">
      <c r="A51" s="636" t="s">
        <v>1276</v>
      </c>
      <c r="B51" s="636" t="s">
        <v>1359</v>
      </c>
      <c r="C51" s="636" t="s">
        <v>292</v>
      </c>
      <c r="D51" s="638" t="s">
        <v>4</v>
      </c>
      <c r="E51" s="636"/>
      <c r="F51" s="642" t="s">
        <v>1806</v>
      </c>
      <c r="G51" s="633" t="s">
        <v>1816</v>
      </c>
      <c r="H51" s="643" t="s">
        <v>1815</v>
      </c>
      <c r="I51" s="642" t="s">
        <v>1393</v>
      </c>
      <c r="J51" s="633">
        <v>12</v>
      </c>
      <c r="K51" s="641">
        <v>2000000</v>
      </c>
      <c r="L51" s="634">
        <f t="shared" si="2"/>
        <v>24000000</v>
      </c>
      <c r="M51" s="639" t="s">
        <v>1803</v>
      </c>
      <c r="N51" s="639" t="s">
        <v>1802</v>
      </c>
    </row>
    <row r="52" spans="1:14" ht="211.2" x14ac:dyDescent="0.25">
      <c r="A52" s="636" t="s">
        <v>1276</v>
      </c>
      <c r="B52" s="636" t="s">
        <v>1359</v>
      </c>
      <c r="C52" s="636" t="s">
        <v>292</v>
      </c>
      <c r="D52" s="638" t="s">
        <v>4</v>
      </c>
      <c r="E52" s="636"/>
      <c r="F52" s="642" t="s">
        <v>1806</v>
      </c>
      <c r="G52" s="633" t="s">
        <v>1814</v>
      </c>
      <c r="H52" s="643" t="s">
        <v>1804</v>
      </c>
      <c r="I52" s="642" t="s">
        <v>1393</v>
      </c>
      <c r="J52" s="633">
        <v>12</v>
      </c>
      <c r="K52" s="641">
        <v>1900000</v>
      </c>
      <c r="L52" s="634">
        <f t="shared" si="2"/>
        <v>22800000</v>
      </c>
      <c r="M52" s="639" t="s">
        <v>1803</v>
      </c>
      <c r="N52" s="639" t="s">
        <v>1802</v>
      </c>
    </row>
    <row r="53" spans="1:14" ht="184.8" x14ac:dyDescent="0.25">
      <c r="A53" s="636" t="s">
        <v>1276</v>
      </c>
      <c r="B53" s="636" t="s">
        <v>1359</v>
      </c>
      <c r="C53" s="636" t="s">
        <v>292</v>
      </c>
      <c r="D53" s="638" t="s">
        <v>4</v>
      </c>
      <c r="E53" s="636"/>
      <c r="F53" s="642" t="s">
        <v>1806</v>
      </c>
      <c r="G53" s="633" t="s">
        <v>1813</v>
      </c>
      <c r="H53" s="643" t="s">
        <v>1804</v>
      </c>
      <c r="I53" s="642" t="s">
        <v>1393</v>
      </c>
      <c r="J53" s="633">
        <v>12</v>
      </c>
      <c r="K53" s="641">
        <v>1900000</v>
      </c>
      <c r="L53" s="634">
        <f t="shared" si="2"/>
        <v>22800000</v>
      </c>
      <c r="M53" s="639" t="s">
        <v>1803</v>
      </c>
      <c r="N53" s="639" t="s">
        <v>1802</v>
      </c>
    </row>
    <row r="54" spans="1:14" ht="184.8" x14ac:dyDescent="0.25">
      <c r="A54" s="636" t="s">
        <v>1276</v>
      </c>
      <c r="B54" s="642" t="s">
        <v>1359</v>
      </c>
      <c r="C54" s="642" t="s">
        <v>292</v>
      </c>
      <c r="D54" s="644" t="s">
        <v>4</v>
      </c>
      <c r="E54" s="642"/>
      <c r="F54" s="642" t="s">
        <v>1806</v>
      </c>
      <c r="G54" s="633" t="s">
        <v>1812</v>
      </c>
      <c r="H54" s="643" t="s">
        <v>1804</v>
      </c>
      <c r="I54" s="642" t="s">
        <v>1393</v>
      </c>
      <c r="J54" s="633">
        <v>12</v>
      </c>
      <c r="K54" s="641">
        <v>1900000</v>
      </c>
      <c r="L54" s="634">
        <f t="shared" si="2"/>
        <v>22800000</v>
      </c>
      <c r="M54" s="639" t="s">
        <v>1803</v>
      </c>
      <c r="N54" s="639" t="s">
        <v>1802</v>
      </c>
    </row>
    <row r="55" spans="1:14" ht="171.6" x14ac:dyDescent="0.25">
      <c r="A55" s="638" t="s">
        <v>1276</v>
      </c>
      <c r="B55" s="636" t="s">
        <v>1359</v>
      </c>
      <c r="C55" s="636" t="s">
        <v>292</v>
      </c>
      <c r="D55" s="636" t="s">
        <v>4</v>
      </c>
      <c r="E55" s="636"/>
      <c r="F55" s="636" t="s">
        <v>1806</v>
      </c>
      <c r="G55" s="633" t="s">
        <v>1811</v>
      </c>
      <c r="H55" s="643" t="s">
        <v>1804</v>
      </c>
      <c r="I55" s="642" t="s">
        <v>1393</v>
      </c>
      <c r="J55" s="633">
        <v>12</v>
      </c>
      <c r="K55" s="641">
        <v>1900000</v>
      </c>
      <c r="L55" s="634">
        <f t="shared" si="2"/>
        <v>22800000</v>
      </c>
      <c r="M55" s="639" t="s">
        <v>1803</v>
      </c>
      <c r="N55" s="639" t="s">
        <v>1802</v>
      </c>
    </row>
    <row r="56" spans="1:14" ht="184.8" x14ac:dyDescent="0.25">
      <c r="A56" s="638" t="s">
        <v>1276</v>
      </c>
      <c r="B56" s="636" t="s">
        <v>1359</v>
      </c>
      <c r="C56" s="636" t="s">
        <v>292</v>
      </c>
      <c r="D56" s="636" t="s">
        <v>4</v>
      </c>
      <c r="E56" s="636"/>
      <c r="F56" s="636" t="s">
        <v>1806</v>
      </c>
      <c r="G56" s="633" t="s">
        <v>1810</v>
      </c>
      <c r="H56" s="643" t="s">
        <v>1804</v>
      </c>
      <c r="I56" s="642" t="s">
        <v>1393</v>
      </c>
      <c r="J56" s="633">
        <v>12</v>
      </c>
      <c r="K56" s="641">
        <v>1900000</v>
      </c>
      <c r="L56" s="634">
        <f t="shared" si="2"/>
        <v>22800000</v>
      </c>
      <c r="M56" s="639" t="s">
        <v>1803</v>
      </c>
      <c r="N56" s="639" t="s">
        <v>1802</v>
      </c>
    </row>
    <row r="57" spans="1:14" ht="184.8" x14ac:dyDescent="0.25">
      <c r="A57" s="638" t="s">
        <v>1276</v>
      </c>
      <c r="B57" s="636" t="s">
        <v>1359</v>
      </c>
      <c r="C57" s="636" t="s">
        <v>292</v>
      </c>
      <c r="D57" s="636" t="s">
        <v>4</v>
      </c>
      <c r="E57" s="636"/>
      <c r="F57" s="636" t="s">
        <v>1806</v>
      </c>
      <c r="G57" s="633" t="s">
        <v>1809</v>
      </c>
      <c r="H57" s="643" t="s">
        <v>1804</v>
      </c>
      <c r="I57" s="642" t="s">
        <v>1393</v>
      </c>
      <c r="J57" s="633">
        <v>12</v>
      </c>
      <c r="K57" s="641">
        <v>1900000</v>
      </c>
      <c r="L57" s="634">
        <f t="shared" si="2"/>
        <v>22800000</v>
      </c>
      <c r="M57" s="639" t="s">
        <v>1803</v>
      </c>
      <c r="N57" s="639" t="s">
        <v>1802</v>
      </c>
    </row>
    <row r="58" spans="1:14" ht="184.8" x14ac:dyDescent="0.25">
      <c r="A58" s="638" t="s">
        <v>1276</v>
      </c>
      <c r="B58" s="636" t="s">
        <v>1359</v>
      </c>
      <c r="C58" s="636" t="s">
        <v>292</v>
      </c>
      <c r="D58" s="636" t="s">
        <v>4</v>
      </c>
      <c r="E58" s="636"/>
      <c r="F58" s="636" t="s">
        <v>1806</v>
      </c>
      <c r="G58" s="633" t="s">
        <v>1808</v>
      </c>
      <c r="H58" s="643" t="s">
        <v>1804</v>
      </c>
      <c r="I58" s="642" t="s">
        <v>1393</v>
      </c>
      <c r="J58" s="633">
        <v>12</v>
      </c>
      <c r="K58" s="641">
        <v>1900000</v>
      </c>
      <c r="L58" s="634">
        <f t="shared" si="2"/>
        <v>22800000</v>
      </c>
      <c r="M58" s="639" t="s">
        <v>1803</v>
      </c>
      <c r="N58" s="639" t="s">
        <v>1802</v>
      </c>
    </row>
    <row r="59" spans="1:14" ht="184.8" x14ac:dyDescent="0.25">
      <c r="A59" s="638" t="s">
        <v>1276</v>
      </c>
      <c r="B59" s="636" t="s">
        <v>1359</v>
      </c>
      <c r="C59" s="636" t="s">
        <v>292</v>
      </c>
      <c r="D59" s="636" t="s">
        <v>4</v>
      </c>
      <c r="E59" s="636"/>
      <c r="F59" s="636" t="s">
        <v>1806</v>
      </c>
      <c r="G59" s="633" t="s">
        <v>1807</v>
      </c>
      <c r="H59" s="643" t="s">
        <v>1804</v>
      </c>
      <c r="I59" s="642" t="s">
        <v>1393</v>
      </c>
      <c r="J59" s="633">
        <v>12</v>
      </c>
      <c r="K59" s="641">
        <v>1900000</v>
      </c>
      <c r="L59" s="640">
        <f t="shared" si="2"/>
        <v>22800000</v>
      </c>
      <c r="M59" s="639" t="s">
        <v>1803</v>
      </c>
      <c r="N59" s="639" t="s">
        <v>1802</v>
      </c>
    </row>
    <row r="60" spans="1:14" ht="211.2" x14ac:dyDescent="0.25">
      <c r="A60" s="638" t="s">
        <v>1276</v>
      </c>
      <c r="B60" s="636" t="s">
        <v>1359</v>
      </c>
      <c r="C60" s="636" t="s">
        <v>292</v>
      </c>
      <c r="D60" s="636" t="s">
        <v>4</v>
      </c>
      <c r="E60" s="636"/>
      <c r="F60" s="636" t="s">
        <v>1806</v>
      </c>
      <c r="G60" s="633" t="s">
        <v>1805</v>
      </c>
      <c r="H60" s="637" t="s">
        <v>1804</v>
      </c>
      <c r="I60" s="636" t="s">
        <v>1393</v>
      </c>
      <c r="J60" s="633">
        <v>12</v>
      </c>
      <c r="K60" s="635">
        <v>1900000</v>
      </c>
      <c r="L60" s="634">
        <f t="shared" si="2"/>
        <v>22800000</v>
      </c>
      <c r="M60" s="633" t="s">
        <v>1803</v>
      </c>
      <c r="N60" s="633" t="s">
        <v>1802</v>
      </c>
    </row>
    <row r="61" spans="1:14" ht="92.4" x14ac:dyDescent="0.25">
      <c r="A61" s="1051" t="s">
        <v>1276</v>
      </c>
      <c r="B61" s="1048" t="s">
        <v>1352</v>
      </c>
      <c r="C61" s="1048" t="s">
        <v>292</v>
      </c>
      <c r="D61" s="1048" t="s">
        <v>2</v>
      </c>
      <c r="E61" s="611" t="s">
        <v>296</v>
      </c>
      <c r="F61" s="626" t="s">
        <v>298</v>
      </c>
      <c r="G61" s="626" t="s">
        <v>1801</v>
      </c>
      <c r="H61" s="624" t="s">
        <v>1800</v>
      </c>
      <c r="I61" s="611" t="s">
        <v>1395</v>
      </c>
      <c r="J61" s="611">
        <v>126</v>
      </c>
      <c r="K61" s="623">
        <v>5000000</v>
      </c>
      <c r="L61" s="627">
        <v>630000000</v>
      </c>
      <c r="M61" s="622">
        <v>44956</v>
      </c>
      <c r="N61" s="621">
        <v>45044</v>
      </c>
    </row>
    <row r="62" spans="1:14" ht="52.8" x14ac:dyDescent="0.25">
      <c r="A62" s="1052"/>
      <c r="B62" s="1049"/>
      <c r="C62" s="1049"/>
      <c r="D62" s="1049"/>
      <c r="E62" s="611" t="s">
        <v>296</v>
      </c>
      <c r="F62" s="626" t="s">
        <v>298</v>
      </c>
      <c r="G62" s="626" t="s">
        <v>1799</v>
      </c>
      <c r="H62" s="624" t="s">
        <v>1798</v>
      </c>
      <c r="I62" s="611" t="s">
        <v>1393</v>
      </c>
      <c r="J62" s="611">
        <v>1</v>
      </c>
      <c r="K62" s="623">
        <v>18000000</v>
      </c>
      <c r="L62" s="627">
        <v>18000000</v>
      </c>
      <c r="M62" s="622">
        <v>44986</v>
      </c>
      <c r="N62" s="621">
        <v>45168</v>
      </c>
    </row>
    <row r="63" spans="1:14" ht="39.6" x14ac:dyDescent="0.25">
      <c r="A63" s="1052"/>
      <c r="B63" s="1049"/>
      <c r="C63" s="1049"/>
      <c r="D63" s="1049"/>
      <c r="E63" s="631" t="s">
        <v>296</v>
      </c>
      <c r="F63" s="626" t="s">
        <v>298</v>
      </c>
      <c r="G63" s="631" t="s">
        <v>1797</v>
      </c>
      <c r="H63" s="632" t="s">
        <v>1778</v>
      </c>
      <c r="I63" s="631" t="s">
        <v>1399</v>
      </c>
      <c r="J63" s="631">
        <v>1</v>
      </c>
      <c r="K63" s="630">
        <v>32000000</v>
      </c>
      <c r="L63" s="627">
        <v>32000000</v>
      </c>
      <c r="M63" s="629">
        <v>45019</v>
      </c>
      <c r="N63" s="628">
        <v>45076</v>
      </c>
    </row>
    <row r="64" spans="1:14" ht="39.6" x14ac:dyDescent="0.25">
      <c r="A64" s="1052"/>
      <c r="B64" s="1049"/>
      <c r="C64" s="1049"/>
      <c r="D64" s="1049"/>
      <c r="E64" s="631" t="s">
        <v>296</v>
      </c>
      <c r="F64" s="626" t="s">
        <v>298</v>
      </c>
      <c r="G64" s="631" t="s">
        <v>1796</v>
      </c>
      <c r="H64" s="632" t="s">
        <v>1778</v>
      </c>
      <c r="I64" s="631" t="s">
        <v>1399</v>
      </c>
      <c r="J64" s="631">
        <v>1</v>
      </c>
      <c r="K64" s="630">
        <v>28000000</v>
      </c>
      <c r="L64" s="627">
        <v>28000000</v>
      </c>
      <c r="M64" s="629">
        <v>44963</v>
      </c>
      <c r="N64" s="628">
        <v>44986</v>
      </c>
    </row>
    <row r="65" spans="1:14" ht="39.6" x14ac:dyDescent="0.25">
      <c r="A65" s="1052"/>
      <c r="B65" s="1049"/>
      <c r="C65" s="1049"/>
      <c r="D65" s="1049"/>
      <c r="E65" s="631" t="s">
        <v>296</v>
      </c>
      <c r="F65" s="626" t="s">
        <v>298</v>
      </c>
      <c r="G65" s="631" t="s">
        <v>1795</v>
      </c>
      <c r="H65" s="632" t="s">
        <v>1778</v>
      </c>
      <c r="I65" s="631" t="s">
        <v>1399</v>
      </c>
      <c r="J65" s="631">
        <v>1</v>
      </c>
      <c r="K65" s="630">
        <v>15333626</v>
      </c>
      <c r="L65" s="627">
        <v>15333626</v>
      </c>
      <c r="M65" s="629">
        <v>45005</v>
      </c>
      <c r="N65" s="628">
        <v>45037</v>
      </c>
    </row>
    <row r="66" spans="1:14" ht="48" x14ac:dyDescent="0.25">
      <c r="A66" s="1052"/>
      <c r="B66" s="1049"/>
      <c r="C66" s="1049"/>
      <c r="D66" s="1049"/>
      <c r="E66" s="631" t="s">
        <v>296</v>
      </c>
      <c r="F66" s="626" t="s">
        <v>298</v>
      </c>
      <c r="G66" s="631" t="s">
        <v>1794</v>
      </c>
      <c r="H66" s="632" t="s">
        <v>1778</v>
      </c>
      <c r="I66" s="631" t="s">
        <v>1399</v>
      </c>
      <c r="J66" s="631">
        <v>1</v>
      </c>
      <c r="K66" s="630">
        <v>15500000</v>
      </c>
      <c r="L66" s="627">
        <v>15500000</v>
      </c>
      <c r="M66" s="629">
        <v>45005</v>
      </c>
      <c r="N66" s="628">
        <v>45044</v>
      </c>
    </row>
    <row r="67" spans="1:14" ht="60" x14ac:dyDescent="0.25">
      <c r="A67" s="1052"/>
      <c r="B67" s="1049"/>
      <c r="C67" s="1049"/>
      <c r="D67" s="1049"/>
      <c r="E67" s="631" t="s">
        <v>296</v>
      </c>
      <c r="F67" s="626" t="s">
        <v>298</v>
      </c>
      <c r="G67" s="631" t="s">
        <v>1793</v>
      </c>
      <c r="H67" s="632" t="s">
        <v>1778</v>
      </c>
      <c r="I67" s="631" t="s">
        <v>1399</v>
      </c>
      <c r="J67" s="631">
        <v>1</v>
      </c>
      <c r="K67" s="630">
        <v>32000000</v>
      </c>
      <c r="L67" s="627">
        <v>32000000</v>
      </c>
      <c r="M67" s="629">
        <v>45019</v>
      </c>
      <c r="N67" s="628">
        <v>45057</v>
      </c>
    </row>
    <row r="68" spans="1:14" ht="48" x14ac:dyDescent="0.25">
      <c r="A68" s="1052"/>
      <c r="B68" s="1049"/>
      <c r="C68" s="1049"/>
      <c r="D68" s="1049"/>
      <c r="E68" s="631" t="s">
        <v>296</v>
      </c>
      <c r="F68" s="626" t="s">
        <v>298</v>
      </c>
      <c r="G68" s="631" t="s">
        <v>1792</v>
      </c>
      <c r="H68" s="632" t="s">
        <v>1782</v>
      </c>
      <c r="I68" s="631" t="s">
        <v>1399</v>
      </c>
      <c r="J68" s="631">
        <v>1</v>
      </c>
      <c r="K68" s="630">
        <v>16271200</v>
      </c>
      <c r="L68" s="627">
        <v>16271200</v>
      </c>
      <c r="M68" s="629">
        <v>45180</v>
      </c>
      <c r="N68" s="628">
        <v>45155</v>
      </c>
    </row>
    <row r="69" spans="1:14" ht="39.6" x14ac:dyDescent="0.25">
      <c r="A69" s="1052"/>
      <c r="B69" s="1049"/>
      <c r="C69" s="1049"/>
      <c r="D69" s="1049"/>
      <c r="E69" s="631" t="s">
        <v>296</v>
      </c>
      <c r="F69" s="626" t="s">
        <v>298</v>
      </c>
      <c r="G69" s="631" t="s">
        <v>1791</v>
      </c>
      <c r="H69" s="632" t="s">
        <v>1790</v>
      </c>
      <c r="I69" s="631" t="s">
        <v>1399</v>
      </c>
      <c r="J69" s="631">
        <v>1</v>
      </c>
      <c r="K69" s="630">
        <v>56287000</v>
      </c>
      <c r="L69" s="627">
        <v>56287000</v>
      </c>
      <c r="M69" s="629">
        <v>45180</v>
      </c>
      <c r="N69" s="628">
        <v>45160</v>
      </c>
    </row>
    <row r="70" spans="1:14" ht="39.6" x14ac:dyDescent="0.25">
      <c r="A70" s="1052"/>
      <c r="B70" s="1049"/>
      <c r="C70" s="1049"/>
      <c r="D70" s="1049"/>
      <c r="E70" s="631" t="s">
        <v>296</v>
      </c>
      <c r="F70" s="626" t="s">
        <v>298</v>
      </c>
      <c r="G70" s="631" t="s">
        <v>1789</v>
      </c>
      <c r="H70" s="632" t="s">
        <v>1778</v>
      </c>
      <c r="I70" s="631" t="s">
        <v>1399</v>
      </c>
      <c r="J70" s="631">
        <v>1</v>
      </c>
      <c r="K70" s="630">
        <v>29392286</v>
      </c>
      <c r="L70" s="627">
        <v>29392286</v>
      </c>
      <c r="M70" s="629">
        <v>45121</v>
      </c>
      <c r="N70" s="628">
        <v>45169</v>
      </c>
    </row>
    <row r="71" spans="1:14" ht="39.6" x14ac:dyDescent="0.25">
      <c r="A71" s="1052"/>
      <c r="B71" s="1049"/>
      <c r="C71" s="1049"/>
      <c r="D71" s="1049"/>
      <c r="E71" s="631" t="s">
        <v>296</v>
      </c>
      <c r="F71" s="626" t="s">
        <v>298</v>
      </c>
      <c r="G71" s="631" t="s">
        <v>1788</v>
      </c>
      <c r="H71" s="632" t="s">
        <v>1778</v>
      </c>
      <c r="I71" s="631" t="s">
        <v>1399</v>
      </c>
      <c r="J71" s="631">
        <v>1</v>
      </c>
      <c r="K71" s="630">
        <v>50000000</v>
      </c>
      <c r="L71" s="627">
        <v>50000000</v>
      </c>
      <c r="M71" s="629">
        <v>44780</v>
      </c>
      <c r="N71" s="628">
        <v>45185</v>
      </c>
    </row>
    <row r="72" spans="1:14" ht="48" x14ac:dyDescent="0.25">
      <c r="A72" s="1052"/>
      <c r="B72" s="1049"/>
      <c r="C72" s="1049"/>
      <c r="D72" s="1049"/>
      <c r="E72" s="631" t="s">
        <v>296</v>
      </c>
      <c r="F72" s="626" t="s">
        <v>298</v>
      </c>
      <c r="G72" s="631" t="s">
        <v>1787</v>
      </c>
      <c r="H72" s="632" t="s">
        <v>1778</v>
      </c>
      <c r="I72" s="631" t="s">
        <v>1399</v>
      </c>
      <c r="J72" s="631">
        <v>1</v>
      </c>
      <c r="K72" s="630">
        <v>8000000</v>
      </c>
      <c r="L72" s="627">
        <v>8000000</v>
      </c>
      <c r="M72" s="629">
        <v>45145</v>
      </c>
      <c r="N72" s="628">
        <v>45188</v>
      </c>
    </row>
    <row r="73" spans="1:14" ht="48" x14ac:dyDescent="0.25">
      <c r="A73" s="1052"/>
      <c r="B73" s="1049"/>
      <c r="C73" s="1049"/>
      <c r="D73" s="1049"/>
      <c r="E73" s="631" t="s">
        <v>296</v>
      </c>
      <c r="F73" s="626" t="s">
        <v>298</v>
      </c>
      <c r="G73" s="631" t="s">
        <v>1786</v>
      </c>
      <c r="H73" s="632" t="s">
        <v>1778</v>
      </c>
      <c r="I73" s="631" t="s">
        <v>1399</v>
      </c>
      <c r="J73" s="631">
        <v>1</v>
      </c>
      <c r="K73" s="630">
        <v>26500000</v>
      </c>
      <c r="L73" s="627">
        <v>26500000</v>
      </c>
      <c r="M73" s="629">
        <v>45139</v>
      </c>
      <c r="N73" s="628">
        <v>45171</v>
      </c>
    </row>
    <row r="74" spans="1:14" ht="39.6" x14ac:dyDescent="0.25">
      <c r="A74" s="1052"/>
      <c r="B74" s="1049"/>
      <c r="C74" s="1049"/>
      <c r="D74" s="1049"/>
      <c r="E74" s="631" t="s">
        <v>296</v>
      </c>
      <c r="F74" s="626" t="s">
        <v>298</v>
      </c>
      <c r="G74" s="631" t="s">
        <v>1785</v>
      </c>
      <c r="H74" s="632" t="s">
        <v>1778</v>
      </c>
      <c r="I74" s="631" t="s">
        <v>1399</v>
      </c>
      <c r="J74" s="631">
        <v>1</v>
      </c>
      <c r="K74" s="630">
        <v>28500000</v>
      </c>
      <c r="L74" s="627">
        <v>28500000</v>
      </c>
      <c r="M74" s="629">
        <v>45139</v>
      </c>
      <c r="N74" s="628">
        <v>45171</v>
      </c>
    </row>
    <row r="75" spans="1:14" ht="39.6" x14ac:dyDescent="0.25">
      <c r="A75" s="1052"/>
      <c r="B75" s="1049"/>
      <c r="C75" s="1049"/>
      <c r="D75" s="1049"/>
      <c r="E75" s="631" t="s">
        <v>296</v>
      </c>
      <c r="F75" s="626" t="s">
        <v>298</v>
      </c>
      <c r="G75" s="631" t="s">
        <v>1784</v>
      </c>
      <c r="H75" s="632" t="s">
        <v>1778</v>
      </c>
      <c r="I75" s="631" t="s">
        <v>1399</v>
      </c>
      <c r="J75" s="631">
        <v>1</v>
      </c>
      <c r="K75" s="630">
        <v>56400000</v>
      </c>
      <c r="L75" s="627">
        <v>56400000</v>
      </c>
      <c r="M75" s="629">
        <v>45145</v>
      </c>
      <c r="N75" s="628">
        <v>45199</v>
      </c>
    </row>
    <row r="76" spans="1:14" ht="39.6" x14ac:dyDescent="0.25">
      <c r="A76" s="1052"/>
      <c r="B76" s="1049"/>
      <c r="C76" s="1049"/>
      <c r="D76" s="1049"/>
      <c r="E76" s="631" t="s">
        <v>296</v>
      </c>
      <c r="F76" s="626" t="s">
        <v>298</v>
      </c>
      <c r="G76" s="631" t="s">
        <v>1783</v>
      </c>
      <c r="H76" s="632" t="s">
        <v>1782</v>
      </c>
      <c r="I76" s="631" t="s">
        <v>1399</v>
      </c>
      <c r="J76" s="631">
        <v>1</v>
      </c>
      <c r="K76" s="630">
        <v>16500000</v>
      </c>
      <c r="L76" s="627">
        <v>16500000</v>
      </c>
      <c r="M76" s="629">
        <v>45180</v>
      </c>
      <c r="N76" s="628">
        <v>45226</v>
      </c>
    </row>
    <row r="77" spans="1:14" ht="39.6" x14ac:dyDescent="0.25">
      <c r="A77" s="1052"/>
      <c r="B77" s="1049"/>
      <c r="C77" s="1049"/>
      <c r="D77" s="1049"/>
      <c r="E77" s="631" t="s">
        <v>296</v>
      </c>
      <c r="F77" s="626" t="s">
        <v>298</v>
      </c>
      <c r="G77" s="631" t="s">
        <v>1781</v>
      </c>
      <c r="H77" s="632" t="s">
        <v>1778</v>
      </c>
      <c r="I77" s="631" t="s">
        <v>1399</v>
      </c>
      <c r="J77" s="631">
        <v>1</v>
      </c>
      <c r="K77" s="630">
        <v>5000000</v>
      </c>
      <c r="L77" s="627">
        <v>5000000</v>
      </c>
      <c r="M77" s="629">
        <v>45208</v>
      </c>
      <c r="N77" s="628">
        <v>45252</v>
      </c>
    </row>
    <row r="78" spans="1:14" ht="39.6" x14ac:dyDescent="0.25">
      <c r="A78" s="1052"/>
      <c r="B78" s="1049"/>
      <c r="C78" s="1049"/>
      <c r="D78" s="1049"/>
      <c r="E78" s="631" t="s">
        <v>296</v>
      </c>
      <c r="F78" s="626" t="s">
        <v>298</v>
      </c>
      <c r="G78" s="631" t="s">
        <v>1780</v>
      </c>
      <c r="H78" s="632" t="s">
        <v>1778</v>
      </c>
      <c r="I78" s="631" t="s">
        <v>1399</v>
      </c>
      <c r="J78" s="631">
        <v>1</v>
      </c>
      <c r="K78" s="630">
        <v>15315888</v>
      </c>
      <c r="L78" s="627">
        <v>15315888</v>
      </c>
      <c r="M78" s="629">
        <v>45208</v>
      </c>
      <c r="N78" s="628">
        <v>45260</v>
      </c>
    </row>
    <row r="79" spans="1:14" ht="39.6" x14ac:dyDescent="0.25">
      <c r="A79" s="1052"/>
      <c r="B79" s="1049"/>
      <c r="C79" s="1049"/>
      <c r="D79" s="1049"/>
      <c r="E79" s="631" t="s">
        <v>296</v>
      </c>
      <c r="F79" s="626" t="s">
        <v>298</v>
      </c>
      <c r="G79" s="631" t="s">
        <v>1779</v>
      </c>
      <c r="H79" s="632" t="s">
        <v>1778</v>
      </c>
      <c r="I79" s="631" t="s">
        <v>1399</v>
      </c>
      <c r="J79" s="631">
        <v>1</v>
      </c>
      <c r="K79" s="630">
        <v>21000000</v>
      </c>
      <c r="L79" s="627">
        <v>21000000</v>
      </c>
      <c r="M79" s="629">
        <v>44963</v>
      </c>
      <c r="N79" s="628">
        <v>44995</v>
      </c>
    </row>
    <row r="80" spans="1:14" ht="84" x14ac:dyDescent="0.25">
      <c r="A80" s="1052"/>
      <c r="B80" s="1049"/>
      <c r="C80" s="1049"/>
      <c r="D80" s="1049"/>
      <c r="E80" s="631" t="s">
        <v>296</v>
      </c>
      <c r="F80" s="626" t="s">
        <v>298</v>
      </c>
      <c r="G80" s="631" t="s">
        <v>1777</v>
      </c>
      <c r="H80" s="632" t="s">
        <v>1776</v>
      </c>
      <c r="I80" s="631" t="s">
        <v>1399</v>
      </c>
      <c r="J80" s="631">
        <v>1</v>
      </c>
      <c r="K80" s="630">
        <v>88000000</v>
      </c>
      <c r="L80" s="627">
        <v>88000000</v>
      </c>
      <c r="M80" s="629">
        <v>45180</v>
      </c>
      <c r="N80" s="628">
        <v>45260</v>
      </c>
    </row>
    <row r="81" spans="1:14" ht="72" x14ac:dyDescent="0.25">
      <c r="A81" s="1052"/>
      <c r="B81" s="1049"/>
      <c r="C81" s="1049"/>
      <c r="D81" s="1049"/>
      <c r="E81" s="631" t="s">
        <v>296</v>
      </c>
      <c r="F81" s="626" t="s">
        <v>298</v>
      </c>
      <c r="G81" s="631" t="s">
        <v>1775</v>
      </c>
      <c r="H81" s="632" t="s">
        <v>1774</v>
      </c>
      <c r="I81" s="631" t="s">
        <v>1397</v>
      </c>
      <c r="J81" s="631">
        <v>1</v>
      </c>
      <c r="K81" s="630">
        <v>150000000</v>
      </c>
      <c r="L81" s="627">
        <v>150000000</v>
      </c>
      <c r="M81" s="629">
        <v>45189</v>
      </c>
      <c r="N81" s="628">
        <v>45554</v>
      </c>
    </row>
    <row r="82" spans="1:14" ht="48" x14ac:dyDescent="0.25">
      <c r="A82" s="1052"/>
      <c r="B82" s="1049"/>
      <c r="C82" s="1049"/>
      <c r="D82" s="1049"/>
      <c r="E82" s="631" t="s">
        <v>296</v>
      </c>
      <c r="F82" s="626" t="s">
        <v>298</v>
      </c>
      <c r="G82" s="631" t="s">
        <v>1773</v>
      </c>
      <c r="H82" s="632" t="s">
        <v>1772</v>
      </c>
      <c r="I82" s="631" t="s">
        <v>1399</v>
      </c>
      <c r="J82" s="631">
        <v>1</v>
      </c>
      <c r="K82" s="630">
        <v>15000000</v>
      </c>
      <c r="L82" s="627">
        <v>15000000</v>
      </c>
      <c r="M82" s="629">
        <v>45078</v>
      </c>
      <c r="N82" s="628">
        <v>44827</v>
      </c>
    </row>
    <row r="83" spans="1:14" ht="52.8" x14ac:dyDescent="0.25">
      <c r="A83" s="1052"/>
      <c r="B83" s="1049"/>
      <c r="C83" s="1049"/>
      <c r="D83" s="1049"/>
      <c r="E83" s="611" t="s">
        <v>296</v>
      </c>
      <c r="F83" s="626" t="s">
        <v>298</v>
      </c>
      <c r="G83" s="611" t="s">
        <v>1771</v>
      </c>
      <c r="H83" s="624" t="s">
        <v>1770</v>
      </c>
      <c r="I83" s="611" t="s">
        <v>1395</v>
      </c>
      <c r="J83" s="611">
        <v>1</v>
      </c>
      <c r="K83" s="627">
        <v>300000000</v>
      </c>
      <c r="L83" s="627">
        <v>300000000</v>
      </c>
      <c r="M83" s="622">
        <v>44958</v>
      </c>
      <c r="N83" s="621">
        <v>45110</v>
      </c>
    </row>
    <row r="84" spans="1:14" ht="66" x14ac:dyDescent="0.25">
      <c r="A84" s="1052"/>
      <c r="B84" s="1049"/>
      <c r="C84" s="1049"/>
      <c r="D84" s="1049"/>
      <c r="E84" s="611" t="s">
        <v>296</v>
      </c>
      <c r="F84" s="626" t="s">
        <v>298</v>
      </c>
      <c r="G84" s="611" t="s">
        <v>1769</v>
      </c>
      <c r="H84" s="624" t="s">
        <v>1768</v>
      </c>
      <c r="I84" s="611" t="s">
        <v>1395</v>
      </c>
      <c r="J84" s="611">
        <v>1</v>
      </c>
      <c r="K84" s="623">
        <v>70000000</v>
      </c>
      <c r="L84" s="627">
        <v>70000000</v>
      </c>
      <c r="M84" s="622">
        <v>44958</v>
      </c>
      <c r="N84" s="621">
        <v>44986</v>
      </c>
    </row>
    <row r="85" spans="1:14" ht="409.6" x14ac:dyDescent="0.25">
      <c r="A85" s="1052"/>
      <c r="B85" s="1049"/>
      <c r="C85" s="1049"/>
      <c r="D85" s="1049"/>
      <c r="E85" s="611" t="s">
        <v>296</v>
      </c>
      <c r="F85" s="626" t="s">
        <v>298</v>
      </c>
      <c r="G85" s="625" t="s">
        <v>1767</v>
      </c>
      <c r="H85" s="624" t="s">
        <v>1749</v>
      </c>
      <c r="I85" s="611" t="s">
        <v>1393</v>
      </c>
      <c r="J85" s="611">
        <v>11</v>
      </c>
      <c r="K85" s="623">
        <v>4077645.5</v>
      </c>
      <c r="L85" s="627">
        <v>44854100.5</v>
      </c>
      <c r="M85" s="622">
        <v>44942</v>
      </c>
      <c r="N85" s="621">
        <v>45276</v>
      </c>
    </row>
    <row r="86" spans="1:14" ht="330" x14ac:dyDescent="0.25">
      <c r="A86" s="1052"/>
      <c r="B86" s="1049"/>
      <c r="C86" s="1049"/>
      <c r="D86" s="1049"/>
      <c r="E86" s="611" t="s">
        <v>296</v>
      </c>
      <c r="F86" s="626" t="s">
        <v>298</v>
      </c>
      <c r="G86" s="625" t="s">
        <v>1766</v>
      </c>
      <c r="H86" s="624" t="s">
        <v>1749</v>
      </c>
      <c r="I86" s="611" t="s">
        <v>1393</v>
      </c>
      <c r="J86" s="611">
        <v>11</v>
      </c>
      <c r="K86" s="623">
        <v>4078732.2</v>
      </c>
      <c r="L86" s="627">
        <v>44866054.200000003</v>
      </c>
      <c r="M86" s="622">
        <v>44942</v>
      </c>
      <c r="N86" s="621">
        <v>45276</v>
      </c>
    </row>
    <row r="87" spans="1:14" ht="184.8" x14ac:dyDescent="0.25">
      <c r="A87" s="1052"/>
      <c r="B87" s="1049"/>
      <c r="C87" s="1049"/>
      <c r="D87" s="1049"/>
      <c r="E87" s="611" t="s">
        <v>296</v>
      </c>
      <c r="F87" s="626" t="s">
        <v>298</v>
      </c>
      <c r="G87" s="625" t="s">
        <v>1765</v>
      </c>
      <c r="H87" s="624" t="s">
        <v>1749</v>
      </c>
      <c r="I87" s="611" t="s">
        <v>1393</v>
      </c>
      <c r="J87" s="611">
        <v>11</v>
      </c>
      <c r="K87" s="623">
        <v>3358678.4</v>
      </c>
      <c r="L87" s="623">
        <v>36945462.399999999</v>
      </c>
      <c r="M87" s="622">
        <v>44942</v>
      </c>
      <c r="N87" s="621">
        <v>45276</v>
      </c>
    </row>
    <row r="88" spans="1:14" ht="409.6" x14ac:dyDescent="0.25">
      <c r="A88" s="1052"/>
      <c r="B88" s="1049"/>
      <c r="C88" s="1049"/>
      <c r="D88" s="1049"/>
      <c r="E88" s="611" t="s">
        <v>296</v>
      </c>
      <c r="F88" s="626" t="s">
        <v>298</v>
      </c>
      <c r="G88" s="625" t="s">
        <v>1764</v>
      </c>
      <c r="H88" s="624" t="s">
        <v>1749</v>
      </c>
      <c r="I88" s="611" t="s">
        <v>1393</v>
      </c>
      <c r="J88" s="611">
        <v>11</v>
      </c>
      <c r="K88" s="623">
        <v>3358678.4</v>
      </c>
      <c r="L88" s="623">
        <v>36945462.399999999</v>
      </c>
      <c r="M88" s="622">
        <v>44942</v>
      </c>
      <c r="N88" s="621">
        <v>45276</v>
      </c>
    </row>
    <row r="89" spans="1:14" ht="264" x14ac:dyDescent="0.25">
      <c r="A89" s="1052"/>
      <c r="B89" s="1049"/>
      <c r="C89" s="1049"/>
      <c r="D89" s="1049"/>
      <c r="E89" s="611" t="s">
        <v>296</v>
      </c>
      <c r="F89" s="626" t="s">
        <v>298</v>
      </c>
      <c r="G89" s="625" t="s">
        <v>1763</v>
      </c>
      <c r="H89" s="624" t="s">
        <v>1749</v>
      </c>
      <c r="I89" s="611" t="s">
        <v>1393</v>
      </c>
      <c r="J89" s="611">
        <v>11</v>
      </c>
      <c r="K89" s="623">
        <v>3358678.4</v>
      </c>
      <c r="L89" s="623">
        <v>36945462.399999999</v>
      </c>
      <c r="M89" s="622">
        <v>44942</v>
      </c>
      <c r="N89" s="621">
        <v>45276</v>
      </c>
    </row>
    <row r="90" spans="1:14" ht="409.6" x14ac:dyDescent="0.25">
      <c r="A90" s="1052"/>
      <c r="B90" s="1049"/>
      <c r="C90" s="1049"/>
      <c r="D90" s="1049"/>
      <c r="E90" s="611" t="s">
        <v>296</v>
      </c>
      <c r="F90" s="626" t="s">
        <v>298</v>
      </c>
      <c r="G90" s="625" t="s">
        <v>1762</v>
      </c>
      <c r="H90" s="624" t="s">
        <v>1749</v>
      </c>
      <c r="I90" s="611" t="s">
        <v>1393</v>
      </c>
      <c r="J90" s="611">
        <v>11</v>
      </c>
      <c r="K90" s="623">
        <v>2362437</v>
      </c>
      <c r="L90" s="623">
        <v>25986807</v>
      </c>
      <c r="M90" s="622">
        <v>44942</v>
      </c>
      <c r="N90" s="621">
        <v>45276</v>
      </c>
    </row>
    <row r="91" spans="1:14" ht="396" x14ac:dyDescent="0.25">
      <c r="A91" s="1052"/>
      <c r="B91" s="1049"/>
      <c r="C91" s="1049"/>
      <c r="D91" s="1049"/>
      <c r="E91" s="611" t="s">
        <v>296</v>
      </c>
      <c r="F91" s="626" t="s">
        <v>298</v>
      </c>
      <c r="G91" s="625" t="s">
        <v>1761</v>
      </c>
      <c r="H91" s="624" t="s">
        <v>1749</v>
      </c>
      <c r="I91" s="611" t="s">
        <v>1393</v>
      </c>
      <c r="J91" s="611">
        <v>11</v>
      </c>
      <c r="K91" s="623">
        <v>2362437</v>
      </c>
      <c r="L91" s="623">
        <v>25986807</v>
      </c>
      <c r="M91" s="622">
        <v>44942</v>
      </c>
      <c r="N91" s="621">
        <v>45276</v>
      </c>
    </row>
    <row r="92" spans="1:14" ht="396" x14ac:dyDescent="0.25">
      <c r="A92" s="1052"/>
      <c r="B92" s="1049"/>
      <c r="C92" s="1049"/>
      <c r="D92" s="1049"/>
      <c r="E92" s="611" t="s">
        <v>296</v>
      </c>
      <c r="F92" s="626" t="s">
        <v>298</v>
      </c>
      <c r="G92" s="625" t="s">
        <v>1761</v>
      </c>
      <c r="H92" s="624" t="s">
        <v>1749</v>
      </c>
      <c r="I92" s="611" t="s">
        <v>1393</v>
      </c>
      <c r="J92" s="611">
        <v>11</v>
      </c>
      <c r="K92" s="623">
        <v>2362437</v>
      </c>
      <c r="L92" s="623">
        <v>25986807</v>
      </c>
      <c r="M92" s="622">
        <v>44942</v>
      </c>
      <c r="N92" s="621">
        <v>45276</v>
      </c>
    </row>
    <row r="93" spans="1:14" ht="382.8" x14ac:dyDescent="0.25">
      <c r="A93" s="1052"/>
      <c r="B93" s="1049"/>
      <c r="C93" s="1049"/>
      <c r="D93" s="1049"/>
      <c r="E93" s="611" t="s">
        <v>296</v>
      </c>
      <c r="F93" s="626" t="s">
        <v>298</v>
      </c>
      <c r="G93" s="625" t="s">
        <v>1760</v>
      </c>
      <c r="H93" s="624" t="s">
        <v>1749</v>
      </c>
      <c r="I93" s="611" t="s">
        <v>1393</v>
      </c>
      <c r="J93" s="611">
        <v>11</v>
      </c>
      <c r="K93" s="623">
        <v>1900000</v>
      </c>
      <c r="L93" s="623">
        <v>20900000</v>
      </c>
      <c r="M93" s="622">
        <v>44942</v>
      </c>
      <c r="N93" s="621">
        <v>45276</v>
      </c>
    </row>
    <row r="94" spans="1:14" ht="409.6" x14ac:dyDescent="0.25">
      <c r="A94" s="1052"/>
      <c r="B94" s="1049"/>
      <c r="C94" s="1049"/>
      <c r="D94" s="1049"/>
      <c r="E94" s="611" t="s">
        <v>296</v>
      </c>
      <c r="F94" s="626" t="s">
        <v>298</v>
      </c>
      <c r="G94" s="625" t="s">
        <v>1759</v>
      </c>
      <c r="H94" s="624" t="s">
        <v>1749</v>
      </c>
      <c r="I94" s="611" t="s">
        <v>1393</v>
      </c>
      <c r="J94" s="611">
        <v>11</v>
      </c>
      <c r="K94" s="623">
        <v>1900000</v>
      </c>
      <c r="L94" s="623">
        <v>20900000</v>
      </c>
      <c r="M94" s="622">
        <v>44942</v>
      </c>
      <c r="N94" s="621">
        <v>45276</v>
      </c>
    </row>
    <row r="95" spans="1:14" ht="409.6" x14ac:dyDescent="0.25">
      <c r="A95" s="1052"/>
      <c r="B95" s="1049"/>
      <c r="C95" s="1049"/>
      <c r="D95" s="1049"/>
      <c r="E95" s="611" t="s">
        <v>296</v>
      </c>
      <c r="F95" s="626" t="s">
        <v>298</v>
      </c>
      <c r="G95" s="625" t="s">
        <v>1758</v>
      </c>
      <c r="H95" s="624" t="s">
        <v>1749</v>
      </c>
      <c r="I95" s="611" t="s">
        <v>1393</v>
      </c>
      <c r="J95" s="611">
        <v>11</v>
      </c>
      <c r="K95" s="623">
        <v>1900000</v>
      </c>
      <c r="L95" s="623">
        <v>20900000</v>
      </c>
      <c r="M95" s="622">
        <v>44942</v>
      </c>
      <c r="N95" s="621">
        <v>45276</v>
      </c>
    </row>
    <row r="96" spans="1:14" ht="409.6" x14ac:dyDescent="0.25">
      <c r="A96" s="1052"/>
      <c r="B96" s="1049"/>
      <c r="C96" s="1049"/>
      <c r="D96" s="1049"/>
      <c r="E96" s="611" t="s">
        <v>296</v>
      </c>
      <c r="F96" s="626" t="s">
        <v>298</v>
      </c>
      <c r="G96" s="625" t="s">
        <v>1757</v>
      </c>
      <c r="H96" s="624" t="s">
        <v>1749</v>
      </c>
      <c r="I96" s="611" t="s">
        <v>1393</v>
      </c>
      <c r="J96" s="611">
        <v>11</v>
      </c>
      <c r="K96" s="623">
        <v>1900000</v>
      </c>
      <c r="L96" s="623">
        <v>20900000</v>
      </c>
      <c r="M96" s="622">
        <v>44942</v>
      </c>
      <c r="N96" s="621">
        <v>45276</v>
      </c>
    </row>
    <row r="97" spans="1:14" ht="264" x14ac:dyDescent="0.25">
      <c r="A97" s="1052"/>
      <c r="B97" s="1049"/>
      <c r="C97" s="1049"/>
      <c r="D97" s="1049"/>
      <c r="E97" s="611" t="s">
        <v>296</v>
      </c>
      <c r="F97" s="626" t="s">
        <v>298</v>
      </c>
      <c r="G97" s="625" t="s">
        <v>1756</v>
      </c>
      <c r="H97" s="624" t="s">
        <v>1749</v>
      </c>
      <c r="I97" s="611" t="s">
        <v>1393</v>
      </c>
      <c r="J97" s="611">
        <v>11</v>
      </c>
      <c r="K97" s="623">
        <v>2362437</v>
      </c>
      <c r="L97" s="623">
        <v>25986807</v>
      </c>
      <c r="M97" s="622">
        <v>44942</v>
      </c>
      <c r="N97" s="621">
        <v>45276</v>
      </c>
    </row>
    <row r="98" spans="1:14" ht="79.2" x14ac:dyDescent="0.25">
      <c r="A98" s="1052"/>
      <c r="B98" s="1049"/>
      <c r="C98" s="1049"/>
      <c r="D98" s="1049"/>
      <c r="E98" s="611" t="s">
        <v>296</v>
      </c>
      <c r="F98" s="626" t="s">
        <v>298</v>
      </c>
      <c r="G98" s="625" t="s">
        <v>1755</v>
      </c>
      <c r="H98" s="624" t="s">
        <v>1749</v>
      </c>
      <c r="I98" s="611" t="s">
        <v>1393</v>
      </c>
      <c r="J98" s="611">
        <v>1</v>
      </c>
      <c r="K98" s="623">
        <v>70000000</v>
      </c>
      <c r="L98" s="623">
        <v>70000000</v>
      </c>
      <c r="M98" s="622">
        <v>44986</v>
      </c>
      <c r="N98" s="621">
        <v>45260</v>
      </c>
    </row>
    <row r="99" spans="1:14" ht="105.6" x14ac:dyDescent="0.25">
      <c r="A99" s="1052"/>
      <c r="B99" s="1049"/>
      <c r="C99" s="1049"/>
      <c r="D99" s="1049"/>
      <c r="E99" s="611" t="s">
        <v>296</v>
      </c>
      <c r="F99" s="626" t="s">
        <v>298</v>
      </c>
      <c r="G99" s="625" t="s">
        <v>1754</v>
      </c>
      <c r="H99" s="624" t="s">
        <v>1749</v>
      </c>
      <c r="I99" s="611" t="s">
        <v>1384</v>
      </c>
      <c r="J99" s="611">
        <v>1</v>
      </c>
      <c r="K99" s="623">
        <v>50000000</v>
      </c>
      <c r="L99" s="623">
        <v>50000000</v>
      </c>
      <c r="M99" s="622">
        <v>44958</v>
      </c>
      <c r="N99" s="621">
        <v>45137</v>
      </c>
    </row>
    <row r="100" spans="1:14" ht="92.4" x14ac:dyDescent="0.25">
      <c r="A100" s="1052"/>
      <c r="B100" s="1049"/>
      <c r="C100" s="1049"/>
      <c r="D100" s="1049"/>
      <c r="E100" s="611" t="s">
        <v>296</v>
      </c>
      <c r="F100" s="626" t="s">
        <v>298</v>
      </c>
      <c r="G100" s="625" t="s">
        <v>1753</v>
      </c>
      <c r="H100" s="624" t="s">
        <v>1749</v>
      </c>
      <c r="I100" s="611" t="s">
        <v>1393</v>
      </c>
      <c r="J100" s="611">
        <v>1</v>
      </c>
      <c r="K100" s="623">
        <v>10000000</v>
      </c>
      <c r="L100" s="623">
        <v>10000000</v>
      </c>
      <c r="M100" s="622">
        <v>44986</v>
      </c>
      <c r="N100" s="621">
        <v>45260</v>
      </c>
    </row>
    <row r="101" spans="1:14" ht="132" x14ac:dyDescent="0.25">
      <c r="A101" s="1052"/>
      <c r="B101" s="1049"/>
      <c r="C101" s="1049"/>
      <c r="D101" s="1049"/>
      <c r="E101" s="611" t="s">
        <v>296</v>
      </c>
      <c r="F101" s="626" t="s">
        <v>298</v>
      </c>
      <c r="G101" s="625" t="s">
        <v>1752</v>
      </c>
      <c r="H101" s="624" t="s">
        <v>1749</v>
      </c>
      <c r="I101" s="611" t="s">
        <v>1393</v>
      </c>
      <c r="J101" s="611">
        <v>1</v>
      </c>
      <c r="K101" s="623">
        <v>10000000</v>
      </c>
      <c r="L101" s="623">
        <v>10000000</v>
      </c>
      <c r="M101" s="622">
        <v>44986</v>
      </c>
      <c r="N101" s="621">
        <v>45260</v>
      </c>
    </row>
    <row r="102" spans="1:14" ht="92.4" x14ac:dyDescent="0.25">
      <c r="A102" s="1052"/>
      <c r="B102" s="1049"/>
      <c r="C102" s="1049"/>
      <c r="D102" s="1049"/>
      <c r="E102" s="611" t="s">
        <v>296</v>
      </c>
      <c r="F102" s="626" t="s">
        <v>298</v>
      </c>
      <c r="G102" s="625" t="s">
        <v>1751</v>
      </c>
      <c r="H102" s="624" t="s">
        <v>1749</v>
      </c>
      <c r="I102" s="611" t="s">
        <v>1393</v>
      </c>
      <c r="J102" s="611">
        <v>1</v>
      </c>
      <c r="K102" s="623">
        <v>50000000</v>
      </c>
      <c r="L102" s="623">
        <v>50000000</v>
      </c>
      <c r="M102" s="622">
        <v>45078</v>
      </c>
      <c r="N102" s="621">
        <v>45290</v>
      </c>
    </row>
    <row r="103" spans="1:14" ht="79.8" thickBot="1" x14ac:dyDescent="0.3">
      <c r="A103" s="1053"/>
      <c r="B103" s="1050"/>
      <c r="C103" s="1050"/>
      <c r="D103" s="1050"/>
      <c r="E103" s="617" t="s">
        <v>296</v>
      </c>
      <c r="F103" s="620" t="s">
        <v>298</v>
      </c>
      <c r="G103" s="619" t="s">
        <v>1750</v>
      </c>
      <c r="H103" s="618" t="s">
        <v>1749</v>
      </c>
      <c r="I103" s="617" t="s">
        <v>1393</v>
      </c>
      <c r="J103" s="617">
        <v>12</v>
      </c>
      <c r="K103" s="616">
        <v>2000000</v>
      </c>
      <c r="L103" s="616">
        <v>24000000</v>
      </c>
      <c r="M103" s="615">
        <v>44958</v>
      </c>
      <c r="N103" s="614">
        <v>45290</v>
      </c>
    </row>
    <row r="104" spans="1:14" ht="79.2" x14ac:dyDescent="0.25">
      <c r="A104" s="611"/>
      <c r="B104" s="611" t="s">
        <v>1746</v>
      </c>
      <c r="C104" s="611" t="s">
        <v>292</v>
      </c>
      <c r="D104" s="611" t="s">
        <v>461</v>
      </c>
      <c r="E104" s="611" t="s">
        <v>471</v>
      </c>
      <c r="F104" s="611" t="s">
        <v>1121</v>
      </c>
      <c r="G104" s="611" t="s">
        <v>1745</v>
      </c>
      <c r="H104" s="611" t="s">
        <v>1744</v>
      </c>
      <c r="I104" s="611" t="s">
        <v>1373</v>
      </c>
      <c r="J104" s="611" t="s">
        <v>1743</v>
      </c>
      <c r="K104" s="611">
        <v>4000000</v>
      </c>
      <c r="L104" s="611">
        <v>48000000</v>
      </c>
      <c r="M104" s="610">
        <v>44928</v>
      </c>
      <c r="N104" s="610">
        <v>45291</v>
      </c>
    </row>
    <row r="105" spans="1:14" ht="57" x14ac:dyDescent="0.25">
      <c r="A105" s="611"/>
      <c r="B105" s="613" t="s">
        <v>1748</v>
      </c>
      <c r="C105" s="611" t="s">
        <v>292</v>
      </c>
      <c r="D105" s="611" t="s">
        <v>461</v>
      </c>
      <c r="E105" s="611" t="s">
        <v>471</v>
      </c>
      <c r="F105" s="611" t="s">
        <v>1121</v>
      </c>
      <c r="G105" s="611" t="s">
        <v>1745</v>
      </c>
      <c r="H105" s="611" t="s">
        <v>1744</v>
      </c>
      <c r="I105" s="611" t="s">
        <v>1373</v>
      </c>
      <c r="J105" s="611" t="s">
        <v>1743</v>
      </c>
      <c r="K105" s="611">
        <v>3500000</v>
      </c>
      <c r="L105" s="611">
        <v>42000000</v>
      </c>
      <c r="M105" s="610">
        <v>44928</v>
      </c>
      <c r="N105" s="610">
        <v>45291</v>
      </c>
    </row>
    <row r="106" spans="1:14" ht="57" x14ac:dyDescent="0.25">
      <c r="A106" s="611"/>
      <c r="B106" s="612" t="s">
        <v>1747</v>
      </c>
      <c r="C106" s="611" t="s">
        <v>292</v>
      </c>
      <c r="D106" s="611" t="s">
        <v>461</v>
      </c>
      <c r="E106" s="611" t="s">
        <v>471</v>
      </c>
      <c r="F106" s="611" t="s">
        <v>1121</v>
      </c>
      <c r="G106" s="611" t="s">
        <v>1745</v>
      </c>
      <c r="H106" s="611" t="s">
        <v>1744</v>
      </c>
      <c r="I106" s="611" t="s">
        <v>1373</v>
      </c>
      <c r="J106" s="611" t="s">
        <v>1743</v>
      </c>
      <c r="K106" s="611">
        <v>3300000</v>
      </c>
      <c r="L106" s="611">
        <v>39600000</v>
      </c>
      <c r="M106" s="610">
        <v>44928</v>
      </c>
      <c r="N106" s="610">
        <v>45291</v>
      </c>
    </row>
    <row r="107" spans="1:14" ht="79.2" x14ac:dyDescent="0.25">
      <c r="A107" s="611"/>
      <c r="B107" s="611" t="s">
        <v>1746</v>
      </c>
      <c r="C107" s="611" t="s">
        <v>292</v>
      </c>
      <c r="D107" s="611" t="s">
        <v>461</v>
      </c>
      <c r="E107" s="611" t="s">
        <v>471</v>
      </c>
      <c r="F107" s="611" t="s">
        <v>1121</v>
      </c>
      <c r="G107" s="611" t="s">
        <v>1745</v>
      </c>
      <c r="H107" s="611" t="s">
        <v>1744</v>
      </c>
      <c r="I107" s="611" t="s">
        <v>1373</v>
      </c>
      <c r="J107" s="611" t="s">
        <v>1743</v>
      </c>
      <c r="K107" s="611">
        <v>4000000</v>
      </c>
      <c r="L107" s="611">
        <v>48000000</v>
      </c>
      <c r="M107" s="610">
        <v>44928</v>
      </c>
      <c r="N107" s="610">
        <v>45291</v>
      </c>
    </row>
    <row r="108" spans="1:14" ht="13.8" thickBot="1" x14ac:dyDescent="0.3"/>
    <row r="109" spans="1:14" ht="15" thickTop="1" thickBot="1" x14ac:dyDescent="0.3">
      <c r="A109" s="960" t="s">
        <v>1084</v>
      </c>
      <c r="B109" s="960"/>
      <c r="C109" s="740" t="s">
        <v>2086</v>
      </c>
      <c r="D109" s="740" t="s">
        <v>1085</v>
      </c>
      <c r="E109" s="740" t="s">
        <v>2087</v>
      </c>
      <c r="F109" s="960" t="s">
        <v>1087</v>
      </c>
      <c r="G109" s="960"/>
      <c r="H109" s="740">
        <v>2</v>
      </c>
    </row>
    <row r="110" spans="1:14" ht="13.8" thickTop="1" x14ac:dyDescent="0.25"/>
  </sheetData>
  <autoFilter ref="A2:P107" xr:uid="{A22D239C-6060-4CB1-919D-1BA64CACD148}"/>
  <mergeCells count="7">
    <mergeCell ref="A1:N1"/>
    <mergeCell ref="A109:B109"/>
    <mergeCell ref="F109:G109"/>
    <mergeCell ref="D61:D103"/>
    <mergeCell ref="C61:C103"/>
    <mergeCell ref="B61:B103"/>
    <mergeCell ref="A61:A103"/>
  </mergeCells>
  <dataValidations count="6">
    <dataValidation type="list" allowBlank="1" showInputMessage="1" showErrorMessage="1" sqref="A41:A60 A3:A32" xr:uid="{00000000-0002-0000-0100-000000000000}">
      <formula1>ESTRATEGIA</formula1>
    </dataValidation>
    <dataValidation type="list" allowBlank="1" showInputMessage="1" showErrorMessage="1" sqref="D3:D60" xr:uid="{00000000-0002-0000-0100-000004000000}">
      <formula1>SU</formula1>
    </dataValidation>
    <dataValidation type="list" allowBlank="1" showInputMessage="1" showErrorMessage="1" sqref="F3:F40" xr:uid="{00000000-0002-0000-0100-000005000000}">
      <formula1>IN</formula1>
    </dataValidation>
    <dataValidation type="list" allowBlank="1" showInputMessage="1" showErrorMessage="1" sqref="C3:C60" xr:uid="{00000000-0002-0000-0100-000003000000}">
      <formula1>DE</formula1>
    </dataValidation>
    <dataValidation type="list" allowBlank="1" showInputMessage="1" showErrorMessage="1" sqref="B3:B60" xr:uid="{00000000-0002-0000-0100-000002000000}">
      <formula1>OE</formula1>
    </dataValidation>
    <dataValidation type="list" allowBlank="1" showInputMessage="1" showErrorMessage="1" sqref="E3:E60" xr:uid="{00000000-0002-0000-0100-000001000000}">
      <formula1>ME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9371-A87C-4368-81ED-68EE53B35ECA}">
  <dimension ref="B2:I11"/>
  <sheetViews>
    <sheetView showGridLines="0" tabSelected="1" zoomScaleNormal="100" workbookViewId="0">
      <selection activeCell="C15" sqref="C15"/>
    </sheetView>
  </sheetViews>
  <sheetFormatPr baseColWidth="10" defaultRowHeight="13.2" x14ac:dyDescent="0.25"/>
  <cols>
    <col min="1" max="1" width="4.21875" customWidth="1"/>
    <col min="2" max="2" width="27.5546875" customWidth="1"/>
    <col min="3" max="3" width="17.44140625" bestFit="1" customWidth="1"/>
    <col min="4" max="4" width="15" bestFit="1" customWidth="1"/>
    <col min="5" max="5" width="24.6640625" customWidth="1"/>
  </cols>
  <sheetData>
    <row r="2" spans="2:9" x14ac:dyDescent="0.25">
      <c r="B2" s="1054" t="s">
        <v>2085</v>
      </c>
      <c r="C2" s="1054"/>
    </row>
    <row r="3" spans="2:9" x14ac:dyDescent="0.25">
      <c r="B3" s="672" t="s">
        <v>1111</v>
      </c>
      <c r="C3" s="693">
        <f>+SUM(Rectoría!M3:M76)</f>
        <v>6856808275</v>
      </c>
      <c r="D3" s="701"/>
    </row>
    <row r="4" spans="2:9" x14ac:dyDescent="0.25">
      <c r="B4" s="672" t="s">
        <v>1114</v>
      </c>
      <c r="C4" s="693">
        <f>+SUM(Viceacadémica!N3:N215)</f>
        <v>16526445106.865602</v>
      </c>
    </row>
    <row r="5" spans="2:9" x14ac:dyDescent="0.25">
      <c r="B5" s="672" t="s">
        <v>1972</v>
      </c>
      <c r="C5" s="693">
        <f>+SUM(Viceinvestigación!I4:I29)</f>
        <v>1019500000</v>
      </c>
    </row>
    <row r="6" spans="2:9" ht="26.4" x14ac:dyDescent="0.25">
      <c r="B6" s="672" t="s">
        <v>1113</v>
      </c>
      <c r="C6" s="693">
        <f>+SUM(Viceadministrativa!L3:L107)</f>
        <v>16729925769.9</v>
      </c>
    </row>
    <row r="7" spans="2:9" x14ac:dyDescent="0.25">
      <c r="B7" s="672" t="s">
        <v>2083</v>
      </c>
      <c r="C7" s="693">
        <f>+'GIT Extensión y Proy.'!I104</f>
        <v>1337000000</v>
      </c>
    </row>
    <row r="8" spans="2:9" x14ac:dyDescent="0.25">
      <c r="B8" s="738" t="s">
        <v>1244</v>
      </c>
      <c r="C8" s="739">
        <f>+C7+C6+C5+C4+C3</f>
        <v>42469679151.765602</v>
      </c>
      <c r="D8" s="701"/>
    </row>
    <row r="9" spans="2:9" ht="13.8" thickBot="1" x14ac:dyDescent="0.3"/>
    <row r="10" spans="2:9" ht="15" thickTop="1" thickBot="1" x14ac:dyDescent="0.3">
      <c r="B10" s="960" t="s">
        <v>1084</v>
      </c>
      <c r="C10" s="960"/>
      <c r="D10" s="740" t="s">
        <v>2086</v>
      </c>
      <c r="E10" s="740" t="s">
        <v>1085</v>
      </c>
      <c r="F10" s="740" t="s">
        <v>2087</v>
      </c>
      <c r="G10" s="960" t="s">
        <v>1087</v>
      </c>
      <c r="H10" s="960"/>
      <c r="I10" s="740">
        <v>2</v>
      </c>
    </row>
    <row r="11" spans="2:9" ht="13.8" thickTop="1" x14ac:dyDescent="0.25"/>
  </sheetData>
  <mergeCells count="3">
    <mergeCell ref="B10:C10"/>
    <mergeCell ref="G10:H10"/>
    <mergeCell ref="B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CDFB-F31E-EF4B-A95E-E9C7F1825AE5}">
  <dimension ref="A1"/>
  <sheetViews>
    <sheetView workbookViewId="0"/>
  </sheetViews>
  <sheetFormatPr baseColWidth="10" defaultRowHeight="13.2"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topLeftCell="A4" workbookViewId="0"/>
  </sheetViews>
  <sheetFormatPr baseColWidth="10" defaultRowHeight="13.2" x14ac:dyDescent="0.25"/>
  <sheetData>
    <row r="1" spans="1:1" x14ac:dyDescent="0.25">
      <c r="A1" t="s">
        <v>1402</v>
      </c>
    </row>
    <row r="2" spans="1:1" x14ac:dyDescent="0.25">
      <c r="A2" s="18" t="s">
        <v>1373</v>
      </c>
    </row>
    <row r="3" spans="1:1" x14ac:dyDescent="0.25">
      <c r="A3" s="21" t="s">
        <v>1374</v>
      </c>
    </row>
    <row r="4" spans="1:1" x14ac:dyDescent="0.25">
      <c r="A4" s="21" t="s">
        <v>1375</v>
      </c>
    </row>
    <row r="5" spans="1:1" x14ac:dyDescent="0.25">
      <c r="A5" s="18" t="s">
        <v>1376</v>
      </c>
    </row>
    <row r="6" spans="1:1" x14ac:dyDescent="0.25">
      <c r="A6" s="18" t="s">
        <v>1377</v>
      </c>
    </row>
    <row r="7" spans="1:1" x14ac:dyDescent="0.25">
      <c r="A7" s="18" t="s">
        <v>1378</v>
      </c>
    </row>
    <row r="8" spans="1:1" x14ac:dyDescent="0.25">
      <c r="A8" s="18" t="s">
        <v>1379</v>
      </c>
    </row>
    <row r="9" spans="1:1" x14ac:dyDescent="0.25">
      <c r="A9" s="18" t="s">
        <v>1380</v>
      </c>
    </row>
    <row r="10" spans="1:1" x14ac:dyDescent="0.25">
      <c r="A10" s="18" t="s">
        <v>1381</v>
      </c>
    </row>
    <row r="11" spans="1:1" x14ac:dyDescent="0.25">
      <c r="A11" s="18" t="s">
        <v>1382</v>
      </c>
    </row>
    <row r="12" spans="1:1" x14ac:dyDescent="0.25">
      <c r="A12" s="18" t="s">
        <v>1383</v>
      </c>
    </row>
    <row r="13" spans="1:1" x14ac:dyDescent="0.25">
      <c r="A13" s="18" t="s">
        <v>1384</v>
      </c>
    </row>
    <row r="14" spans="1:1" x14ac:dyDescent="0.25">
      <c r="A14" s="18" t="s">
        <v>1385</v>
      </c>
    </row>
    <row r="15" spans="1:1" x14ac:dyDescent="0.25">
      <c r="A15" s="18" t="s">
        <v>1386</v>
      </c>
    </row>
    <row r="16" spans="1:1" x14ac:dyDescent="0.25">
      <c r="A16" s="18" t="s">
        <v>1387</v>
      </c>
    </row>
    <row r="17" spans="1:1" x14ac:dyDescent="0.25">
      <c r="A17" s="18" t="s">
        <v>1388</v>
      </c>
    </row>
    <row r="18" spans="1:1" x14ac:dyDescent="0.25">
      <c r="A18" s="18" t="s">
        <v>1389</v>
      </c>
    </row>
    <row r="19" spans="1:1" x14ac:dyDescent="0.25">
      <c r="A19" s="18" t="s">
        <v>1390</v>
      </c>
    </row>
    <row r="20" spans="1:1" x14ac:dyDescent="0.25">
      <c r="A20" s="18" t="s">
        <v>1391</v>
      </c>
    </row>
    <row r="21" spans="1:1" x14ac:dyDescent="0.25">
      <c r="A21" s="18" t="s">
        <v>1392</v>
      </c>
    </row>
    <row r="22" spans="1:1" x14ac:dyDescent="0.25">
      <c r="A22" s="18" t="s">
        <v>1393</v>
      </c>
    </row>
    <row r="23" spans="1:1" x14ac:dyDescent="0.25">
      <c r="A23" s="18" t="s">
        <v>1394</v>
      </c>
    </row>
    <row r="24" spans="1:1" x14ac:dyDescent="0.25">
      <c r="A24" s="18" t="s">
        <v>1395</v>
      </c>
    </row>
    <row r="25" spans="1:1" x14ac:dyDescent="0.25">
      <c r="A25" s="18" t="s">
        <v>1396</v>
      </c>
    </row>
    <row r="26" spans="1:1" x14ac:dyDescent="0.25">
      <c r="A26" s="18" t="s">
        <v>1397</v>
      </c>
    </row>
    <row r="27" spans="1:1" x14ac:dyDescent="0.25">
      <c r="A27" s="18" t="s">
        <v>1398</v>
      </c>
    </row>
    <row r="28" spans="1:1" x14ac:dyDescent="0.25">
      <c r="A28" s="18" t="s">
        <v>1399</v>
      </c>
    </row>
    <row r="29" spans="1:1" x14ac:dyDescent="0.25">
      <c r="A29" s="18" t="s">
        <v>1400</v>
      </c>
    </row>
    <row r="30" spans="1:1" x14ac:dyDescent="0.25">
      <c r="A30" s="18" t="s">
        <v>1401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E2650-6E4D-4934-9173-A42632420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63305D-6236-4C56-A7F5-E7F5B2DCAA6C}">
  <ds:schemaRefs>
    <ds:schemaRef ds:uri="http://purl.org/dc/terms/"/>
    <ds:schemaRef ds:uri="http://schemas.microsoft.com/office/2006/metadata/properties"/>
    <ds:schemaRef ds:uri="http://www.w3.org/XML/1998/namespace"/>
    <ds:schemaRef ds:uri="ab6efe54-1113-4d03-9a9b-53d2d06840d9"/>
    <ds:schemaRef ds:uri="http://purl.org/dc/elements/1.1/"/>
    <ds:schemaRef ds:uri="http://schemas.microsoft.com/office/infopath/2007/PartnerControls"/>
    <ds:schemaRef ds:uri="http://schemas.openxmlformats.org/package/2006/metadata/core-properties"/>
    <ds:schemaRef ds:uri="43b5c514-35a4-416e-aff7-df25cf72a503"/>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CBAB121C-0D54-449E-A3C1-DCD06D27E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21</vt:i4>
      </vt:variant>
    </vt:vector>
  </HeadingPairs>
  <TitlesOfParts>
    <vt:vector size="35" baseType="lpstr">
      <vt:lpstr>Plan de Acción 2021</vt:lpstr>
      <vt:lpstr>Rectoría</vt:lpstr>
      <vt:lpstr>Viceacadémica</vt:lpstr>
      <vt:lpstr>Viceinvestigación</vt:lpstr>
      <vt:lpstr>GIT Extensión y Proy.</vt:lpstr>
      <vt:lpstr>Viceadministrativa</vt:lpstr>
      <vt:lpstr>Resumen</vt:lpstr>
      <vt:lpstr>Hoja4</vt:lpstr>
      <vt:lpstr>Hoja3</vt:lpstr>
      <vt:lpstr>Hoja2</vt:lpstr>
      <vt:lpstr>LO INSTITUCIONAL</vt:lpstr>
      <vt:lpstr>LO SOCIAL</vt:lpstr>
      <vt:lpstr>LO AMBIENTAL</vt:lpstr>
      <vt:lpstr>ACANCES 2022</vt:lpstr>
      <vt:lpstr>Ambiental</vt:lpstr>
      <vt:lpstr>DATOS</vt:lpstr>
      <vt:lpstr>DE</vt:lpstr>
      <vt:lpstr>EST</vt:lpstr>
      <vt:lpstr>ESTRATEGIA</vt:lpstr>
      <vt:lpstr>ETAPA</vt:lpstr>
      <vt:lpstr>ETAPAS</vt:lpstr>
      <vt:lpstr>IN</vt:lpstr>
      <vt:lpstr>Institucional</vt:lpstr>
      <vt:lpstr>Isntitucional</vt:lpstr>
      <vt:lpstr>lola</vt:lpstr>
      <vt:lpstr>ME</vt:lpstr>
      <vt:lpstr>OE</vt:lpstr>
      <vt:lpstr>PI</vt:lpstr>
      <vt:lpstr>RECTORÍA</vt:lpstr>
      <vt:lpstr>Social</vt:lpstr>
      <vt:lpstr>SU</vt:lpstr>
      <vt:lpstr>VICERRECTORÍA.ACADÉMICA</vt:lpstr>
      <vt:lpstr>VICERRECTORÍA.ADMINISTRATIVA.Y.FINANCIERA</vt:lpstr>
      <vt:lpstr>VICERRECTORÍA.DE.INVESTIGACIÓN.EXTENSIÓN.Y.TRANSFERENCIA</vt:lpstr>
      <vt:lpstr>VICERRECTORÍA1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David Pinzon</cp:lastModifiedBy>
  <cp:revision/>
  <dcterms:created xsi:type="dcterms:W3CDTF">2019-12-26T17:32:37Z</dcterms:created>
  <dcterms:modified xsi:type="dcterms:W3CDTF">2022-12-31T21:22:52Z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