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NDRES\OneDrive - Escuela Tecnologica Instituto Tecnico Central\A. Vigencia 2022\PLAN DE ACCIÓN 2022\PLAN DE ACCIÓN 2022\SEGUIMIENTOS 2022\1 SEGUIMIENTO\"/>
    </mc:Choice>
  </mc:AlternateContent>
  <bookViews>
    <workbookView xWindow="-120" yWindow="-120" windowWidth="20730" windowHeight="11160"/>
  </bookViews>
  <sheets>
    <sheet name="Plan de Acción 2021" sheetId="2" r:id="rId1"/>
    <sheet name="LO INSTITUCIONAL" sheetId="6" state="hidden" r:id="rId2"/>
    <sheet name="LO SOCIAL" sheetId="5" state="hidden" r:id="rId3"/>
    <sheet name="LO AMBIENTAL" sheetId="9" state="hidden" r:id="rId4"/>
    <sheet name="ACANCES 2022" sheetId="10" state="hidden" r:id="rId5"/>
    <sheet name="AVANCE GENERAL 2022" sheetId="12" r:id="rId6"/>
  </sheets>
  <externalReferences>
    <externalReference r:id="rId7"/>
  </externalReferences>
  <definedNames>
    <definedName name="_xlnm._FilterDatabase" localSheetId="3" hidden="1">'LO AMBIENTAL'!$A$6:$BU$29</definedName>
    <definedName name="_xlnm._FilterDatabase" localSheetId="1" hidden="1">'LO INSTITUCIONAL'!$A$7:$MA$41</definedName>
    <definedName name="_xlnm._FilterDatabase" localSheetId="2" hidden="1">'LO SOCIAL'!$A$5:$MI$35</definedName>
    <definedName name="_xlnm._FilterDatabase" localSheetId="0" hidden="1">'Plan de Acción 2021'!$A$7:$AJ$521</definedName>
    <definedName name="ETAPA">'Plan de Acción 2021'!$A$529:$A$534</definedName>
    <definedName name="ETAPAS">'Plan de Acción 2021'!$A$528:$A$534</definedName>
  </definedNames>
  <calcPr calcId="162913"/>
</workbook>
</file>

<file path=xl/calcChain.xml><?xml version="1.0" encoding="utf-8"?>
<calcChain xmlns="http://schemas.openxmlformats.org/spreadsheetml/2006/main">
  <c r="X28" i="6" l="1"/>
  <c r="U28" i="6"/>
  <c r="R28" i="6"/>
  <c r="O28" i="6"/>
  <c r="X25" i="6"/>
  <c r="U25" i="6"/>
  <c r="R25" i="6"/>
  <c r="O25" i="6"/>
  <c r="X24" i="6"/>
  <c r="U24" i="6"/>
  <c r="R24" i="6"/>
  <c r="O24" i="6"/>
  <c r="O131" i="2"/>
  <c r="P131" i="2" s="1"/>
  <c r="O130" i="2"/>
  <c r="P130" i="2" s="1"/>
  <c r="O129" i="2"/>
  <c r="P129" i="2" s="1"/>
  <c r="O128" i="2"/>
  <c r="P128" i="2" s="1"/>
  <c r="O127" i="2"/>
  <c r="P127" i="2" s="1"/>
  <c r="O126" i="2"/>
  <c r="P126" i="2" s="1"/>
  <c r="O125" i="2"/>
  <c r="P125" i="2" s="1"/>
  <c r="O124" i="2"/>
  <c r="P124" i="2" s="1"/>
  <c r="O132" i="2"/>
  <c r="P132" i="2" s="1"/>
  <c r="O133" i="2"/>
  <c r="P133" i="2" s="1"/>
  <c r="O134" i="2"/>
  <c r="P134" i="2" s="1"/>
  <c r="X19" i="6"/>
  <c r="U19" i="6"/>
  <c r="R19" i="6"/>
  <c r="O19" i="6"/>
  <c r="X14" i="6"/>
  <c r="U14" i="6"/>
  <c r="R14" i="6"/>
  <c r="O14" i="6"/>
  <c r="X11" i="6"/>
  <c r="U11" i="6"/>
  <c r="R11" i="6"/>
  <c r="X10" i="6"/>
  <c r="U10" i="6"/>
  <c r="R10" i="6"/>
  <c r="O10" i="6"/>
  <c r="X8" i="6"/>
  <c r="U8" i="6"/>
  <c r="R8" i="6"/>
  <c r="O8" i="6"/>
  <c r="W25" i="9"/>
  <c r="T25" i="9"/>
  <c r="Q25" i="9"/>
  <c r="N25" i="9"/>
  <c r="W24" i="9"/>
  <c r="T24" i="9"/>
  <c r="Q24" i="9"/>
  <c r="N24" i="9"/>
  <c r="W23" i="9"/>
  <c r="T23" i="9"/>
  <c r="Q23" i="9"/>
  <c r="N23" i="9"/>
  <c r="L23" i="9"/>
  <c r="X23" i="9" s="1"/>
  <c r="W22" i="9"/>
  <c r="T22" i="9"/>
  <c r="Q22" i="9"/>
  <c r="N22" i="9"/>
  <c r="N21" i="9"/>
  <c r="W20" i="9"/>
  <c r="T20" i="9"/>
  <c r="Q20" i="9"/>
  <c r="W19" i="9"/>
  <c r="T19" i="9"/>
  <c r="Q19" i="9"/>
  <c r="N20" i="9"/>
  <c r="N19" i="9"/>
  <c r="W18" i="9"/>
  <c r="T18" i="9"/>
  <c r="Q18" i="9"/>
  <c r="N18" i="9"/>
  <c r="W17" i="9"/>
  <c r="T17" i="9"/>
  <c r="Q17" i="9"/>
  <c r="N17" i="9"/>
  <c r="W16" i="9"/>
  <c r="T16" i="9"/>
  <c r="Q16" i="9"/>
  <c r="N16" i="9"/>
  <c r="W15" i="9"/>
  <c r="T15" i="9"/>
  <c r="Q15" i="9"/>
  <c r="N15" i="9"/>
  <c r="W14" i="9"/>
  <c r="T14" i="9"/>
  <c r="Q14" i="9"/>
  <c r="W13" i="9"/>
  <c r="T13" i="9"/>
  <c r="Q13" i="9"/>
  <c r="N14" i="9"/>
  <c r="N13" i="9"/>
  <c r="W12" i="9"/>
  <c r="T12" i="9"/>
  <c r="Q12" i="9"/>
  <c r="N12" i="9"/>
  <c r="W11" i="9"/>
  <c r="T11" i="9"/>
  <c r="Q11" i="9"/>
  <c r="N11" i="9"/>
  <c r="W10" i="9"/>
  <c r="T10" i="9"/>
  <c r="Q10" i="9"/>
  <c r="N10" i="9"/>
  <c r="W9" i="9"/>
  <c r="T9" i="9"/>
  <c r="Q9" i="9"/>
  <c r="N9" i="9"/>
  <c r="W8" i="9"/>
  <c r="T8" i="9"/>
  <c r="Q8" i="9"/>
  <c r="N8" i="9"/>
  <c r="T32" i="5"/>
  <c r="U32" i="5" s="1"/>
  <c r="Q32" i="5"/>
  <c r="R32" i="5" s="1"/>
  <c r="N32" i="5"/>
  <c r="O32" i="5" s="1"/>
  <c r="K32" i="5"/>
  <c r="L32" i="5" s="1"/>
  <c r="T31" i="5"/>
  <c r="Q31" i="5"/>
  <c r="N31" i="5"/>
  <c r="K31" i="5"/>
  <c r="T30" i="5"/>
  <c r="Q30" i="5"/>
  <c r="N30" i="5"/>
  <c r="K30" i="5"/>
  <c r="T29" i="5"/>
  <c r="Q29" i="5"/>
  <c r="N29" i="5"/>
  <c r="K29" i="5"/>
  <c r="K28" i="5"/>
  <c r="I28" i="5"/>
  <c r="T27" i="5"/>
  <c r="Q27" i="5"/>
  <c r="N27" i="5"/>
  <c r="K27" i="5"/>
  <c r="T26" i="5"/>
  <c r="Q26" i="5"/>
  <c r="N26" i="5"/>
  <c r="K26" i="5"/>
  <c r="T25" i="5"/>
  <c r="Q25" i="5"/>
  <c r="N25" i="5"/>
  <c r="K25" i="5"/>
  <c r="T24" i="5"/>
  <c r="Q24" i="5"/>
  <c r="N24" i="5"/>
  <c r="K24" i="5"/>
  <c r="T23" i="5"/>
  <c r="U23" i="5" s="1"/>
  <c r="Q23" i="5"/>
  <c r="R23" i="5" s="1"/>
  <c r="N23" i="5"/>
  <c r="O23" i="5" s="1"/>
  <c r="K23" i="5"/>
  <c r="L23" i="5" s="1"/>
  <c r="T22" i="5"/>
  <c r="Q22" i="5"/>
  <c r="N22" i="5"/>
  <c r="K22" i="5"/>
  <c r="T21" i="5"/>
  <c r="Q21" i="5"/>
  <c r="N21" i="5"/>
  <c r="K21" i="5"/>
  <c r="T20" i="5"/>
  <c r="Q20" i="5"/>
  <c r="N20" i="5"/>
  <c r="K20" i="5"/>
  <c r="T17" i="5"/>
  <c r="Q17" i="5"/>
  <c r="N17" i="5"/>
  <c r="K17" i="5"/>
  <c r="T15" i="5"/>
  <c r="Q15" i="5"/>
  <c r="N15" i="5"/>
  <c r="K15" i="5"/>
  <c r="T14" i="5"/>
  <c r="Q14" i="5"/>
  <c r="N14" i="5"/>
  <c r="K14" i="5"/>
  <c r="T13" i="5"/>
  <c r="Q13" i="5"/>
  <c r="N13" i="5"/>
  <c r="K13" i="5"/>
  <c r="T12" i="5"/>
  <c r="Q12" i="5"/>
  <c r="N12" i="5"/>
  <c r="K12" i="5"/>
  <c r="T10" i="5"/>
  <c r="Q10" i="5"/>
  <c r="N10" i="5"/>
  <c r="K10" i="5"/>
  <c r="T11" i="5"/>
  <c r="Q11" i="5"/>
  <c r="N11" i="5"/>
  <c r="K11" i="5"/>
  <c r="T9" i="5"/>
  <c r="Q9" i="5"/>
  <c r="N9" i="5"/>
  <c r="K9" i="5"/>
  <c r="T8" i="5"/>
  <c r="Q8" i="5"/>
  <c r="N8" i="5"/>
  <c r="K8" i="5"/>
  <c r="T6" i="5"/>
  <c r="Q6" i="5"/>
  <c r="N6" i="5"/>
  <c r="K6" i="5"/>
  <c r="X37" i="6"/>
  <c r="U37" i="6"/>
  <c r="R37" i="6"/>
  <c r="O37" i="6"/>
  <c r="X36" i="6"/>
  <c r="U36" i="6"/>
  <c r="R36" i="6"/>
  <c r="O36" i="6"/>
  <c r="X35" i="6"/>
  <c r="U35" i="6"/>
  <c r="R35" i="6"/>
  <c r="O35" i="6"/>
  <c r="X34" i="6"/>
  <c r="U34" i="6"/>
  <c r="R34" i="6"/>
  <c r="O34" i="6"/>
  <c r="X33" i="6"/>
  <c r="Y33" i="6" s="1"/>
  <c r="U33" i="6"/>
  <c r="V33" i="6" s="1"/>
  <c r="R33" i="6"/>
  <c r="S33" i="6" s="1"/>
  <c r="O33" i="6"/>
  <c r="P33" i="6" s="1"/>
  <c r="X32" i="6"/>
  <c r="U32" i="6"/>
  <c r="R32" i="6"/>
  <c r="O32" i="6"/>
  <c r="X31" i="6"/>
  <c r="U31" i="6"/>
  <c r="R31" i="6"/>
  <c r="O31" i="6"/>
  <c r="X30" i="6"/>
  <c r="U30" i="6"/>
  <c r="R30" i="6"/>
  <c r="O30" i="6"/>
  <c r="X29" i="6"/>
  <c r="U29" i="6"/>
  <c r="R29" i="6"/>
  <c r="O29" i="6"/>
  <c r="X27" i="6"/>
  <c r="Y27" i="6" s="1"/>
  <c r="U27" i="6"/>
  <c r="V27" i="6" s="1"/>
  <c r="R27" i="6"/>
  <c r="S27" i="6" s="1"/>
  <c r="O27" i="6"/>
  <c r="P27" i="6" s="1"/>
  <c r="X26" i="6"/>
  <c r="U26" i="6"/>
  <c r="R26" i="6"/>
  <c r="O26" i="6"/>
  <c r="X23" i="6"/>
  <c r="U23" i="6"/>
  <c r="R23" i="6"/>
  <c r="O23" i="6"/>
  <c r="X22" i="6"/>
  <c r="U22" i="6"/>
  <c r="R22" i="6"/>
  <c r="O22" i="6"/>
  <c r="X21" i="6"/>
  <c r="U21" i="6"/>
  <c r="R21" i="6"/>
  <c r="O21" i="6"/>
  <c r="X20" i="6"/>
  <c r="U20" i="6"/>
  <c r="R20" i="6"/>
  <c r="O20" i="6"/>
  <c r="X16" i="6"/>
  <c r="U16" i="6"/>
  <c r="R16" i="6"/>
  <c r="O16" i="6"/>
  <c r="X15" i="6"/>
  <c r="Y15" i="6" s="1"/>
  <c r="U15" i="6"/>
  <c r="V15" i="6" s="1"/>
  <c r="R15" i="6"/>
  <c r="S15" i="6" s="1"/>
  <c r="O15" i="6"/>
  <c r="P15" i="6" s="1"/>
  <c r="X13" i="6"/>
  <c r="U13" i="6"/>
  <c r="R13" i="6"/>
  <c r="O13" i="6"/>
  <c r="X12" i="6"/>
  <c r="Y12" i="6" s="1"/>
  <c r="U12" i="6"/>
  <c r="V12" i="6" s="1"/>
  <c r="R12" i="6"/>
  <c r="S12" i="6" s="1"/>
  <c r="O12" i="6"/>
  <c r="O11" i="6"/>
  <c r="R23" i="9" l="1"/>
  <c r="U23" i="9"/>
  <c r="O23" i="9"/>
  <c r="L28" i="5"/>
  <c r="R9" i="6"/>
  <c r="X9" i="6"/>
  <c r="O9" i="6"/>
  <c r="P12" i="6" l="1"/>
  <c r="O34" i="2" l="1"/>
  <c r="P34" i="2" s="1"/>
  <c r="O9" i="2"/>
  <c r="O10" i="2"/>
  <c r="O11" i="2"/>
  <c r="O12" i="2"/>
  <c r="O13" i="2"/>
  <c r="O14" i="2"/>
  <c r="O15" i="2"/>
  <c r="O16" i="2"/>
  <c r="O17" i="2"/>
  <c r="O18" i="2"/>
  <c r="O19" i="2"/>
  <c r="O20" i="2"/>
  <c r="O21" i="2"/>
  <c r="O22" i="2"/>
  <c r="O23" i="2"/>
  <c r="O24" i="2"/>
  <c r="O25" i="2"/>
  <c r="O26" i="2"/>
  <c r="O27" i="2"/>
  <c r="O28" i="2"/>
  <c r="O29" i="2"/>
  <c r="O30" i="2"/>
  <c r="O31" i="2"/>
  <c r="O32" i="2"/>
  <c r="O33" i="2"/>
  <c r="O35" i="2"/>
  <c r="O36" i="2"/>
  <c r="O37" i="2"/>
  <c r="O38" i="2"/>
  <c r="O39" i="2"/>
  <c r="O40" i="2"/>
  <c r="O41" i="2"/>
  <c r="O42" i="2"/>
  <c r="O43" i="2"/>
  <c r="O44" i="2"/>
  <c r="O45" i="2"/>
  <c r="O46" i="2"/>
  <c r="O47" i="2"/>
  <c r="O48" i="2"/>
  <c r="O49" i="2"/>
  <c r="O50" i="2"/>
  <c r="O51" i="2"/>
  <c r="O52" i="2"/>
  <c r="O53" i="2"/>
  <c r="P53" i="2" s="1"/>
  <c r="O54" i="2"/>
  <c r="P54" i="2" s="1"/>
  <c r="O55" i="2"/>
  <c r="P55" i="2" s="1"/>
  <c r="O56" i="2"/>
  <c r="P56" i="2" s="1"/>
  <c r="O57" i="2"/>
  <c r="P57" i="2" s="1"/>
  <c r="O58" i="2"/>
  <c r="P58" i="2" s="1"/>
  <c r="O59" i="2"/>
  <c r="P59" i="2" s="1"/>
  <c r="O60" i="2"/>
  <c r="P60" i="2" s="1"/>
  <c r="O61" i="2"/>
  <c r="P61" i="2" s="1"/>
  <c r="O62" i="2"/>
  <c r="P62" i="2" s="1"/>
  <c r="O63" i="2"/>
  <c r="P63" i="2" s="1"/>
  <c r="O64" i="2"/>
  <c r="P64" i="2" s="1"/>
  <c r="O65" i="2"/>
  <c r="P65" i="2" s="1"/>
  <c r="O66" i="2"/>
  <c r="P66" i="2" s="1"/>
  <c r="O67" i="2"/>
  <c r="P67" i="2" s="1"/>
  <c r="O68" i="2"/>
  <c r="O69" i="2"/>
  <c r="O70" i="2"/>
  <c r="O71" i="2"/>
  <c r="O72" i="2"/>
  <c r="O73" i="2"/>
  <c r="O74" i="2"/>
  <c r="O75" i="2"/>
  <c r="O76" i="2"/>
  <c r="O77" i="2"/>
  <c r="O78" i="2"/>
  <c r="O79" i="2"/>
  <c r="O80" i="2"/>
  <c r="O81" i="2"/>
  <c r="O82" i="2"/>
  <c r="O83" i="2"/>
  <c r="O84" i="2"/>
  <c r="O85" i="2"/>
  <c r="O86" i="2"/>
  <c r="O87" i="2"/>
  <c r="O88" i="2"/>
  <c r="O89" i="2"/>
  <c r="O90" i="2"/>
  <c r="O91" i="2"/>
  <c r="O92" i="2"/>
  <c r="O93" i="2"/>
  <c r="O94" i="2"/>
  <c r="O95" i="2"/>
  <c r="O96" i="2"/>
  <c r="O97" i="2"/>
  <c r="O98" i="2"/>
  <c r="O99" i="2"/>
  <c r="O100" i="2"/>
  <c r="O101" i="2"/>
  <c r="O102" i="2"/>
  <c r="O103" i="2"/>
  <c r="O104" i="2"/>
  <c r="O105" i="2"/>
  <c r="O106" i="2"/>
  <c r="O107" i="2"/>
  <c r="O108" i="2"/>
  <c r="O109" i="2"/>
  <c r="O110" i="2"/>
  <c r="O111" i="2"/>
  <c r="O112" i="2"/>
  <c r="O113" i="2"/>
  <c r="O114" i="2"/>
  <c r="O115" i="2"/>
  <c r="O116" i="2"/>
  <c r="O117" i="2"/>
  <c r="O118" i="2"/>
  <c r="O119" i="2"/>
  <c r="O120" i="2"/>
  <c r="O121" i="2"/>
  <c r="O122" i="2"/>
  <c r="O123" i="2"/>
  <c r="O135" i="2"/>
  <c r="O136" i="2"/>
  <c r="O137" i="2"/>
  <c r="O138" i="2"/>
  <c r="O139" i="2"/>
  <c r="O140" i="2"/>
  <c r="O141" i="2"/>
  <c r="O142" i="2"/>
  <c r="O143" i="2"/>
  <c r="O144" i="2"/>
  <c r="O145" i="2"/>
  <c r="O146" i="2"/>
  <c r="O147" i="2"/>
  <c r="O148" i="2"/>
  <c r="O149" i="2"/>
  <c r="O150" i="2"/>
  <c r="O151" i="2"/>
  <c r="O152" i="2"/>
  <c r="O153" i="2"/>
  <c r="O154" i="2"/>
  <c r="O155" i="2"/>
  <c r="O156" i="2"/>
  <c r="O157" i="2"/>
  <c r="O158" i="2"/>
  <c r="O159" i="2"/>
  <c r="O160" i="2"/>
  <c r="O161" i="2"/>
  <c r="O162" i="2"/>
  <c r="O163" i="2"/>
  <c r="O164" i="2"/>
  <c r="O165" i="2"/>
  <c r="O166" i="2"/>
  <c r="O167" i="2"/>
  <c r="O168" i="2"/>
  <c r="O169" i="2"/>
  <c r="O170" i="2"/>
  <c r="O171" i="2"/>
  <c r="O172" i="2"/>
  <c r="O173" i="2"/>
  <c r="O174" i="2"/>
  <c r="O175" i="2"/>
  <c r="O176" i="2"/>
  <c r="O177" i="2"/>
  <c r="O178" i="2"/>
  <c r="O179" i="2"/>
  <c r="O180" i="2"/>
  <c r="O181" i="2"/>
  <c r="O182" i="2"/>
  <c r="O183" i="2"/>
  <c r="O184" i="2"/>
  <c r="O185" i="2"/>
  <c r="O186" i="2"/>
  <c r="O187" i="2"/>
  <c r="O188" i="2"/>
  <c r="O189" i="2"/>
  <c r="O190" i="2"/>
  <c r="O191" i="2"/>
  <c r="O192" i="2"/>
  <c r="O193" i="2"/>
  <c r="O194" i="2"/>
  <c r="O195" i="2"/>
  <c r="O196" i="2"/>
  <c r="O197" i="2"/>
  <c r="O198" i="2"/>
  <c r="O199" i="2"/>
  <c r="O200" i="2"/>
  <c r="O201" i="2"/>
  <c r="O202" i="2"/>
  <c r="O203" i="2"/>
  <c r="O204" i="2"/>
  <c r="O205" i="2"/>
  <c r="O206" i="2"/>
  <c r="O207" i="2"/>
  <c r="O208" i="2"/>
  <c r="O209" i="2"/>
  <c r="O210" i="2"/>
  <c r="O211" i="2"/>
  <c r="O212" i="2"/>
  <c r="O213" i="2"/>
  <c r="O214" i="2"/>
  <c r="O215" i="2"/>
  <c r="O216" i="2"/>
  <c r="O217" i="2"/>
  <c r="O218" i="2"/>
  <c r="O219" i="2"/>
  <c r="O220" i="2"/>
  <c r="O221" i="2"/>
  <c r="O222" i="2"/>
  <c r="O223" i="2"/>
  <c r="O224" i="2"/>
  <c r="O225" i="2"/>
  <c r="O226" i="2"/>
  <c r="O227" i="2"/>
  <c r="O228" i="2"/>
  <c r="O229" i="2"/>
  <c r="O230" i="2"/>
  <c r="O231" i="2"/>
  <c r="O232" i="2"/>
  <c r="O233" i="2"/>
  <c r="O234" i="2"/>
  <c r="O235" i="2"/>
  <c r="O236" i="2"/>
  <c r="O237" i="2"/>
  <c r="O238" i="2"/>
  <c r="O239" i="2"/>
  <c r="O240" i="2"/>
  <c r="O241" i="2"/>
  <c r="O242" i="2"/>
  <c r="O243" i="2"/>
  <c r="O244" i="2"/>
  <c r="O245" i="2"/>
  <c r="O246" i="2"/>
  <c r="O247" i="2"/>
  <c r="O249" i="2"/>
  <c r="O248" i="2"/>
  <c r="O250" i="2"/>
  <c r="O251" i="2"/>
  <c r="O252" i="2"/>
  <c r="O253" i="2"/>
  <c r="O254" i="2"/>
  <c r="O255" i="2"/>
  <c r="O256" i="2"/>
  <c r="O257" i="2"/>
  <c r="O258" i="2"/>
  <c r="O259" i="2"/>
  <c r="O260" i="2"/>
  <c r="O261" i="2"/>
  <c r="O262" i="2"/>
  <c r="O263" i="2"/>
  <c r="O264" i="2"/>
  <c r="O265" i="2"/>
  <c r="O266" i="2"/>
  <c r="O267" i="2"/>
  <c r="O268" i="2"/>
  <c r="O269" i="2"/>
  <c r="O270" i="2"/>
  <c r="O271" i="2"/>
  <c r="O272" i="2"/>
  <c r="O273" i="2"/>
  <c r="O274" i="2"/>
  <c r="O275" i="2"/>
  <c r="O276" i="2"/>
  <c r="O277" i="2"/>
  <c r="O278" i="2"/>
  <c r="O279" i="2"/>
  <c r="O280" i="2"/>
  <c r="O281" i="2"/>
  <c r="O282" i="2"/>
  <c r="O283" i="2"/>
  <c r="O284" i="2"/>
  <c r="O285" i="2"/>
  <c r="O286" i="2"/>
  <c r="O287" i="2"/>
  <c r="O288" i="2"/>
  <c r="O289" i="2"/>
  <c r="O290" i="2"/>
  <c r="O291" i="2"/>
  <c r="O292" i="2"/>
  <c r="O293" i="2"/>
  <c r="O294" i="2"/>
  <c r="O295" i="2"/>
  <c r="O296" i="2"/>
  <c r="O297" i="2"/>
  <c r="O298" i="2"/>
  <c r="O299" i="2"/>
  <c r="O300" i="2"/>
  <c r="O301" i="2"/>
  <c r="O302" i="2"/>
  <c r="O303" i="2"/>
  <c r="O304" i="2"/>
  <c r="O305" i="2"/>
  <c r="O306" i="2"/>
  <c r="O307" i="2"/>
  <c r="O308" i="2"/>
  <c r="O309" i="2"/>
  <c r="O310" i="2"/>
  <c r="O311" i="2"/>
  <c r="O312" i="2"/>
  <c r="O313" i="2"/>
  <c r="O314" i="2"/>
  <c r="O315" i="2"/>
  <c r="O316" i="2"/>
  <c r="O317" i="2"/>
  <c r="O318" i="2"/>
  <c r="O319" i="2"/>
  <c r="O320" i="2"/>
  <c r="O321" i="2"/>
  <c r="O322" i="2"/>
  <c r="O323" i="2"/>
  <c r="O324" i="2"/>
  <c r="O325" i="2"/>
  <c r="O326" i="2"/>
  <c r="O327" i="2"/>
  <c r="O328" i="2"/>
  <c r="O329" i="2"/>
  <c r="O330" i="2"/>
  <c r="O331" i="2"/>
  <c r="O332" i="2"/>
  <c r="O333" i="2"/>
  <c r="O334" i="2"/>
  <c r="O335" i="2"/>
  <c r="O336" i="2"/>
  <c r="O337" i="2"/>
  <c r="O338" i="2"/>
  <c r="O339" i="2"/>
  <c r="O340" i="2"/>
  <c r="O341" i="2"/>
  <c r="O342" i="2"/>
  <c r="O343" i="2"/>
  <c r="O344" i="2"/>
  <c r="O345" i="2"/>
  <c r="O346" i="2"/>
  <c r="O347" i="2"/>
  <c r="O348" i="2"/>
  <c r="O349" i="2"/>
  <c r="O350" i="2"/>
  <c r="O351" i="2"/>
  <c r="O352" i="2"/>
  <c r="O353" i="2"/>
  <c r="O354" i="2"/>
  <c r="O355" i="2"/>
  <c r="O356" i="2"/>
  <c r="O357" i="2"/>
  <c r="O358" i="2"/>
  <c r="O359" i="2"/>
  <c r="O360" i="2"/>
  <c r="O361" i="2"/>
  <c r="O362" i="2"/>
  <c r="O363" i="2"/>
  <c r="O364" i="2"/>
  <c r="O365" i="2"/>
  <c r="O366" i="2"/>
  <c r="O367" i="2"/>
  <c r="O368" i="2"/>
  <c r="O369" i="2"/>
  <c r="O370" i="2"/>
  <c r="O371" i="2"/>
  <c r="O372" i="2"/>
  <c r="O373" i="2"/>
  <c r="O374" i="2"/>
  <c r="O375" i="2"/>
  <c r="O376" i="2"/>
  <c r="O377" i="2"/>
  <c r="O378" i="2"/>
  <c r="O379" i="2"/>
  <c r="O380" i="2"/>
  <c r="O381" i="2"/>
  <c r="O382" i="2"/>
  <c r="O383" i="2"/>
  <c r="O384" i="2"/>
  <c r="O385" i="2"/>
  <c r="O386" i="2"/>
  <c r="O387" i="2"/>
  <c r="O388" i="2"/>
  <c r="O389" i="2"/>
  <c r="O390" i="2"/>
  <c r="O391" i="2"/>
  <c r="O392" i="2"/>
  <c r="O393" i="2"/>
  <c r="O394" i="2"/>
  <c r="O395" i="2"/>
  <c r="O396" i="2"/>
  <c r="O397" i="2"/>
  <c r="O398" i="2"/>
  <c r="O399" i="2"/>
  <c r="O400" i="2"/>
  <c r="O401" i="2"/>
  <c r="O402" i="2"/>
  <c r="O403" i="2"/>
  <c r="O404" i="2"/>
  <c r="O405" i="2"/>
  <c r="O406" i="2"/>
  <c r="O408" i="2"/>
  <c r="O409" i="2"/>
  <c r="O410" i="2"/>
  <c r="O411" i="2"/>
  <c r="O412" i="2"/>
  <c r="O413" i="2"/>
  <c r="O414" i="2"/>
  <c r="O415" i="2"/>
  <c r="O416" i="2"/>
  <c r="O417" i="2"/>
  <c r="O418" i="2"/>
  <c r="O419" i="2"/>
  <c r="O420" i="2"/>
  <c r="O421" i="2"/>
  <c r="O422" i="2"/>
  <c r="O423" i="2"/>
  <c r="O424" i="2"/>
  <c r="O425" i="2"/>
  <c r="O426" i="2"/>
  <c r="O427" i="2"/>
  <c r="O428" i="2"/>
  <c r="O429" i="2"/>
  <c r="O430" i="2"/>
  <c r="O431" i="2"/>
  <c r="O433" i="2"/>
  <c r="O434" i="2"/>
  <c r="O435" i="2"/>
  <c r="O436" i="2"/>
  <c r="O437" i="2"/>
  <c r="O438" i="2"/>
  <c r="O439" i="2"/>
  <c r="O440" i="2"/>
  <c r="O441" i="2"/>
  <c r="O442" i="2"/>
  <c r="O443" i="2"/>
  <c r="O444" i="2"/>
  <c r="O445" i="2"/>
  <c r="O446" i="2"/>
  <c r="O447" i="2"/>
  <c r="O448" i="2"/>
  <c r="O449" i="2"/>
  <c r="O450" i="2"/>
  <c r="O451" i="2"/>
  <c r="O452" i="2"/>
  <c r="O453" i="2"/>
  <c r="O454" i="2"/>
  <c r="O455" i="2"/>
  <c r="O456" i="2"/>
  <c r="O457" i="2"/>
  <c r="O458" i="2"/>
  <c r="O459" i="2"/>
  <c r="O460" i="2"/>
  <c r="O461" i="2"/>
  <c r="O462" i="2"/>
  <c r="O463" i="2"/>
  <c r="O464" i="2"/>
  <c r="O465" i="2"/>
  <c r="O466" i="2"/>
  <c r="O467" i="2"/>
  <c r="O468" i="2"/>
  <c r="O469" i="2"/>
  <c r="O470" i="2"/>
  <c r="O471" i="2"/>
  <c r="O472" i="2"/>
  <c r="O473" i="2"/>
  <c r="O474" i="2"/>
  <c r="O475" i="2"/>
  <c r="O476" i="2"/>
  <c r="O477" i="2"/>
  <c r="O478" i="2"/>
  <c r="O479" i="2"/>
  <c r="O480" i="2"/>
  <c r="O481" i="2"/>
  <c r="O482" i="2"/>
  <c r="O483" i="2"/>
  <c r="O484" i="2"/>
  <c r="O485" i="2"/>
  <c r="O486" i="2"/>
  <c r="O487" i="2"/>
  <c r="O488" i="2"/>
  <c r="O489" i="2"/>
  <c r="O490" i="2"/>
  <c r="O491" i="2"/>
  <c r="O492" i="2"/>
  <c r="O493" i="2"/>
  <c r="O494" i="2"/>
  <c r="O495" i="2"/>
  <c r="O496" i="2"/>
  <c r="O497" i="2"/>
  <c r="O498" i="2"/>
  <c r="O499" i="2"/>
  <c r="O500" i="2"/>
  <c r="O501" i="2"/>
  <c r="O502" i="2"/>
  <c r="O503" i="2"/>
  <c r="O504" i="2"/>
  <c r="O505" i="2"/>
  <c r="O506" i="2"/>
  <c r="O507" i="2"/>
  <c r="O508" i="2"/>
  <c r="O509" i="2"/>
  <c r="O510" i="2"/>
  <c r="O511" i="2"/>
  <c r="O512" i="2"/>
  <c r="O513" i="2"/>
  <c r="O514" i="2"/>
  <c r="O515" i="2"/>
  <c r="O516" i="2"/>
  <c r="O517" i="2"/>
  <c r="O518" i="2"/>
  <c r="O519" i="2"/>
  <c r="P502" i="2" l="1"/>
  <c r="P501" i="2"/>
  <c r="P500" i="2"/>
  <c r="P499" i="2"/>
  <c r="P498" i="2"/>
  <c r="P497" i="2"/>
  <c r="P496" i="2"/>
  <c r="P495" i="2"/>
  <c r="P494" i="2"/>
  <c r="P493" i="2"/>
  <c r="P492" i="2"/>
  <c r="P491" i="2"/>
  <c r="P490" i="2"/>
  <c r="P489" i="2"/>
  <c r="P511" i="2"/>
  <c r="P510" i="2"/>
  <c r="P509" i="2"/>
  <c r="P508" i="2"/>
  <c r="P507" i="2"/>
  <c r="P506" i="2"/>
  <c r="P505" i="2"/>
  <c r="P504" i="2"/>
  <c r="P503" i="2"/>
  <c r="P519" i="2"/>
  <c r="P518" i="2"/>
  <c r="P517" i="2"/>
  <c r="P516" i="2"/>
  <c r="P515" i="2"/>
  <c r="P514" i="2"/>
  <c r="U9" i="6" l="1"/>
  <c r="P353" i="2"/>
  <c r="P352" i="2"/>
  <c r="P351" i="2"/>
  <c r="P350" i="2"/>
  <c r="P349" i="2"/>
  <c r="P348" i="2"/>
  <c r="P347" i="2"/>
  <c r="P335" i="2"/>
  <c r="P334" i="2"/>
  <c r="P337" i="2"/>
  <c r="P333" i="2"/>
  <c r="P332" i="2"/>
  <c r="P319" i="2"/>
  <c r="P318" i="2"/>
  <c r="P315" i="2"/>
  <c r="P294" i="2"/>
  <c r="P181" i="2" l="1"/>
  <c r="P180" i="2"/>
  <c r="E8" i="10" l="1"/>
  <c r="K7" i="10"/>
  <c r="C29" i="10" l="1"/>
  <c r="C24" i="10"/>
  <c r="L8" i="6"/>
  <c r="P8" i="6" s="1"/>
  <c r="L18" i="6" l="1"/>
  <c r="O30" i="5"/>
  <c r="O24" i="5"/>
  <c r="O22" i="5"/>
  <c r="O21" i="5"/>
  <c r="O20" i="5"/>
  <c r="Y14" i="6"/>
  <c r="V14" i="6"/>
  <c r="S14" i="6"/>
  <c r="P14" i="6"/>
  <c r="L25" i="9"/>
  <c r="L24" i="9"/>
  <c r="L22" i="9"/>
  <c r="L21" i="9"/>
  <c r="L20" i="9"/>
  <c r="L19" i="9"/>
  <c r="P173" i="2"/>
  <c r="L18" i="9"/>
  <c r="L17" i="9"/>
  <c r="L16" i="9"/>
  <c r="L15" i="9"/>
  <c r="L14" i="9"/>
  <c r="L13" i="9"/>
  <c r="L12" i="9"/>
  <c r="L11" i="9"/>
  <c r="L10" i="9"/>
  <c r="L9" i="9"/>
  <c r="L8" i="9"/>
  <c r="I31" i="5"/>
  <c r="I30" i="5"/>
  <c r="U30" i="5" s="1"/>
  <c r="I29" i="5"/>
  <c r="U28" i="5"/>
  <c r="I27" i="5"/>
  <c r="I26" i="5"/>
  <c r="I25" i="5"/>
  <c r="I24" i="5"/>
  <c r="U24" i="5" s="1"/>
  <c r="I22" i="5"/>
  <c r="L22" i="5" s="1"/>
  <c r="I21" i="5"/>
  <c r="U21" i="5" s="1"/>
  <c r="I20" i="5"/>
  <c r="U20" i="5" s="1"/>
  <c r="I10" i="5"/>
  <c r="I17" i="5"/>
  <c r="I15" i="5"/>
  <c r="I14" i="5"/>
  <c r="I13" i="5"/>
  <c r="I11" i="5"/>
  <c r="I12" i="5"/>
  <c r="I9" i="5"/>
  <c r="I8" i="5"/>
  <c r="I7" i="5"/>
  <c r="R7" i="5" s="1"/>
  <c r="I6" i="5"/>
  <c r="L37" i="6"/>
  <c r="L36" i="6"/>
  <c r="L35" i="6"/>
  <c r="P139" i="2"/>
  <c r="L34" i="6"/>
  <c r="P137" i="2"/>
  <c r="N33" i="6"/>
  <c r="L32" i="6"/>
  <c r="L31" i="6"/>
  <c r="L30" i="6"/>
  <c r="L29" i="6"/>
  <c r="L28" i="6"/>
  <c r="P28" i="6" s="1"/>
  <c r="L27" i="6"/>
  <c r="L26" i="6"/>
  <c r="L25" i="6"/>
  <c r="L24" i="6"/>
  <c r="P24" i="6" s="1"/>
  <c r="L23" i="6"/>
  <c r="L22" i="6"/>
  <c r="P370" i="2"/>
  <c r="O19" i="9" l="1"/>
  <c r="X19" i="9"/>
  <c r="R19" i="9"/>
  <c r="U19" i="9"/>
  <c r="R24" i="9"/>
  <c r="U24" i="9"/>
  <c r="O24" i="9"/>
  <c r="X24" i="9"/>
  <c r="U20" i="9"/>
  <c r="R20" i="9"/>
  <c r="O20" i="9"/>
  <c r="X20" i="9"/>
  <c r="R25" i="9"/>
  <c r="X25" i="9"/>
  <c r="U25" i="9"/>
  <c r="O25" i="9"/>
  <c r="O18" i="9"/>
  <c r="X18" i="9"/>
  <c r="R18" i="9"/>
  <c r="U18" i="9"/>
  <c r="U21" i="9"/>
  <c r="R21" i="9"/>
  <c r="X21" i="9"/>
  <c r="O21" i="9"/>
  <c r="U22" i="9"/>
  <c r="O22" i="9"/>
  <c r="X22" i="9"/>
  <c r="R22" i="9"/>
  <c r="X16" i="9"/>
  <c r="U16" i="9"/>
  <c r="O16" i="9"/>
  <c r="R16" i="9"/>
  <c r="U17" i="9"/>
  <c r="X17" i="9"/>
  <c r="O17" i="9"/>
  <c r="R17" i="9"/>
  <c r="O15" i="9"/>
  <c r="X15" i="9"/>
  <c r="R15" i="9"/>
  <c r="U15" i="9"/>
  <c r="R12" i="9"/>
  <c r="O12" i="9"/>
  <c r="X12" i="9"/>
  <c r="U12" i="9"/>
  <c r="O13" i="9"/>
  <c r="X13" i="9"/>
  <c r="U13" i="9"/>
  <c r="R13" i="9"/>
  <c r="R14" i="9"/>
  <c r="U14" i="9"/>
  <c r="O14" i="9"/>
  <c r="X14" i="9"/>
  <c r="U11" i="9"/>
  <c r="O11" i="9"/>
  <c r="X11" i="9"/>
  <c r="R11" i="9"/>
  <c r="R10" i="9"/>
  <c r="O10" i="9"/>
  <c r="X10" i="9"/>
  <c r="U10" i="9"/>
  <c r="U9" i="9"/>
  <c r="X9" i="9"/>
  <c r="O9" i="9"/>
  <c r="R9" i="9"/>
  <c r="R8" i="9"/>
  <c r="O8" i="9"/>
  <c r="X8" i="9"/>
  <c r="U8" i="9"/>
  <c r="O25" i="5"/>
  <c r="L25" i="5"/>
  <c r="U25" i="5"/>
  <c r="R25" i="5"/>
  <c r="L29" i="5"/>
  <c r="U29" i="5"/>
  <c r="R29" i="5"/>
  <c r="O29" i="5"/>
  <c r="U26" i="5"/>
  <c r="R26" i="5"/>
  <c r="L26" i="5"/>
  <c r="O26" i="5"/>
  <c r="O27" i="5"/>
  <c r="U27" i="5"/>
  <c r="R27" i="5"/>
  <c r="L27" i="5"/>
  <c r="O31" i="5"/>
  <c r="L31" i="5"/>
  <c r="U31" i="5"/>
  <c r="R31" i="5"/>
  <c r="U10" i="5"/>
  <c r="R10" i="5"/>
  <c r="O10" i="5"/>
  <c r="U15" i="5"/>
  <c r="R15" i="5"/>
  <c r="O15" i="5"/>
  <c r="L15" i="5"/>
  <c r="R13" i="5"/>
  <c r="O13" i="5"/>
  <c r="L13" i="5"/>
  <c r="U13" i="5"/>
  <c r="O14" i="5"/>
  <c r="R14" i="5"/>
  <c r="U14" i="5"/>
  <c r="L14" i="5"/>
  <c r="O12" i="5"/>
  <c r="L12" i="5"/>
  <c r="U12" i="5"/>
  <c r="R12" i="5"/>
  <c r="U11" i="5"/>
  <c r="R11" i="5"/>
  <c r="O11" i="5"/>
  <c r="L11" i="5"/>
  <c r="U17" i="5"/>
  <c r="O17" i="5"/>
  <c r="R17" i="5"/>
  <c r="L17" i="5"/>
  <c r="R8" i="5"/>
  <c r="O8" i="5"/>
  <c r="U8" i="5"/>
  <c r="L8" i="5"/>
  <c r="L10" i="5"/>
  <c r="U9" i="5"/>
  <c r="R9" i="5"/>
  <c r="O9" i="5"/>
  <c r="L9" i="5"/>
  <c r="R6" i="5"/>
  <c r="O6" i="5"/>
  <c r="U6" i="5"/>
  <c r="L6" i="5"/>
  <c r="S37" i="6"/>
  <c r="V37" i="6"/>
  <c r="P37" i="6"/>
  <c r="Y37" i="6"/>
  <c r="Y36" i="6"/>
  <c r="S36" i="6"/>
  <c r="V36" i="6"/>
  <c r="P36" i="6"/>
  <c r="Y34" i="6"/>
  <c r="P34" i="6"/>
  <c r="S34" i="6"/>
  <c r="V34" i="6"/>
  <c r="Y35" i="6"/>
  <c r="P35" i="6"/>
  <c r="S35" i="6"/>
  <c r="V35" i="6"/>
  <c r="V32" i="6"/>
  <c r="S32" i="6"/>
  <c r="Y32" i="6"/>
  <c r="P32" i="6"/>
  <c r="S31" i="6"/>
  <c r="V31" i="6"/>
  <c r="Y31" i="6"/>
  <c r="P31" i="6"/>
  <c r="S30" i="6"/>
  <c r="V30" i="6"/>
  <c r="Y30" i="6"/>
  <c r="P30" i="6"/>
  <c r="P29" i="6"/>
  <c r="S29" i="6"/>
  <c r="V29" i="6"/>
  <c r="Y29" i="6"/>
  <c r="S26" i="6"/>
  <c r="V26" i="6"/>
  <c r="Y26" i="6"/>
  <c r="P26" i="6"/>
  <c r="S25" i="6"/>
  <c r="Y25" i="6"/>
  <c r="P25" i="6"/>
  <c r="V25" i="6"/>
  <c r="Y24" i="6"/>
  <c r="V24" i="6"/>
  <c r="S24" i="6"/>
  <c r="P23" i="6"/>
  <c r="S23" i="6"/>
  <c r="V23" i="6"/>
  <c r="Y23" i="6"/>
  <c r="V22" i="6"/>
  <c r="S22" i="6"/>
  <c r="P22" i="6"/>
  <c r="Y22" i="6"/>
  <c r="S28" i="6"/>
  <c r="Y28" i="6"/>
  <c r="V28" i="6"/>
  <c r="L24" i="5"/>
  <c r="L30" i="5"/>
  <c r="L21" i="5"/>
  <c r="O7" i="5"/>
  <c r="U7" i="5"/>
  <c r="R21" i="5"/>
  <c r="R22" i="5"/>
  <c r="L7" i="5"/>
  <c r="R28" i="5"/>
  <c r="L20" i="5"/>
  <c r="R20" i="5"/>
  <c r="U22" i="5"/>
  <c r="R24" i="5"/>
  <c r="R30" i="5"/>
  <c r="O28" i="5"/>
  <c r="P366" i="2"/>
  <c r="P365" i="2"/>
  <c r="P363" i="2"/>
  <c r="P362" i="2"/>
  <c r="P361" i="2"/>
  <c r="P360" i="2"/>
  <c r="P359" i="2"/>
  <c r="P358" i="2"/>
  <c r="P357" i="2"/>
  <c r="P356" i="2"/>
  <c r="P355" i="2"/>
  <c r="P345" i="2"/>
  <c r="P344" i="2"/>
  <c r="P343" i="2"/>
  <c r="O29" i="9" l="1"/>
  <c r="O28" i="9"/>
  <c r="O27" i="9"/>
  <c r="R28" i="9"/>
  <c r="X28" i="9"/>
  <c r="O33" i="5"/>
  <c r="U29" i="9"/>
  <c r="R26" i="9"/>
  <c r="R27" i="9"/>
  <c r="X26" i="9"/>
  <c r="X27" i="9"/>
  <c r="L33" i="5"/>
  <c r="R34" i="5"/>
  <c r="R29" i="9"/>
  <c r="O26" i="9"/>
  <c r="X29" i="9"/>
  <c r="U33" i="5"/>
  <c r="R35" i="5"/>
  <c r="U28" i="9"/>
  <c r="U26" i="9"/>
  <c r="U27" i="9"/>
  <c r="R33" i="5"/>
  <c r="U35" i="5"/>
  <c r="O34" i="5"/>
  <c r="O35" i="5"/>
  <c r="L34" i="5"/>
  <c r="L35" i="5"/>
  <c r="U34" i="5"/>
  <c r="P330" i="2"/>
  <c r="P329" i="2"/>
  <c r="P326" i="2"/>
  <c r="P328" i="2"/>
  <c r="P327" i="2"/>
  <c r="P291" i="2"/>
  <c r="P298" i="2"/>
  <c r="P317" i="2"/>
  <c r="P314" i="2"/>
  <c r="P313" i="2"/>
  <c r="P312" i="2"/>
  <c r="P311" i="2"/>
  <c r="P310" i="2"/>
  <c r="P320" i="2"/>
  <c r="P316" i="2"/>
  <c r="P309" i="2"/>
  <c r="P303" i="2"/>
  <c r="P302" i="2"/>
  <c r="P301" i="2"/>
  <c r="P300" i="2"/>
  <c r="P299" i="2"/>
  <c r="P297" i="2"/>
  <c r="P295" i="2"/>
  <c r="P293" i="2"/>
  <c r="P285" i="2"/>
  <c r="P283" i="2"/>
  <c r="P282" i="2"/>
  <c r="L13" i="6"/>
  <c r="S13" i="6" l="1"/>
  <c r="P13" i="6"/>
  <c r="V13" i="6"/>
  <c r="Y13" i="6"/>
  <c r="Y28" i="9"/>
  <c r="V35" i="5"/>
  <c r="C6" i="10" s="1"/>
  <c r="Y29" i="9"/>
  <c r="Y27" i="9"/>
  <c r="V34" i="5"/>
  <c r="P197" i="2"/>
  <c r="L21" i="6"/>
  <c r="L20" i="6"/>
  <c r="L19" i="6"/>
  <c r="L16" i="6"/>
  <c r="L12" i="6"/>
  <c r="L11" i="6"/>
  <c r="L10" i="6"/>
  <c r="L9" i="6"/>
  <c r="F8" i="5"/>
  <c r="I14" i="6"/>
  <c r="P190" i="2"/>
  <c r="P409" i="2"/>
  <c r="P412" i="2"/>
  <c r="P413" i="2"/>
  <c r="P430" i="2"/>
  <c r="P433" i="2"/>
  <c r="P434" i="2"/>
  <c r="P435" i="2"/>
  <c r="P436" i="2"/>
  <c r="P438" i="2"/>
  <c r="P440" i="2"/>
  <c r="P441" i="2"/>
  <c r="P443" i="2"/>
  <c r="P444" i="2"/>
  <c r="P445" i="2"/>
  <c r="P446" i="2"/>
  <c r="P450" i="2"/>
  <c r="P484" i="2"/>
  <c r="P485" i="2"/>
  <c r="P512" i="2"/>
  <c r="P259" i="2"/>
  <c r="P263" i="2"/>
  <c r="P266" i="2"/>
  <c r="P280" i="2"/>
  <c r="P272" i="2"/>
  <c r="P275" i="2"/>
  <c r="P287" i="2"/>
  <c r="P378" i="2"/>
  <c r="P379" i="2"/>
  <c r="P389" i="2"/>
  <c r="P392" i="2"/>
  <c r="P395" i="2"/>
  <c r="P396" i="2"/>
  <c r="P400" i="2"/>
  <c r="P401" i="2"/>
  <c r="P402" i="2"/>
  <c r="P403" i="2"/>
  <c r="P404" i="2"/>
  <c r="P405" i="2"/>
  <c r="P406" i="2"/>
  <c r="P110" i="2"/>
  <c r="P111" i="2"/>
  <c r="P112" i="2"/>
  <c r="P113" i="2"/>
  <c r="P114" i="2"/>
  <c r="P115" i="2"/>
  <c r="P116" i="2"/>
  <c r="P117" i="2"/>
  <c r="P118" i="2"/>
  <c r="P119" i="2"/>
  <c r="P120" i="2"/>
  <c r="P121" i="2"/>
  <c r="P122" i="2"/>
  <c r="P123" i="2"/>
  <c r="P140" i="2"/>
  <c r="P150" i="2"/>
  <c r="P151" i="2"/>
  <c r="P152" i="2"/>
  <c r="P153" i="2"/>
  <c r="P162" i="2"/>
  <c r="P163" i="2"/>
  <c r="P164" i="2"/>
  <c r="P165" i="2"/>
  <c r="P166" i="2"/>
  <c r="P169" i="2"/>
  <c r="P186" i="2"/>
  <c r="P189" i="2"/>
  <c r="P193" i="2"/>
  <c r="P194" i="2"/>
  <c r="P195" i="2"/>
  <c r="P196" i="2"/>
  <c r="P198" i="2"/>
  <c r="P199" i="2"/>
  <c r="P200" i="2"/>
  <c r="P201" i="2"/>
  <c r="P204" i="2"/>
  <c r="P212" i="2"/>
  <c r="P213" i="2"/>
  <c r="P215" i="2"/>
  <c r="P216" i="2"/>
  <c r="P217" i="2"/>
  <c r="P218" i="2"/>
  <c r="P221" i="2"/>
  <c r="P222" i="2"/>
  <c r="P223" i="2"/>
  <c r="P224" i="2"/>
  <c r="P225" i="2"/>
  <c r="P226" i="2"/>
  <c r="P227" i="2"/>
  <c r="P228" i="2"/>
  <c r="P229" i="2"/>
  <c r="P230" i="2"/>
  <c r="P231" i="2"/>
  <c r="P232" i="2"/>
  <c r="P233" i="2"/>
  <c r="P234" i="2"/>
  <c r="P235" i="2"/>
  <c r="P236" i="2"/>
  <c r="P237" i="2"/>
  <c r="P238" i="2"/>
  <c r="P239" i="2"/>
  <c r="P240" i="2"/>
  <c r="P241" i="2"/>
  <c r="P242" i="2"/>
  <c r="P243" i="2"/>
  <c r="P244" i="2"/>
  <c r="P245" i="2"/>
  <c r="P246" i="2"/>
  <c r="P247" i="2"/>
  <c r="P249" i="2"/>
  <c r="P248" i="2"/>
  <c r="P250" i="2"/>
  <c r="P251" i="2"/>
  <c r="P9" i="2"/>
  <c r="P10" i="2"/>
  <c r="P11" i="2"/>
  <c r="P12" i="2"/>
  <c r="P13" i="2"/>
  <c r="P14" i="2"/>
  <c r="P17" i="2"/>
  <c r="P18" i="2"/>
  <c r="P19" i="2"/>
  <c r="P20" i="2"/>
  <c r="P21" i="2"/>
  <c r="P22" i="2"/>
  <c r="P23" i="2"/>
  <c r="P24" i="2"/>
  <c r="P25" i="2"/>
  <c r="P33" i="2"/>
  <c r="P35" i="2"/>
  <c r="P36" i="2"/>
  <c r="P37" i="2"/>
  <c r="P38" i="2"/>
  <c r="P39" i="2"/>
  <c r="P40" i="2"/>
  <c r="P41" i="2"/>
  <c r="P42" i="2"/>
  <c r="P48" i="2"/>
  <c r="P49" i="2"/>
  <c r="P50" i="2"/>
  <c r="P51" i="2"/>
  <c r="P52" i="2"/>
  <c r="P68" i="2"/>
  <c r="P69" i="2"/>
  <c r="P70" i="2"/>
  <c r="P71" i="2"/>
  <c r="P72" i="2"/>
  <c r="P73" i="2"/>
  <c r="P74" i="2"/>
  <c r="P75" i="2"/>
  <c r="P76" i="2"/>
  <c r="P77" i="2"/>
  <c r="P78" i="2"/>
  <c r="P79" i="2"/>
  <c r="P80" i="2"/>
  <c r="P81" i="2"/>
  <c r="P82" i="2"/>
  <c r="P83" i="2"/>
  <c r="P84" i="2"/>
  <c r="P85" i="2"/>
  <c r="P86" i="2"/>
  <c r="P87" i="2"/>
  <c r="P88" i="2"/>
  <c r="P89" i="2"/>
  <c r="P90" i="2"/>
  <c r="P91" i="2"/>
  <c r="P92" i="2"/>
  <c r="P93" i="2"/>
  <c r="P94" i="2"/>
  <c r="P95" i="2"/>
  <c r="P96" i="2"/>
  <c r="P97" i="2"/>
  <c r="P98" i="2"/>
  <c r="P100" i="2"/>
  <c r="P101" i="2"/>
  <c r="P102" i="2"/>
  <c r="P105" i="2"/>
  <c r="P178" i="2"/>
  <c r="P177" i="2"/>
  <c r="P176" i="2"/>
  <c r="P175" i="2"/>
  <c r="P174" i="2"/>
  <c r="P172" i="2"/>
  <c r="P171" i="2"/>
  <c r="P170" i="2"/>
  <c r="P168" i="2"/>
  <c r="P167" i="2"/>
  <c r="P161" i="2"/>
  <c r="P160" i="2"/>
  <c r="P159" i="2"/>
  <c r="P149" i="2"/>
  <c r="P148" i="2"/>
  <c r="P147" i="2"/>
  <c r="P146" i="2"/>
  <c r="P145" i="2"/>
  <c r="P144" i="2"/>
  <c r="P143" i="2"/>
  <c r="P142" i="2"/>
  <c r="P141" i="2"/>
  <c r="P138" i="2"/>
  <c r="P136" i="2"/>
  <c r="P390" i="2"/>
  <c r="P391" i="2"/>
  <c r="P393" i="2"/>
  <c r="P394" i="2"/>
  <c r="P397" i="2"/>
  <c r="P398" i="2"/>
  <c r="P399" i="2"/>
  <c r="P253" i="2"/>
  <c r="P254" i="2"/>
  <c r="P255" i="2"/>
  <c r="P256" i="2"/>
  <c r="P257" i="2"/>
  <c r="P258" i="2"/>
  <c r="P260" i="2"/>
  <c r="P261" i="2"/>
  <c r="P262" i="2"/>
  <c r="P264" i="2"/>
  <c r="P265" i="2"/>
  <c r="P267" i="2"/>
  <c r="P268" i="2"/>
  <c r="P269" i="2"/>
  <c r="P270" i="2"/>
  <c r="P271" i="2"/>
  <c r="P273" i="2"/>
  <c r="P274" i="2"/>
  <c r="P276" i="2"/>
  <c r="P277" i="2"/>
  <c r="P278" i="2"/>
  <c r="P279" i="2"/>
  <c r="P281" i="2"/>
  <c r="P284" i="2"/>
  <c r="P286" i="2"/>
  <c r="P288" i="2"/>
  <c r="P289" i="2"/>
  <c r="P290" i="2"/>
  <c r="P292" i="2"/>
  <c r="P296" i="2"/>
  <c r="P304" i="2"/>
  <c r="P305" i="2"/>
  <c r="P306" i="2"/>
  <c r="P307" i="2"/>
  <c r="P308" i="2"/>
  <c r="P321" i="2"/>
  <c r="P322" i="2"/>
  <c r="P323" i="2"/>
  <c r="P324" i="2"/>
  <c r="P325" i="2"/>
  <c r="P331" i="2"/>
  <c r="P336" i="2"/>
  <c r="P338" i="2"/>
  <c r="P339" i="2"/>
  <c r="P340" i="2"/>
  <c r="P341" i="2"/>
  <c r="P342" i="2"/>
  <c r="P346" i="2"/>
  <c r="P354" i="2"/>
  <c r="P364" i="2"/>
  <c r="P367" i="2"/>
  <c r="P368" i="2"/>
  <c r="P369" i="2"/>
  <c r="P371" i="2"/>
  <c r="P372" i="2"/>
  <c r="P373" i="2"/>
  <c r="P374" i="2"/>
  <c r="P375" i="2"/>
  <c r="P376" i="2"/>
  <c r="P377" i="2"/>
  <c r="P380" i="2"/>
  <c r="P381" i="2"/>
  <c r="P382" i="2"/>
  <c r="P383" i="2"/>
  <c r="P384" i="2"/>
  <c r="P385" i="2"/>
  <c r="P386" i="2"/>
  <c r="P387" i="2"/>
  <c r="P388" i="2"/>
  <c r="P410" i="2"/>
  <c r="P411" i="2"/>
  <c r="P414" i="2"/>
  <c r="P415" i="2"/>
  <c r="P416" i="2"/>
  <c r="P417" i="2"/>
  <c r="P418" i="2"/>
  <c r="P419" i="2"/>
  <c r="P420" i="2"/>
  <c r="P421" i="2"/>
  <c r="P422" i="2"/>
  <c r="P423" i="2"/>
  <c r="P424" i="2"/>
  <c r="P425" i="2"/>
  <c r="P426" i="2"/>
  <c r="P427" i="2"/>
  <c r="P428" i="2"/>
  <c r="P429" i="2"/>
  <c r="P431" i="2"/>
  <c r="P437" i="2"/>
  <c r="P439" i="2"/>
  <c r="P442" i="2"/>
  <c r="P488" i="2"/>
  <c r="P214" i="2"/>
  <c r="P219" i="2"/>
  <c r="P220" i="2"/>
  <c r="P99" i="2"/>
  <c r="P103" i="2"/>
  <c r="P104" i="2"/>
  <c r="K74" i="2"/>
  <c r="K88" i="2"/>
  <c r="P26" i="2"/>
  <c r="P27" i="2"/>
  <c r="P28" i="2"/>
  <c r="P29" i="2"/>
  <c r="P30" i="2"/>
  <c r="P31" i="2"/>
  <c r="P32" i="2"/>
  <c r="P43" i="2"/>
  <c r="P44" i="2"/>
  <c r="P45" i="2"/>
  <c r="P46" i="2"/>
  <c r="P47" i="2"/>
  <c r="O8" i="2"/>
  <c r="P8" i="2" s="1"/>
  <c r="P15" i="2"/>
  <c r="P16" i="2"/>
  <c r="P107" i="2"/>
  <c r="P108" i="2"/>
  <c r="P109" i="2"/>
  <c r="P135" i="2"/>
  <c r="P154" i="2"/>
  <c r="P155" i="2"/>
  <c r="P156" i="2"/>
  <c r="P157" i="2"/>
  <c r="P158" i="2"/>
  <c r="P179" i="2"/>
  <c r="P182" i="2"/>
  <c r="P183" i="2"/>
  <c r="P184" i="2"/>
  <c r="P185" i="2"/>
  <c r="P187" i="2"/>
  <c r="P188" i="2"/>
  <c r="P202" i="2"/>
  <c r="P203" i="2"/>
  <c r="P205" i="2"/>
  <c r="P206" i="2"/>
  <c r="P207" i="2"/>
  <c r="P208" i="2"/>
  <c r="P209" i="2"/>
  <c r="P210" i="2"/>
  <c r="P211" i="2"/>
  <c r="AI407" i="2"/>
  <c r="V33" i="5" l="1"/>
  <c r="Y26" i="9"/>
  <c r="H6" i="10" s="1"/>
  <c r="H5" i="10"/>
  <c r="P21" i="6"/>
  <c r="V21" i="6"/>
  <c r="S21" i="6"/>
  <c r="Y21" i="6"/>
  <c r="V20" i="6"/>
  <c r="S20" i="6"/>
  <c r="P20" i="6"/>
  <c r="Y20" i="6"/>
  <c r="V16" i="6"/>
  <c r="P16" i="6"/>
  <c r="Y16" i="6"/>
  <c r="S16" i="6"/>
  <c r="V11" i="6"/>
  <c r="P11" i="6"/>
  <c r="Y11" i="6"/>
  <c r="S11" i="6"/>
  <c r="Y10" i="6"/>
  <c r="V10" i="6"/>
  <c r="S10" i="6"/>
  <c r="P10" i="6"/>
  <c r="P9" i="6"/>
  <c r="S9" i="6"/>
  <c r="P408" i="2"/>
  <c r="V9" i="6"/>
  <c r="Y9" i="6"/>
  <c r="S19" i="6"/>
  <c r="Y19" i="6"/>
  <c r="V19" i="6"/>
  <c r="P19" i="6"/>
  <c r="P106" i="2"/>
  <c r="P252" i="2" a="1"/>
  <c r="P252" i="2" s="1"/>
  <c r="P513" i="2"/>
  <c r="P407" i="2" a="1"/>
  <c r="P407" i="2" s="1"/>
  <c r="P520" i="2" l="1" a="1"/>
  <c r="P520" i="2" s="1"/>
  <c r="V40" i="6"/>
  <c r="S41" i="6"/>
  <c r="Y41" i="6"/>
  <c r="S40" i="6"/>
  <c r="V41" i="6"/>
  <c r="Y40" i="6"/>
  <c r="P41" i="6"/>
  <c r="P40" i="6"/>
  <c r="Z40" i="6" l="1"/>
  <c r="C5" i="10" s="1"/>
  <c r="Z41" i="6"/>
  <c r="C4" i="10" s="1"/>
  <c r="S8" i="6"/>
  <c r="Y8" i="6"/>
  <c r="V8" i="6"/>
  <c r="S39" i="6" l="1"/>
  <c r="V39" i="6"/>
  <c r="Y39" i="6"/>
  <c r="P39" i="6"/>
  <c r="Z39" i="6" l="1"/>
  <c r="C3" i="10" l="1"/>
  <c r="C8" i="10" s="1"/>
  <c r="C26" i="10" s="1"/>
  <c r="C30" i="10" s="1"/>
  <c r="Z38" i="6"/>
  <c r="H4" i="10" s="1"/>
  <c r="D30" i="10" l="1"/>
</calcChain>
</file>

<file path=xl/comments1.xml><?xml version="1.0" encoding="utf-8"?>
<comments xmlns="http://schemas.openxmlformats.org/spreadsheetml/2006/main">
  <authors>
    <author>ANDRES</author>
  </authors>
  <commentList>
    <comment ref="H26" authorId="0" shapeId="0">
      <text>
        <r>
          <rPr>
            <b/>
            <sz val="9"/>
            <color indexed="81"/>
            <rFont val="Tahoma"/>
            <family val="2"/>
          </rPr>
          <t>Medición meta etsratégica</t>
        </r>
      </text>
    </comment>
    <comment ref="H39" authorId="0" shapeId="0">
      <text>
        <r>
          <rPr>
            <b/>
            <sz val="9"/>
            <color indexed="81"/>
            <rFont val="Tahoma"/>
            <family val="2"/>
          </rPr>
          <t>Medición meta etsratégica</t>
        </r>
      </text>
    </comment>
    <comment ref="H40" authorId="0" shapeId="0">
      <text>
        <r>
          <rPr>
            <b/>
            <sz val="9"/>
            <color indexed="81"/>
            <rFont val="Tahoma"/>
            <family val="2"/>
          </rPr>
          <t>Medición meta etsratégica</t>
        </r>
      </text>
    </comment>
    <comment ref="H42" authorId="0" shapeId="0">
      <text>
        <r>
          <rPr>
            <b/>
            <sz val="9"/>
            <color indexed="81"/>
            <rFont val="Tahoma"/>
            <family val="2"/>
          </rPr>
          <t>Medición meta etsratégica</t>
        </r>
      </text>
    </comment>
    <comment ref="H55" authorId="0" shapeId="0">
      <text>
        <r>
          <rPr>
            <b/>
            <sz val="9"/>
            <color indexed="81"/>
            <rFont val="Tahoma"/>
            <family val="2"/>
          </rPr>
          <t>Medición meta etsratégica</t>
        </r>
      </text>
    </comment>
    <comment ref="H68" authorId="0" shapeId="0">
      <text>
        <r>
          <rPr>
            <b/>
            <sz val="9"/>
            <color indexed="81"/>
            <rFont val="Tahoma"/>
            <family val="2"/>
          </rPr>
          <t>Medición meta etsratégica</t>
        </r>
      </text>
    </comment>
    <comment ref="H87" authorId="0" shapeId="0">
      <text>
        <r>
          <rPr>
            <b/>
            <sz val="9"/>
            <color indexed="81"/>
            <rFont val="Tahoma"/>
            <family val="2"/>
          </rPr>
          <t>Medición meta etsratégica</t>
        </r>
      </text>
    </comment>
    <comment ref="H95" authorId="0" shapeId="0">
      <text>
        <r>
          <rPr>
            <b/>
            <sz val="9"/>
            <color indexed="81"/>
            <rFont val="Tahoma"/>
            <family val="2"/>
          </rPr>
          <t>Medición meta etsratégica</t>
        </r>
      </text>
    </comment>
    <comment ref="H98" authorId="0" shapeId="0">
      <text>
        <r>
          <rPr>
            <b/>
            <sz val="9"/>
            <color indexed="81"/>
            <rFont val="Tahoma"/>
            <family val="2"/>
          </rPr>
          <t>Medición meta etsratégica</t>
        </r>
      </text>
    </comment>
    <comment ref="H99" authorId="0" shapeId="0">
      <text>
        <r>
          <rPr>
            <b/>
            <sz val="9"/>
            <color indexed="81"/>
            <rFont val="Tahoma"/>
            <family val="2"/>
          </rPr>
          <t>Medición meta etsratégica</t>
        </r>
      </text>
    </comment>
    <comment ref="H135" authorId="0" shapeId="0">
      <text>
        <r>
          <rPr>
            <b/>
            <sz val="9"/>
            <color indexed="81"/>
            <rFont val="Tahoma"/>
            <family val="2"/>
          </rPr>
          <t>Medición meta etsratégica</t>
        </r>
      </text>
    </comment>
    <comment ref="H136" authorId="0" shapeId="0">
      <text>
        <r>
          <rPr>
            <b/>
            <sz val="9"/>
            <color indexed="81"/>
            <rFont val="Tahoma"/>
            <family val="2"/>
          </rPr>
          <t>Medición meta etsratégica</t>
        </r>
      </text>
    </comment>
    <comment ref="H138" authorId="0" shapeId="0">
      <text>
        <r>
          <rPr>
            <b/>
            <sz val="9"/>
            <color indexed="81"/>
            <rFont val="Tahoma"/>
            <family val="2"/>
          </rPr>
          <t>Medición meta etsratégica</t>
        </r>
      </text>
    </comment>
    <comment ref="H140" authorId="0" shapeId="0">
      <text>
        <r>
          <rPr>
            <b/>
            <sz val="9"/>
            <color indexed="81"/>
            <rFont val="Tahoma"/>
            <family val="2"/>
          </rPr>
          <t>Medición meta etsratégica</t>
        </r>
      </text>
    </comment>
    <comment ref="H141" authorId="0" shapeId="0">
      <text>
        <r>
          <rPr>
            <b/>
            <sz val="9"/>
            <color indexed="81"/>
            <rFont val="Tahoma"/>
            <family val="2"/>
          </rPr>
          <t>Medición meta etsratégica</t>
        </r>
      </text>
    </comment>
    <comment ref="H142" authorId="0" shapeId="0">
      <text>
        <r>
          <rPr>
            <b/>
            <sz val="9"/>
            <color indexed="81"/>
            <rFont val="Tahoma"/>
            <family val="2"/>
          </rPr>
          <t>Medición meta etsratégica</t>
        </r>
      </text>
    </comment>
    <comment ref="H148" authorId="0" shapeId="0">
      <text>
        <r>
          <rPr>
            <b/>
            <sz val="9"/>
            <color indexed="81"/>
            <rFont val="Tahoma"/>
            <family val="2"/>
          </rPr>
          <t>Medición meta estratégica</t>
        </r>
      </text>
    </comment>
    <comment ref="H151" authorId="0" shapeId="0">
      <text>
        <r>
          <rPr>
            <b/>
            <sz val="9"/>
            <color indexed="81"/>
            <rFont val="Tahoma"/>
            <family val="2"/>
          </rPr>
          <t>Medición meta etsratégica</t>
        </r>
      </text>
    </comment>
    <comment ref="H167" authorId="0" shapeId="0">
      <text>
        <r>
          <rPr>
            <b/>
            <sz val="9"/>
            <color indexed="81"/>
            <rFont val="Tahoma"/>
            <family val="2"/>
          </rPr>
          <t>Medición meta etsratégica</t>
        </r>
      </text>
    </comment>
    <comment ref="H170" authorId="0" shapeId="0">
      <text>
        <r>
          <rPr>
            <b/>
            <sz val="9"/>
            <color indexed="81"/>
            <rFont val="Tahoma"/>
            <family val="2"/>
          </rPr>
          <t>Medición meta etsratégica</t>
        </r>
      </text>
    </comment>
    <comment ref="H171" authorId="0" shapeId="0">
      <text>
        <r>
          <rPr>
            <b/>
            <sz val="9"/>
            <color indexed="81"/>
            <rFont val="Tahoma"/>
            <family val="2"/>
          </rPr>
          <t>Medición meta etsratégica</t>
        </r>
      </text>
    </comment>
    <comment ref="H172" authorId="0" shapeId="0">
      <text>
        <r>
          <rPr>
            <b/>
            <sz val="9"/>
            <color indexed="81"/>
            <rFont val="Tahoma"/>
            <family val="2"/>
          </rPr>
          <t>Medición meta etsratégica</t>
        </r>
      </text>
    </comment>
    <comment ref="H176" authorId="0" shapeId="0">
      <text>
        <r>
          <rPr>
            <b/>
            <sz val="9"/>
            <color indexed="81"/>
            <rFont val="Tahoma"/>
            <family val="2"/>
          </rPr>
          <t>Medición meta etsratégica</t>
        </r>
      </text>
    </comment>
    <comment ref="H182" authorId="0" shapeId="0">
      <text>
        <r>
          <rPr>
            <b/>
            <sz val="9"/>
            <color indexed="81"/>
            <rFont val="Tahoma"/>
            <family val="2"/>
          </rPr>
          <t>Medición meta etsratégica</t>
        </r>
      </text>
    </comment>
    <comment ref="H183" authorId="0" shapeId="0">
      <text>
        <r>
          <rPr>
            <b/>
            <sz val="9"/>
            <color indexed="81"/>
            <rFont val="Tahoma"/>
            <family val="2"/>
          </rPr>
          <t xml:space="preserve">Medición de meta estratégica
</t>
        </r>
      </text>
    </comment>
    <comment ref="H190" authorId="0" shapeId="0">
      <text>
        <r>
          <rPr>
            <b/>
            <sz val="9"/>
            <color indexed="81"/>
            <rFont val="Tahoma"/>
            <family val="2"/>
          </rPr>
          <t>Medición de meta estratégica</t>
        </r>
      </text>
    </comment>
    <comment ref="H191" authorId="0" shapeId="0">
      <text>
        <r>
          <rPr>
            <b/>
            <sz val="9"/>
            <color indexed="81"/>
            <rFont val="Tahoma"/>
            <family val="2"/>
          </rPr>
          <t>Medición de meta estratégica</t>
        </r>
      </text>
    </comment>
    <comment ref="H194" authorId="0" shapeId="0">
      <text>
        <r>
          <rPr>
            <b/>
            <sz val="9"/>
            <color indexed="81"/>
            <rFont val="Tahoma"/>
            <family val="2"/>
          </rPr>
          <t>Medición de meta estratégica</t>
        </r>
      </text>
    </comment>
    <comment ref="H195" authorId="0" shapeId="0">
      <text>
        <r>
          <rPr>
            <b/>
            <sz val="9"/>
            <color indexed="81"/>
            <rFont val="Tahoma"/>
            <family val="2"/>
          </rPr>
          <t>Medición de meta estratégica</t>
        </r>
      </text>
    </comment>
    <comment ref="H196" authorId="0" shapeId="0">
      <text>
        <r>
          <rPr>
            <b/>
            <sz val="9"/>
            <color indexed="81"/>
            <rFont val="Tahoma"/>
            <family val="2"/>
          </rPr>
          <t>Medición de meta estratégica</t>
        </r>
      </text>
    </comment>
    <comment ref="H197" authorId="0" shapeId="0">
      <text>
        <r>
          <rPr>
            <b/>
            <sz val="9"/>
            <color indexed="81"/>
            <rFont val="Tahoma"/>
            <family val="2"/>
          </rPr>
          <t>Medición de meta estratégica</t>
        </r>
      </text>
    </comment>
    <comment ref="H248" authorId="0" shapeId="0">
      <text>
        <r>
          <rPr>
            <b/>
            <sz val="9"/>
            <color indexed="81"/>
            <rFont val="Tahoma"/>
            <family val="2"/>
          </rPr>
          <t>Medición de meta estratégica</t>
        </r>
      </text>
    </comment>
    <comment ref="H250" authorId="0" shapeId="0">
      <text>
        <r>
          <rPr>
            <b/>
            <sz val="9"/>
            <color indexed="81"/>
            <rFont val="Tahoma"/>
            <family val="2"/>
          </rPr>
          <t>Medición de meta estratégica</t>
        </r>
      </text>
    </comment>
    <comment ref="H251" authorId="0" shapeId="0">
      <text>
        <r>
          <rPr>
            <b/>
            <sz val="9"/>
            <color indexed="81"/>
            <rFont val="Tahoma"/>
            <family val="2"/>
          </rPr>
          <t>Medición de meta estratégica</t>
        </r>
      </text>
    </comment>
    <comment ref="H253" authorId="0" shapeId="0">
      <text>
        <r>
          <rPr>
            <b/>
            <sz val="9"/>
            <color indexed="81"/>
            <rFont val="Tahoma"/>
            <family val="2"/>
          </rPr>
          <t>Medición de meta estratégica</t>
        </r>
      </text>
    </comment>
    <comment ref="H254" authorId="0" shapeId="0">
      <text>
        <r>
          <rPr>
            <b/>
            <sz val="9"/>
            <color indexed="81"/>
            <rFont val="Tahoma"/>
            <family val="2"/>
          </rPr>
          <t>Medición de meta estratégica</t>
        </r>
      </text>
    </comment>
    <comment ref="H257" authorId="0" shapeId="0">
      <text>
        <r>
          <rPr>
            <b/>
            <sz val="9"/>
            <color indexed="81"/>
            <rFont val="Tahoma"/>
            <family val="2"/>
          </rPr>
          <t>Medición de meta estratégica</t>
        </r>
      </text>
    </comment>
    <comment ref="H259" authorId="0" shapeId="0">
      <text>
        <r>
          <rPr>
            <b/>
            <sz val="9"/>
            <color indexed="81"/>
            <rFont val="Tahoma"/>
            <family val="2"/>
          </rPr>
          <t>Medición de meta estratégica</t>
        </r>
      </text>
    </comment>
    <comment ref="H260" authorId="0" shapeId="0">
      <text>
        <r>
          <rPr>
            <b/>
            <sz val="9"/>
            <color indexed="81"/>
            <rFont val="Tahoma"/>
            <family val="2"/>
          </rPr>
          <t>Medición de meta estratégica</t>
        </r>
      </text>
    </comment>
    <comment ref="H262" authorId="0" shapeId="0">
      <text>
        <r>
          <rPr>
            <b/>
            <sz val="9"/>
            <color indexed="81"/>
            <rFont val="Tahoma"/>
            <family val="2"/>
          </rPr>
          <t>Medición de meta estratégica</t>
        </r>
      </text>
    </comment>
    <comment ref="H263" authorId="0" shapeId="0">
      <text>
        <r>
          <rPr>
            <b/>
            <sz val="9"/>
            <color indexed="81"/>
            <rFont val="Tahoma"/>
            <family val="2"/>
          </rPr>
          <t>Medición de meta estratégica</t>
        </r>
      </text>
    </comment>
    <comment ref="H266" authorId="0" shapeId="0">
      <text>
        <r>
          <rPr>
            <b/>
            <sz val="9"/>
            <color indexed="81"/>
            <rFont val="Tahoma"/>
            <family val="2"/>
          </rPr>
          <t>Medición de meta estratégica</t>
        </r>
      </text>
    </comment>
    <comment ref="H280" authorId="0" shapeId="0">
      <text>
        <r>
          <rPr>
            <b/>
            <sz val="9"/>
            <color indexed="81"/>
            <rFont val="Tahoma"/>
            <family val="2"/>
          </rPr>
          <t>Medición de meta estratégica</t>
        </r>
      </text>
    </comment>
    <comment ref="H281" authorId="0" shapeId="0">
      <text>
        <r>
          <rPr>
            <b/>
            <sz val="9"/>
            <color indexed="81"/>
            <rFont val="Tahoma"/>
            <family val="2"/>
          </rPr>
          <t>Medición de meta estratégica</t>
        </r>
      </text>
    </comment>
    <comment ref="H284" authorId="0" shapeId="0">
      <text>
        <r>
          <rPr>
            <b/>
            <sz val="9"/>
            <color indexed="81"/>
            <rFont val="Tahoma"/>
            <family val="2"/>
          </rPr>
          <t>Medición de meta estratégica</t>
        </r>
      </text>
    </comment>
    <comment ref="H285" authorId="0" shapeId="0">
      <text>
        <r>
          <rPr>
            <b/>
            <sz val="9"/>
            <color indexed="81"/>
            <rFont val="Tahoma"/>
            <family val="2"/>
          </rPr>
          <t>Medición de meta estratégica</t>
        </r>
      </text>
    </comment>
    <comment ref="H286" authorId="0" shapeId="0">
      <text>
        <r>
          <rPr>
            <b/>
            <sz val="9"/>
            <color indexed="81"/>
            <rFont val="Tahoma"/>
            <family val="2"/>
          </rPr>
          <t>Medición de meta estratégica</t>
        </r>
      </text>
    </comment>
    <comment ref="H287" authorId="0" shapeId="0">
      <text>
        <r>
          <rPr>
            <b/>
            <sz val="9"/>
            <color indexed="81"/>
            <rFont val="Tahoma"/>
            <family val="2"/>
          </rPr>
          <t>Medición de meta estratégica</t>
        </r>
      </text>
    </comment>
    <comment ref="H288" authorId="0" shapeId="0">
      <text>
        <r>
          <rPr>
            <b/>
            <sz val="9"/>
            <color indexed="81"/>
            <rFont val="Tahoma"/>
            <family val="2"/>
          </rPr>
          <t>Medición de meta estratégica</t>
        </r>
      </text>
    </comment>
    <comment ref="H338" authorId="0" shapeId="0">
      <text>
        <r>
          <rPr>
            <b/>
            <sz val="9"/>
            <color indexed="81"/>
            <rFont val="Tahoma"/>
            <family val="2"/>
          </rPr>
          <t>Medición de meta estratégica</t>
        </r>
      </text>
    </comment>
    <comment ref="H339" authorId="0" shapeId="0">
      <text>
        <r>
          <rPr>
            <b/>
            <sz val="9"/>
            <color indexed="81"/>
            <rFont val="Tahoma"/>
            <family val="2"/>
          </rPr>
          <t>Medición de meta estratégica</t>
        </r>
      </text>
    </comment>
    <comment ref="H345" authorId="0" shapeId="0">
      <text>
        <r>
          <rPr>
            <b/>
            <sz val="9"/>
            <color indexed="81"/>
            <rFont val="Tahoma"/>
            <family val="2"/>
          </rPr>
          <t>Medición de meta estratégica</t>
        </r>
      </text>
    </comment>
    <comment ref="H367" authorId="0" shapeId="0">
      <text>
        <r>
          <rPr>
            <b/>
            <sz val="9"/>
            <color indexed="81"/>
            <rFont val="Tahoma"/>
            <family val="2"/>
          </rPr>
          <t>Medición de meta estratégica</t>
        </r>
      </text>
    </comment>
    <comment ref="H408" authorId="0" shapeId="0">
      <text>
        <r>
          <rPr>
            <b/>
            <sz val="9"/>
            <color indexed="81"/>
            <rFont val="Tahoma"/>
            <family val="2"/>
          </rPr>
          <t>Medición de meta estratégica</t>
        </r>
      </text>
    </comment>
    <comment ref="H409" authorId="0" shapeId="0">
      <text>
        <r>
          <rPr>
            <b/>
            <sz val="9"/>
            <color indexed="81"/>
            <rFont val="Tahoma"/>
            <family val="2"/>
          </rPr>
          <t>Medición de meta estratégica</t>
        </r>
      </text>
    </comment>
    <comment ref="H412" authorId="0" shapeId="0">
      <text>
        <r>
          <rPr>
            <b/>
            <sz val="9"/>
            <color indexed="81"/>
            <rFont val="Tahoma"/>
            <family val="2"/>
          </rPr>
          <t>Medición de meta estratégica</t>
        </r>
      </text>
    </comment>
    <comment ref="H418" authorId="0" shapeId="0">
      <text>
        <r>
          <rPr>
            <b/>
            <sz val="9"/>
            <color indexed="81"/>
            <rFont val="Tahoma"/>
            <family val="2"/>
          </rPr>
          <t>Medición de meta estratégica</t>
        </r>
      </text>
    </comment>
    <comment ref="H430" authorId="0" shapeId="0">
      <text>
        <r>
          <rPr>
            <b/>
            <sz val="9"/>
            <color indexed="81"/>
            <rFont val="Tahoma"/>
            <family val="2"/>
          </rPr>
          <t>Medición de meta estratégica</t>
        </r>
      </text>
    </comment>
    <comment ref="H433" authorId="0" shapeId="0">
      <text>
        <r>
          <rPr>
            <b/>
            <sz val="9"/>
            <color indexed="81"/>
            <rFont val="Tahoma"/>
            <family val="2"/>
          </rPr>
          <t>Medición de meta estratégica</t>
        </r>
      </text>
    </comment>
    <comment ref="H439" authorId="0" shapeId="0">
      <text>
        <r>
          <rPr>
            <b/>
            <sz val="9"/>
            <color indexed="81"/>
            <rFont val="Tahoma"/>
            <family val="2"/>
          </rPr>
          <t>Medición de meta estratégica</t>
        </r>
      </text>
    </comment>
    <comment ref="H441" authorId="0" shapeId="0">
      <text>
        <r>
          <rPr>
            <b/>
            <sz val="9"/>
            <color indexed="81"/>
            <rFont val="Tahoma"/>
            <family val="2"/>
          </rPr>
          <t>Medición de meta estratégica</t>
        </r>
      </text>
    </comment>
    <comment ref="H445" authorId="0" shapeId="0">
      <text>
        <r>
          <rPr>
            <b/>
            <sz val="9"/>
            <color indexed="81"/>
            <rFont val="Tahoma"/>
            <family val="2"/>
          </rPr>
          <t>Medición de meta estratégica</t>
        </r>
      </text>
    </comment>
    <comment ref="H446" authorId="0" shapeId="0">
      <text>
        <r>
          <rPr>
            <b/>
            <sz val="9"/>
            <color indexed="81"/>
            <rFont val="Tahoma"/>
            <family val="2"/>
          </rPr>
          <t>Medición de meta estratégica</t>
        </r>
      </text>
    </comment>
    <comment ref="H450" authorId="0" shapeId="0">
      <text>
        <r>
          <rPr>
            <b/>
            <sz val="9"/>
            <color indexed="81"/>
            <rFont val="Tahoma"/>
            <family val="2"/>
          </rPr>
          <t>Medición de meta estratégica</t>
        </r>
      </text>
    </comment>
    <comment ref="H484" authorId="0" shapeId="0">
      <text>
        <r>
          <rPr>
            <b/>
            <sz val="9"/>
            <color indexed="81"/>
            <rFont val="Tahoma"/>
            <family val="2"/>
          </rPr>
          <t>Medición de meta estratégica</t>
        </r>
      </text>
    </comment>
    <comment ref="H485" authorId="0" shapeId="0">
      <text>
        <r>
          <rPr>
            <b/>
            <sz val="9"/>
            <color indexed="81"/>
            <rFont val="Tahoma"/>
            <family val="2"/>
          </rPr>
          <t>Medición de meta estratégica</t>
        </r>
      </text>
    </comment>
    <comment ref="H512" authorId="0" shapeId="0">
      <text>
        <r>
          <rPr>
            <b/>
            <sz val="9"/>
            <color indexed="81"/>
            <rFont val="Tahoma"/>
            <family val="2"/>
          </rPr>
          <t xml:space="preserve">Medición meta etsrategica
</t>
        </r>
      </text>
    </comment>
    <comment ref="H513" authorId="0" shapeId="0">
      <text>
        <r>
          <rPr>
            <b/>
            <sz val="9"/>
            <color indexed="81"/>
            <rFont val="Tahoma"/>
            <family val="2"/>
          </rPr>
          <t>Medición meta estrategica</t>
        </r>
      </text>
    </comment>
  </commentList>
</comments>
</file>

<file path=xl/comments2.xml><?xml version="1.0" encoding="utf-8"?>
<comments xmlns="http://schemas.openxmlformats.org/spreadsheetml/2006/main">
  <authors>
    <author>ANDRES</author>
  </authors>
  <commentList>
    <comment ref="Z38" authorId="0" shapeId="0">
      <text>
        <r>
          <rPr>
            <sz val="9"/>
            <color indexed="81"/>
            <rFont val="Tahoma"/>
            <family val="2"/>
          </rPr>
          <t xml:space="preserve">AVANCE GENERAL "LO INSTITUCIONAL" 2022
</t>
        </r>
      </text>
    </comment>
  </commentList>
</comments>
</file>

<file path=xl/comments3.xml><?xml version="1.0" encoding="utf-8"?>
<comments xmlns="http://schemas.openxmlformats.org/spreadsheetml/2006/main">
  <authors>
    <author>mylife</author>
    <author>ANDRES</author>
  </authors>
  <commentList>
    <comment ref="G9" authorId="0" shapeId="0">
      <text>
        <r>
          <rPr>
            <sz val="9"/>
            <color indexed="81"/>
            <rFont val="Tahoma"/>
            <family val="2"/>
          </rPr>
          <t xml:space="preserve">Del PEI actualizado
</t>
        </r>
      </text>
    </comment>
    <comment ref="I19" authorId="1" shapeId="0">
      <text>
        <r>
          <rPr>
            <sz val="9"/>
            <color indexed="81"/>
            <rFont val="Tahoma"/>
            <family val="2"/>
          </rPr>
          <t xml:space="preserve">N/A
</t>
        </r>
      </text>
    </comment>
    <comment ref="G27" authorId="0" shapeId="0">
      <text>
        <r>
          <rPr>
            <b/>
            <sz val="9"/>
            <color indexed="81"/>
            <rFont val="Tahoma"/>
            <family val="2"/>
          </rPr>
          <t xml:space="preserve">25%
25 empresas </t>
        </r>
      </text>
    </comment>
    <comment ref="G32" authorId="0" shapeId="0">
      <text>
        <r>
          <rPr>
            <b/>
            <sz val="9"/>
            <color indexed="81"/>
            <rFont val="Tahoma"/>
            <family val="2"/>
          </rPr>
          <t>25%
1 convenio firmado con comunidades vulnerables</t>
        </r>
      </text>
    </comment>
    <comment ref="V33" authorId="1" shapeId="0">
      <text>
        <r>
          <rPr>
            <b/>
            <sz val="9"/>
            <color indexed="81"/>
            <rFont val="Tahoma"/>
            <family val="2"/>
          </rPr>
          <t>AVANCE GENERAL "LO SOCIAL" 2022</t>
        </r>
        <r>
          <rPr>
            <sz val="9"/>
            <color indexed="81"/>
            <rFont val="Tahoma"/>
            <family val="2"/>
          </rPr>
          <t xml:space="preserve">
</t>
        </r>
      </text>
    </comment>
  </commentList>
</comments>
</file>

<file path=xl/comments4.xml><?xml version="1.0" encoding="utf-8"?>
<comments xmlns="http://schemas.openxmlformats.org/spreadsheetml/2006/main">
  <authors>
    <author>ANDRES</author>
  </authors>
  <commentList>
    <comment ref="Y26" authorId="0" shapeId="0">
      <text>
        <r>
          <rPr>
            <sz val="9"/>
            <color indexed="81"/>
            <rFont val="Tahoma"/>
            <family val="2"/>
          </rPr>
          <t xml:space="preserve">AVANCE GENERAL "LO AMBIENTAL" 2022
</t>
        </r>
      </text>
    </comment>
  </commentList>
</comments>
</file>

<file path=xl/sharedStrings.xml><?xml version="1.0" encoding="utf-8"?>
<sst xmlns="http://schemas.openxmlformats.org/spreadsheetml/2006/main" count="2565" uniqueCount="1358">
  <si>
    <t>Avance en tiempo</t>
  </si>
  <si>
    <t>Despacho</t>
  </si>
  <si>
    <t>INFORMÁTICA Y COMUNICACIONES</t>
  </si>
  <si>
    <t>ORII</t>
  </si>
  <si>
    <t>PLANTA FÍSICA</t>
  </si>
  <si>
    <t>TALENTO HUMANO</t>
  </si>
  <si>
    <t>BIENESTAR UNIVERSITARIO</t>
  </si>
  <si>
    <t>DESPACHO</t>
  </si>
  <si>
    <t>TALLERES Y LABORATORIOS</t>
  </si>
  <si>
    <t>INVESTIGACIÓN</t>
  </si>
  <si>
    <t>CENTRO DE LENGUAS</t>
  </si>
  <si>
    <t>EXTENSIÓN</t>
  </si>
  <si>
    <t>EGRESADOS</t>
  </si>
  <si>
    <t>RECTORÍA</t>
  </si>
  <si>
    <t>VICERRECTORÍA ACADÉMICA</t>
  </si>
  <si>
    <t>PLAN DE ACCIÓN INSTITUCIONAL 2022</t>
  </si>
  <si>
    <t>CÓDIGO:  DIE-FO-10</t>
  </si>
  <si>
    <t>VERSIÓN: 1</t>
  </si>
  <si>
    <t>VIGENCIA: ENERO de 2021</t>
  </si>
  <si>
    <t>PÁGINA:    1 de 1</t>
  </si>
  <si>
    <t>ÁREA</t>
  </si>
  <si>
    <t>ESTRATEGIA</t>
  </si>
  <si>
    <t>OBJETIVO ESTRATÉGICO</t>
  </si>
  <si>
    <t>SUBÁREA</t>
  </si>
  <si>
    <t>PROYECTO ESTRATÉGICO</t>
  </si>
  <si>
    <t>META ESTRATEGICA</t>
  </si>
  <si>
    <t>FASE O ETAPAS</t>
  </si>
  <si>
    <t>ACTIVIDAD</t>
  </si>
  <si>
    <t>INDICADOR</t>
  </si>
  <si>
    <t>PRODUCTO / EVIDENCIA</t>
  </si>
  <si>
    <t>PRESUPUESTO ASIGNADO</t>
  </si>
  <si>
    <t>FECHA INICIO</t>
  </si>
  <si>
    <t>FECHA FIN</t>
  </si>
  <si>
    <t>FECHA SEGUIMIENTO</t>
  </si>
  <si>
    <t>% AVANCE EN EL TIEMPO</t>
  </si>
  <si>
    <t>META ANUAL</t>
  </si>
  <si>
    <t>PROGRAMACIÓN META TRIMESTRAL</t>
  </si>
  <si>
    <t>SEGUIMIENTO TRIMESTRE 1</t>
  </si>
  <si>
    <t>SEGUIMIENTO TRIMESTRE 2</t>
  </si>
  <si>
    <t>SEGUIMIENTO TRIMESTRE 3</t>
  </si>
  <si>
    <t>SEGUIMIENTO TRIMESTRE 4</t>
  </si>
  <si>
    <t>Meta T1</t>
  </si>
  <si>
    <t>Meta T2</t>
  </si>
  <si>
    <t>Meta T3</t>
  </si>
  <si>
    <t>Meta T4</t>
  </si>
  <si>
    <t>x</t>
  </si>
  <si>
    <t>% CUMPLIMIENTO META T1</t>
  </si>
  <si>
    <t>OBSERVACIONES</t>
  </si>
  <si>
    <t>UBICACIÓN DE EVIDENCIA / SOPORTE</t>
  </si>
  <si>
    <t>% CUMPLIMIENTO META T2</t>
  </si>
  <si>
    <t>% CUMPLIMIENTO META T3</t>
  </si>
  <si>
    <t>% CUMPLIMIENTO META T4</t>
  </si>
  <si>
    <t>Lo Institucional: La transformación cultural de la ETITC</t>
  </si>
  <si>
    <t>OE-1-Consolidar la calidad académica para la acreditación institucional de alta calidad respaldada fortalecimiento
de la gestión, la infraestructura tecnológica y física.</t>
  </si>
  <si>
    <t>OFICINA DE CONTROL INTERNO</t>
  </si>
  <si>
    <t>PE-5- MIPG y los sistemas de gestión para una gobernanza transparente</t>
  </si>
  <si>
    <t>ME-5- Alinear el modelo MIPG con el Sistema Integrado de Gestión (SIG) para la acreditación</t>
  </si>
  <si>
    <t xml:space="preserve">Implementación </t>
  </si>
  <si>
    <t>Formular y desarrollar el programa anual de auditorías.</t>
  </si>
  <si>
    <t>Porcentaje de alineación del MIPG con el SIG.</t>
  </si>
  <si>
    <t>Plan de auditorías formulado y desarrollado</t>
  </si>
  <si>
    <t>N/A</t>
  </si>
  <si>
    <t>Presentación de informes a entes externos</t>
  </si>
  <si>
    <t>Informes presentados y publicados</t>
  </si>
  <si>
    <t>Presentación de informes de requerimiento legal</t>
  </si>
  <si>
    <t xml:space="preserve">Seguimiento al Plan Anticorrupción y de Atención al Ciudadano y  mapas de riesgo de corrupción.  </t>
  </si>
  <si>
    <t>Informe cuatrimestral de los seguimientos realizados</t>
  </si>
  <si>
    <t xml:space="preserve">Seguimiento a la efectividad de las acciones de los planes de mejoramiento </t>
  </si>
  <si>
    <t xml:space="preserve">Seguimientos realizados a los procesos </t>
  </si>
  <si>
    <t xml:space="preserve">Actividades de autocontrol </t>
  </si>
  <si>
    <t>Campañas de autocontrol realizadas</t>
  </si>
  <si>
    <t>Seguimiento a mapas de riesgos</t>
  </si>
  <si>
    <t>Seguimientos realizados e informe al final de la vigencia,</t>
  </si>
  <si>
    <t>0E-01-Consolidar la calidad académica para la acreditación institucional de alta calidad respaldada fortalecimiento
de la gestión, la infraestructura tecnológica y física.</t>
  </si>
  <si>
    <t>OFICINA DE SEGURIDAD DE LA INFORMACIÓN</t>
  </si>
  <si>
    <t>PE-10-Transformación  digital de la ETITC</t>
  </si>
  <si>
    <t>ME-19-Implementar un modelo estratégico para impulsar la evolución digital de la ETITC, plasmado en el PETI.</t>
  </si>
  <si>
    <t xml:space="preserve">Planificación  </t>
  </si>
  <si>
    <t xml:space="preserve">Llevar a cabo el proceso precontractual con su respectivo seguimiento </t>
  </si>
  <si>
    <t>Porcentaje de implementación de la política de Gobierno Digital</t>
  </si>
  <si>
    <t xml:space="preserve">Proceso precontractual ejecutado </t>
  </si>
  <si>
    <t>Ejecución</t>
  </si>
  <si>
    <t xml:space="preserve">Adquirir Equipo MSI KATANA GF66-11UC/COREi5 11400H+16GB 3200+M2 NVME512G+4GB RTX3050+15,6" IPS 144Hz FHD/FREE para el desarrollo de pruebas de Pentesting </t>
  </si>
  <si>
    <t>Desarrollo de pruebas de pentesting a los servicios de lnformación de la ETITC</t>
  </si>
  <si>
    <t>Renovación de 50 licencias de la herramienta de correlacionamiento de eventos de seguridad SEM Y Adquisición de Network Configuration Manager durante un año.</t>
  </si>
  <si>
    <t xml:space="preserve">Aumentar la capacidad de servidores con la protección de la herramienta SEM </t>
  </si>
  <si>
    <t>Renovación de licenciamiento Deslock y Safética</t>
  </si>
  <si>
    <t>Prevención de fuga de datos contra amenazas de accesos no autorizados dando cumplimiento a la Política de Gobierno Digital</t>
  </si>
  <si>
    <t>Organizar actividades necesarias para las auditorías de seguimiento de la certificación NTC ISO IEC 27001:2013</t>
  </si>
  <si>
    <t>Recertificación de la NTC ISO IEC 27001:2013</t>
  </si>
  <si>
    <t>Adquisición de servicios para la Implementación del protocolo IPv6 para la ETITC</t>
  </si>
  <si>
    <t>Puesta en marcha del protocolo IPv6 para la ETITC</t>
  </si>
  <si>
    <t>Prestación de servicios para el Análisis de Vulnerabilidades y Ethical Hacking a nuestros sistemas de información</t>
  </si>
  <si>
    <t>Realizar análisis de vulnerabilidades externa</t>
  </si>
  <si>
    <t>Seguimiento</t>
  </si>
  <si>
    <t>Realizar actividades de seguimiento a la implementación y puesta en marcha del proyecto.</t>
  </si>
  <si>
    <t xml:space="preserve">Proceso de seguimiento ejecutado </t>
  </si>
  <si>
    <t>OE-2-Fortalecer y potenciar el Talento Humano en las plantas de personal docente y administrativa.</t>
  </si>
  <si>
    <t>PE-7- Consolidación y aseguramiento del Talento Humano para el mejoramiento de las capacidades en las plantas administrativas y docentes</t>
  </si>
  <si>
    <t>ME-12-Dar continuidad al Talento Humano integral en las plantas de personal.</t>
  </si>
  <si>
    <t>Curso o Capacitación en formación basados en el marco de trabajo como el modelo C2M2 (Modelo de Madurez de Capacidad de Ciberseguridad), la serie de normas ISO 27000 y la ISO 31000:2009 de Gestión del Riesgo para fomentar cultura de Gobernanza Digital</t>
  </si>
  <si>
    <t>Procentaje de apropiación presupuestal para el pago del personal de planta</t>
  </si>
  <si>
    <t>Creación a Aula Virtual con las tematicas vistas en la certificación</t>
  </si>
  <si>
    <t>Curso o Capacitación de Certified Ethical Hacker V11
Certificado por Ec-Council para cumplir con los lineamientos de GEL</t>
  </si>
  <si>
    <t>Fortalecimiento de las dependencias en temas relacionados con la Ciberseguridad y cultura de gobernanza digital, cumpliendo con los lineamientos de Gobierno en Línea.</t>
  </si>
  <si>
    <t>Realizar pruebas piloto en Ethical Hacking a los servicios de información de la ETITC</t>
  </si>
  <si>
    <t>OE-4-Fortalecer la visibilidad de la escuela bajo en entorno de asertividad para el posicionamiento
nacional e internacional.</t>
  </si>
  <si>
    <t>PE-12-Internacionalización para ampliar fronteras de conocimiento</t>
  </si>
  <si>
    <t>ME-23- Consolidar la política de internacionalización y cooperación Nacional e Internacional de la ETITC.</t>
  </si>
  <si>
    <t xml:space="preserve">Llevar a cabo las actividades planeadas para la comunidad de apoyo para clases espejo </t>
  </si>
  <si>
    <t>Porcentaje de implementación de la Política Institucional de internacionalización y cooperación Nacional e Internacional.</t>
  </si>
  <si>
    <t>Repositorio con grabaciones de encuentros realizados</t>
  </si>
  <si>
    <t>Sistematización, listas de asistencia y repositorio con grabaciones de las colaboraciones interinstitucionales realizadas</t>
  </si>
  <si>
    <t>SECRETARÍA GENERAL</t>
  </si>
  <si>
    <t>Acompañamiento a la actualización de la mejora normativa institucional con las áreas misionales y de apoyo</t>
  </si>
  <si>
    <t>Resoluciones que surjan de las actualizaciones</t>
  </si>
  <si>
    <t>Por definir</t>
  </si>
  <si>
    <t>Actualización y reporte de las plataformas de control y seguimiento de actividades judiciales e institucionales</t>
  </si>
  <si>
    <t>Soportes de reporte generadas por plataformas</t>
  </si>
  <si>
    <t>Diseño y actualización de la base de datos de los procesos disciplinarios de primera instancia que conoce la Secretaría General</t>
  </si>
  <si>
    <t>Base de datos actualizada</t>
  </si>
  <si>
    <t>Diseño e implementación de campañas de sensibilización sobre el correcto actuar del servidor público</t>
  </si>
  <si>
    <t>Documentos que surjan de las campañas</t>
  </si>
  <si>
    <t>Acompañamiento logístico y preparación del proceso de grados y ceremonias</t>
  </si>
  <si>
    <t>Ceremonias de grado realizadas</t>
  </si>
  <si>
    <t>OFICINA ASESORA DE PLANEACIÓN</t>
  </si>
  <si>
    <t xml:space="preserve">Seguimiento y monitoreo institucional </t>
  </si>
  <si>
    <t>Seguimiento a planes institucional (Plan Anticorrupción y de Atención al Ciudadano, Plan de Acción Sectorial, Plan de Acción)</t>
  </si>
  <si>
    <t>Seguimientos y monitoreos realizados</t>
  </si>
  <si>
    <t>Hacer seguimiento a los espacios de Participación ciudadana (5)</t>
  </si>
  <si>
    <t xml:space="preserve">Fortalecer la implementación del Modelo Integrado de Planeación y Gestión.  </t>
  </si>
  <si>
    <t xml:space="preserve">Políticas de desarrollo administrativo fortalecidad </t>
  </si>
  <si>
    <t>Seguimiento y monitoreo al contenido de la matriz ITA (Índice de transparencia)</t>
  </si>
  <si>
    <t xml:space="preserve">Reporte ITA realizado </t>
  </si>
  <si>
    <t>Reporte de información ante entidades externas</t>
  </si>
  <si>
    <t>Reporte realizado</t>
  </si>
  <si>
    <t xml:space="preserve">Formulación, seguimiento de planes,   proyectos e indicadores </t>
  </si>
  <si>
    <t xml:space="preserve">Seguimietno y reportes realizados </t>
  </si>
  <si>
    <t>PE-5- MIPG - y los sistemas de gestión para una gobernanza transparente</t>
  </si>
  <si>
    <t>ME-9- Implementar modelo de Gestión por Proyectos con metodologías aplicables según fuente de recursos.</t>
  </si>
  <si>
    <t>Implementación del Banco de Proyectos</t>
  </si>
  <si>
    <t>Implementación del Banco del Proyectos Institucional y capacitación (Implementación, seguimiento y monitoreo)</t>
  </si>
  <si>
    <t>Porcentaje de proyectos del PDI gestionados por metodologías exigibles.</t>
  </si>
  <si>
    <t>Banco del Proyectos Institucional implementadao</t>
  </si>
  <si>
    <t>ME-6- Diseñar e implementar el Sistema Unificado de Información y Estadística (SUIE).</t>
  </si>
  <si>
    <t>Diseño del SUIE</t>
  </si>
  <si>
    <t>Levantamiento y análisis de información 
Ejecución de la etapa precontractual</t>
  </si>
  <si>
    <t xml:space="preserve">Porcentaje de implementación del SUIE. </t>
  </si>
  <si>
    <t>Fase de diseño concluida</t>
  </si>
  <si>
    <t>Implementación el SUIE</t>
  </si>
  <si>
    <t>Desarrollo, pruebas y seguimiento al  funcionamiento del SUIE</t>
  </si>
  <si>
    <t xml:space="preserve">SUIE puesto en funcionamiento </t>
  </si>
  <si>
    <t xml:space="preserve">Seguimeinto y evaluación </t>
  </si>
  <si>
    <t>Dar conttinuidad a las correcta aplicación de las políticas de desarrollo administrativo  del MIPG 2.0</t>
  </si>
  <si>
    <t xml:space="preserve">IDI </t>
  </si>
  <si>
    <t>OFICINA DE CALIDAD</t>
  </si>
  <si>
    <t>PE-1- Acreditación Institucional de alta calidad</t>
  </si>
  <si>
    <t>ME-1- Obtener la Acreditación Institucional de Alta Calidad en el 2024</t>
  </si>
  <si>
    <t>Implementaicón</t>
  </si>
  <si>
    <t>Renovación de membresia de icontec</t>
  </si>
  <si>
    <t>Porcentaje de cumplimiento en las fases del Consejo Nacional de Acreditación</t>
  </si>
  <si>
    <t>Membresía renovada</t>
  </si>
  <si>
    <t>Ejecutar las actividades de la oficina de Calidad de la Escuela Tecnológica Instituto Técnico Central</t>
  </si>
  <si>
    <t>Ejecución contractual</t>
  </si>
  <si>
    <t>Organizar y realizar todas las actividades necesarias para las auditorías de seguimiento y renovación de las certificaciones NTC ISO 9001:2015 y NTC ISO IEC 27001:2013</t>
  </si>
  <si>
    <t>Auditorías realizadas</t>
  </si>
  <si>
    <t>Apoyar la evaluación de la gestión de riesgos en la entidad como insumo para la toma de decisiones</t>
  </si>
  <si>
    <t>Mapas de riesgos</t>
  </si>
  <si>
    <t>Fortalecer la socialización del sistema de gestión integrado a través de publicidad, vallas y/o actividades.</t>
  </si>
  <si>
    <t>Campañas, correos, amteriales</t>
  </si>
  <si>
    <t>ASEGURAMIENTO DE LA CALIDAD</t>
  </si>
  <si>
    <t xml:space="preserve">Diseño e implementación </t>
  </si>
  <si>
    <t>Finalizar informes planes de mejoramiento 2017-2018 por Facultad</t>
  </si>
  <si>
    <t>Documentos Planes de mejoramiento por Facultad</t>
  </si>
  <si>
    <t>Elaborar informes planes de mejoramiento 2019-2020 por Facultad</t>
  </si>
  <si>
    <t>Elaborar informe general de planes de mejoramiento 2019-2020</t>
  </si>
  <si>
    <t>Documento Plan de mejoramiento general</t>
  </si>
  <si>
    <t>Elaborar boletínes del SIACET</t>
  </si>
  <si>
    <t>3 Boletínes</t>
  </si>
  <si>
    <t>Construir matriz de evidencias a partir de las condiciones de calidad y los criterios normativos</t>
  </si>
  <si>
    <t>Matriz de evidencias</t>
  </si>
  <si>
    <t>Proponer el modelo de autoevalución con fines de acreditación de programas.</t>
  </si>
  <si>
    <t>Modelo de Autoevaluación</t>
  </si>
  <si>
    <t>Verificar la definición de lineamientos asociados a las políticas institucionales a partir del Decreto 1330 de 2019</t>
  </si>
  <si>
    <t>Políticas Institucionales</t>
  </si>
  <si>
    <t>Implementación</t>
  </si>
  <si>
    <t xml:space="preserve">Ejecutar procesos y estrategicas dirigidos  a la acreditación institucional </t>
  </si>
  <si>
    <t>Processo ejecutados</t>
  </si>
  <si>
    <t>OE-1 Consolidar la calidad académica para la acreditación institucional de alta calidad respaldada fortalecimiento de la gestión, la infraestructura tecnológica y física.</t>
  </si>
  <si>
    <t>AUTOEVALUACIÓN</t>
  </si>
  <si>
    <t>PE-1- Acreditación institucional de Alta Calidad</t>
  </si>
  <si>
    <t>ME-1 Obtener la acreditación institucional de alta calidad en el 2024</t>
  </si>
  <si>
    <t>Articular el modelo de autoevaluación institucional con el modelo de autoevaluación de programas.</t>
  </si>
  <si>
    <t>Desarrollar 8 ejercicios de autoevaluación de programas.</t>
  </si>
  <si>
    <t>Radicar la solicitud de renovación de la acreditación de 8 programas de pregrado.</t>
  </si>
  <si>
    <t>Garantizar que los ejercicios de autoevaluación y los procesos en cumplimiento del Decreto 1330 de 2019 y Acuerdo 02 de 2020 sean visibles, claros y transparentes entre la comunidad institucional</t>
  </si>
  <si>
    <t>Consolidar la documentación de condiciones iniciales para el inicio al ejercicio de acreditación institucional</t>
  </si>
  <si>
    <t>Lo social: un acuerdo para lo fundamental</t>
  </si>
  <si>
    <t>OE-6 Aumentar la cobertura mediante programas de educación superior diferenciados, con alta pertinencia regional de la institución.</t>
  </si>
  <si>
    <t>PE-14- Nuevos programas de pregrado y posgrado</t>
  </si>
  <si>
    <t>ME-29 Lograr para 2024, 3 carreras profesionales articulados por ciclos propedéuticos TP-TG-PU (Ing. Agrícola, Ing. Ambiental e Ing. Energías) y 1 maestría (seguridad informática)</t>
  </si>
  <si>
    <t>Concluir el proceso de condiciones institucionales ante el Ministerio de Educación Nacional. (1. Visita de EE, 2. Informe de Pares)</t>
  </si>
  <si>
    <t>Programas nuevos con registro calificado/Programas nuevos propuestos al MEN y al CNA*100</t>
  </si>
  <si>
    <t>Concluir el proceso de renovación de registro calificado del programa de Ingeniería Mecánica articulada por ciclos propedéuticos con los niveles Técnico Profesional y Tecnología ante el Ministerio de Educación Nacional (1. Completitud, 2. Visita de EE, 2. Informe de Pares)</t>
  </si>
  <si>
    <t>Asesorar a las facultades para el avance documental, consolidación de evidencias en cumplimiento con el Decreto 1330 de 2019, radicación, atención completitud.
1. Ing. Agrícola (3 niveles), 2. Ing. Ambiental (3 niveles), 3. Ing. Energías (3 niveles), 4. Maestría (1 programa), 5. Especializaciónes universitarias (1 programa), 6. Ing. Prof. Farmacéuticos (3 niveles)</t>
  </si>
  <si>
    <t>ME-30 Lograr al 2024, que el 50% de los programas con registro calificado en la modalidad presencial estén convertidos a modalidad semipresencial (blended)</t>
  </si>
  <si>
    <t>Capacitar a la Institución frente los mecanismos diseñados para el cumplimiento de la modificación.</t>
  </si>
  <si>
    <t>Lo Ambiental: Un nuevo acuerdo por la vida y para la vida en contexto ambiental</t>
  </si>
  <si>
    <t>OE-11 Aumentar la cobertura mediante programas de educación superior diferenciados,
con alta pertinencia regional.</t>
  </si>
  <si>
    <t>PE-27- Diseñar y ofertar nuevos programas de pregrado con alta pertinencia regional rural</t>
  </si>
  <si>
    <t>ME-69 Estructurar y gestionar el registro de pregrado de Ingeniería Agrícola por ciclos</t>
  </si>
  <si>
    <t>Capacitar a la Institución frente los mecanismos diseñados para el cumplimiento de la solicitud de nuevo registro.</t>
  </si>
  <si>
    <t>Programas con registro calificado en la modalidad semipresencial/ programas con registro calificado en la modalidad presencial*100</t>
  </si>
  <si>
    <t>ME-70 Estructurar y gestionar el registro de pregrado de Ingeniería Ambiental por ciclos</t>
  </si>
  <si>
    <t>ME-71 Estructurar y gestionar el registro de pregrado de Ingeniería Energética por ciclos</t>
  </si>
  <si>
    <t>OE-10-Establecer un nuevo acuerdo ambiental mediante una
política institucional ambiental y la catedra institucional
en la ETITC</t>
  </si>
  <si>
    <t>GESTIÓN AMBIENTAL</t>
  </si>
  <si>
    <t xml:space="preserve">PE-22- Política institucional ambiental en la ETITC alineada al sistema de gestión ambiental </t>
  </si>
  <si>
    <t>ME-56 Implementar una política ambiental bajo consideraciones de sostenibilidad.</t>
  </si>
  <si>
    <t>1. Estudios Previos</t>
  </si>
  <si>
    <t xml:space="preserve">Estudios previos  para el contrato del proveedor: Laboratorio certificado por el IDEAM  para le muestreo y analisis de PCB en las matrices que se necesitan. </t>
  </si>
  <si>
    <t>Porcentaje de la política ambiental implementado.</t>
  </si>
  <si>
    <t xml:space="preserve">Estudios previos realizados </t>
  </si>
  <si>
    <t>Medición Análisis</t>
  </si>
  <si>
    <t>Muetreo y análisis del contenido de PCB de la Maquina electroerosionadora y el Transformador de la Subestación.</t>
  </si>
  <si>
    <t>Ejecución contractual realizado</t>
  </si>
  <si>
    <t>Reporte a la Autoridad Ambiental</t>
  </si>
  <si>
    <t>Radicado de la Autoridad Ambiental del reporte de los resultados de la caracterización de los equipos.</t>
  </si>
  <si>
    <t xml:space="preserve">Radicación de los documentos ante el ente ambiental </t>
  </si>
  <si>
    <t xml:space="preserve">2. Adquisición de elementos </t>
  </si>
  <si>
    <t xml:space="preserve">Adquisición de: Caja cartón coarrugado con bolsas interiores de PE de 0,05 mm de grosor, ideales para la recogida, transporte y eliminación de crist ales rotos en el laboratorio, 203x203x254 mm 
</t>
  </si>
  <si>
    <t xml:space="preserve">Elementos adquiridos </t>
  </si>
  <si>
    <t>Adecuación de espacios verdes</t>
  </si>
  <si>
    <t>Adecuación de invernadero para la impelmentación de una huerta urbana que apoye los proceso de educación ambeintal de la ETITC</t>
  </si>
  <si>
    <t>espacios verdes adecuados</t>
  </si>
  <si>
    <t>Incorporación de talento humano calificado</t>
  </si>
  <si>
    <t>Profesional en Ingeniería Ambiental Administración Ambiental o afines con experiencia en implementación de la norma ISO14001:2015. Preferiblemente con formación como Auditor Interno en ISO 1401.</t>
  </si>
  <si>
    <t>Ejecución del proceso contractual</t>
  </si>
  <si>
    <t>Tecnologo o tecnico en saneamiento ambiental, gestión ambiental o afines para el apoyo en la implementación del Sistema de Gestión Ambiental.</t>
  </si>
  <si>
    <t>3. Alistamiento</t>
  </si>
  <si>
    <t>Identificar los puntos de vertimientos al sistema público de alcantarillado mediante Prueba de Anilinas.</t>
  </si>
  <si>
    <t>100% de las cajas de inspección identificadas</t>
  </si>
  <si>
    <t>Adecuar pocetas de laboratorio de Química para colectar vertimientos de las prácticas</t>
  </si>
  <si>
    <t>Trampa de grasas instalada en la poceta de la cafeteria</t>
  </si>
  <si>
    <t>Instalar Trampa de grasas en la poceta de la cafeteria y realizar el respectivo seguimiento</t>
  </si>
  <si>
    <t>Seguimiento alas pocetas relizado</t>
  </si>
  <si>
    <t>Muestreo</t>
  </si>
  <si>
    <t>Contratación de laboratorio autorizado por el IDEAM para la caracterización de los vertimeintos No Domésticos</t>
  </si>
  <si>
    <t>Laboratorios que cumple requisitos legales contratado</t>
  </si>
  <si>
    <t>Reporte de resultados ante autoridades ambientales</t>
  </si>
  <si>
    <t>Recepción de los resultados de la caracterización de vertimeintos</t>
  </si>
  <si>
    <t>Vertimientos No Domesticos Caracterizados.</t>
  </si>
  <si>
    <t>Reportar los resultados de la caracterización de vertimientos ante la SDA y la EAAB.</t>
  </si>
  <si>
    <t>Resultados de caracterización reportados.</t>
  </si>
  <si>
    <t>4. Pre Auditoria</t>
  </si>
  <si>
    <t>Levantamiento de información y estadística</t>
  </si>
  <si>
    <t>Certificación del SGA bajo estandares de la ISO14001:2015</t>
  </si>
  <si>
    <t>Auditoria de Certificación</t>
  </si>
  <si>
    <t>Análisis y clasificación de la información</t>
  </si>
  <si>
    <t>5. Estudios Previos</t>
  </si>
  <si>
    <t xml:space="preserve">Estudios previos para el contratar el proveedor: Laboratorio certificado por el IDEAM  para el Estudio de Emisiones. </t>
  </si>
  <si>
    <t>Estudios previos  realizados</t>
  </si>
  <si>
    <t xml:space="preserve">Medición y Análisis </t>
  </si>
  <si>
    <t>Estudio de Emisiones bajo las condiciones establecidas en la Res. 909 de 2008</t>
  </si>
  <si>
    <t>Estudio de emisiones del 100% de las fuentes fijas relizado</t>
  </si>
  <si>
    <t>Reporte a la autoridad ambiental</t>
  </si>
  <si>
    <t>Radicado de la Autoridad Ambiental</t>
  </si>
  <si>
    <t>Resultados de caracterización reportados</t>
  </si>
  <si>
    <t>Diseño</t>
  </si>
  <si>
    <t>Diseño de los sistemas de control de emisiones y altura de los ductos de ventilación</t>
  </si>
  <si>
    <t>Diseños del sistema de control de emisiones realizado</t>
  </si>
  <si>
    <t xml:space="preserve">PE-24- Optimización en el consumo de energía eléctrica y uso de energías alternativas. </t>
  </si>
  <si>
    <t>ME-60 realizar la adecuada disposición de todos los residuos producidos  en el area de infraestructura, talleres y laboratorios.</t>
  </si>
  <si>
    <t>6. Estudios Previos</t>
  </si>
  <si>
    <t>Estudios previos para contratar el proveedor de elementos para el manejo de aceite lubricante usado.</t>
  </si>
  <si>
    <t xml:space="preserve">Porcentaje de adecuación de residuos cumplido </t>
  </si>
  <si>
    <t>Adquisición</t>
  </si>
  <si>
    <t>Adquisición de elementos para el manejo adecuado del aceite lubricante usado.
6 Estibas antiderrame Capacidad: 60,5 galones (229 litros)
1 Tanque Doble Pared para Aceite Usado, 300 Litros
1 Carro para bidón de 180-220 Kg (para transporte interno)
1 bandeja de drenaje de aceite, portatil, de bajo perfil, con bomba manual</t>
  </si>
  <si>
    <t>Estudio de emisiones del 100% de las fuentes fijas realizado</t>
  </si>
  <si>
    <t xml:space="preserve">Capacitación </t>
  </si>
  <si>
    <t>Capacitación al personal encargado del mantenimiento de las maquinas</t>
  </si>
  <si>
    <t xml:space="preserve">Capacitación realizada </t>
  </si>
  <si>
    <t>7. Estudios Previos</t>
  </si>
  <si>
    <t>Estudios previos  para el contrato del gestor de RESPEL Biológicos y No Biológicos.</t>
  </si>
  <si>
    <t>Estudios previos realizados</t>
  </si>
  <si>
    <t>Prestación del servicio</t>
  </si>
  <si>
    <t>Reportar y entregar de forma adecuada los RESPEL Biológicos y No Biológicos generados en las 4 sedes de la ETITC.</t>
  </si>
  <si>
    <t xml:space="preserve">Bitácora de generación de residuos </t>
  </si>
  <si>
    <t>8. Estudios Previos</t>
  </si>
  <si>
    <t>Estudios previos para el contrato del proveedor de señalización.</t>
  </si>
  <si>
    <t>Suministro e intalación</t>
  </si>
  <si>
    <t>Señalización para el Cuarto de almacenamiento de: Residuos, RESPEL, Aceite Insudtrial Usado y remarcación de canecas de puntos ecológicos.</t>
  </si>
  <si>
    <t>Espacios señalizados</t>
  </si>
  <si>
    <t>Capacitación a la comunidad de la ETITC para el manejo adecuado de los elementos y espacios para la separación y almacenamiento temporal de residuos.</t>
  </si>
  <si>
    <t>Personal de la ETITC capacitado</t>
  </si>
  <si>
    <t>ME-58  lograr el 10% de ahorro energético</t>
  </si>
  <si>
    <t>9. Estudios Previos</t>
  </si>
  <si>
    <t>Estudios previos para el contrato del proveedor que realice el inventario energético en la Sede Central de la ETITC.</t>
  </si>
  <si>
    <t>Porcentaje de ahorro alcanzado</t>
  </si>
  <si>
    <t>3.5%</t>
  </si>
  <si>
    <t>Consultoria</t>
  </si>
  <si>
    <t>- 'Inventario Energetico
- Análisis comparativo de cosumo por areas
- Recomendaciones de estrategias para el ahorro de consumo de energia electrica</t>
  </si>
  <si>
    <t>Ejecución y seguimiento</t>
  </si>
  <si>
    <t>Hacer seguimiento al plan de gestión ambiental (actividades relacionadas con ahorro energetico)</t>
  </si>
  <si>
    <t xml:space="preserve">Matriz de seguimeinto. </t>
  </si>
  <si>
    <t>ME-59 Implementar el programa de racionalización de consumo de papel</t>
  </si>
  <si>
    <t>Implementar el programa de racionalización de consumo de papel</t>
  </si>
  <si>
    <t>Porcentaje de implementación del programa  racionalización de consumo de papel</t>
  </si>
  <si>
    <t>Informe de ejecución</t>
  </si>
  <si>
    <t>OFICINA DE COMUNICACIONES</t>
  </si>
  <si>
    <t>ME-7- Aumentar la visibilidad institucional de la Escuela mediante estrategias de marketing digital.</t>
  </si>
  <si>
    <t>Diseño de Estrategias</t>
  </si>
  <si>
    <t>Diseñar y estructurar la política de comunicaciones de la ETITC</t>
  </si>
  <si>
    <t>Número de estrategias de posicionamiento implementadas.</t>
  </si>
  <si>
    <t xml:space="preserve">Documento elaborado </t>
  </si>
  <si>
    <t>Elaboración y selección de estrategias según la política de comunicaciones institucional</t>
  </si>
  <si>
    <t>Estrategias elaboradas</t>
  </si>
  <si>
    <t>Sistemas de control y plan de contingencias</t>
  </si>
  <si>
    <t>Sistemas de control y plan de contingencias desarrollado</t>
  </si>
  <si>
    <t xml:space="preserve">Implementación de las Estrategias </t>
  </si>
  <si>
    <t>Desarrollo de las estretegias (seguimiento y evaluación)</t>
  </si>
  <si>
    <t>Estreategias implementadas</t>
  </si>
  <si>
    <t>PE-11- Implementación de estrategias de comunicación externas e internas y fortalecimiento de la gestión documental: LA ETITC COMUNICA</t>
  </si>
  <si>
    <t>ME-21- Fortalecer los canales existentes para la comunicación interna - externa.</t>
  </si>
  <si>
    <t xml:space="preserve">Diseño </t>
  </si>
  <si>
    <t xml:space="preserve">Identificar las necesidades de cada área y consolidar parrilla de contenido </t>
  </si>
  <si>
    <t>Porcentaje de implementación de la Política Institucional de Comunicaciones.</t>
  </si>
  <si>
    <t>Parrilla consolidada</t>
  </si>
  <si>
    <t xml:space="preserve">Ejecución de la parrilla de contenido con su respectivo seguimiento y evaluación de impacto </t>
  </si>
  <si>
    <t>Proceso de ejecución de la parrilla completado</t>
  </si>
  <si>
    <t xml:space="preserve">Realizar el programa Institución al Día como espacio de participación ciudadana </t>
  </si>
  <si>
    <t>Programas realizados</t>
  </si>
  <si>
    <t>VICERRECTORÍA ADMINISTRATIVA Y FINANCIERA</t>
  </si>
  <si>
    <t>Estrategia 1.
Lo institucional: La transformación cultural de la ETITC</t>
  </si>
  <si>
    <t>INFRAESTRUCTURA ELÉCTRICA</t>
  </si>
  <si>
    <t>PE-10- Transformación digital de la ETITC</t>
  </si>
  <si>
    <t>ME-17- Adecuar las capacidades tecnológicas para atender las necesidades de los procesos misionales.</t>
  </si>
  <si>
    <t xml:space="preserve">Ejecución </t>
  </si>
  <si>
    <t>Prestación de servicios profesionales como apoyo a la gestión del área de infraestructura eléctrica para realizar adecuación y soporte de sistemas eléctricos y de redes de datos normalizados y especiales, diseño, implementación y mantenimiento de sistemas de iluminación y protección y soporte en la preparación de documentos de redes de datos y comunicaciones. según normatividad vigente (11 meses)</t>
  </si>
  <si>
    <t>Proyectos de TICS ejecutados / Proyectos de TICS programados para la academia</t>
  </si>
  <si>
    <t xml:space="preserve">Ejecución contractual </t>
  </si>
  <si>
    <t>Prestación de servicios como apoyo a la gestión del área de infraestructura eléctrica, para realizar adecuación y soporte de sistemas eléctricos normalizados y especiales, mantenimiento de sistemas de iluminación y protección y soporte en la preparación de documentos de redes electricas, según normatividad vigente (tecnologo electricista o afines)</t>
  </si>
  <si>
    <t>contratación de la prestación de servicios como apoyo a la gestión del área de infraestructura eléctrica, para desarrollar las actividades de adecuación de sistemas eléctricos normalizados y especiales, mantenimiento preventivo de equipos de misión crítica e implementación y mantenimiento de sistemas de automatización de los diferentes equipos de la etitc. (tecnologo electricista o afines)</t>
  </si>
  <si>
    <t>Contratación de la prestación de servicios como apoyo a la gestión del área de infraestructura eléctrica de las extensión Carvajal y Tintal de la Escuela Tecnológica Instituto Técnico Central para realizar adecuación y soporte de sistemas eléctricos normalizados, mantenimiento de sistemas de iluminación y protección eléctrica. según normatividad vigente. (técnico electricista o afines)</t>
  </si>
  <si>
    <t>Contratación del mantenimiento preventivo y correctivo especializado de las plantas eléctricas y sus respectivas transferencias automáticas.</t>
  </si>
  <si>
    <t>Contratación del mantenimiento preventivo y correctivo especializado de los Aires acondicionados</t>
  </si>
  <si>
    <t>Contratación del mantenimiento preventivo y correctivo especializado de las UPS y Reguladores</t>
  </si>
  <si>
    <t>Contratación de mantenimiento preventivo, correctivo y certificación de los Sistema automatizados de apertura/cierre puertas calle 15, carrera 17 y patio central</t>
  </si>
  <si>
    <t>Contratación de mantenimiento preventivo y correctivo especializado de la plataforma elevadora GENIE</t>
  </si>
  <si>
    <t>Contratación de mantenimiento preventivo y correctivo de sistema de puesta a tierra de la sede Centro (apantallamiento)</t>
  </si>
  <si>
    <t>Contratación del mantenimiento preventivo y correctivo especializado del sistema de automatización de iluminación (GreenMax)</t>
  </si>
  <si>
    <t>Contratación del Mantenimiento preventivo y correctivo de los sistemas audio, video e iluminación artistica (Auditorio, teatro, capilla y sonido general)</t>
  </si>
  <si>
    <t xml:space="preserve">Contratación del mantenimiento correctivo y preventivo especializado de los controles de acceso </t>
  </si>
  <si>
    <t>Contratación del mantenimiento correctivo y preventivo especializado del CCTV.</t>
  </si>
  <si>
    <t>Contratación del mantenimiento correctivo y preventivo especializado del sistema de alerta sismica</t>
  </si>
  <si>
    <t>Contratación del mantenimiento correctivo y preventivo especializado del sistema de audioevacuación</t>
  </si>
  <si>
    <t>Contratación del mantenimiento correctivo y preventivo especializado de la planta solar fotovoltaica de 22 kWp</t>
  </si>
  <si>
    <t>Estrategia 3.
Lo ambiental: un acuerdo por y para la vida en contexto ambiental.</t>
  </si>
  <si>
    <t>OE-10
Establecer un nuevo acuerdo ambiental mediante una política institucional ambiental y la catedra institucional en la ETITC.</t>
  </si>
  <si>
    <t>PE-24-Optimización en el consumo de energía y uso de energias alternativas</t>
  </si>
  <si>
    <t>ME-58- Lograr el Diez porciento (10%) de ahorro energético</t>
  </si>
  <si>
    <t>Compra de Iluminación con sistema de abastecimiento energético por medio fotovoltaico para los parqueaderos de la sede Centro</t>
  </si>
  <si>
    <t>Suministro, instalación y puesta en funcionamiento de la fase 1 de una planta de energía solar fotovoltaica en las cubiertas de los bloques F,G,H de la sede Centro.</t>
  </si>
  <si>
    <t>Fase 1 de una planta de energía solar fotovoltaica en las cubiertas puesta en marcha</t>
  </si>
  <si>
    <t>Contratación del Diseño e implementación de malla de tierras electricas de la sede Centro</t>
  </si>
  <si>
    <t>Contratación del Diseño e implementación de malla de tierras de telecomunicaciones de la sede Centro</t>
  </si>
  <si>
    <t>Contratación del Diseño e implementación del banco de compensación automática (condensadores) de la sede Centro</t>
  </si>
  <si>
    <t>Contratación del diseño y cambio de tablero de distribución eléctrica principal con las respectivas protecciones de la sede Centro</t>
  </si>
  <si>
    <t>Compra de materiales y herramientas para mantenimiento general de la Escuela</t>
  </si>
  <si>
    <t>Adquisición de materiales</t>
  </si>
  <si>
    <t>Ampliación del sistema de CCTV en todas las sedes</t>
  </si>
  <si>
    <t xml:space="preserve">Sinstemas ampliados </t>
  </si>
  <si>
    <t>Compra de materiales para realizar la actualización del cableado eléctrico y de redes de oficinas administrativas, investigación y de personal</t>
  </si>
  <si>
    <t>Compra de UPS trifásicas para algunos sectores de la sede Centro</t>
  </si>
  <si>
    <t>Contratación de la Integración de sistema TOIOTEM al sistema de control de acceso actual de la sede Centro</t>
  </si>
  <si>
    <t>OE-5
Consolidar la infraestructura física de la Escuela para el desarrollo de la academia y la consolidación de las nuevas apuestas institucionales</t>
  </si>
  <si>
    <t>PE-13
Gestión integral de inmuebles</t>
  </si>
  <si>
    <t>ME-24
Englobar todos los predios que integran la sede Central</t>
  </si>
  <si>
    <t xml:space="preserve">Por definir </t>
  </si>
  <si>
    <t>Prestación de servicios profesionales  como apoyo a la gestión de inmuebles de la ETITC y sus sedes para la vigencia 2022</t>
  </si>
  <si>
    <t>Porcentaje de englobe de los predios que integran la sede central</t>
  </si>
  <si>
    <t>Acta de inicio del contrato</t>
  </si>
  <si>
    <t>ME-25 
Determinar el aprovechamiento del inmueble de la calle 18 a partir del POT aprobado</t>
  </si>
  <si>
    <t xml:space="preserve">Estudios técnicos estructurales, arquitectónicos, de redes,  de uso, contexto y demás necesarias para definir la viabilidad de la casa y edificio de la sede calle 18 de la escuela tecnológica instituto técnico central. </t>
  </si>
  <si>
    <t xml:space="preserve">Porcentaje de ejecución de las intervenciones físicas.
</t>
  </si>
  <si>
    <t>1. Proceso de contratación
2. Ejecución del estudio</t>
  </si>
  <si>
    <t>Porcentaje de espacios aprovechados y con uso en el inmueble</t>
  </si>
  <si>
    <t>por definir</t>
  </si>
  <si>
    <t>ME-26
Formular el Plan de administración e intervención de las instalaciones en comodato (Localidad Kennedy)</t>
  </si>
  <si>
    <t>Avance del documento del plan de administración e intevención de las instalaciones en comodato de la etitc</t>
  </si>
  <si>
    <t xml:space="preserve">Porcentaje de formulación del Plan de administración e intervención de las instalaciones en comodato.
</t>
  </si>
  <si>
    <t>Documento</t>
  </si>
  <si>
    <t xml:space="preserve">Porcentaje de ejecución del Plan de administración e intervención de las instalaciones en comodato.
</t>
  </si>
  <si>
    <t>ME-27
Formular e implementar el modelo operativo de administración de inmuebles</t>
  </si>
  <si>
    <t>Avance del documento del modelo operativo de administración de inmuebles</t>
  </si>
  <si>
    <t>Porcentaje de formulación e implementación del modelo operativo para la administración de inmuebles.</t>
  </si>
  <si>
    <t>Ejecución de planes de mantenimiento en los inmuebles</t>
  </si>
  <si>
    <t>Ordenes de trabajo</t>
  </si>
  <si>
    <t>ME-28
Gestionar la consecición de un nuevo Campus para la Escuela</t>
  </si>
  <si>
    <t>Porcentaje de implementación de la estrategia de consecución del Campus.</t>
  </si>
  <si>
    <t>Estrategia 3.
Lo ambiental: Un acuerdo por y para la vida en contexto ambiental</t>
  </si>
  <si>
    <t>OE-10
Establecer un nuevo acuerdo ambiental mediante una política institucional ambiental y la cátedra institucional en la ETITC</t>
  </si>
  <si>
    <t>PE-22
Política institucional ambiental en la ETITC</t>
  </si>
  <si>
    <t>ME-56
Implementar una poítica ambiental bajo consideraciones de sostenibilidad</t>
  </si>
  <si>
    <t>Estudios técnicos para el sistema piloto de aprovechamiento de agua lluvia para el bloque j de la sede central de la etitc.</t>
  </si>
  <si>
    <t>Alquiler de sistema de desodorización de baños incluida la instalación, servicio de recarga mensual, mantenimiento del sistema y asesoría personalizada en la escuela  tecnológica instituto técnico central y sus sedes durante la vigencia 2022</t>
  </si>
  <si>
    <t>1. Proceso de contratación
2. Ejecución del mantenimiento</t>
  </si>
  <si>
    <t>Mantenimiento especializado de patologías en los espacios del sótano. incluye tratamiento, limpieza, impermeabilización y pintura de muros, cubiertas y pisos..</t>
  </si>
  <si>
    <t>PE-24
Optimización de en el consumo de energía eléctrica y uso de energías alternativas</t>
  </si>
  <si>
    <t>ME-60
Realizar la adecuada disposición de todos los residuos producidos en el área de infraestructura, talleres y laboratorios</t>
  </si>
  <si>
    <t>Adecuar los espacios de residuos de las sedes y de los talleres y laboratorios</t>
  </si>
  <si>
    <t>Porcentaje de adecuación de residuos cumplido</t>
  </si>
  <si>
    <t>Espacios organizados</t>
  </si>
  <si>
    <t>Disposición de residuos adecuada</t>
  </si>
  <si>
    <t>Formatos de entrega de residuos</t>
  </si>
  <si>
    <t>PE-25
Diseño e implementación de espacios de "concepto verde" que mejoren la vida académica en las sedes de la ETITC</t>
  </si>
  <si>
    <t>ME-61
Adecuar espacios verdes verticales y horizontales</t>
  </si>
  <si>
    <t>Adecuar espacios verdes verticales y horizontales</t>
  </si>
  <si>
    <t xml:space="preserve">Porcentaje de elaboración del programa de mantenimiento e intervención de los espacios verdes verticales y horizontales
</t>
  </si>
  <si>
    <t>Fabricación del espacio de residuos bajo un sistema de bioconstrucción para la sede central de la escuela tecnológica instituto técnico central</t>
  </si>
  <si>
    <t xml:space="preserve">Porcentaje de ejecución del programa de mantenimiento e intervención de los espacios verdes verticales y horizontales
</t>
  </si>
  <si>
    <t xml:space="preserve">Mantenimiento del invernadero y espacio de piscicultura de la sede central de la etitc. incluye adecuación de la estructura, recubrimiento, instalación de piso, adecuaciones interiores. incluye fabricación e instalación de nuevo módulo de 3mx 3m x 3m con las mismas especificaciones. </t>
  </si>
  <si>
    <t>PE-26
Actualización de la infraestructura física, cumpliendo normativas aplicables y generando espacios adecuados para el desarrollo de actividades académicas y de bienestar en el marco de la sostenibilidad</t>
  </si>
  <si>
    <t>ME-62
Adelantar el 50% del reforzamiento estructural de la sede principal</t>
  </si>
  <si>
    <t>Prestación de servicios profesionales en arquitectura como apoyo a la gestión del área de planta física de las instalaciones de la escuela tecnológica instituto técnico central para la vigencia 2022</t>
  </si>
  <si>
    <t xml:space="preserve">Porcentaje del reforzamiento estructural obtenido </t>
  </si>
  <si>
    <t>Ejecución Contractual</t>
  </si>
  <si>
    <t>Prestación de servicios profesionales como apoyo a la gestión del bien interés cultural de la escuela tecnológica instituto técnico central para la vigencia 2022</t>
  </si>
  <si>
    <t>Prestación de servicios como apoyo a la gestión del área de planta física como auxiliar de arquitectura de la escuela ETITC</t>
  </si>
  <si>
    <t xml:space="preserve">Prestación de servicios como apoyo a la gestión para el área de planta física de la ETITC como:
* Jardinero
*Pintor (todas las instalaciones)
*Ebanista y carpintero (todas las sedes)
*Albañil (todas las sedes)
* Fontanero (Todas las instalaciones)
*Ayudante de mantenimiento (Todas las instalaciones)
*Auxiliar de mantenimiento locativo (Todas las instalaciones)
</t>
  </si>
  <si>
    <t>Prestación de servicios a todo costo para el correcto funcionamiento del sistema de bombeo, lavado de tanques, limpieza de trampa de grasas, desinfección y fumigación de espacios, tratamiento de vectores y tratamiento de hongos en muros de las cuatro sedes de la escuela tecnológica insituto técnico central. incluye mano de obra, materiales, transporte y soporte de emergencia.</t>
  </si>
  <si>
    <t>proyecto - plan de eficiencia energetica - realizar la instalación de paneles solares en los bloques f, g y h, sistema conectado a red electrica actual, para el ahorro de energia.</t>
  </si>
  <si>
    <t>diseño de extracción mecánica para la cocina, laboratorio de física y química y centro de impresión de la sede central en cumplimiento de la normativa vigente. incluye trámites y autorizaciones ante las entidades competentes.</t>
  </si>
  <si>
    <t>diseño del proyecto de remodelación de baterías de baños de la sede central. incluye levantamiento de redes, diseño arquitectónico, diseño de redes, especificaciones, presupuesto, cronograma de obra y trámites de aprobación ante entidades competentes.</t>
  </si>
  <si>
    <t>Realizar la fase iii del mantenimiento especializado de cubiertas, fachadas y espacios interiores de la sede central, sede calle 18 y sede carvajal de la escuela tecnológica instituto técnico central.</t>
  </si>
  <si>
    <t>Fase III completada</t>
  </si>
  <si>
    <t>Realizar la interventoría integral de la fase iii del mantenimiento especializado de cubiertas, fachadas y espacios interiores de la sede central, sede calle 18 y sede carvajal de la escuela tecnológica instituto técnico central.</t>
  </si>
  <si>
    <t>Interventoriia de la fase III realizada</t>
  </si>
  <si>
    <t>Prestación de servicios especializados en conservación del patrimonio para realizar la actualización, complementación, actividades complementarias  y aprobación del plan especial de manejo y protección -pemp- de la sede ETITC, en sus etapas de diagnóstico, estudios técnicos y propuesta para establecer los lineamientos de uso, condiciones de manejo, niveles de intervención para este bien de interés cultural de orden nacional. incluye levantamiento arquitectónico, estudio fitosanitario de estructuras en madera y estudio de patologías.</t>
  </si>
  <si>
    <t>Interventoría para la prestación de servicios especializados en conservación del patrimonio para realizar la actualización, complementación, actividades complementarias  y aprobación del plan especial de manejo y protección -pemp- de la sede central de la escuela tecnológica instituto técnico central (etitc), en sus etapas de diagnóstico, estudios técnicos y propuesta para establecer los lineamientos de uso, condiciones de manejo, niveles de intervención para este bien de interés cultural de orden nacional. incluye levantamiento arquitectónico, estudio fitosanitario de estructuras en madera y estudio de patologías.</t>
  </si>
  <si>
    <t>Suministro de materiales y herramientas para el mantenimiento locativo de la planta física de la escuela tecnológica instituto técnico central y sus sedes.</t>
  </si>
  <si>
    <t>Seguimiento al contrato 225-2020 con el objeto: 	el contratista se compromete con la ETITC a planear, desarrollar y llevar a buen término la gerencia integral del proyecto institucional denominado "proyecto de reforzamiento estructural de la escuela tecnológica instituto técnico central" en las fases señaladas en el anexo técnico</t>
  </si>
  <si>
    <t>Realizar la consultoría técnica encaminada a desarrollar el proceso de revisión técnica, actualización de diseños y obtención de licenciamiento y permisos necesarios para el desarrollo del proyecto denominado “reforzamiento estructural del instituto técnico central – etapa 2, conjunto arquitectónico de la escuela tecnológica instituto técnico central declarado inmueble bien de interés cultural de orden nacional.</t>
  </si>
  <si>
    <t>Interventoría para realizar la consultoría técnica encaminada a desarrollar el proceso de revisión técnica, actualización de diseños y obtención de licenciamiento y permisos necesarios para el desarrollo del proyecto denominado “reforzamiento estructural del instituto técnico central – etapa 2, conjunto arquitectónico de la escuela tecnológica instituto técnico central declarado inmueble bien de interés cultural de orden nacional.</t>
  </si>
  <si>
    <t>ME-63
Construir espacios adecuados para la ubicación del gimnasio y áreas para desarrollo de actividades de bienestar estudiantil, administrativos y docentes</t>
  </si>
  <si>
    <t>Realizar los diseños arquitectónicos, estructurales, de redes, especificaciones y presupuesto del sistema modular</t>
  </si>
  <si>
    <t>Número de espacios intervenidos para el desarrollo de actividades de bienestar.</t>
  </si>
  <si>
    <t>Documentación del proyecto</t>
  </si>
  <si>
    <t>Fabricación del sistema modular para el gimnasio y áreas de bienestar.</t>
  </si>
  <si>
    <t>2.5%</t>
  </si>
  <si>
    <t>Realizar la interventoría integral de la fabricación del sistema modular para el gimnasio y áreas de bienestar.</t>
  </si>
  <si>
    <t>ME-64
Contar con un sistema de control de acceso para la sede principal</t>
  </si>
  <si>
    <t>Señalización de los totem</t>
  </si>
  <si>
    <t xml:space="preserve">Porcentaje efectivo de la implementación del sistema de control en las 3 porterias de la sede central </t>
  </si>
  <si>
    <t>ME-65
Adecuación completa de la sede Calle 18</t>
  </si>
  <si>
    <t>Actividades de mantenimiento en la sede calle 18</t>
  </si>
  <si>
    <t>Adecuar las instalaciones de la sede Calle 18</t>
  </si>
  <si>
    <t>ME-66
Adaptación progresiva de la planta física para implementar la normativa de movilidad reducida</t>
  </si>
  <si>
    <t>Estudio técnico de seguridad humana y accesibilidad universal en el cumplimiento de la normativa vigente. incluye diseño arquitectónico, estructural, redes y trámites ante entidades competentes.</t>
  </si>
  <si>
    <t xml:space="preserve">Porcentaje de gestión para la implementación de la normatividad de movilidad reducida
</t>
  </si>
  <si>
    <t>Estudios realizados</t>
  </si>
  <si>
    <t xml:space="preserve">
Porcentaje de ejecución de la intervenciones necesarias </t>
  </si>
  <si>
    <t>ME-67
Optimización de la oferta de parqueaderos en la sede central</t>
  </si>
  <si>
    <t>Adecuación del parqueadero de la call 15</t>
  </si>
  <si>
    <t xml:space="preserve">Porcentaje de espacios intervenidos del área destinada a parqueaderos  </t>
  </si>
  <si>
    <t>Suministro e instalación de 90 unidades de biciparqueaderos. incluye todos los elementos necesarios para adquirir el sello de calidad del biciparqueadero de la Secretaría de movilidad.</t>
  </si>
  <si>
    <t>Adecuaciones realizadas</t>
  </si>
  <si>
    <t>ME-68
Gestionar las Dotaciones de las instalaciones y sede principal para la permanencia y aumento de la oferta</t>
  </si>
  <si>
    <t>Proceso de bajas de mobiliario</t>
  </si>
  <si>
    <t>Porcentaje de las dotaciones nueva instaladas y mantenimiento de las dotaciones existentes</t>
  </si>
  <si>
    <t>Proceso ejecutado</t>
  </si>
  <si>
    <t>Modernización de mobiliario</t>
  </si>
  <si>
    <t>Mantenimiento especializado de patios, canchas y sus elementos. aplicación de pintura, nivelación, cambio y reposición de elementos faltantes o fracturados en adoquín de arcilla, nivelación y reparación de fisuras en canchas de asfalto y cambio de mallas para canchas de voleibol (1), futbol (8) y basquetbol (8).</t>
  </si>
  <si>
    <t>0E-5- Consolidar la infraestructura física de la Escuela para el desarrollo de la academia y la consolidación
de las nuevas apuestas institucionales.</t>
  </si>
  <si>
    <t>ALMACEN</t>
  </si>
  <si>
    <t>PE-13-Formula e implementar el modelo operativo de administración de inmuebles</t>
  </si>
  <si>
    <t>ME-27-Fortalecimiento a la administración e inmuebles ETITC</t>
  </si>
  <si>
    <t xml:space="preserve">Apoyo  a la gestión </t>
  </si>
  <si>
    <t>Apoyo a la gestión el área almacen (2 contratistas)</t>
  </si>
  <si>
    <t>Porcentaje de inplementaicón del modelo operativo de administración de inmuebles</t>
  </si>
  <si>
    <t>Actualización del Manual de Bienes Muebles</t>
  </si>
  <si>
    <t>Documento actualizado</t>
  </si>
  <si>
    <t>Impresora ZEBRA</t>
  </si>
  <si>
    <t>Equipo adquirido</t>
  </si>
  <si>
    <t>ÁREA ADMINISTRATIVA Y FINANCIERA</t>
  </si>
  <si>
    <t>PE-2- Modelo integral de gestión academico-administrativa por Sistema de Créditos Académicos</t>
  </si>
  <si>
    <t>ME-2- Estructurar e implementar el modelo integral de gestión academico-administrativa por Sistema de Créditos Académicos al 2024.</t>
  </si>
  <si>
    <t>Estructurar e implementar el modelo integral de gestión academico-administrativa por Sistema de Créditos Académicos al 2024.</t>
  </si>
  <si>
    <t>Porcentaje de implementación del sistema académico-administrativo por sistema de créditos académicos</t>
  </si>
  <si>
    <t>GESTIÓN DOCUMENTAL</t>
  </si>
  <si>
    <t>PE-11- Implementación de estrategias de comunicación externas e internas y fortalecimiento de la gestión documental: LA ETITC COMUNICA.</t>
  </si>
  <si>
    <t>ME-22- Implementación del PINAR en cumplimiento a los parámetros establecidos por el Archivo General de la Nación.</t>
  </si>
  <si>
    <t>Actualización y fortalecimiento del SGEDA</t>
  </si>
  <si>
    <t>Prestación de servicios en las actividades de gestión documental de la Escuela Tecnológica Instituto Técnico Central</t>
  </si>
  <si>
    <t>Número de actividades ejecutadas del PINAR</t>
  </si>
  <si>
    <t>Fabricación e instalación del sistema rodante de archivo con  con accionamiento mecánico compuesto por 6 carros mecánicos y 2 carros fijos.</t>
  </si>
  <si>
    <t>Sistema de archivo fabricado e instalado</t>
  </si>
  <si>
    <t xml:space="preserve">Diseño, implementación y seguimiento de estrategias orientadas a gestionar el ciclo de vida de los documentos electrónicos, con estándares tecnológicos y estándares archivísticos: SGDEA </t>
  </si>
  <si>
    <t>SGDEA diseñado e Implementado</t>
  </si>
  <si>
    <t>Actualización del Sistema Información de Atención al Ciudadano SIAC</t>
  </si>
  <si>
    <t>% del software actualizado</t>
  </si>
  <si>
    <t>Actualización, implementación y seguimiento de los instrumentos archivísticos</t>
  </si>
  <si>
    <t>Número de Instrumentos actualizados e implementados</t>
  </si>
  <si>
    <t>OE-1- Consolidar la calidad académica para la acreditación institucional de alta calidad respaldada fortalecimiento
de la gestión, la infraestructura tecnológica y física.</t>
  </si>
  <si>
    <t>OFICINA DE CONTRATACIÓN</t>
  </si>
  <si>
    <t>Etapas precontractual, contractual y pscontractual.</t>
  </si>
  <si>
    <t xml:space="preserve">Permitir que la ETITC gestione adecuadamente sus compras y contrataciones a través de plataformas electrónicas, lineamientos normativos, documentos estándar, instrumentos de agregación de demanda y técnicas de aprovisionamiento </t>
  </si>
  <si>
    <t>1. Consolidar y publicar el Plan Anual de Adquisiciones, según las necesidades de adquisición de bienes y servicios de la Entidad.</t>
  </si>
  <si>
    <t xml:space="preserve">Fortalecimiento institucional </t>
  </si>
  <si>
    <t xml:space="preserve">Realizar capacitaciones a las áreas frente a las modalidades de contratación, el procedimiento pertinente para cada modalidad y la elaboración de los estudios y documentos previos necesarios para iniciar los procesos contractuales. </t>
  </si>
  <si>
    <t>2. Gestionar las modificaciones del Plan Anual de Adquisiciones con la correspondiente justificación y aprobación de acuerdo con los lineamientos del Manual de Contratación de la ETITC y publicar al menos una modificación a mitad de año.</t>
  </si>
  <si>
    <t>EOE.-1-Consolidar la calidad académica para la acreditación institucional de alta calidad respaldada fortalecimiento
de la gestión, la infraestructura tecnológica y física</t>
  </si>
  <si>
    <t>ME-8- Revisión de la  Estructura Organizacional que soporte las nuevas apuestas institucionales</t>
  </si>
  <si>
    <t>Analizar los resultados del contrato suscrito con la UNA
Determinar la oportunidad de diseñar una propuesta para la reestructuración organizacional</t>
  </si>
  <si>
    <t>Propuesta de nueva estructura organizacional presentadas ante las entidades competentes</t>
  </si>
  <si>
    <t>Propuesta elaborada</t>
  </si>
  <si>
    <t>ME-10- Fortalecer la cultura organizacional como soporte del Desarrollo y mejoramiento del clima organizacional.</t>
  </si>
  <si>
    <t xml:space="preserve">*Plan de  Bienstar laboral                                   *Fortalecimiento del   Clima laboral  tenieno en cuenta  la medicion 2021  *Código de integridad,    </t>
  </si>
  <si>
    <t>Porcentaje de apropiación de presupuesto para el pago de plantas de personal</t>
  </si>
  <si>
    <t xml:space="preserve">Plan de Bienestar laboral ejecutado </t>
  </si>
  <si>
    <t xml:space="preserve">Implementación del Plan de Capacitación   </t>
  </si>
  <si>
    <t xml:space="preserve">Plan de capacitación ejecutado </t>
  </si>
  <si>
    <t xml:space="preserve">Ejecución de: 
*Plan anula de vacantes    *Plan de Previsión      </t>
  </si>
  <si>
    <t>Planes ejecutados</t>
  </si>
  <si>
    <t>OE-2 Fortalecer y potenciar el Talento Humano en las plantas de personal docente y administrativa.</t>
  </si>
  <si>
    <t xml:space="preserve">PE-7 - Consolidacion y aseguamiento del Talento Humano para el mejoramiento de las capacidades en las plantas administrativas y diocentes </t>
  </si>
  <si>
    <t>ME-12 - dar continuidad al talento Humano  integral en las plantas administrativas</t>
  </si>
  <si>
    <t>Fortalecimiento y consolidación del Talento Humano</t>
  </si>
  <si>
    <t xml:space="preserve">Verificación el cumplimiento de todas las activides propias del área en compromiso con el Talento humano Institucional </t>
  </si>
  <si>
    <t>recursos apropiados</t>
  </si>
  <si>
    <t>ME-13- Presentar ante las instancias competentes la solicitud y cumplimiento de requistos para el desarrollo de los procesos meritocraticos de las plantas Administrativas</t>
  </si>
  <si>
    <t>Identificaión de las vacantes  internas y externas para la planeacion del concurso administrativo y docente
53 vacantes reportadas al SIMO para el inicio del Concurso Administrativo</t>
  </si>
  <si>
    <t>Porcentaje de requisitos cumplidos</t>
  </si>
  <si>
    <t>ME-14- Adelantar los proceso meritocraticos de la planta docente</t>
  </si>
  <si>
    <t xml:space="preserve">Selección y vinculacion  por merito  de 4 docentes de Tiempo Completo  y 20 de Medio tiempo </t>
  </si>
  <si>
    <t>Porcentaje de cumplimiento del proceso meritocrático de la planta docente</t>
  </si>
  <si>
    <t>Procesos de vinculación ejecutados</t>
  </si>
  <si>
    <t>PE-8- Estructuración de la carrera docente</t>
  </si>
  <si>
    <t xml:space="preserve">ME-15- Organizar e implementar el sistema  de plan de carrera docente </t>
  </si>
  <si>
    <t xml:space="preserve">Organizar e implementar el sistema  de plan de carrera docente </t>
  </si>
  <si>
    <t>Porcentaje del plan de carrera docente implementado</t>
  </si>
  <si>
    <t>Plan de Carrera Docente estructurado e implementado</t>
  </si>
  <si>
    <t>OE-1-Consolidar la calidad académica para la acreditación institucional de alta calidad respaldada fortalecimiento 
de la gestión, la infraestructura tecnológica y física.</t>
  </si>
  <si>
    <t>ME-12- Dar continuidad al talento humano integral en las plantas de personal.</t>
  </si>
  <si>
    <t xml:space="preserve">Diagnóstico de  condiciones saludables ETITC </t>
  </si>
  <si>
    <t>Examenes médicos ocupacionales de ingreso, periódicos y de egreso</t>
  </si>
  <si>
    <t xml:space="preserve">Ejecución de examenes medicos a todo el personal </t>
  </si>
  <si>
    <t xml:space="preserve">Diagnóstico condiciones de Salud </t>
  </si>
  <si>
    <t xml:space="preserve">Informe Diagnostico  condiciones de Salud  </t>
  </si>
  <si>
    <t xml:space="preserve">Definición de profesiogramas  </t>
  </si>
  <si>
    <t>Creacióndeprofesiogramas conforme cargos y necesidades ETITC</t>
  </si>
  <si>
    <t>Capacitaciones SST</t>
  </si>
  <si>
    <t xml:space="preserve">Campaña prevención enfermedades laborales </t>
  </si>
  <si>
    <t>Campaña</t>
  </si>
  <si>
    <t xml:space="preserve">Campaña prevención accidentes de trabajo </t>
  </si>
  <si>
    <t>Camapaña</t>
  </si>
  <si>
    <t>Programa estilos de vida trabajo saludable y prevención consumo sustancias psicoactivas</t>
  </si>
  <si>
    <t xml:space="preserve">Capacitaciones y actividades de estilos de vida y trabajo saludable </t>
  </si>
  <si>
    <t xml:space="preserve">Implementación Sistema de vigilancia epidemiológica y analisis de puesto de trabajo </t>
  </si>
  <si>
    <t xml:space="preserve">Sistema de Vigilancia y analisis de puestos de trabajo </t>
  </si>
  <si>
    <t xml:space="preserve">Semana de la Salud </t>
  </si>
  <si>
    <t xml:space="preserve">Capacitaciones y actividades de promoción y prevención  </t>
  </si>
  <si>
    <t xml:space="preserve">Aplicación bateria de riesgo psicosocial </t>
  </si>
  <si>
    <t>Medicion de riesgo psicosocial ETITC</t>
  </si>
  <si>
    <t>Capacitación mediante el Proyecto de Seguridad Víal para la movilidad Segura "Aula Virtual".</t>
  </si>
  <si>
    <t>Campaña de sensibilización en seguridad vial de acuerdo al rol en la vía con comunidad educativa y administrativos ETITC.</t>
  </si>
  <si>
    <t xml:space="preserve"> Capacitación teórico - práctica en pista (conductores) para dar cumplimiento a los requesitos de la resolución 1565 del Plan de Seguridad Vial</t>
  </si>
  <si>
    <t xml:space="preserve">Entrenamiento </t>
  </si>
  <si>
    <t xml:space="preserve">Apoyo técnico seguridad y salud en el trabajo </t>
  </si>
  <si>
    <t>Gestion en implementación SGSST</t>
  </si>
  <si>
    <t>Auditoria interna certificada SGSST</t>
  </si>
  <si>
    <t xml:space="preserve">Informe de auditoria y plan de acción </t>
  </si>
  <si>
    <t xml:space="preserve">AMBIENTAL: UN ACUERDO POR Y PARA LA VIDA EN CONTEXTO </t>
  </si>
  <si>
    <t>OE-10-Establecer un nuevo acuerdo ambiental mediante una 
política institucional ambiental y la catedra institucional 
en la ETITC</t>
  </si>
  <si>
    <t xml:space="preserve">PE-26 Actualización de la infraestructura fisica cumpliendo normativas aplicables y generando espacios adecuados para el desarrollo de actividades académicas y de bienestar en el marco de la sostenibilidad </t>
  </si>
  <si>
    <t xml:space="preserve">ME- 68  Gestionar las dotaciones de las instalaciones y sede principal para la permanencia y aumento de la oferta </t>
  </si>
  <si>
    <t>Ejecución de actividades para el aseguramiento del SGSST</t>
  </si>
  <si>
    <t>Mantenimiento y recarga extintores</t>
  </si>
  <si>
    <t>Porcentaje de las dotaciones nueva instalada y mantenimiento de las dotaciones existentes</t>
  </si>
  <si>
    <t xml:space="preserve">Extintores recargados y aptos para su uso </t>
  </si>
  <si>
    <t xml:space="preserve">Suministro de botiquines </t>
  </si>
  <si>
    <t xml:space="preserve">Dotacion total de botiquines </t>
  </si>
  <si>
    <t xml:space="preserve">Kits de derrames y capacitacion en uso </t>
  </si>
  <si>
    <t xml:space="preserve">Dotacion de  kits de derrames y capacitación en uso </t>
  </si>
  <si>
    <t xml:space="preserve">Adquisición de equipos capacita y mediciones higienicas ocupacionales </t>
  </si>
  <si>
    <t xml:space="preserve">Adquisicion de equipos capacitacion personal y medición en ambientes </t>
  </si>
  <si>
    <t xml:space="preserve">Compra y suministro de elementos de protección personal </t>
  </si>
  <si>
    <t xml:space="preserve">Dotacion elementos de protección personal  </t>
  </si>
  <si>
    <t xml:space="preserve">Implementación Sistema globalmente Armonizado y Rotulación y etiquetado sustancias químicas </t>
  </si>
  <si>
    <t>Sistema globalmente armonizado ETITC</t>
  </si>
  <si>
    <t>Implementación de medidas de protección para trabajo seguro en alturas</t>
  </si>
  <si>
    <t>dotacion medidas de proteccion TSA</t>
  </si>
  <si>
    <t xml:space="preserve">* Formación en trabajo seguro en alturas </t>
  </si>
  <si>
    <t>actualizacion cursos TSA</t>
  </si>
  <si>
    <t>Verificación y certificación equipos de alturas</t>
  </si>
  <si>
    <t>Verificacion y recertificacion TSA</t>
  </si>
  <si>
    <t>OE-3-Fortalecer el ecosistema de funcionalidades digitales para la gestión y el desarrollo de la actividad
misional mediante el uso de las TIC.</t>
  </si>
  <si>
    <t>PE-9- Tecnologías de información y comunicaciones al servicio de la academia y la ciencia</t>
  </si>
  <si>
    <t>ME-18- Incorporar elementos de tecnología a los talleres, laboratorios y aulas para enseñanza remota sincrónica en modalidad de alternancia</t>
  </si>
  <si>
    <t>Prestación de servicios para apoyar las actividades propas del área de informática y comunicaciones.</t>
  </si>
  <si>
    <t>Porcentaje de talleres y aulas habilitados con conexión remota.</t>
  </si>
  <si>
    <t>Renovación software Flexsim (fecha de vencimiento:29/10/2022 )</t>
  </si>
  <si>
    <t>Licencia de Sofware renovada</t>
  </si>
  <si>
    <t>Renovación software ISLonline y 400 licencias de antivirus Eset  (fecha de vencimiento: 10/08/2022 )</t>
  </si>
  <si>
    <t>Renovación software Automation Studio (fecha de vencimiento:22/004/2022)</t>
  </si>
  <si>
    <t>Renovación software Safetica DLP, ISL  y  Deslock (fecha de vencimiento: )</t>
  </si>
  <si>
    <t>Renovación software Simapro (fecha de vencimiento:)</t>
  </si>
  <si>
    <t>Renovación software rextore (fecha de vencimiento:  30/09/2021)</t>
  </si>
  <si>
    <t>Renovación software MasterCam  (fecha de vencimiento: 04/06/2022 )</t>
  </si>
  <si>
    <t>Renovación software Multisim - Labview  (fecha de vencimiento:10/05/2022)</t>
  </si>
  <si>
    <t>Renovación Licenciamiento  Open Value Subscription for Education Solutions (Campus Agreement) (fecha de vencimiento: 23/10/2022)</t>
  </si>
  <si>
    <t>Renovación software Solidworks (fecha de vencimiento: 15/07/2022)</t>
  </si>
  <si>
    <t>Renovación soporte plataforma Gnosoft (fecha de vencimiento:28/10/2021 )</t>
  </si>
  <si>
    <t>Renovación soporte Plataforma Gnosoft investigación (fecha de vencimiento:16/12/2022 )</t>
  </si>
  <si>
    <t>Renovación Software Enterprise Architect (Fecha de vencimiento: 20/04/2022)</t>
  </si>
  <si>
    <t>Renovación "4 licencias de Adobe Cloud + Adobe Sign Enterprise Transactional
Transacciones Anuales 1.500 + 2 Adobe DC pro" (Fecha de vencimiento: 22/10/2022)</t>
  </si>
  <si>
    <t>Renovación soporte y actualizacion SIAC (fecha de vencimiento: 01/12/2022)</t>
  </si>
  <si>
    <t xml:space="preserve">Soporte realizado </t>
  </si>
  <si>
    <t>Adquisición de herramienta para firma electrónica Adobe Sign Enterprise Transacciones Anuales 1.500 + 1 Adobe DC pro</t>
  </si>
  <si>
    <t>Heramienta adquirida</t>
  </si>
  <si>
    <t>Adquisición de herramienta para backups en la nube de One Drive</t>
  </si>
  <si>
    <t>Renovación del soporte de la herramienta para biblioteca KOHA (fecha de vencimiento: junio 2022)</t>
  </si>
  <si>
    <t>Adquisición de insumos para impresoras</t>
  </si>
  <si>
    <t xml:space="preserve">Insumos adquiridos </t>
  </si>
  <si>
    <t>Un mantenimiento correctivo y dos Mantenimientos preventivos de impresoras y scanners</t>
  </si>
  <si>
    <t>Mantenimiento realizado</t>
  </si>
  <si>
    <t>Mantenimiento de impresoras Datacard para carnetización</t>
  </si>
  <si>
    <t>Insumos de mantenimiento portatiles dañados + elementos para soporte y mantenimiento</t>
  </si>
  <si>
    <t xml:space="preserve">Insumos y mantenimiento adquiridos </t>
  </si>
  <si>
    <t xml:space="preserve">Instalación de un (1) canal de internet dedicado 1024 MB y  dos (2) MPLS 256 GB uno (1) de doce (12) MB para las sedes </t>
  </si>
  <si>
    <t>Canal de internet instalado</t>
  </si>
  <si>
    <t xml:space="preserve">ME-17- Adecuar las capacidades tecnológicas para atender las necesidades de los procesos misionales </t>
  </si>
  <si>
    <t>Adquisición e implementación del sistema de Gestión Académica SGA</t>
  </si>
  <si>
    <t>implementación del sistema de Gestión Académica SGA</t>
  </si>
  <si>
    <t>Implementación de IPV6</t>
  </si>
  <si>
    <t>Protocolo IPV6 implementado</t>
  </si>
  <si>
    <t>Soporte de los sistemas de información: siparc, rusia, koha,sigaf y siac</t>
  </si>
  <si>
    <t>siparc, rusia, koha, sigaf y siac con soporte</t>
  </si>
  <si>
    <t>ME-19- Implementar un modelo estratégico para impulsar la evolución digital de la ETITC, plasmado en el PETI.</t>
  </si>
  <si>
    <t>Actualización del modelo estrategico en el PETI</t>
  </si>
  <si>
    <t>Porcentaje de implementación de modelo estratégico en el PETI.</t>
  </si>
  <si>
    <t>PETI actualizado</t>
  </si>
  <si>
    <t>Ejecutar las actividades propias de la adecuación de infraestructura tecnológica en la ETITC</t>
  </si>
  <si>
    <t xml:space="preserve">Instalaciones adecuadas </t>
  </si>
  <si>
    <t>Diseño,Implementación y ejecución</t>
  </si>
  <si>
    <t>Actualización del PETI según normatividad vigente</t>
  </si>
  <si>
    <t>PETI Actualizado</t>
  </si>
  <si>
    <t>ME-20- Cumplimiento del 100% la Política de Gobierno Digital para 2021.</t>
  </si>
  <si>
    <t xml:space="preserve">Estructurar las actividades estrategicamente con la política de gobierno digital </t>
  </si>
  <si>
    <t>Porcentaje de implementación de la Política de Gobierno Digital</t>
  </si>
  <si>
    <t>Política implementada</t>
  </si>
  <si>
    <t>INSTITUTO DE BACHILLERATO TÉCNICO INDUSTRIAL</t>
  </si>
  <si>
    <t>ME-16- Centro de Atención al Docente del IBTI "La ETITC un lugar para todos."</t>
  </si>
  <si>
    <t>Fase de diseño del CAD - Implementación</t>
  </si>
  <si>
    <t xml:space="preserve"> Centro de atención que permita mejorar la condiciones laborales, la calidad de vida y la estadía de los docentes del IBTI en la Escuela.</t>
  </si>
  <si>
    <t>Número de docentes del IBTI  que se benefician del centro de atención / Total de docentes del IBTI *100</t>
  </si>
  <si>
    <t>CAD Diseñado e implementado</t>
  </si>
  <si>
    <t>Lo Social: Un acuerdo para lo fundamental</t>
  </si>
  <si>
    <t>OE-6-Aumentar la cobertura mediante programas de educación superior diferenciados, con alta
pertinencia regional de la institución.</t>
  </si>
  <si>
    <t>PE-15- El IBTI y su papel significativo en la consolidación de la Escuela</t>
  </si>
  <si>
    <t>ME-33 Promover la estrategia de Articulación `de tu escuela a mi escuela y a mi Universidad`</t>
  </si>
  <si>
    <t>Implementación y seguimiento</t>
  </si>
  <si>
    <t>Seguimiento y trazabilidad de los estudiantes admitidos a 6 grado 2022</t>
  </si>
  <si>
    <t>Número de estudiantes vinculados en la vigencia / 1300 * 100</t>
  </si>
  <si>
    <t>Seguimiento a estudiantes admitidos realizado</t>
  </si>
  <si>
    <t>1130 Estudiantes matriculados en el IBTI</t>
  </si>
  <si>
    <t xml:space="preserve">Proceso de Admisiones para conseguir el posicionamiento de la meta del proyecto </t>
  </si>
  <si>
    <t>Proceso de admisión ejecutado</t>
  </si>
  <si>
    <t xml:space="preserve">Acompañamiento  a los estudiantes que desean seguir en los PES en su proceso de continuidad academica grado 11 </t>
  </si>
  <si>
    <t>Acompañamiento relizado</t>
  </si>
  <si>
    <t>ME-32 Fortalecer el modelo educativo del IBTI que permita aumentar la cobertura, la permanencia y continuidad de la institución.</t>
  </si>
  <si>
    <t>Fase de evaluación y reestructuración del PEI</t>
  </si>
  <si>
    <t>* Formación docente en evaluación para los aprendizajes.
* Formación docente en interpretación y diseño de preguntas tipo Saber</t>
  </si>
  <si>
    <t>% avance del PEI</t>
  </si>
  <si>
    <t>PEI reestructurado</t>
  </si>
  <si>
    <t>* Jornadas de capacitación durante las semanas de desarrollo Institucional.                                                               * Implenetación de 2 pruebas anuales a lpos estudiantes del IBTI; paralelamente se capacitará a los docentes para la interpretación de los reultados y la definición de estrategias que los mejoren.</t>
  </si>
  <si>
    <t>pei implementado</t>
  </si>
  <si>
    <t xml:space="preserve"> ME-31- Fortalecer el proceso de articulación y/o integración entre las IEM (Instituciones de Educación Media) y la ETITC.</t>
  </si>
  <si>
    <t>Fortalecer el proceso de articulación y/o integración entre las IEM (Instituciones de Educación Media) y la ETITC.</t>
  </si>
  <si>
    <t>Porcentaje de egresados del IBTI que ingresan a PES de la ETITC.</t>
  </si>
  <si>
    <t>Información de las metricas entregadas</t>
  </si>
  <si>
    <t>OE-7 Implementar programas y acciones para asegurar la permanencia de los estudiantes.</t>
  </si>
  <si>
    <t>PE-16- Desarrollo integral y transformación social de la comunidad: bienestar comprometido con la permanencia</t>
  </si>
  <si>
    <t>ME-37- Implementar el Centro de Refuerzo Especializado Académico (CREA).</t>
  </si>
  <si>
    <t>Implementación 
(SICOLOGÍA)</t>
  </si>
  <si>
    <t>1. Acompañamiento integral y en procesos de aprendizaje</t>
  </si>
  <si>
    <t>Número de estudiantes de los ciclos propedéuticos atendidos en el CREA / Total de estudiantes matriculados en los ciclos propedéuticos * 100</t>
  </si>
  <si>
    <t xml:space="preserve">Acompañamiento realizado </t>
  </si>
  <si>
    <t xml:space="preserve">
2. Caracterización de la población estudiantil en procesos de aprendizaje</t>
  </si>
  <si>
    <t xml:space="preserve">Caraterización de la población realizada </t>
  </si>
  <si>
    <t>ME-36- Implementar el  Banco de electivas de Bienestar Universitario y la Cátedra ETITC</t>
  </si>
  <si>
    <t xml:space="preserve">Implementación 
</t>
  </si>
  <si>
    <t>Diplomados (8),  cursos (1) y conferencias</t>
  </si>
  <si>
    <t>Número de electivas aprobadas en la vigencia / 3 *100</t>
  </si>
  <si>
    <t>Diplomados,  cursos y conferencias realizados</t>
  </si>
  <si>
    <t>ME-35 Formular e implementar el registro único de seguimiento de información y acompañamiento (RUSIA) de la comunidad educativa de la institución</t>
  </si>
  <si>
    <t>Diseño
(SICOLOGÍA)</t>
  </si>
  <si>
    <t>Identificación tiempos de procedimiento y responsables de seguimiento</t>
  </si>
  <si>
    <t>Estudiantes registrados en Rusia durante la vigencia / 3600 * 100</t>
  </si>
  <si>
    <t>Seguimientos realizados</t>
  </si>
  <si>
    <t>1.200 estudiantes registrados en RUSIA</t>
  </si>
  <si>
    <t xml:space="preserve">4. Definición estrategias de mitigación sobre riesgos y poblaciones encontradas  </t>
  </si>
  <si>
    <t>Estrategias definidas</t>
  </si>
  <si>
    <t>Identificación de perfiles de impacto  y reporte de impacto</t>
  </si>
  <si>
    <t>Reportes realizados</t>
  </si>
  <si>
    <t>ME-34- Fortalecer el Programa de Atencion Básica Ampliada.</t>
  </si>
  <si>
    <t>Seguimiento y evaluación</t>
  </si>
  <si>
    <t>Dar continuidad a los servicios de Bienestar univiersitario</t>
  </si>
  <si>
    <t>Número de participantes en servicios de bienestar / Total de integrantes de la comunidad educativa * 100</t>
  </si>
  <si>
    <t>Servicios ofertados</t>
  </si>
  <si>
    <t>Implementación 
(DEPORTES)</t>
  </si>
  <si>
    <t xml:space="preserve">CAMPETITC:
Torneos SUE
Torneos externos
carreras atleticas
caminatas
Deportes Extremos
</t>
  </si>
  <si>
    <t xml:space="preserve">Actividades desarrolladas </t>
  </si>
  <si>
    <t>LA ETITC VISACAVI:
Pausas activas
Conferencias
Material Deportivo
Mantenimiento Gimnasio</t>
  </si>
  <si>
    <t>Implementación 
(ENFERMERIA)</t>
  </si>
  <si>
    <t>1. Disminuir los factores de riesgo en salud de la comunidad educativa mediante programas, campañas y talleres para mejorar su calidad de vida.</t>
  </si>
  <si>
    <t>Programas, talleres y capacitaciones realizadas</t>
  </si>
  <si>
    <t>2. Promover la salud y prevenir la enfermedad a través de estrategias de acompañamiento individual como colectivo</t>
  </si>
  <si>
    <t>Acompañamientos realizados</t>
  </si>
  <si>
    <t>Implementación 
(PASTORAL)</t>
  </si>
  <si>
    <t>Formación Espiritual y personal.</t>
  </si>
  <si>
    <t>Actividades realizadas</t>
  </si>
  <si>
    <t>Subsidio de alimentación.</t>
  </si>
  <si>
    <t>Filantropía.</t>
  </si>
  <si>
    <t>Ejecución 
(SICOLOGÍA)</t>
  </si>
  <si>
    <t>Proyecto de Salud Mental, líneas;
1. Docentes, Consecuentemente
2. Estudiantes, Sanamente</t>
  </si>
  <si>
    <t>Proyecto "Yo me quiero, yo me cuido, yo decido bien"</t>
  </si>
  <si>
    <t>Proyecto ejecutado</t>
  </si>
  <si>
    <t>Ejecución
(ARTES)</t>
  </si>
  <si>
    <t>Proyecto La Cultura Somos Todos</t>
  </si>
  <si>
    <t>Ejecución
(TRABAJO SOCIAL)</t>
  </si>
  <si>
    <t>Proyecto Inclusión Educativa, Intercultural y de Género Para la Comunidad de Educación Superior de La ETITC “Inclúyeme" - Componente Diversidad Sexual y de género</t>
  </si>
  <si>
    <t>Proyecto Inclusión Educativa, Intercultural y de Género Para la Comunidad de Educación Superior de La ETITC “Inclúyeme" - Componente Discapacidad y Diversidad Intercultural</t>
  </si>
  <si>
    <t>Proyecto Bienestar con Impacto social</t>
  </si>
  <si>
    <t xml:space="preserve">PE-23- La catedra institucional de la Escuela </t>
  </si>
  <si>
    <t>ME-57- Diseñar e implementar  la catedra ETITC</t>
  </si>
  <si>
    <t xml:space="preserve">Diseñe e implementación </t>
  </si>
  <si>
    <t>Diseñar e implementar  la catedra ETITC</t>
  </si>
  <si>
    <t>% de diseño e implementación de la catedra ETITC alcanzado</t>
  </si>
  <si>
    <t>La catedra ETITC  diseñada e implementada</t>
  </si>
  <si>
    <t>OE-1- Consolidar la calidad académica para la acreditación institucional de alta calidad respaldada fortalecimiento
de la gestión, la infraestructura tecnológica y física</t>
  </si>
  <si>
    <t>PE-3- Lenguas Extranjeras como oportunidad para la movilidad internacional</t>
  </si>
  <si>
    <t>ME-3- Desarrollar una política institucional de apropiación de una segunda lengua como parte activa de la gestión curricular, y condición para la titulación en el nivel de ingeniería, a partir del 2023.</t>
  </si>
  <si>
    <t>Adquisición de plataforma</t>
  </si>
  <si>
    <t>Adquirir una plataforma académica segundo idioma</t>
  </si>
  <si>
    <t>Porcentaje de programas de educación superior articulados a la política institucional de lengua extranjera</t>
  </si>
  <si>
    <t>Plataforma academica segundo idioma adquirida y puesta en marcha</t>
  </si>
  <si>
    <t>PE1. Acreditación Institucional de Alta Calidad</t>
  </si>
  <si>
    <t xml:space="preserve">Prestación de servicios profesionales </t>
  </si>
  <si>
    <t>Prestación de servicios en las actividades de aseguramiento de la calidad</t>
  </si>
  <si>
    <t>5 Contratos formalizados. Ejecución contractual Prestación Servicios Profesionales Aseguramiento de Calidad. Ejecución contractual</t>
  </si>
  <si>
    <t xml:space="preserve">Prestación servicios profesionales apoyo a la gestion. actividades del Despacho </t>
  </si>
  <si>
    <t>Ejecución contractual. Prestación de servicios en las actividades del Despacho de la Escuela Tecnológica Instituto Técnico Central</t>
  </si>
  <si>
    <t>PE-4- Modelo de gestión académica curricular soportada en resultados de aprendizaje y competencias</t>
  </si>
  <si>
    <t>ME-4- Implementar el modelo de evaluación por resultados de aprendizaje y competencias, soportado en los lineamientos del MEN y el  sistema interno de aseguramiento de la calidad académica.</t>
  </si>
  <si>
    <t>Formulación e implementación</t>
  </si>
  <si>
    <t>Capacitación para profesores en resultados de aprendizaje, sus estrategias didacticas y su evaluación.</t>
  </si>
  <si>
    <t>Número de Syllabus actualizados</t>
  </si>
  <si>
    <t>Diseño y evaluación microcurricular soportada en resultados de aprendizaje y competencias</t>
  </si>
  <si>
    <t>Diseño  y evaluación microcurricular soportada en resultados de aprendizaje y competencias</t>
  </si>
  <si>
    <t>Porcentaje de programas de educación superior articulados al modelo de evaluación por resultados de aprendizaje y competencias</t>
  </si>
  <si>
    <t>Diseño y evaluación microcurricular realizada</t>
  </si>
  <si>
    <t>ME-29-  Lograr  al 2023 el Registro Calificado de 1 Especialización Profesional, 1 Especialización Tecnológica, al 2024, 3 carrera profesional por ciclos y 1 Maestría.</t>
  </si>
  <si>
    <t>Documentos estructurados</t>
  </si>
  <si>
    <t>ME-30-  Lograr al 2024, que el 50% de los programas con registro calificado en la modalidad presencial  esten convertidos a modalidad semipresencial (blended).</t>
  </si>
  <si>
    <t>OE-3- Fortalecer el ecosistema de funcionalidades digitales para la gestión y el desarrollo de la actividad
misional mediante el uso de las TIC.</t>
  </si>
  <si>
    <t>FACULTAD DE ELECTROMECÁNICA</t>
  </si>
  <si>
    <t xml:space="preserve">2° Fase del proyecto aulas para alternancia </t>
  </si>
  <si>
    <t>Elementos adquiridos y con soporte técnico</t>
  </si>
  <si>
    <t>Laboratorio de Inmotica</t>
  </si>
  <si>
    <t>tg</t>
  </si>
  <si>
    <t>Solicitud de ofertas</t>
  </si>
  <si>
    <t>Certificar a docentes y estudiantes en nuevas tecnologías de software</t>
  </si>
  <si>
    <t>Docentes y estudintes certificados en nuevas tecnologias de software</t>
  </si>
  <si>
    <t>EOE-11-Aumentar la cobertura mediante programas de educación superior diferenciados,
con alta pertinencia regional.</t>
  </si>
  <si>
    <t xml:space="preserve">PE-27-   Diseñar y ofertar nuevos programas de pregrado con alta pertinencia regional rural
</t>
  </si>
  <si>
    <t>ME-71-  Estructurar  y gestionar el registro de   Pregrado en Ingeniería de energías por ciclos.</t>
  </si>
  <si>
    <t>Diseño y construcción de los nuevos plan de estudios de a nivel de pregrado. Ingenieria en Energias.</t>
  </si>
  <si>
    <t>Porcentaje Registro del pregrado en Ingeniería de energías por ciclos alcanzado</t>
  </si>
  <si>
    <t>Porcentaje del registro alcanzado</t>
  </si>
  <si>
    <t>PE-1- Acreditación Institucional de Alta Calidad</t>
  </si>
  <si>
    <t>Documentos maestros y syllabus  actualizados</t>
  </si>
  <si>
    <t>Fases del Consejo Nacional de Acreditación alcanzadas</t>
  </si>
  <si>
    <t>PE-5- MIPG y Los sistemas de gestión para una gobernanza transparente</t>
  </si>
  <si>
    <t>Profesional de Apoyo Facultad para el apoyo de la gestión</t>
  </si>
  <si>
    <t xml:space="preserve"> Profesional de Apoyo Facultad para el apoyo de la gestión</t>
  </si>
  <si>
    <t>Planificación</t>
  </si>
  <si>
    <t xml:space="preserve">Capacitación a docentes </t>
  </si>
  <si>
    <t>Porcentaje de programas de educación superior articulados al modelo de evaluación por resultados de aprendizaje y competencias.</t>
  </si>
  <si>
    <t>Docentes capacitados</t>
  </si>
  <si>
    <t xml:space="preserve">PE-6- Egresados como embajadores institucionales </t>
  </si>
  <si>
    <t>Apoyo en la implementación del SADE</t>
  </si>
  <si>
    <t>Porcentaje de implementación del SADE.</t>
  </si>
  <si>
    <t>Listados de asistencia, grabaciones de egresados y participación a reuniones y capacitaciones</t>
  </si>
  <si>
    <t>OE.4- Fortalecer la visibilidad de la escuela bajo en entorno de asertividad para el posicionamiento
nacional e internacional.</t>
  </si>
  <si>
    <t>PE12. Internacionalización para ampliar fronteras del conocimiento</t>
  </si>
  <si>
    <t xml:space="preserve">Planificación y ejecución </t>
  </si>
  <si>
    <t>Participación en eventos como: Encuentro RIEM 2022</t>
  </si>
  <si>
    <t>LIstados de asistencia y grabaciones al encuentro RIEM 2022</t>
  </si>
  <si>
    <t>Movilidad de docentes y estudiantes</t>
  </si>
  <si>
    <t>Movilidades Nacionales. Inscripiciones, pasajes,  y auxilio de viaje (estudiantes)</t>
  </si>
  <si>
    <t xml:space="preserve">Proecesos de movilidad ejecutados </t>
  </si>
  <si>
    <t>OE-7- Implementar programas y acciones para asegurar la permanencia de los estudiantes.</t>
  </si>
  <si>
    <t>Visita a empresas del sector y actividades de acercamiento</t>
  </si>
  <si>
    <t>Grabaciones y listados de visita a empresas del sector y actividades realizadas</t>
  </si>
  <si>
    <t xml:space="preserve">OE-8-Fortalecer y fomentar la innovación institucional y
social, a través de un modelo de innovación y transferencia tecnológica que aporte a la visibilidad de la
producción científica y académica de la Institución, a
la gestión de la producción intelectual de investigadores y al establecimiento de alianzas con actores del
SNCTI, Estado, Empresa y Academia para actividades
de I+D+I. </t>
  </si>
  <si>
    <t>PE-18 Fortalecimiento permanente en competencias de investigacion, ciencia, tecnologia e innovación en la ETITC</t>
  </si>
  <si>
    <t>ME-44- Diseñar  e implementar  un Programa de fortalecimiento de grupos de investigación y ampliación de las modalidades de investigación.</t>
  </si>
  <si>
    <t>Almacen de suministros recuperados de equipos en desuso , que son funcionales para ser usados en proyectos de grado o integradores y reducir el costo de los mismos</t>
  </si>
  <si>
    <t>Programa de fortalecimiento de grupos y de investigación implementado</t>
  </si>
  <si>
    <t xml:space="preserve">Adecuación de almacen </t>
  </si>
  <si>
    <t>Vehiculo Eléctrico y documentación asociada, cotizaciones, facturas de compra, remisiones.</t>
  </si>
  <si>
    <t>Proceso pre y contractual realizado</t>
  </si>
  <si>
    <t>Cargador eléctrico y documentación asociada, cotizaciones, facturas de compra, remisiones.</t>
  </si>
  <si>
    <t>OE-9-La Extensión y la Proyección social como aporte al desarrollo de capacidades.</t>
  </si>
  <si>
    <t>PE-20- Centro de capacitación industrial como espacio de cualificación para la empleabilidad a mediando plazo</t>
  </si>
  <si>
    <t xml:space="preserve">ME-50- Consolidar y fortalecer el vínculo entre empresa, estado - academia ETITC
</t>
  </si>
  <si>
    <t>Personal certificado según AWS</t>
  </si>
  <si>
    <t>Número de empresas vinculadas por diferentes factores con la ETITC/ 40 *100</t>
  </si>
  <si>
    <t>Certificaciones suministradas</t>
  </si>
  <si>
    <t>FACULTAD DE MECATRÓNICA</t>
  </si>
  <si>
    <t>Actividades de movilidad e internacionalización</t>
  </si>
  <si>
    <t>Grabaciones, fotos soporte de las actividades de movilidad e internacionalización</t>
  </si>
  <si>
    <t>Movilidades Nacionales. Inscripciones, pasajes, viáticos (Docentes)</t>
  </si>
  <si>
    <t>Movilidades Internacionales (estudiantes)</t>
  </si>
  <si>
    <t>Movilidades Internacionales (docentes)</t>
  </si>
  <si>
    <t>Movilidades (Asistencia Encuentro con redes Acofi, Congreso Acofi, asistencia a eventos nacionales e internacionals en representación de la ETITC) Decanos y Vicerrector Academico</t>
  </si>
  <si>
    <t>Membresías</t>
  </si>
  <si>
    <t>Encuentro Nacional RIIMA - Red de Ingenieria Mecatronica (Decanos y Directores de programa)</t>
  </si>
  <si>
    <t>Infomatrix 2022</t>
  </si>
  <si>
    <t>Robomatrix 2022</t>
  </si>
  <si>
    <t>Participación experto internacional en II Congreso  Internacional de Educacion en Ciencias Sociales</t>
  </si>
  <si>
    <t>Tiquetes y alojamiento experto internacional en II Congreso  Internacional de Educacion en Ciencias Sociales</t>
  </si>
  <si>
    <t xml:space="preserve"> PE-19- Innovación para el  Fortalecimiento Institucional y el Desarrollo Social.</t>
  </si>
  <si>
    <t>ME-47- Fortalecer las redes de innovación y alianzas estratégicas de cooperación con otros actores del Sistema Nacional de Ciencia Tecnología e Innovación – SNCTI, sector público, privado y academia para actividades de Investigación, Desarrollo e Innovación - I+D+i.</t>
  </si>
  <si>
    <t>Evento STEM, tecnologias convergentes y robotica, (Estudiantes educacion media)</t>
  </si>
  <si>
    <t>Relaciones estratégicas con otros actores del SNCTI</t>
  </si>
  <si>
    <t>Participación en eventos</t>
  </si>
  <si>
    <t>ME-11-Implementar el Sistema de Acompañamiento al desarrollo del Egresado - SADE., con responsabilidad social y académica.</t>
  </si>
  <si>
    <t xml:space="preserve">Seguimiento y consolidación </t>
  </si>
  <si>
    <t>Fortalecimiento comunidad egresados</t>
  </si>
  <si>
    <t>Evento fortalecimiento habilidades y competencias egresados facultad Mecatronica</t>
  </si>
  <si>
    <t>PE5. MIPG y Los sistemas de gestión para una gobernanza transparente</t>
  </si>
  <si>
    <t xml:space="preserve">Perfeccionamiento el contrato </t>
  </si>
  <si>
    <t xml:space="preserve">Auxiliar Administrativo Facultad </t>
  </si>
  <si>
    <t>Fortalecimiento de competencias disciplinares de los profesores de la facultad.</t>
  </si>
  <si>
    <t>Procesos de capacitación ejecutados</t>
  </si>
  <si>
    <t>FACULTAD DE PROCESOS INDUSTRIALES</t>
  </si>
  <si>
    <t>Tiquetes Participación experto internacional en X Congreso de gestión del Conocimiento en Ingeniería</t>
  </si>
  <si>
    <t xml:space="preserve">Alojamiento experto internacional en X Congreso Internacional en gestión del conocimiento en Ing. </t>
  </si>
  <si>
    <t>V Encuentro de la red de programa de ingeniería Industrial</t>
  </si>
  <si>
    <t>Eventos con egresados</t>
  </si>
  <si>
    <t>Evento fortaleciemiento habilidades y competencias egresados facultad Procesos</t>
  </si>
  <si>
    <t>PE-4- Modelo de gestión académica curricular soportada en resultados de
aprendizaje y competencias</t>
  </si>
  <si>
    <t xml:space="preserve">Formulación e implementación </t>
  </si>
  <si>
    <t>Reunión docentes facultad para mejora curricular del programa</t>
  </si>
  <si>
    <t xml:space="preserve">Actualización </t>
  </si>
  <si>
    <t>Revisar y actualizar los documentos maestros del programa ingenieria en procesos farmaceuticos por ciclos, con fines de solicitud del registro calificado</t>
  </si>
  <si>
    <t>Documentos actualizados</t>
  </si>
  <si>
    <t xml:space="preserve">Perfeccionamiento del contrato y ejecución </t>
  </si>
  <si>
    <t>Apoyo a la gestión en la Decanatura de Procesos Industriales</t>
  </si>
  <si>
    <t>Ejecucióin contractual</t>
  </si>
  <si>
    <t>PE-9-  Tecnologías de información y comunicaciones al servicio de la academia y la ciencia</t>
  </si>
  <si>
    <t xml:space="preserve">Fortalecimiento tecnológico </t>
  </si>
  <si>
    <t>Renovación licencia FlexSim</t>
  </si>
  <si>
    <t xml:space="preserve">Por confirmar </t>
  </si>
  <si>
    <t>Capacitación en manejo de software especializado Flexsim (por 3 asistentes)</t>
  </si>
  <si>
    <t>Capacitación en manejo de software especializado Flexsim 2 (por 3 asistentes)</t>
  </si>
  <si>
    <t xml:space="preserve"> PE-18- Fortalecimiento permanente en Competencias en investigación, ciencia, tecnología e innovación en la ETITC   </t>
  </si>
  <si>
    <t xml:space="preserve">ME-43- Diseñar  e implementar  un Programa de capacitación permanente para la Investigación, Ciencia, Tecnología e Innovación y de fortalecimiento de la investigación en la ETITC. </t>
  </si>
  <si>
    <t>Programa de capacitación permanente implementado</t>
  </si>
  <si>
    <t>Certificación Lean Mangement como opción de grado</t>
  </si>
  <si>
    <t xml:space="preserve">PE-21- Proyección Social más allá de las fronteras
</t>
  </si>
  <si>
    <t>Fortalecimiento curricular</t>
  </si>
  <si>
    <t>Oferta de cursos, propuestos por la facultad a la Oficina de extension. e-learning FlexSim</t>
  </si>
  <si>
    <t>Programas de proyección social estructurados</t>
  </si>
  <si>
    <t>ME-70-  Estructurar  y gestionar el registro de   Pregrado en Ingeniería Ambiental por ciclos.</t>
  </si>
  <si>
    <t>Diseño y formulación</t>
  </si>
  <si>
    <t>Diseño y construcción de los nuevos plan de estudios a nivel de pregrado. Ingenieria Ambiental.</t>
  </si>
  <si>
    <t>Porcentaje Registro del pregrado en Ingeniería Ambiental por ciclos alcanzado</t>
  </si>
  <si>
    <t xml:space="preserve">Diseño y construcción del nuevo programa </t>
  </si>
  <si>
    <t>FACULTAD DE MECÁNICA</t>
  </si>
  <si>
    <t>PE- 12- Internacionalización para ampliar fronteras del conocimiento</t>
  </si>
  <si>
    <t>Movilidades Nacionales. Inscripiciones, pasajes,  y auxilio de viaje,(estudiantes y/o profesores)</t>
  </si>
  <si>
    <t>Participación en el concurso de vehiculo de tracción humana VTH</t>
  </si>
  <si>
    <t>Porcentaje de implementación de la politica Institucional de internacionalización y coperación nacional e internacional</t>
  </si>
  <si>
    <t>Participación en eventos de movilidad académica</t>
  </si>
  <si>
    <t>Participación en el concurso de  vehiculo tracción eléctrica VTE.</t>
  </si>
  <si>
    <t>Movilidades para docentes y estudiantes</t>
  </si>
  <si>
    <t xml:space="preserve">Participación y  asistencia  en encuentro con redes Acofi, Congreso Acofi, asistencia a eventos nacionales e internacionals en representación de la ETITC) </t>
  </si>
  <si>
    <t>Seminarios en gestión  del   mantenimiento, Ensayos No destructivos, estimación de la vida residual de calderas y recipientes a presión</t>
  </si>
  <si>
    <t>ME-69- Estructurar y gestionar el registro de Pregrado en Ingeniería Agrícola por ciclos</t>
  </si>
  <si>
    <t xml:space="preserve">Proceso de calidad </t>
  </si>
  <si>
    <t xml:space="preserve">Surtir el proceso para solicitar el registro calificado del pregrado en ingenieria Agricola por ciclos </t>
  </si>
  <si>
    <t>Porcentaje Registro del pregrado en Ingeniería Agrícola por ciclos alcanzado</t>
  </si>
  <si>
    <t xml:space="preserve">Documentos que soporten el proceso de solicitud del registro calificado </t>
  </si>
  <si>
    <t>FACULTAD DE SISTEMAS</t>
  </si>
  <si>
    <t>Perfeccionamiento y desarrollo del contrato</t>
  </si>
  <si>
    <t>Convocatoria y desarrollo de las sesiones</t>
  </si>
  <si>
    <t>Reunión Gestión Curricular</t>
  </si>
  <si>
    <t>Sesiones realizadas</t>
  </si>
  <si>
    <t>Actualizar el PEP de la facultad</t>
  </si>
  <si>
    <t>PEP de la Facultad de Sistemas actualizados</t>
  </si>
  <si>
    <t xml:space="preserve">Formación y capacitación </t>
  </si>
  <si>
    <t xml:space="preserve">Proceso de formación realizado </t>
  </si>
  <si>
    <t>Formación complementaria - profesores de la facultad.</t>
  </si>
  <si>
    <t>Proceso de capacitación realizado</t>
  </si>
  <si>
    <t>Proyecto Articulador</t>
  </si>
  <si>
    <t>Proyecto Articulador diseñado e implementado</t>
  </si>
  <si>
    <t>Seminario de ingeniería de Sistemas</t>
  </si>
  <si>
    <t>Actiivdad realizada</t>
  </si>
  <si>
    <t>Evento, fortaleciemiento habilidades y competencias egresados facultad</t>
  </si>
  <si>
    <t>Evento realizado</t>
  </si>
  <si>
    <t>PE-12- Internacionalización para ampliar fronteras del conocimiento</t>
  </si>
  <si>
    <t>Movilidades Nacionales. Inscripiciones, pasajes,  y viaticos</t>
  </si>
  <si>
    <t>Encuetro Nacional REDIS - Redde decanos y directores de Ingeniería de Sistemas</t>
  </si>
  <si>
    <t>Grabación de eventos, y documentos que verifiquen la participación en eventos de movilidad académica</t>
  </si>
  <si>
    <t>EHSP 2021 Internacional</t>
  </si>
  <si>
    <t>Sede - Circuitos de maratones</t>
  </si>
  <si>
    <t>Inscripción de equipos Maratón nacional de programación</t>
  </si>
  <si>
    <t>Renovación</t>
  </si>
  <si>
    <t>Renovación licencia Enterprise Archictect</t>
  </si>
  <si>
    <t>Renovación adquirida</t>
  </si>
  <si>
    <t>Kits de informática forense (3) y formación</t>
  </si>
  <si>
    <t>Instrumento adquirido</t>
  </si>
  <si>
    <t>Fase II - Laboratorio de IA y Ciencia de Datos</t>
  </si>
  <si>
    <t>Fase II completada</t>
  </si>
  <si>
    <t>PE-14- Nuevos programas  de pregrado y posgrado</t>
  </si>
  <si>
    <t>ME-29-  Lograr  al 2023 el Registro Calificado de 1 Especialización Profesional, 1 Especialización Tecnológica, al 2024, 1 carrera profesional por ciclos y 1 Maestría.</t>
  </si>
  <si>
    <t>Desarrollo contractual</t>
  </si>
  <si>
    <t>Diseño y construcción del programa de Maestría relacionada con Seguirdad Informática (Estudio de Factibilidad)</t>
  </si>
  <si>
    <t>Documento elaborados</t>
  </si>
  <si>
    <t>Convocatoria, perfeccionamiento y desarrollo contractual</t>
  </si>
  <si>
    <t>Diseño y construcción del programa de Maestría relacionada con Seguirdad Informática (Documento mestro y anexos)</t>
  </si>
  <si>
    <t>FACULTAD DE ESPECIALIZACIONES</t>
  </si>
  <si>
    <t>Diseño y construcción de todos los documentos y anexos necesarios para las tres (3) nuevas especializaciones (cambio de caracter académico)</t>
  </si>
  <si>
    <t>Documentos diseñados y estructurados</t>
  </si>
  <si>
    <t>OE-10-Establecer un nuevo acuerdo ambiental mediante una
política institucional ambiental y la catedra institucional
en la ETITC.</t>
  </si>
  <si>
    <t>PE-26- Actualización de la infraestructura física, cumpliendo normativas aplicables y generando espacios adecuados para el desarrollo de actividades académicas y de bienestar en un el marco de la sostenibilidad</t>
  </si>
  <si>
    <t>ME-68- Gestionar las dotaciones de las instalaciones y sede principal para la permanencia y aumento de la oferta</t>
  </si>
  <si>
    <t>Ambiente especializado de aprendizaje y ensayos de Lubricación: Compra de elementos laboratorio, Formación docentes, Adecuación espacios</t>
  </si>
  <si>
    <t>Equipos instalados y entregados</t>
  </si>
  <si>
    <t>Porcentaje de las dotaciones nuevas instaladas y mantenimiento de las dotaciones existentes</t>
  </si>
  <si>
    <t>BIBLIOTECA Y MEDIOS EDUCATIVOS</t>
  </si>
  <si>
    <t>Actualización y mejoramiento</t>
  </si>
  <si>
    <t>Prestación de servicios para el correcto funcionamiento del área</t>
  </si>
  <si>
    <t>Renovación de contenidos y servicios   para la Biblioteca Digital E-Books 7-24, como apoyo a las actividades académicas e investigación de la comunidad en general durante doce (12).  Editorial Pearsons</t>
  </si>
  <si>
    <t>Renovación ejecutada</t>
  </si>
  <si>
    <t xml:space="preserve">Renovación de contenidos y servicios   para la Biblioteca Digital E-Books 7-24, como apoyo a las actividades académicas e investigación de la comunidad en general durante doce (12).  Editorial mc. Graw Hill </t>
  </si>
  <si>
    <t>Renovación Servicio Especializado de Metabiblioteca (servidor en internet modalidad cloud services) de los Sistemas Koha, OJS, Dspace y la implementacion del sistema Metaproxy, Soportes Digitales de Información.</t>
  </si>
  <si>
    <t>Renovación anual de diarios nacionales El TIEMPO, ESPECTADOR PORTAFOLIO y revista
SEMANA</t>
  </si>
  <si>
    <t>Digitalización Proyectos de Grado para Repositorio Institucional</t>
  </si>
  <si>
    <t>Digitalización realizada</t>
  </si>
  <si>
    <t>Actualización de material bibliográfico impreso</t>
  </si>
  <si>
    <t>Elementos bibliograficos adquiridos</t>
  </si>
  <si>
    <t>Adquisición de elementos: 
*Cámara fotográfica Nikon D5600 con lente 18-55 VR
*Impresora Color Duplex Carnets
*1. Cinta Color frente y Negro Reverso
*Cinta de laminado con holograma
*Cinta transparente laminado
*Tarjetas Blancas Calibre 30</t>
  </si>
  <si>
    <t>Servicio de mantenimiento para: 
Preventivo Video Beam
Preventivo Impresora Color Duplex Carnets</t>
  </si>
  <si>
    <t xml:space="preserve">Mantenimientos realizados </t>
  </si>
  <si>
    <t>Los Institucional: La transformación cultural de la ETITC</t>
  </si>
  <si>
    <t>PE-9 Tecnologías de información y comunicaciones al servicio de la academia y la ciencia</t>
  </si>
  <si>
    <t>ME-17 Adecuar las capacidades tecnológicas para atender las necesidades de los procesos misionales.</t>
  </si>
  <si>
    <t>3. Mantenimiento de laboratorios  ETITC</t>
  </si>
  <si>
    <t>Mantenimiento de horno de inducción y mexcladora de rulos (Fundición)</t>
  </si>
  <si>
    <t xml:space="preserve">Mantenimiento realizado </t>
  </si>
  <si>
    <t>Mantenimiento de equipos de laboratorio quimica y fisica  tales como fuentes de energia  dc y ac,  microscopios binoculares y monoculares de tres objetivos , balanzas electronicas.</t>
  </si>
  <si>
    <t>Mantenimiento de las impresoras del taller de diseño</t>
  </si>
  <si>
    <t>Mantenimiento preventivo, correctivo y calibración de los equipos del taller de electrónica.</t>
  </si>
  <si>
    <t>Mantenimiento preventivo, correctivo de equipos y maquinaria del taller de Metalisteria</t>
  </si>
  <si>
    <t>Mantenimiento y calibración para los equipos del taller de Motores, para el desarrollo de las clases teorico-practicas en apoyo a IBTI, PES y extensión y desarrollo</t>
  </si>
  <si>
    <t xml:space="preserve">Mantenimiento y calibración de: Motores monofasicos, trifasicos, transformadores monofasicos y trifasicos, torrecilla para medidas y máquinas electrícas DL 1013M3, multimetros, osciloscopios, módulos inductivos, capacitivos y resistivos DL Lorenzo, cámara termográfica, analizador de redes, variacs. </t>
  </si>
  <si>
    <t>Mantenimiento preventivo y correctivo y calibración de los equipos:
1. Taller de Mecánica
2. Taller de Automatización industrial
3.Taller de FAB LAB
4. Taller de insustria 4.0
5.Taller instalaciones eléctricas B.T.
6.Taller de domótica
7. taller de tratamientos térmicos.</t>
  </si>
  <si>
    <t>4. Adquisición de elementos e insumos para los laboratorios ETITC</t>
  </si>
  <si>
    <t>Adquisición de insumos para: 
1. Taller de fundición
2. laboratorio de sistemas
3. Taller de diseño</t>
  </si>
  <si>
    <t>Suministro de insumos y materiales.
Taller de Motores.
taller de electricidad
taller de Mecánica
taller de FAB LAB
taller de Insustria 4.0
taller de Automatización industrial
taller de Instalaciones eléctricas de B.T.
taller de Domótica
taller de Tratamientos térmicos</t>
  </si>
  <si>
    <t xml:space="preserve">Adquisición de equipos de laboratorio para física y química  </t>
  </si>
  <si>
    <t>Compra venta de equipos de instrumentación como apoyo a las actividades academicas para los estudiantes de IBTI y PES de talleres y Laboratorios del taller de electrónica.</t>
  </si>
  <si>
    <t>Suministro de insumos para el desarrollo de las actividades academico tecnicas  de los PES, IBTI y Programas de extension del taller de Metalisteria</t>
  </si>
  <si>
    <t xml:space="preserve">7. Diseño, estructuración, implementación  y seguimiento del laboratorio </t>
  </si>
  <si>
    <t>Modernización Taller metalistería/Soldadura</t>
  </si>
  <si>
    <t>Taller modernizado</t>
  </si>
  <si>
    <t xml:space="preserve">2. Diseño de estructuración, implementación y seguimiento del laboratorio </t>
  </si>
  <si>
    <t>Organizar el espacio adecuado para el "Laboratorio de Metrología"</t>
  </si>
  <si>
    <t xml:space="preserve">Espacios adecuados </t>
  </si>
  <si>
    <t>1. Implementación del Sistema de Información</t>
  </si>
  <si>
    <t>Implementar un sistema de información y estadística de consulta y reporte en tiempo real que permita</t>
  </si>
  <si>
    <t xml:space="preserve">Sistema Implementado </t>
  </si>
  <si>
    <t>Presentación digital de los talleres y laboratorios</t>
  </si>
  <si>
    <t xml:space="preserve">6. Diseño, estructuración, implementación  y seguimiento del laboratorio </t>
  </si>
  <si>
    <t>Modernización taller de fundición</t>
  </si>
  <si>
    <t xml:space="preserve">5. Diseño, estructuración, implementación  y seguimiento del laboratorio </t>
  </si>
  <si>
    <t>Laboratorio de vehículos eléctricos</t>
  </si>
  <si>
    <t xml:space="preserve">Laboratorio estructurado y en funcionamiento </t>
  </si>
  <si>
    <t xml:space="preserve">Desarrollo Integral de los Talleres y Laboratorios </t>
  </si>
  <si>
    <t>Interventoría proyectos especiales</t>
  </si>
  <si>
    <t>Contratación Laboratoristas</t>
  </si>
  <si>
    <t xml:space="preserve">OE-5- Consolidar la infraestructura física de la Escuela para el desarrollo de la academia y la consolidación
de las nuevas apuestas institucionales. </t>
  </si>
  <si>
    <t>INSTALACIONES KENNEDY</t>
  </si>
  <si>
    <t>PE-13- Gestión integral de inmuebles</t>
  </si>
  <si>
    <t>ME-26 Formular el plan de administración e intervención  de las instalaciones en comodato Localidad Kennedy</t>
  </si>
  <si>
    <t xml:space="preserve">Diagnóstico, implemnetación y ejecución </t>
  </si>
  <si>
    <t>Diagnóstico de necesidades de mantenimiento de la infraestructura eléctrica de las instalaciones del Tintal y Carvajal -  Contratación de un profesional que brinde el apoyo en el mantenimiento del sistema eléctrico del Tintal y Carvajal.</t>
  </si>
  <si>
    <t>Porcentaje de formulación del Plan de administración e intervención de las instalaciones en comodato.</t>
  </si>
  <si>
    <t>Diagnóstico realizado</t>
  </si>
  <si>
    <t>Mantener las instalaciones de Kennedy en óptimas condiciones.</t>
  </si>
  <si>
    <t xml:space="preserve">Diagnóstico de necesidadedes para el  desarrollo de las actividades misionales de las instalaciones Tintal y Carvajal -  Contratación de cuatro profesionales que brinden el  servicio en el área de enfermeria Carvajal , psicología, tallerista medios audiovisuales, apoyo talleres y laboratorios  y biblioteca. </t>
  </si>
  <si>
    <t>Diagnóstico de necesidades de mantenimiento de la infraestructura locativa de las instalaciones del Tintal y Carvajal -  Contratación de un profesional que brinde el apoyo en el mantenimiento locativo.</t>
  </si>
  <si>
    <t>Porcentaje de ejecución del Plan de administración e intervención de las instalaciones en comodato.</t>
  </si>
  <si>
    <t>Dotar los talleres y laboratorios de las instalaciones Kennedy</t>
  </si>
  <si>
    <t>Diagnóstico de la necesidad estratégica,implementación - estudio de mercado. Ejecución- compra de los elementos y reclutamiento de un profesional para soporte tecnológico.</t>
  </si>
  <si>
    <t>VICERRECTORIA ACADÉMICA</t>
  </si>
  <si>
    <t>VICERRECTORIA DE INVESTIGACIÓN EXTENSIÓN Y TRANSFERENCIA</t>
  </si>
  <si>
    <t>Los social: Un acuerdo para lo fundamenta</t>
  </si>
  <si>
    <t>PE. 17 Centro de Pensamiento y Desarrollo Tecnológico</t>
  </si>
  <si>
    <t xml:space="preserve">ME-38 Elaborar los estudios de prefactibilidad, justificación técnica, el diagnóstico de recursos humanos,  financieros y disponibilidad de infraestructura  y tecnología de la información, vinculadas a las actividades de investigación, desarrollo e innovación del Centro de Pensamiento y Desarrollo Tecnológico </t>
  </si>
  <si>
    <t>Actividades de  prefactibilidad</t>
  </si>
  <si>
    <t>Estudios de prefactibilidad</t>
  </si>
  <si>
    <t xml:space="preserve">Informes realizados </t>
  </si>
  <si>
    <t>ME-40 Establecer la red institucional y de alianzas estratégicas del Centro con los respectivos sosportes que los respalde</t>
  </si>
  <si>
    <t>Actividades de red institucional</t>
  </si>
  <si>
    <t xml:space="preserve">Lineas de investigación y focos estratégicos definidos </t>
  </si>
  <si>
    <t>Actividades de Coordinación del proyecto (Contrato prestación servicios)</t>
  </si>
  <si>
    <t xml:space="preserve">Actividades de acompañamiento y asesoria del Centro de Pensamiento (Contrato prestación de servicios) </t>
  </si>
  <si>
    <t>PE. 18. Fortalecimiento Permanente en Competencias en Investigación, Ciencia, Tecnología e Innovación en la ETITC</t>
  </si>
  <si>
    <t>ME-43- Diseñar  e implementar  un Programa de capacitación permanente para la Investigación, Ciencia, Tecnología e Innovación y de fortalecimiento de la investigación en la ETITC.</t>
  </si>
  <si>
    <t>Curso de redacción de artículos</t>
  </si>
  <si>
    <t>Programa de capacitaciones permanente implementado</t>
  </si>
  <si>
    <t>Informe de capacitación</t>
  </si>
  <si>
    <t xml:space="preserve">Curso de formulación de proyectos </t>
  </si>
  <si>
    <t xml:space="preserve">Curso de capacitación en vigilancia tecnológica 
</t>
  </si>
  <si>
    <t>Renovación  y capacitación en  base de datos  Web Of Science</t>
  </si>
  <si>
    <t>Resolucion renovación
Informe</t>
  </si>
  <si>
    <r>
      <t>Capacitación en temáticas de propiedad intelectual   y derechos de autor</t>
    </r>
    <r>
      <rPr>
        <sz val="14"/>
        <color rgb="FFFF0000"/>
        <rFont val="Calibri"/>
        <family val="2"/>
        <scheme val="minor"/>
      </rPr>
      <t xml:space="preserve">
</t>
    </r>
  </si>
  <si>
    <t>Informe</t>
  </si>
  <si>
    <t xml:space="preserve">Renovación y capacitación de la herramienta Turnitin </t>
  </si>
  <si>
    <t xml:space="preserve">ME. 44. Diseñar  e implementar  un Programa de fortalecimiento de grupos de investigación y ampliación de las modalidades de investigación. </t>
  </si>
  <si>
    <t>Actividades de gestión de investigación estudiantil  (Contrato Prestación de servicios)</t>
  </si>
  <si>
    <t xml:space="preserve">Programa de fortalecimiento de grupos y de investigación implementado </t>
  </si>
  <si>
    <t>Actividades de gestión de apoyo a la investigación y apoyo a grupos   (Contrato Prestación de servicios)</t>
  </si>
  <si>
    <t xml:space="preserve">Convocatorias 09 -2021 y 10-2022  Financiación  proyectos de investigación para grupos  </t>
  </si>
  <si>
    <t>Proyectos de investigación</t>
  </si>
  <si>
    <t xml:space="preserve">Convocatoria 02   Proyectos Disciplinares </t>
  </si>
  <si>
    <t>Proyectos disciplinares</t>
  </si>
  <si>
    <t>II Encuentro Institucional Docentes investigadores</t>
  </si>
  <si>
    <t xml:space="preserve">Participantes </t>
  </si>
  <si>
    <t xml:space="preserve">Conmemoración dia del investigador </t>
  </si>
  <si>
    <t>informe</t>
  </si>
  <si>
    <t xml:space="preserve">Participación convocatorias externas de proyectos de investigación  ( Convenio SUE-) </t>
  </si>
  <si>
    <t>Proyectos aprobados</t>
  </si>
  <si>
    <t>Afiliación a Redcolsi</t>
  </si>
  <si>
    <t>Resolución Membresía</t>
  </si>
  <si>
    <t>IX Campamento de Semilleros de Investigación</t>
  </si>
  <si>
    <t xml:space="preserve">Informe </t>
  </si>
  <si>
    <t>Encuentro Nodo Bogotá RedColsi</t>
  </si>
  <si>
    <t>Encuentro Nacional RedColsi</t>
  </si>
  <si>
    <t>XI Encuentro Institucional de Semilleros de Investigación</t>
  </si>
  <si>
    <t>INNOVACIÓN</t>
  </si>
  <si>
    <t>PE-19 Innovaciòn para el fortalecimiento institucional y el desarrollo social</t>
  </si>
  <si>
    <t>ME-45 Implementar programa de transferencia de conocimiento ( fortalecer la visibilidad e impacto del conocimiento según los resultados de investiación gerado por la activida científica, tecnológica, académica, social e industrial de la ETITC</t>
  </si>
  <si>
    <t>Actividades de gestión de Innovación (Contrato prestación de servicios)</t>
  </si>
  <si>
    <t>Programa de transfarencias de conocimiento implementado</t>
  </si>
  <si>
    <t>II Convocatoria Acompañamiento emprendimientos de Base Tecnológica</t>
  </si>
  <si>
    <t>ME. 47. Fortalecer las redes de innovación y alianzas estratégicas de cooperación con otros actores del Sistema Nacional de Ciencia Tecnología e Innovación – SNCTI, sector público, privado y academia para actividades de Investigación, Desarrollo e Innovación - I+D+i.</t>
  </si>
  <si>
    <t xml:space="preserve">
I Encuentro Red de investigación e innovación de la ETITC</t>
  </si>
  <si>
    <t>II Encuentro de Mujeres</t>
  </si>
  <si>
    <t>Publicación en revista científica (APC)</t>
  </si>
  <si>
    <t>Articulos</t>
  </si>
  <si>
    <t xml:space="preserve">Afiliación de investigadores a asociaciones y redes de investigación </t>
  </si>
  <si>
    <t>Pago de anualidad de la Patente Prensa de Alacrán con Tensor de Trinquete en la SIC</t>
  </si>
  <si>
    <t xml:space="preserve">Mantenimiento de la Patente Prensa de Alacrán con Tensor de Trinquete </t>
  </si>
  <si>
    <t>ME. 48. Diseñar y estructurar el Observatorio Tecnológico y de Innovación de la ETITC</t>
  </si>
  <si>
    <t xml:space="preserve">Identificación, proyección y protección de productos de investigación con potencial tecnológico y empresarial </t>
  </si>
  <si>
    <t>Inventario productos</t>
  </si>
  <si>
    <t>Diseño del Observatorio tecnológico y de innovación</t>
  </si>
  <si>
    <t>ME-49 Gestionar y crear el proyecto editorial de la Escuela Tecnológica Instituto  Técnico Central</t>
  </si>
  <si>
    <t>Convocatoria Revista Letras ConCiencia TecnoLógica</t>
  </si>
  <si>
    <t xml:space="preserve">Revisión pares 
</t>
  </si>
  <si>
    <t>III Convocatoria Cuadernos ETITC</t>
  </si>
  <si>
    <t>Adquision ISBN</t>
  </si>
  <si>
    <t>Gestión del proceso editorial  (Contrato prestación de servicios)</t>
  </si>
  <si>
    <t>Boletines  ETITC</t>
  </si>
  <si>
    <t>Adquision DOI</t>
  </si>
  <si>
    <t>PE-21- Proyección Social más allá de las fronteras</t>
  </si>
  <si>
    <t>ME-55- Realizar convenios que permitan la participación en convocatorias que den respuesta a comunidades vulnerables.</t>
  </si>
  <si>
    <t>Realizar convenios que permitan la participación en convocatorias que den respuesta a comunidades vulnerables.</t>
  </si>
  <si>
    <t>Convenios reaiizados con comunidades vulnerables</t>
  </si>
  <si>
    <t>Convenios suscritos</t>
  </si>
  <si>
    <t>PE-20- Centro de Capacitación Industrial  como espacio de cualificación  para la empleabilidad a inmediato plazo.</t>
  </si>
  <si>
    <t xml:space="preserve">Crear vinculos estrategicos con empresas del sector </t>
  </si>
  <si>
    <t xml:space="preserve">Vinculos creados </t>
  </si>
  <si>
    <t xml:space="preserve">Incripciones a capacitaciones y eventos nacionales e internacionales </t>
  </si>
  <si>
    <t>Inscripciones realizadas</t>
  </si>
  <si>
    <t xml:space="preserve">Visitar empresas e instituciones </t>
  </si>
  <si>
    <t xml:space="preserve">visitas realziadas </t>
  </si>
  <si>
    <t xml:space="preserve">Participación en ferias institucionales y eventos académicos
</t>
  </si>
  <si>
    <t>Certificados de participación</t>
  </si>
  <si>
    <t>ME-51.- Gestionar la oferta de asignaturas para procesos de cualificación como herramienta al mundo laboral y/o homologación e inserción en la educación Superior</t>
  </si>
  <si>
    <t xml:space="preserve">Aumentar las ofertasde asignaturas a los estudiantes PES.
</t>
  </si>
  <si>
    <t>Número asignaturas ofertadas para procesos de cualificación</t>
  </si>
  <si>
    <t>Asignaturas diseñadas y ofertadas</t>
  </si>
  <si>
    <t>Desarrollar la asignatura de comunicación oral y escrita (54 horas) en el curso pre ingeniero durante el primer semestre de 2022.</t>
  </si>
  <si>
    <t>Ejecucción Contractual</t>
  </si>
  <si>
    <t>Desarrllar la asignatura de dibujo técnico (54 horas) en el curso pre ingeniero durante el primer semestre de 2022</t>
  </si>
  <si>
    <t>Desarrollar la asignatura de matemáticas básicas (108 horas) en el curso pre ingeniero durante el primer semestre de 2022</t>
  </si>
  <si>
    <t>Desarrollar la asignatura de principios de física (108 horas) en el curso pre ingeniero durante el primer semestre de 2022</t>
  </si>
  <si>
    <t>Desarrollando la asignatura de dibujo técnico (54 horas) en el curso pre ingeniero durante el segundo semestre de 2022.</t>
  </si>
  <si>
    <t>Desarrollar la asignatura de comunicación oral y escrita (54 horas) en el curso pre ingeniero durante el segundo semestre de 2022.</t>
  </si>
  <si>
    <t>Desarrollar la asignatura de matemáticas básicas (108 horas) en el curso pre ingeniero durante el segundo semestre de 2022</t>
  </si>
  <si>
    <t>Desarrollar la asignatura de principios de física (108 horas) en el curso pre ingeniero durante el segundo semestre de 2022</t>
  </si>
  <si>
    <t xml:space="preserve">Desarrollar la certificación automatización industrial 120 horas primer semestre
</t>
  </si>
  <si>
    <t>Desarrollar la certificación automatización industrial intersementral</t>
  </si>
  <si>
    <t xml:space="preserve">Desarrollar la certificación automatización industrial 120 horas segundo semestre
</t>
  </si>
  <si>
    <t>Desarrollar la certificación manufactura esbelta industria 4.0 primer semestre</t>
  </si>
  <si>
    <t>Desarrollar la certificación manufactura esbelta industria 4.0 segundo semestre</t>
  </si>
  <si>
    <t xml:space="preserve">
Desarrollar la certificación F.A.C.T.
</t>
  </si>
  <si>
    <t>Desarrollar la certificación CIROS</t>
  </si>
  <si>
    <t>Desarrollar la certificación en instalaciones eléctricas primer semestre</t>
  </si>
  <si>
    <t>Desarrollar la certificación en instalaciones eléctricas segundo semestre</t>
  </si>
  <si>
    <t>Desarrollar la certificación en lean management primer semestre</t>
  </si>
  <si>
    <t>Desarrollar la certificación en lean management segundo semestre</t>
  </si>
  <si>
    <t>Desarrollando el diplomado de 120 horas</t>
  </si>
  <si>
    <t>Desarrollando el diplomado de 100 horas</t>
  </si>
  <si>
    <t xml:space="preserve">Desarrollar curso libre de 20 horas
</t>
  </si>
  <si>
    <t xml:space="preserve">Desarrollar curso libre de 30 horas
</t>
  </si>
  <si>
    <t xml:space="preserve">Desarrollar curso libre de 40 horas
</t>
  </si>
  <si>
    <t xml:space="preserve">Desarrollar curso libre de 50 horas
</t>
  </si>
  <si>
    <t xml:space="preserve">Desarrollar curso libre de 60 horas
</t>
  </si>
  <si>
    <t>Desarrollar curso a la medida de 20 horas</t>
  </si>
  <si>
    <t>Desarrollar curso a la medida de 30 horas</t>
  </si>
  <si>
    <t>Desarrollar curso a la medida de 40 horas</t>
  </si>
  <si>
    <t>Desarrollar curso a la medida de 50 horas</t>
  </si>
  <si>
    <t>Desarrollar curso a la medida de 60 horas</t>
  </si>
  <si>
    <t xml:space="preserve">Adquisición de elementos:
Libretas, cuadernos, memorias, esferos, pendones, exhibidores, puntos de atencion, bolsas, resmas. 
</t>
  </si>
  <si>
    <t>Adquisición de equipos: Impresora computadores de mesa,  portatiles y pantallas inteligentes hibridos</t>
  </si>
  <si>
    <t>ME-52- Diseñar y estructurar oferta de articulación</t>
  </si>
  <si>
    <t>Realizar acciones estrategicas para suscribir acuerdos con colegios</t>
  </si>
  <si>
    <t>Acuerdos suscritos</t>
  </si>
  <si>
    <t>ME-53- Identificar capacidades institucionales</t>
  </si>
  <si>
    <t>Llevar a cabo las actividades para la prestación del servicio educativos desde GITEPS</t>
  </si>
  <si>
    <t>Porcentaje de cumplimiento del plan anual de promoción de servicios</t>
  </si>
  <si>
    <t>Realizar actividades de Gestión de visibilidad institucional y oferta de servicios a nivel oficial, privado en el programa servimos de la función publica y en la liquidación del programa “reto a la u".</t>
  </si>
  <si>
    <t xml:space="preserve">Estratefias de visibilidad institucional realizadas </t>
  </si>
  <si>
    <t>Desarrollar actividades de marketing del grupo interno de trabajo extensión y proyección social.</t>
  </si>
  <si>
    <t xml:space="preserve">Actividades de marketing realziadas </t>
  </si>
  <si>
    <t>PE-3 Lenguas Extranjeras como oportunidad para la movilidad internacional</t>
  </si>
  <si>
    <t>ME-3 Desarrollar una política institucional de apropiación de una segunda lengua como parte activa de la gestión curricular y condición para la titulación en el nivel de ingeniería a partir del 2023.</t>
  </si>
  <si>
    <t>Prestación de servicios profesionales para el apoyo de los cursos de idiomas como técnico de apoyo a la gestión del área del centro de lenguas DEL GITEPS</t>
  </si>
  <si>
    <t>Prestación de servicios profesionalescomo instructor curso de inglés nivel A1 de 100 horas para primer semestre.</t>
  </si>
  <si>
    <t>Prestación de servicios profesionalescomo instructor para curso de inglés nivel A2 de 120 horas para primer semestre.</t>
  </si>
  <si>
    <t>Prestación de servicios profesionalescomo instructor para curso de inglés nivel A2 de 120 horas para primer semestre nocturno.</t>
  </si>
  <si>
    <t>Prestación de servicios profesionalescomo instructor curso de inglés nivel B1a de 100 horas para primer semestre.</t>
  </si>
  <si>
    <t>Prestación de servicios profesionalescomo instructor curso de inglés nivel B1a de 100 horas para primer semestre noctuno</t>
  </si>
  <si>
    <t>Prestación de servicios profesionalescomo instructor curso de inglés nivel B1b de 100 horas para primer semestre.</t>
  </si>
  <si>
    <t>Prestación de servicios profesionalescomo instructor curso de inglés nivel B2a de 100 horas para primer semestre.</t>
  </si>
  <si>
    <t>Prestación de servicios profesionalescomo instructor curso de inglés nivel B2b de 100 horas para primer semestre.</t>
  </si>
  <si>
    <t>Prestación de servicios profesionalescomo instructor curso de inglés nivel A1 de 100 horas para segundo semestre.</t>
  </si>
  <si>
    <t>Prestación de servicios profesionalescomo instructor para curso de inglés nivel A2 de 120 horas para segundo semestre.</t>
  </si>
  <si>
    <t>Prestación de servicios profesionalescomo instructor curso de inglés nivel B1a de 100 horas para segundo semestre.</t>
  </si>
  <si>
    <t>Prestación de servicios profesionalescomo instructor curso de inglés nivel B1b de 100 horas para segundo semestre.</t>
  </si>
  <si>
    <t>Prestación de servicios profesionalescomo instructor curso de inglés nivel B2a de 100 horas para segundo semestre.</t>
  </si>
  <si>
    <t>Prestación de servicios profesionalescomo instructor curso de inglés nivel B2b de 100 horas para segundo semestre.</t>
  </si>
  <si>
    <t>Prestación de servicios profesionalescomo instructor curso de francés nivel A1 de 100 horas para primer semestre.</t>
  </si>
  <si>
    <t>Prestación de servicios profesionalescomo instructor curso de francés nivel A2 de 120 horas para primer semestre.</t>
  </si>
  <si>
    <t>Prestación de servicios profesionalescomo instructor curso de francés nivel A1 de 100 horas para segundo semestre.</t>
  </si>
  <si>
    <t>Prestación de servicios profesionalescomo instructor curso de francés nivel A2 de 120 horas para segundo semestre.</t>
  </si>
  <si>
    <t>Prestación de servicios profesionalescomo instructor curso libre de alemán básico de 50 horas.</t>
  </si>
  <si>
    <t>Prestación de servicios profesionalescomo instructor curso libre de portugués básico de 50 horas.</t>
  </si>
  <si>
    <t>Prestación de servicios profesionalescomo instructor curso libre de portugués básico 1 de 50 horas.</t>
  </si>
  <si>
    <t>Adquisición  NTC 5550</t>
  </si>
  <si>
    <t>Elemento adquirido</t>
  </si>
  <si>
    <t>ME-54- Estructurar programa de oferta de servicios proyección social</t>
  </si>
  <si>
    <t xml:space="preserve"> Estructurar programa de oferta de servicios proyección social</t>
  </si>
  <si>
    <t>Proyecto estructurado</t>
  </si>
  <si>
    <t>Desarrollar las actividades propias para la inclusión de egresados (seguimiento, acompañamiento, eventos etc.)</t>
  </si>
  <si>
    <t>Prestación de servicios profesionales de apoyo a la gestión ejecutado actividades de apoyo al área de egresados del GITEPS</t>
  </si>
  <si>
    <t>Adquisición de elementos y equipos:
Computador- Celular institucional</t>
  </si>
  <si>
    <t>Elementos adquiridos</t>
  </si>
  <si>
    <t>Prestación de servicios docente curso actualización retie capacitación egresados 50 horas</t>
  </si>
  <si>
    <t>Mantenimiento bolsa de empleo</t>
  </si>
  <si>
    <t>Contratación de una persona con conocimiento en sistemas, e informes estadísticos, como apoyo para el desarrollo de estadísticas del observatorio laboral y encuestas realizadas a los egresados</t>
  </si>
  <si>
    <t>Estímulos y/o reconocimientos para egresados (souvenires, cursos por extensión, idiomas, descuentos, etc.)</t>
  </si>
  <si>
    <t>Estimulos entregados</t>
  </si>
  <si>
    <t>VICERRECTORÍA DE INVESTIGACIÓN, EXTENSIÓN Y TRANSFERENCIA</t>
  </si>
  <si>
    <t xml:space="preserve">TOTAL </t>
  </si>
  <si>
    <t>CLASIF. DE CONFIDENCIALIDAD</t>
  </si>
  <si>
    <t>CLASIF. DE INTEGRIDAD</t>
  </si>
  <si>
    <t>A</t>
  </si>
  <si>
    <t>CLASIF. DE DISPONIBILIDAD</t>
  </si>
  <si>
    <t>Nuevo Acuerdo Institucional, Social y Ambiental para la Consolidación de la Escuela</t>
  </si>
  <si>
    <t>E1-  LO INSTITUCIONAL: TRANSFORMACIÓN CULTURA DE LA ETITC</t>
  </si>
  <si>
    <t>SEGUIMIENTO PDI 2021 - 2024, 
VIGENCIA 2021</t>
  </si>
  <si>
    <t>1° TRIMESTRE ENERO - MARZO</t>
  </si>
  <si>
    <t>2° TRIMESTRE ABRIL - JUNIO</t>
  </si>
  <si>
    <t>3° TRIMESTRE JULIO - SEPTIEMBRE</t>
  </si>
  <si>
    <t>4° TRIMESTRE OCTUBRE- DICIEMBRE</t>
  </si>
  <si>
    <t>Item</t>
  </si>
  <si>
    <t>Sin Avance &gt;40%</t>
  </si>
  <si>
    <t>Con Avance =&lt;40%</t>
  </si>
  <si>
    <t>DEPENDENCIA</t>
  </si>
  <si>
    <t>ÁREA RESPONSABLE</t>
  </si>
  <si>
    <t>PROYECTOS</t>
  </si>
  <si>
    <t>METAS</t>
  </si>
  <si>
    <t>INDICADORES</t>
  </si>
  <si>
    <t>LINEA BASE</t>
  </si>
  <si>
    <t>META  2021</t>
  </si>
  <si>
    <t>AVANCE 2021</t>
  </si>
  <si>
    <t>META 2022</t>
  </si>
  <si>
    <t>CUATRIENIO</t>
  </si>
  <si>
    <t>AVANCE</t>
  </si>
  <si>
    <t>AVANCES VS META</t>
  </si>
  <si>
    <t>SEGUIMIENTO (DESCRIPCIÓN)</t>
  </si>
  <si>
    <t>Rectoría</t>
  </si>
  <si>
    <t>Aseguramiento de la calidad</t>
  </si>
  <si>
    <t>Vicerrectoría Administrativa y Financiera</t>
  </si>
  <si>
    <t>Vicerrectoría Académica</t>
  </si>
  <si>
    <t>Oficina Asesora de Planeación</t>
  </si>
  <si>
    <r>
      <rPr>
        <sz val="12"/>
        <color theme="1"/>
        <rFont val="Calibri Light"/>
        <family val="2"/>
      </rPr>
      <t>ME-6- Diseñar e implementar el Sistema Unificado de Información y Estadística (SUIE).</t>
    </r>
  </si>
  <si>
    <t>Oficina de Comunicaciones</t>
  </si>
  <si>
    <t xml:space="preserve">Talento Humano </t>
  </si>
  <si>
    <t xml:space="preserve">ME-8- Revisión de la  Estructura Organizacional que soporte las nuevas apuestas institucionales  
</t>
  </si>
  <si>
    <t>Propuesta de nueva estructura organizacional presentadas ante las entidades competentes.</t>
  </si>
  <si>
    <t>Índice de clima laboral</t>
  </si>
  <si>
    <t>Vicerrectoría de Investigación Extensión y Transferencia</t>
  </si>
  <si>
    <t>Egresados</t>
  </si>
  <si>
    <t xml:space="preserve">PE-7- Consolidación y aseguramiento del Talento Humano para el mejoramiento de las capacidades en las plantas administrativas y  docentes </t>
  </si>
  <si>
    <t xml:space="preserve">Vicerrectoría Administrativa y Financiera </t>
  </si>
  <si>
    <t>ME-13- Presentar ante la instancia competente la solicitud y cumplimiento de requisitos para el desarrollo de los procesos meritocráticos de la planta administrativa.</t>
  </si>
  <si>
    <t>ME-14- Adelantar los procesos meritocráticos de la planta docente.</t>
  </si>
  <si>
    <t>PE-8- Estructuración de la Carrera Docente</t>
  </si>
  <si>
    <t>ME-15- Organizar e implementar el sistema de plan de carrera de los profesores.</t>
  </si>
  <si>
    <t>Porcentaje de sistema de carrera docente implementado</t>
  </si>
  <si>
    <t xml:space="preserve"> IBTI</t>
  </si>
  <si>
    <t xml:space="preserve">Informática y comunicaciones </t>
  </si>
  <si>
    <t>Vicerrectoría Administrativa</t>
  </si>
  <si>
    <t>PE-11- Internacionalización para ampliar fronteras de conocimiento</t>
  </si>
  <si>
    <t>Gestión Documental</t>
  </si>
  <si>
    <t xml:space="preserve">ORII </t>
  </si>
  <si>
    <t xml:space="preserve">PE-12- Dar continuidad al Talento Humano integral en las plantas de personal </t>
  </si>
  <si>
    <t xml:space="preserve">PE-13- Gestión integral de inmuebles
</t>
  </si>
  <si>
    <t>ME-24- Englobar todos predios que integran la sede central.</t>
  </si>
  <si>
    <t>Porcentaje de englobe de los predios que integran la sede central.</t>
  </si>
  <si>
    <t>ME-25- Determinar el aprovechamiento del inmueble calle 18 a partir del POT aprobado.</t>
  </si>
  <si>
    <t>Porcentaje de ejecución de las intervenciones físicas.</t>
  </si>
  <si>
    <t>ME-26- Formular el Plan de administración e intervención de las instalaciones en comodato (localidad Kennedy).</t>
  </si>
  <si>
    <t>ME-27- Formular e implementar el modelo operativo de administración de inmuebles.</t>
  </si>
  <si>
    <t>ME-28 - Gestionar la consecución de un nuevo Campus para la Escuela.</t>
  </si>
  <si>
    <t>E2- LO SOCIAL : EDUCACIÓN SOCIALMENTE RESPONSABLE Y PERTINENTE</t>
  </si>
  <si>
    <t>SEGUIMIENTO PD1 2021 - 2024, 
VIGENCIA 2021</t>
  </si>
  <si>
    <t>Dependencia</t>
  </si>
  <si>
    <t>META 2021</t>
  </si>
  <si>
    <t xml:space="preserve">Vicerrectoría Académica </t>
  </si>
  <si>
    <r>
      <rPr>
        <b/>
        <sz val="12"/>
        <color theme="1"/>
        <rFont val="Calibri Light"/>
        <family val="2"/>
        <scheme val="major"/>
      </rPr>
      <t xml:space="preserve">PE-14- </t>
    </r>
    <r>
      <rPr>
        <sz val="12"/>
        <color theme="1"/>
        <rFont val="Calibri Light"/>
        <family val="2"/>
        <scheme val="major"/>
      </rPr>
      <t>Nuevos programas de pregrado y posgrado</t>
    </r>
  </si>
  <si>
    <t xml:space="preserve">ME-29-  Lograr  al 2023 el Registro Calificado de 1 Especialización Profesional, 1 Especialización Tecnológica, al 2024, 1 carrera profesional por ciclos y 1 Maestría.
</t>
  </si>
  <si>
    <t xml:space="preserve">ME-30-  Lograr al 2024, que el 50% de los programas con registro calificado en la modalidad presencial  esten convertidos a modalidad semipresencial (blended).
</t>
  </si>
  <si>
    <t>IBTI</t>
  </si>
  <si>
    <r>
      <t>PE-15-</t>
    </r>
    <r>
      <rPr>
        <sz val="12"/>
        <rFont val="Calibri Light"/>
        <family val="2"/>
        <scheme val="major"/>
      </rPr>
      <t xml:space="preserve">El IBTI y su papel significativo en la consolidación de la Escuela </t>
    </r>
  </si>
  <si>
    <t xml:space="preserve">ME-32 - Fortalecer el modelo educativo del bachillerato que permita aumentar cobertura, favorecer la permanencia y continuidad en la institución </t>
  </si>
  <si>
    <t>ME-33- Promover la estrategia de articulación  "de tu escuela a mi escuela y a mi universidad".</t>
  </si>
  <si>
    <t>1088</t>
  </si>
  <si>
    <t>Bienestar Universitario</t>
  </si>
  <si>
    <r>
      <rPr>
        <b/>
        <sz val="12"/>
        <color theme="1"/>
        <rFont val="Calibri Light"/>
        <family val="2"/>
        <scheme val="major"/>
      </rPr>
      <t xml:space="preserve">PE-16- </t>
    </r>
    <r>
      <rPr>
        <sz val="12"/>
        <color theme="1"/>
        <rFont val="Calibri Light"/>
        <family val="2"/>
        <scheme val="major"/>
      </rPr>
      <t xml:space="preserve"> Desarrollo integral y transformación social de la comunidad: bienestar comprometido con la permanencia</t>
    </r>
  </si>
  <si>
    <t>ME-35-Formular e implementar el Sistema de Registro Único de Seguimiento de Información y Acompañamiento (RUSIA) de la comunidad educativa de la Institución.</t>
  </si>
  <si>
    <t xml:space="preserve">33%
</t>
  </si>
  <si>
    <t>Vicerrectoría de Investigación, Extensión y Transferencia</t>
  </si>
  <si>
    <t>Innovación</t>
  </si>
  <si>
    <r>
      <rPr>
        <b/>
        <sz val="12"/>
        <color theme="1"/>
        <rFont val="Calibri Light"/>
        <family val="2"/>
        <scheme val="major"/>
      </rPr>
      <t xml:space="preserve">PE-17- </t>
    </r>
    <r>
      <rPr>
        <sz val="12"/>
        <color theme="1"/>
        <rFont val="Calibri Light"/>
        <family val="2"/>
        <scheme val="major"/>
      </rPr>
      <t xml:space="preserve"> Centro de Pensamiento y Desarrollo Tecnológico</t>
    </r>
  </si>
  <si>
    <t xml:space="preserve">ME-38- Elaborar los estudios de prefactibilidad, justificación técnica, el diagnóstico de Recursos Humanos, Financieros y Disponibilidad de Infraestructura y Tecnologías de la Información, vinculadas a las actividades de investigación, desarrollo e Innovación del Centro de Pensamiento y Desarrollo Tecnológico. </t>
  </si>
  <si>
    <t xml:space="preserve">Estudio de prefactibilidad </t>
  </si>
  <si>
    <t xml:space="preserve">ME-39- Definir  las líneas de investigación y focos estratégicos y de acción del Centro. </t>
  </si>
  <si>
    <t>Líneas de investigación y focos estratégicos definidos</t>
  </si>
  <si>
    <t>ME-40- Establecer la red institucional y de alianzas estrategicas del centro con los respectivos soportes que la respalden</t>
  </si>
  <si>
    <t>Red institucional definida</t>
  </si>
  <si>
    <t xml:space="preserve">ME-41- Formular el plan de mejoramiento de acuerdo a los crirterios de MinCiencias con sus respectivos informes y análisis. </t>
  </si>
  <si>
    <t>Plan de mejoramiento formulado</t>
  </si>
  <si>
    <r>
      <t>ME-42- Radicar la solicitud para el reconocimiento del Centro de Pensamiento y Desarrollo Tecnológico por parte de Minciencias.</t>
    </r>
    <r>
      <rPr>
        <i/>
        <sz val="12"/>
        <color rgb="FFFF0000"/>
        <rFont val="Calibri Light"/>
        <family val="2"/>
        <scheme val="major"/>
      </rPr>
      <t xml:space="preserve">  </t>
    </r>
  </si>
  <si>
    <t>Solicitud del reconocimiento</t>
  </si>
  <si>
    <t xml:space="preserve">Investigación </t>
  </si>
  <si>
    <r>
      <t xml:space="preserve"> </t>
    </r>
    <r>
      <rPr>
        <b/>
        <sz val="12"/>
        <color theme="1"/>
        <rFont val="Calibri Light"/>
        <family val="2"/>
        <scheme val="major"/>
      </rPr>
      <t xml:space="preserve">PE-18- </t>
    </r>
    <r>
      <rPr>
        <sz val="12"/>
        <color theme="1"/>
        <rFont val="Calibri Light"/>
        <family val="2"/>
        <scheme val="major"/>
      </rPr>
      <t xml:space="preserve">Fortalecimiento permanente en Competencias en investigación, ciencia, tecnología e innovación en la ETITC   </t>
    </r>
  </si>
  <si>
    <r>
      <rPr>
        <b/>
        <sz val="12"/>
        <color theme="1"/>
        <rFont val="Calibri Light"/>
        <family val="2"/>
        <scheme val="major"/>
      </rPr>
      <t xml:space="preserve"> PE-19</t>
    </r>
    <r>
      <rPr>
        <sz val="12"/>
        <color theme="1"/>
        <rFont val="Calibri Light"/>
        <family val="2"/>
        <scheme val="major"/>
      </rPr>
      <t xml:space="preserve">- Innovación para el </t>
    </r>
    <r>
      <rPr>
        <sz val="12"/>
        <color rgb="FFFF0000"/>
        <rFont val="Calibri Light"/>
        <family val="2"/>
        <scheme val="major"/>
      </rPr>
      <t xml:space="preserve"> </t>
    </r>
    <r>
      <rPr>
        <sz val="12"/>
        <color theme="1"/>
        <rFont val="Calibri Light"/>
        <family val="2"/>
        <scheme val="major"/>
      </rPr>
      <t>Fortalecimiento Institucional y el Desarrollo Social.</t>
    </r>
  </si>
  <si>
    <t>ME-45 -  Implementar programa de transferencia de conocimiento (Fortalecer la visibilidad e impacto del conocimiento según los resultados de investigación generado por la actividad científica, tecnológica, académica, social e industrial de la ETITC).</t>
  </si>
  <si>
    <t xml:space="preserve">ME-46- Implementar el programa Incubadora tecnológica: Identificación y proyección de productos de investigación con potencial tecnológico y empresarial (spin-off, star-up, patentes...).  </t>
  </si>
  <si>
    <t>Programa Incubadora tecnológica</t>
  </si>
  <si>
    <t xml:space="preserve">ME-48- Diseñar y estructurar el Observatorio Tecnológico y de Innovación de la ETITC. </t>
  </si>
  <si>
    <t xml:space="preserve">Observatorio Tecnológico y de Innovación de la ETITC. </t>
  </si>
  <si>
    <r>
      <rPr>
        <b/>
        <sz val="12"/>
        <rFont val="Calibri Light"/>
        <family val="2"/>
        <scheme val="major"/>
      </rPr>
      <t>ME-49-</t>
    </r>
    <r>
      <rPr>
        <sz val="12"/>
        <rFont val="Calibri Light"/>
        <family val="2"/>
        <scheme val="major"/>
      </rPr>
      <t xml:space="preserve"> Gestionar  y crear el Proyecto Editorial de la Escuela Tecnológica Instituto Técnico Central</t>
    </r>
  </si>
  <si>
    <t>Proyecto editorial creado</t>
  </si>
  <si>
    <t>Centro de Extensión</t>
  </si>
  <si>
    <r>
      <rPr>
        <b/>
        <sz val="12"/>
        <rFont val="Calibri Light"/>
        <family val="2"/>
        <scheme val="major"/>
      </rPr>
      <t xml:space="preserve">PE-20- </t>
    </r>
    <r>
      <rPr>
        <sz val="12"/>
        <rFont val="Calibri Light"/>
        <family val="2"/>
        <scheme val="major"/>
      </rPr>
      <t xml:space="preserve">Centro de Capacitación Industrial </t>
    </r>
    <r>
      <rPr>
        <strike/>
        <sz val="12"/>
        <rFont val="Calibri Light"/>
        <family val="2"/>
        <scheme val="major"/>
      </rPr>
      <t xml:space="preserve"> </t>
    </r>
    <r>
      <rPr>
        <sz val="12"/>
        <rFont val="Calibri Light"/>
        <family val="2"/>
        <scheme val="major"/>
      </rPr>
      <t>como espacio de cualificación  para la empleabilidad a inmediato plazo.</t>
    </r>
  </si>
  <si>
    <t>20 empresas</t>
  </si>
  <si>
    <t>Número de acuerdos suscritos con colegios</t>
  </si>
  <si>
    <r>
      <rPr>
        <b/>
        <sz val="12"/>
        <rFont val="Calibri Light"/>
        <family val="2"/>
        <scheme val="major"/>
      </rPr>
      <t xml:space="preserve">PE-21- </t>
    </r>
    <r>
      <rPr>
        <sz val="12"/>
        <rFont val="Calibri Light"/>
        <family val="2"/>
        <scheme val="major"/>
      </rPr>
      <t>Proyección Social más allá de las fronteras</t>
    </r>
  </si>
  <si>
    <t xml:space="preserve">25%
</t>
  </si>
  <si>
    <t>Convenios realizados con comunidades vulnerables</t>
  </si>
  <si>
    <t>AVANCE 1° TRIMESTRE</t>
  </si>
  <si>
    <t>AVANCE 2° TRIMESTRE</t>
  </si>
  <si>
    <t>AVANCE 3° TRIMESTRE</t>
  </si>
  <si>
    <t>AVANCE 4° TRIMESTRE</t>
  </si>
  <si>
    <t>Vicerrectoría de Investigación Extemsión y Transferencia</t>
  </si>
  <si>
    <t>E3-  LO AMBIENTAL: UN ACUERDO POR LA VIDA Y PARA LA VIDA EN CONTEXTO AMBIENTAL</t>
  </si>
  <si>
    <t>Avance &gt;40%</t>
  </si>
  <si>
    <t>Avance =&lt;40%</t>
  </si>
  <si>
    <t>Gestión ambiental</t>
  </si>
  <si>
    <t xml:space="preserve">PE-22 Política institucional ambiental en la ETITC alineada al Sistema de Gestión Ambiental </t>
  </si>
  <si>
    <t>ME-56- Implementar una  política ambiental bajo consideraciones de sostenibilidad.</t>
  </si>
  <si>
    <t>Bienestar universitario</t>
  </si>
  <si>
    <t>Porcentaje de diseño e implementación de la catedra ETITC alcanzado</t>
  </si>
  <si>
    <t xml:space="preserve">Gestión ambiental </t>
  </si>
  <si>
    <t xml:space="preserve">PE-24- Optimización en el consumo de energía eléctrica y uso de energías alternativas. 
</t>
  </si>
  <si>
    <t xml:space="preserve">ME-58- Lograr el Diez por ciento (10%) de ahorro energético.
</t>
  </si>
  <si>
    <t xml:space="preserve">Rectoría </t>
  </si>
  <si>
    <t xml:space="preserve">Gestión Documental / Gestión ambiental </t>
  </si>
  <si>
    <t xml:space="preserve">ME-59 Implementar el programa de racionalización de consumo de papel
</t>
  </si>
  <si>
    <t>ME-60- Realizar la adecuada disposición de todos los residuos producidos en el área de infraestructura, talleres y laboratorios.</t>
  </si>
  <si>
    <t xml:space="preserve">PE-25- Diseño e Implementación de espacios de “Concepto verde” que mejoren la vida académica en las sedes de la ETITC.
</t>
  </si>
  <si>
    <t>ME-61- Adecuar espaciós verdes verticales y horizontales.</t>
  </si>
  <si>
    <t>Porcentaje de elaboración del programa de mantenimiento e intervención de los espacios verdes verticales y horizontales</t>
  </si>
  <si>
    <t>Vicerrectoría administrativa y Financiera</t>
  </si>
  <si>
    <t>Porcentaje de ejecución del programa de mantenimiento e intervención de los espacios verdes verticales y horizontales</t>
  </si>
  <si>
    <t xml:space="preserve">PE-26- Actualización de la infraestructura física, cumpliendo normativas aplicables y generando espacios adecuados para el desarrollo de actividades académicas y de bienestar en un el marco  de la sostenibilidad
</t>
  </si>
  <si>
    <t>ME-62- Adelantar el 50% del reforzamiento estructural de la sede principal.</t>
  </si>
  <si>
    <t>ME-63- Construir espacios adecuados para la ubicación del gimnasio y áreas para desarrollo de actividades de bienestar estudiantil. (Administrativos y docentes)</t>
  </si>
  <si>
    <t>Contratación</t>
  </si>
  <si>
    <t>ME-64- Contar con un sistema control de acceso para la sede principal.</t>
  </si>
  <si>
    <t>ME-65- Adecuación completa de la sede de la calle 18.</t>
  </si>
  <si>
    <t>Porcentaje de adecuación alcanzado</t>
  </si>
  <si>
    <t>ME-66- Adaptación progresiva de la planta física para implementar la normativa de movilidad reducida.</t>
  </si>
  <si>
    <t xml:space="preserve">Porcentaje de gestión para la implementación de la normatividad de movilidad reducida  </t>
  </si>
  <si>
    <t>Porcentaje de ejecución de la intervenciones necesarias para la implementación de la normatividad de movilidad reducida.</t>
  </si>
  <si>
    <t>ME-67- Optimización de la oferta de parqueaderos en la sede central.</t>
  </si>
  <si>
    <t>ME -68 - Gestionar las Dotaciones de las instalaciones y sede principal para  la permanencia y aumento de la oferta.</t>
  </si>
  <si>
    <t>ME-69- Estructurar y gestionar el registro de Pregrado en Ingeniería Agrícola por ciclos.</t>
  </si>
  <si>
    <t>ME-71-  Estructurar  y gestionar el registro de   Pregrado en Ingeniería de energías por ciclos</t>
  </si>
  <si>
    <t xml:space="preserve">AVANCE GENERAL VIGENCIA 2021 - ETITC 
</t>
  </si>
  <si>
    <t xml:space="preserve">AVANCE TOTAL </t>
  </si>
  <si>
    <t xml:space="preserve">N° DE METAS A CARGO </t>
  </si>
  <si>
    <t xml:space="preserve">AVANCE GENERAL </t>
  </si>
  <si>
    <t xml:space="preserve">PROYECTOS ESTRATÉGICOS </t>
  </si>
  <si>
    <t>EJE ESTRATÉGICO</t>
  </si>
  <si>
    <t xml:space="preserve">METAS ESTRATÉGICAS </t>
  </si>
  <si>
    <t xml:space="preserve">Lo Intitucional </t>
  </si>
  <si>
    <t xml:space="preserve">Lo Social </t>
  </si>
  <si>
    <t xml:space="preserve">Lo ambiental </t>
  </si>
  <si>
    <t>Metas sin obligatorio avance para la vigencia 2021</t>
  </si>
  <si>
    <t>Sin obligatorio avance 2022</t>
  </si>
  <si>
    <t>TOTAL</t>
  </si>
  <si>
    <t>Porcentajes</t>
  </si>
  <si>
    <t>escalsa</t>
  </si>
  <si>
    <t>grados</t>
  </si>
  <si>
    <t>y</t>
  </si>
  <si>
    <t>pi</t>
  </si>
  <si>
    <t>pf</t>
  </si>
  <si>
    <t xml:space="preserve">Implementar el programa Incubadora tecnológica: Identificación y proyección de productos de investigación con potencial tecnológico y empresarial (spin-off, star-up, patentes...).  </t>
  </si>
  <si>
    <t>E1- LO INSTITUCIONAL: LA TRANSFORMACIÓN CULTURAL DE LA ETITC</t>
  </si>
  <si>
    <t>Informe de avance</t>
  </si>
  <si>
    <r>
      <rPr>
        <b/>
        <sz val="14"/>
        <color theme="1"/>
        <rFont val="Calibri"/>
        <family val="2"/>
        <scheme val="minor"/>
      </rPr>
      <t>ME-17- Adecuar las capacidades tecnológicas para atender las necesidades de los procesos misionales.</t>
    </r>
  </si>
  <si>
    <r>
      <rPr>
        <b/>
        <sz val="14"/>
        <color theme="1"/>
        <rFont val="Calibri"/>
        <family val="2"/>
        <scheme val="minor"/>
      </rPr>
      <t>ME-11-Implementar el Sistema de Acompañamiento al desarrollo del Egresado - SADE., con responsabilidad social y académica.</t>
    </r>
  </si>
  <si>
    <r>
      <rPr>
        <b/>
        <sz val="14"/>
        <color theme="1"/>
        <rFont val="Calibri"/>
        <family val="2"/>
        <scheme val="minor"/>
      </rPr>
      <t>ME-54- Estructurar programa de oferta de servicios</t>
    </r>
    <r>
      <rPr>
        <b/>
        <sz val="14"/>
        <color rgb="FFFF0000"/>
        <rFont val="Calibri"/>
        <family val="2"/>
        <scheme val="minor"/>
      </rPr>
      <t xml:space="preserve"> </t>
    </r>
    <r>
      <rPr>
        <b/>
        <sz val="14"/>
        <color theme="1"/>
        <rFont val="Calibri"/>
        <family val="2"/>
        <scheme val="minor"/>
      </rPr>
      <t>proyección social</t>
    </r>
  </si>
  <si>
    <t>OE-3 Fortalecer el ecosistema de funcionalidades digitales para la gestión y el desarrollo de la actividad misional mediante el uso de las TIC</t>
  </si>
  <si>
    <t>OBJETIVO ESTRATÉGICO
OE-8
Fortalecer y fomentar la innovación institucional y social, a través de un modelo de innovación y transferencia
tecnológica que aporte a la visibilidad de la producción científica y académica de la Institución, a la gestión de la producción intelectual de investigadores
y al establecimiento de alianzas con actores del SNCTI, Estado, Empresa y Academia para actividades
de I+D+I.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</si>
</sst>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6" formatCode="&quot;$&quot;\ #,##0;[Red]\-&quot;$&quot;\ #,##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XDR&quot;* #,##0_-;\-&quot;XDR&quot;* #,##0_-;_-&quot;XDR&quot;* &quot;-&quot;_-;_-@_-"/>
    <numFmt numFmtId="165" formatCode="yyyy\-mm\-dd;@"/>
    <numFmt numFmtId="166" formatCode="_-* #,##0_-;\-* #,##0_-;_-* &quot;-&quot;??_-;_-@_-"/>
    <numFmt numFmtId="167" formatCode="_-&quot;$&quot;\ * #,##0_-;\-&quot;$&quot;\ * #,##0_-;_-&quot;$&quot;\ * &quot;-&quot;??_-;_-@_-"/>
    <numFmt numFmtId="168" formatCode="[$$-240A]\ #,##0"/>
    <numFmt numFmtId="169" formatCode="0.0%"/>
    <numFmt numFmtId="170" formatCode="_-[$$-2C0A]\ * #,##0_-;\-[$$-2C0A]\ * #,##0_-;_-[$$-2C0A]\ * &quot;-&quot;??_-;_-@_-"/>
  </numFmts>
  <fonts count="81" x14ac:knownFonts="1">
    <font>
      <sz val="10"/>
      <name val="Arial"/>
    </font>
    <font>
      <sz val="11"/>
      <color theme="1"/>
      <name val="Calibri"/>
      <family val="2"/>
      <scheme val="minor"/>
    </font>
    <font>
      <sz val="11"/>
      <color theme="1"/>
      <name val="Calibri"/>
      <family val="2"/>
      <scheme val="minor"/>
    </font>
    <font>
      <sz val="10"/>
      <name val="Arial"/>
      <family val="2"/>
    </font>
    <font>
      <sz val="10"/>
      <name val="Arial"/>
      <family val="2"/>
    </font>
    <font>
      <b/>
      <sz val="14"/>
      <name val="Calibri"/>
      <family val="2"/>
      <scheme val="minor"/>
    </font>
    <font>
      <b/>
      <sz val="14"/>
      <name val="Arial"/>
      <family val="2"/>
    </font>
    <font>
      <u/>
      <sz val="11"/>
      <color theme="10"/>
      <name val="Calibri"/>
      <family val="2"/>
    </font>
    <font>
      <b/>
      <sz val="16"/>
      <color theme="1"/>
      <name val="Arial"/>
      <family val="2"/>
    </font>
    <font>
      <sz val="10"/>
      <name val="Arial"/>
      <family val="2"/>
    </font>
    <font>
      <b/>
      <sz val="14"/>
      <color theme="1"/>
      <name val="Calibri"/>
      <family val="2"/>
      <scheme val="minor"/>
    </font>
    <font>
      <b/>
      <sz val="14"/>
      <color rgb="FF000000"/>
      <name val="Calibri"/>
      <family val="2"/>
      <scheme val="minor"/>
    </font>
    <font>
      <sz val="14"/>
      <name val="Arial"/>
      <family val="2"/>
    </font>
    <font>
      <sz val="12"/>
      <name val="Arial"/>
      <family val="2"/>
    </font>
    <font>
      <sz val="14"/>
      <name val="Calibri"/>
      <family val="2"/>
      <scheme val="minor"/>
    </font>
    <font>
      <sz val="14"/>
      <color theme="1"/>
      <name val="Calibri"/>
      <family val="2"/>
      <scheme val="minor"/>
    </font>
    <font>
      <sz val="12"/>
      <color theme="1"/>
      <name val="Arial Narrow"/>
      <family val="2"/>
    </font>
    <font>
      <sz val="10"/>
      <name val="Arial"/>
      <family val="2"/>
    </font>
    <font>
      <sz val="14"/>
      <color rgb="FF000000"/>
      <name val="Calibri"/>
      <family val="2"/>
      <scheme val="minor"/>
    </font>
    <font>
      <sz val="14"/>
      <color theme="1"/>
      <name val="Arial Narrow"/>
      <family val="2"/>
    </font>
    <font>
      <sz val="11"/>
      <name val="Calibri"/>
      <family val="2"/>
      <scheme val="minor"/>
    </font>
    <font>
      <sz val="10"/>
      <name val="Arial"/>
      <family val="2"/>
    </font>
    <font>
      <b/>
      <sz val="11"/>
      <color theme="1"/>
      <name val="Calibri"/>
      <family val="2"/>
      <scheme val="minor"/>
    </font>
    <font>
      <sz val="9"/>
      <color indexed="81"/>
      <name val="Tahoma"/>
      <family val="2"/>
    </font>
    <font>
      <b/>
      <sz val="9"/>
      <color indexed="81"/>
      <name val="Tahoma"/>
      <family val="2"/>
    </font>
    <font>
      <sz val="16"/>
      <color theme="1"/>
      <name val="Arial Narrow"/>
      <family val="2"/>
    </font>
    <font>
      <sz val="11"/>
      <color rgb="FFFF0000"/>
      <name val="Arial Narrow"/>
      <family val="2"/>
    </font>
    <font>
      <sz val="11"/>
      <color theme="1"/>
      <name val="Arial Narrow"/>
      <family val="2"/>
    </font>
    <font>
      <b/>
      <sz val="12"/>
      <color rgb="FF00B050"/>
      <name val="Calibri Light"/>
      <family val="2"/>
    </font>
    <font>
      <b/>
      <sz val="14"/>
      <color rgb="FF00B050"/>
      <name val="Arial Black"/>
      <family val="2"/>
    </font>
    <font>
      <sz val="14"/>
      <color rgb="FF00B050"/>
      <name val="Calibri Light"/>
      <family val="2"/>
    </font>
    <font>
      <sz val="12"/>
      <color theme="0"/>
      <name val="Calibri Light"/>
      <family val="2"/>
    </font>
    <font>
      <b/>
      <sz val="11"/>
      <color theme="0"/>
      <name val="Arial Narrow"/>
      <family val="2"/>
    </font>
    <font>
      <sz val="12"/>
      <color theme="1"/>
      <name val="Calibri Light"/>
      <family val="2"/>
    </font>
    <font>
      <b/>
      <sz val="10"/>
      <color theme="0"/>
      <name val="Calibri Light"/>
      <family val="2"/>
    </font>
    <font>
      <b/>
      <sz val="10"/>
      <color theme="1"/>
      <name val="Calibri Light"/>
      <family val="2"/>
    </font>
    <font>
      <b/>
      <sz val="10"/>
      <color theme="1"/>
      <name val="Calibri"/>
      <family val="2"/>
      <scheme val="minor"/>
    </font>
    <font>
      <sz val="12"/>
      <name val="Calibri Light"/>
      <family val="2"/>
    </font>
    <font>
      <sz val="12"/>
      <color theme="1"/>
      <name val="Calibri Light"/>
      <family val="2"/>
      <scheme val="major"/>
    </font>
    <font>
      <b/>
      <sz val="12"/>
      <color theme="1"/>
      <name val="Calibri Light"/>
      <family val="2"/>
    </font>
    <font>
      <b/>
      <sz val="12"/>
      <color rgb="FFFF0000"/>
      <name val="Calibri Light"/>
      <family val="2"/>
      <scheme val="major"/>
    </font>
    <font>
      <b/>
      <sz val="12"/>
      <color rgb="FF00B050"/>
      <name val="Calibri Light"/>
      <family val="2"/>
      <scheme val="major"/>
    </font>
    <font>
      <b/>
      <sz val="11"/>
      <color theme="1"/>
      <name val="Calibri Light"/>
      <family val="2"/>
      <scheme val="major"/>
    </font>
    <font>
      <b/>
      <sz val="12"/>
      <color theme="1"/>
      <name val="Calibri Light"/>
      <family val="2"/>
      <scheme val="major"/>
    </font>
    <font>
      <b/>
      <sz val="12"/>
      <color theme="0"/>
      <name val="Calibri Light"/>
      <family val="2"/>
    </font>
    <font>
      <b/>
      <sz val="12"/>
      <color theme="0"/>
      <name val="Calibri Light"/>
      <family val="2"/>
      <scheme val="major"/>
    </font>
    <font>
      <b/>
      <sz val="10"/>
      <color theme="0"/>
      <name val="Calibri Light"/>
      <family val="2"/>
      <scheme val="major"/>
    </font>
    <font>
      <sz val="10"/>
      <color theme="1"/>
      <name val="Calibri Light"/>
      <family val="2"/>
      <scheme val="major"/>
    </font>
    <font>
      <sz val="12"/>
      <name val="Calibri Light"/>
      <family val="2"/>
      <scheme val="major"/>
    </font>
    <font>
      <b/>
      <sz val="12"/>
      <name val="Calibri Light"/>
      <family val="2"/>
      <scheme val="major"/>
    </font>
    <font>
      <i/>
      <sz val="12"/>
      <color rgb="FFFF0000"/>
      <name val="Calibri Light"/>
      <family val="2"/>
      <scheme val="major"/>
    </font>
    <font>
      <sz val="12"/>
      <color rgb="FFFF0000"/>
      <name val="Calibri Light"/>
      <family val="2"/>
      <scheme val="major"/>
    </font>
    <font>
      <strike/>
      <sz val="12"/>
      <name val="Calibri Light"/>
      <family val="2"/>
      <scheme val="major"/>
    </font>
    <font>
      <sz val="12"/>
      <color rgb="FF000000"/>
      <name val="Calibri Light"/>
      <family val="2"/>
      <scheme val="major"/>
    </font>
    <font>
      <b/>
      <sz val="11"/>
      <color rgb="FFFF0000"/>
      <name val="Arial Narrow"/>
      <family val="2"/>
    </font>
    <font>
      <b/>
      <sz val="12"/>
      <color rgb="FF00B050"/>
      <name val="Arial Narrow"/>
      <family val="2"/>
    </font>
    <font>
      <b/>
      <sz val="14"/>
      <color theme="1"/>
      <name val="Arial Narrow"/>
      <family val="2"/>
    </font>
    <font>
      <b/>
      <sz val="16"/>
      <color theme="0"/>
      <name val="Arial Narrow"/>
      <family val="2"/>
    </font>
    <font>
      <b/>
      <sz val="9"/>
      <color theme="0"/>
      <name val="Arial Narrow"/>
      <family val="2"/>
    </font>
    <font>
      <b/>
      <sz val="9"/>
      <color theme="0"/>
      <name val="Calibri"/>
      <family val="2"/>
      <scheme val="minor"/>
    </font>
    <font>
      <b/>
      <sz val="9"/>
      <color theme="1"/>
      <name val="Calibri"/>
      <family val="2"/>
      <scheme val="minor"/>
    </font>
    <font>
      <sz val="14"/>
      <color rgb="FFFF0000"/>
      <name val="Calibri"/>
      <family val="2"/>
      <scheme val="minor"/>
    </font>
    <font>
      <b/>
      <sz val="14"/>
      <color theme="0"/>
      <name val="Calibri"/>
      <family val="2"/>
      <scheme val="minor"/>
    </font>
    <font>
      <b/>
      <sz val="14"/>
      <color indexed="9"/>
      <name val="Calibri"/>
      <family val="2"/>
      <scheme val="minor"/>
    </font>
    <font>
      <b/>
      <sz val="14"/>
      <color rgb="FF00B050"/>
      <name val="Calibri"/>
      <family val="2"/>
      <scheme val="minor"/>
    </font>
    <font>
      <b/>
      <sz val="14"/>
      <color theme="7"/>
      <name val="Calibri"/>
      <family val="2"/>
      <scheme val="minor"/>
    </font>
    <font>
      <b/>
      <sz val="14"/>
      <color theme="5"/>
      <name val="Calibri"/>
      <family val="2"/>
      <scheme val="minor"/>
    </font>
    <font>
      <b/>
      <sz val="14"/>
      <color theme="4"/>
      <name val="Calibri"/>
      <family val="2"/>
      <scheme val="minor"/>
    </font>
    <font>
      <b/>
      <sz val="16"/>
      <color indexed="9"/>
      <name val="Calibri"/>
      <family val="2"/>
      <scheme val="minor"/>
    </font>
    <font>
      <b/>
      <sz val="36"/>
      <color indexed="9"/>
      <name val="Calibri"/>
      <family val="2"/>
      <scheme val="minor"/>
    </font>
    <font>
      <sz val="36"/>
      <name val="Calibri"/>
      <family val="2"/>
      <scheme val="minor"/>
    </font>
    <font>
      <b/>
      <sz val="36"/>
      <color rgb="FF00B050"/>
      <name val="Calibri"/>
      <family val="2"/>
      <scheme val="minor"/>
    </font>
    <font>
      <sz val="36"/>
      <name val="Arial"/>
      <family val="2"/>
    </font>
    <font>
      <sz val="11"/>
      <color rgb="FF00B050"/>
      <name val="Arial Narrow"/>
      <family val="2"/>
    </font>
    <font>
      <b/>
      <sz val="11"/>
      <name val="Calibri Light"/>
      <family val="2"/>
      <scheme val="major"/>
    </font>
    <font>
      <b/>
      <sz val="11"/>
      <color rgb="FF00B050"/>
      <name val="Calibri Light"/>
      <family val="2"/>
      <scheme val="major"/>
    </font>
    <font>
      <sz val="14"/>
      <color indexed="9"/>
      <name val="Calibri"/>
      <family val="2"/>
      <scheme val="minor"/>
    </font>
    <font>
      <b/>
      <sz val="14"/>
      <color rgb="FFFF0000"/>
      <name val="Calibri"/>
      <family val="2"/>
      <scheme val="minor"/>
    </font>
    <font>
      <b/>
      <sz val="11"/>
      <color theme="1"/>
      <name val="Arial"/>
      <family val="2"/>
    </font>
    <font>
      <sz val="11"/>
      <name val="Arial"/>
      <family val="2"/>
    </font>
    <font>
      <b/>
      <sz val="10"/>
      <color theme="1"/>
      <name val="Arial"/>
      <family val="2"/>
    </font>
  </fonts>
  <fills count="37">
    <fill>
      <patternFill patternType="none"/>
    </fill>
    <fill>
      <patternFill patternType="gray125"/>
    </fill>
    <fill>
      <patternFill patternType="solid">
        <fgColor indexed="17"/>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rgb="FF00B05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rgb="FF92D050"/>
        <bgColor indexed="64"/>
      </patternFill>
    </fill>
    <fill>
      <patternFill patternType="solid">
        <fgColor theme="4" tint="0.79998168889431442"/>
        <bgColor indexed="64"/>
      </patternFill>
    </fill>
    <fill>
      <patternFill patternType="solid">
        <fgColor theme="2"/>
        <bgColor indexed="64"/>
      </patternFill>
    </fill>
    <fill>
      <patternFill patternType="solid">
        <fgColor theme="2" tint="-0.249977111117893"/>
        <bgColor indexed="64"/>
      </patternFill>
    </fill>
    <fill>
      <patternFill patternType="solid">
        <fgColor theme="4" tint="-0.249977111117893"/>
        <bgColor indexed="64"/>
      </patternFill>
    </fill>
    <fill>
      <patternFill patternType="solid">
        <fgColor theme="2" tint="-0.499984740745262"/>
        <bgColor indexed="64"/>
      </patternFill>
    </fill>
    <fill>
      <patternFill patternType="solid">
        <fgColor rgb="FF07731C"/>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0"/>
        <bgColor rgb="FF000000"/>
      </patternFill>
    </fill>
  </fills>
  <borders count="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right/>
      <top style="medium">
        <color rgb="FF92D050"/>
      </top>
      <bottom/>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style="medium">
        <color theme="9"/>
      </top>
      <bottom style="medium">
        <color theme="9"/>
      </bottom>
      <diagonal/>
    </border>
    <border>
      <left/>
      <right/>
      <top style="medium">
        <color theme="9"/>
      </top>
      <bottom style="medium">
        <color theme="9"/>
      </bottom>
      <diagonal/>
    </border>
    <border>
      <left/>
      <right style="medium">
        <color theme="9"/>
      </right>
      <top style="medium">
        <color theme="9"/>
      </top>
      <bottom style="medium">
        <color theme="9"/>
      </bottom>
      <diagonal/>
    </border>
    <border>
      <left style="medium">
        <color theme="9"/>
      </left>
      <right/>
      <top/>
      <bottom style="medium">
        <color theme="9"/>
      </bottom>
      <diagonal/>
    </border>
    <border>
      <left/>
      <right/>
      <top/>
      <bottom style="medium">
        <color theme="9"/>
      </bottom>
      <diagonal/>
    </border>
    <border>
      <left style="thin">
        <color indexed="64"/>
      </left>
      <right/>
      <top style="medium">
        <color theme="9"/>
      </top>
      <bottom style="thin">
        <color indexed="64"/>
      </bottom>
      <diagonal/>
    </border>
    <border>
      <left/>
      <right/>
      <top style="medium">
        <color theme="9"/>
      </top>
      <bottom style="thin">
        <color indexed="64"/>
      </bottom>
      <diagonal/>
    </border>
    <border>
      <left/>
      <right style="thin">
        <color indexed="64"/>
      </right>
      <top style="medium">
        <color theme="9"/>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theme="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theme="9" tint="0.39997558519241921"/>
      </top>
      <bottom style="medium">
        <color theme="9" tint="0.39997558519241921"/>
      </bottom>
      <diagonal/>
    </border>
    <border>
      <left/>
      <right style="medium">
        <color theme="9" tint="0.39997558519241921"/>
      </right>
      <top style="medium">
        <color theme="9" tint="0.39997558519241921"/>
      </top>
      <bottom style="medium">
        <color theme="9" tint="0.39997558519241921"/>
      </bottom>
      <diagonal/>
    </border>
    <border>
      <left style="thin">
        <color theme="1"/>
      </left>
      <right/>
      <top/>
      <bottom style="thin">
        <color theme="1"/>
      </bottom>
      <diagonal/>
    </border>
    <border>
      <left/>
      <right/>
      <top/>
      <bottom style="thin">
        <color theme="1"/>
      </bottom>
      <diagonal/>
    </border>
    <border>
      <left style="thin">
        <color theme="1"/>
      </left>
      <right style="thin">
        <color theme="1"/>
      </right>
      <top style="thin">
        <color theme="1"/>
      </top>
      <bottom style="thin">
        <color theme="1"/>
      </bottom>
      <diagonal/>
    </border>
    <border>
      <left style="thin">
        <color indexed="64"/>
      </left>
      <right style="medium">
        <color theme="1"/>
      </right>
      <top/>
      <bottom style="thin">
        <color indexed="64"/>
      </bottom>
      <diagonal/>
    </border>
    <border>
      <left style="thin">
        <color indexed="64"/>
      </left>
      <right style="medium">
        <color theme="1"/>
      </right>
      <top style="thin">
        <color indexed="64"/>
      </top>
      <bottom style="thin">
        <color indexed="64"/>
      </bottom>
      <diagonal/>
    </border>
    <border>
      <left style="thin">
        <color indexed="64"/>
      </left>
      <right style="medium">
        <color theme="1"/>
      </right>
      <top style="thin">
        <color indexed="64"/>
      </top>
      <bottom style="medium">
        <color theme="1"/>
      </bottom>
      <diagonal/>
    </border>
    <border>
      <left style="medium">
        <color theme="9"/>
      </left>
      <right/>
      <top/>
      <bottom style="medium">
        <color rgb="FF92D050"/>
      </bottom>
      <diagonal/>
    </border>
    <border>
      <left/>
      <right/>
      <top/>
      <bottom style="medium">
        <color rgb="FF92D050"/>
      </bottom>
      <diagonal/>
    </border>
    <border>
      <left style="medium">
        <color theme="9"/>
      </left>
      <right/>
      <top style="medium">
        <color rgb="FF92D050"/>
      </top>
      <bottom/>
      <diagonal/>
    </border>
    <border>
      <left/>
      <right style="medium">
        <color indexed="64"/>
      </right>
      <top style="thin">
        <color indexed="64"/>
      </top>
      <bottom style="thin">
        <color indexed="64"/>
      </bottom>
      <diagonal/>
    </border>
    <border>
      <left style="medium">
        <color indexed="64"/>
      </left>
      <right/>
      <top/>
      <bottom/>
      <diagonal/>
    </border>
    <border>
      <left/>
      <right style="thin">
        <color indexed="64"/>
      </right>
      <top/>
      <bottom style="thin">
        <color theme="1"/>
      </bottom>
      <diagonal/>
    </border>
    <border>
      <left style="medium">
        <color indexed="64"/>
      </left>
      <right/>
      <top style="medium">
        <color theme="9"/>
      </top>
      <bottom style="thin">
        <color indexed="64"/>
      </bottom>
      <diagonal/>
    </border>
    <border>
      <left style="medium">
        <color theme="9"/>
      </left>
      <right/>
      <top/>
      <bottom/>
      <diagonal/>
    </border>
    <border>
      <left/>
      <right style="medium">
        <color theme="9"/>
      </right>
      <top/>
      <bottom/>
      <diagonal/>
    </border>
    <border>
      <left style="thin">
        <color theme="9"/>
      </left>
      <right style="medium">
        <color theme="9"/>
      </right>
      <top/>
      <bottom/>
      <diagonal/>
    </border>
    <border>
      <left style="thin">
        <color rgb="FF92D050"/>
      </left>
      <right style="thin">
        <color rgb="FF92D050"/>
      </right>
      <top style="thin">
        <color rgb="FF92D050"/>
      </top>
      <bottom style="thin">
        <color rgb="FF92D050"/>
      </bottom>
      <diagonal/>
    </border>
    <border>
      <left style="thin">
        <color theme="1"/>
      </left>
      <right style="thin">
        <color theme="1"/>
      </right>
      <top style="thin">
        <color theme="1"/>
      </top>
      <bottom/>
      <diagonal/>
    </border>
    <border>
      <left style="thin">
        <color rgb="FF92D050"/>
      </left>
      <right style="thin">
        <color rgb="FF92D050"/>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right style="medium">
        <color indexed="64"/>
      </right>
      <top style="thick">
        <color auto="1"/>
      </top>
      <bottom/>
      <diagonal/>
    </border>
    <border>
      <left/>
      <right style="medium">
        <color indexed="64"/>
      </right>
      <top/>
      <bottom style="thick">
        <color auto="1"/>
      </bottom>
      <diagonal/>
    </border>
    <border>
      <left/>
      <right style="thick">
        <color auto="1"/>
      </right>
      <top style="medium">
        <color indexed="64"/>
      </top>
      <bottom/>
      <diagonal/>
    </border>
    <border>
      <left/>
      <right style="thick">
        <color auto="1"/>
      </right>
      <top/>
      <bottom style="medium">
        <color indexed="64"/>
      </bottom>
      <diagonal/>
    </border>
    <border>
      <left style="medium">
        <color indexed="64"/>
      </left>
      <right style="thick">
        <color auto="1"/>
      </right>
      <top style="thick">
        <color auto="1"/>
      </top>
      <bottom/>
      <diagonal/>
    </border>
    <border>
      <left style="medium">
        <color indexed="64"/>
      </left>
      <right style="thick">
        <color auto="1"/>
      </right>
      <top/>
      <bottom style="thick">
        <color auto="1"/>
      </bottom>
      <diagonal/>
    </border>
    <border>
      <left style="thin">
        <color indexed="64"/>
      </left>
      <right/>
      <top style="medium">
        <color theme="9"/>
      </top>
      <bottom style="medium">
        <color theme="9"/>
      </bottom>
      <diagonal/>
    </border>
    <border>
      <left/>
      <right style="thin">
        <color indexed="64"/>
      </right>
      <top style="medium">
        <color theme="9"/>
      </top>
      <bottom style="medium">
        <color theme="9"/>
      </bottom>
      <diagonal/>
    </border>
  </borders>
  <cellStyleXfs count="16">
    <xf numFmtId="0" fontId="0" fillId="0" borderId="0" applyFill="0"/>
    <xf numFmtId="9" fontId="4" fillId="0" borderId="0" applyFont="0" applyFill="0" applyBorder="0" applyAlignment="0" applyProtection="0"/>
    <xf numFmtId="42" fontId="2"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0" fontId="3" fillId="0" borderId="0"/>
    <xf numFmtId="9" fontId="3" fillId="0" borderId="0" applyFont="0" applyFill="0" applyBorder="0" applyAlignment="0" applyProtection="0"/>
    <xf numFmtId="0" fontId="7" fillId="0" borderId="0" applyNumberFormat="0" applyFill="0" applyBorder="0" applyAlignment="0" applyProtection="0">
      <alignment vertical="top"/>
      <protection locked="0"/>
    </xf>
    <xf numFmtId="43" fontId="1" fillId="0" borderId="0" applyFont="0" applyFill="0" applyBorder="0" applyAlignment="0" applyProtection="0"/>
    <xf numFmtId="43" fontId="3" fillId="0" borderId="0" applyFont="0" applyFill="0" applyBorder="0" applyAlignment="0" applyProtection="0"/>
    <xf numFmtId="44" fontId="9" fillId="0" borderId="0" applyFont="0" applyFill="0" applyBorder="0" applyAlignment="0" applyProtection="0"/>
    <xf numFmtId="164" fontId="17" fillId="0" borderId="0" applyFont="0" applyFill="0" applyBorder="0" applyAlignment="0" applyProtection="0"/>
    <xf numFmtId="0" fontId="3" fillId="0" borderId="0"/>
    <xf numFmtId="43" fontId="21" fillId="0" borderId="0" applyFont="0" applyFill="0" applyBorder="0" applyAlignment="0" applyProtection="0"/>
    <xf numFmtId="41" fontId="21" fillId="0" borderId="0" applyFont="0" applyFill="0" applyBorder="0" applyAlignment="0" applyProtection="0"/>
  </cellStyleXfs>
  <cellXfs count="764">
    <xf numFmtId="0" fontId="0" fillId="0" borderId="0" xfId="0" applyFill="1"/>
    <xf numFmtId="0" fontId="5" fillId="7" borderId="1" xfId="0" applyFont="1" applyFill="1" applyBorder="1" applyAlignment="1">
      <alignment horizontal="left" vertical="top" wrapText="1"/>
    </xf>
    <xf numFmtId="0" fontId="14" fillId="7" borderId="1" xfId="0" applyFont="1" applyFill="1" applyBorder="1" applyAlignment="1">
      <alignment horizontal="left" vertical="top" wrapText="1"/>
    </xf>
    <xf numFmtId="0" fontId="15" fillId="17" borderId="1" xfId="0" applyFont="1" applyFill="1" applyBorder="1" applyAlignment="1">
      <alignment horizontal="left" vertical="top" wrapText="1"/>
    </xf>
    <xf numFmtId="0" fontId="5" fillId="5" borderId="1" xfId="0" applyFont="1" applyFill="1" applyBorder="1" applyAlignment="1">
      <alignment horizontal="left" vertical="top" wrapText="1"/>
    </xf>
    <xf numFmtId="0" fontId="14" fillId="5" borderId="1" xfId="0" applyFont="1" applyFill="1" applyBorder="1" applyAlignment="1">
      <alignment horizontal="left" vertical="top" wrapText="1"/>
    </xf>
    <xf numFmtId="0" fontId="14" fillId="11" borderId="1" xfId="0" applyFont="1" applyFill="1" applyBorder="1" applyAlignment="1">
      <alignment horizontal="left" vertical="top" wrapText="1"/>
    </xf>
    <xf numFmtId="0" fontId="14" fillId="11" borderId="1" xfId="0" quotePrefix="1" applyFont="1" applyFill="1" applyBorder="1" applyAlignment="1">
      <alignment horizontal="left" vertical="top" wrapText="1"/>
    </xf>
    <xf numFmtId="0" fontId="3" fillId="0" borderId="0" xfId="0" applyFont="1" applyFill="1" applyAlignment="1">
      <alignment horizontal="left" vertical="top" wrapText="1"/>
    </xf>
    <xf numFmtId="0" fontId="12" fillId="0" borderId="0" xfId="0" applyFont="1" applyFill="1" applyAlignment="1">
      <alignment horizontal="left" vertical="top" wrapText="1"/>
    </xf>
    <xf numFmtId="0" fontId="14" fillId="15" borderId="1" xfId="0" applyFont="1" applyFill="1" applyBorder="1" applyAlignment="1">
      <alignment horizontal="left" vertical="top" wrapText="1"/>
    </xf>
    <xf numFmtId="0" fontId="14" fillId="27" borderId="1" xfId="0" applyFont="1" applyFill="1" applyBorder="1" applyAlignment="1">
      <alignment horizontal="left" vertical="top" wrapText="1"/>
    </xf>
    <xf numFmtId="0" fontId="14" fillId="25" borderId="1" xfId="0" applyFont="1" applyFill="1" applyBorder="1" applyAlignment="1">
      <alignment horizontal="left" vertical="top" wrapText="1"/>
    </xf>
    <xf numFmtId="0" fontId="10" fillId="7" borderId="1" xfId="0" applyFont="1" applyFill="1" applyBorder="1" applyAlignment="1">
      <alignment horizontal="left" vertical="top" wrapText="1"/>
    </xf>
    <xf numFmtId="0" fontId="15" fillId="7" borderId="1" xfId="0" applyFont="1" applyFill="1" applyBorder="1" applyAlignment="1">
      <alignment horizontal="left" vertical="top" wrapText="1"/>
    </xf>
    <xf numFmtId="0" fontId="14" fillId="29" borderId="1" xfId="0" applyFont="1" applyFill="1" applyBorder="1" applyAlignment="1">
      <alignment horizontal="left" vertical="top" wrapText="1"/>
    </xf>
    <xf numFmtId="0" fontId="25" fillId="0" borderId="0" xfId="0" applyFont="1" applyAlignment="1">
      <alignment horizontal="center" vertical="center" wrapText="1"/>
    </xf>
    <xf numFmtId="0" fontId="0" fillId="0" borderId="0" xfId="0" applyAlignment="1">
      <alignment vertical="top"/>
    </xf>
    <xf numFmtId="0" fontId="0" fillId="0" borderId="0" xfId="0"/>
    <xf numFmtId="0" fontId="0" fillId="0" borderId="0" xfId="0" applyAlignment="1">
      <alignment horizontal="center" vertical="center"/>
    </xf>
    <xf numFmtId="0" fontId="27" fillId="0" borderId="0" xfId="0" applyFont="1"/>
    <xf numFmtId="0" fontId="0" fillId="0" borderId="0" xfId="0" applyAlignment="1">
      <alignment vertical="center"/>
    </xf>
    <xf numFmtId="0" fontId="26" fillId="0" borderId="0" xfId="0" applyFont="1"/>
    <xf numFmtId="0" fontId="28" fillId="0" borderId="29" xfId="0" applyFont="1" applyBorder="1" applyAlignment="1">
      <alignment horizontal="left" vertical="center" wrapText="1"/>
    </xf>
    <xf numFmtId="0" fontId="28" fillId="0" borderId="30" xfId="0" applyFont="1" applyBorder="1" applyAlignment="1">
      <alignment horizontal="left" vertical="center" wrapText="1"/>
    </xf>
    <xf numFmtId="0" fontId="15" fillId="0" borderId="29" xfId="0" applyFont="1" applyBorder="1" applyAlignment="1">
      <alignment vertical="center"/>
    </xf>
    <xf numFmtId="0" fontId="15" fillId="0" borderId="30" xfId="0" applyFont="1" applyBorder="1" applyAlignment="1">
      <alignment vertical="center"/>
    </xf>
    <xf numFmtId="0" fontId="30" fillId="0" borderId="0" xfId="0" applyFont="1" applyAlignment="1">
      <alignment vertical="center" wrapText="1"/>
    </xf>
    <xf numFmtId="0" fontId="19" fillId="0" borderId="0" xfId="0" applyFont="1"/>
    <xf numFmtId="0" fontId="15" fillId="0" borderId="0" xfId="0" applyFont="1" applyAlignment="1">
      <alignment vertical="center"/>
    </xf>
    <xf numFmtId="0" fontId="31" fillId="32" borderId="0" xfId="0" applyFont="1" applyFill="1" applyAlignment="1">
      <alignment horizontal="center" vertical="center" wrapText="1"/>
    </xf>
    <xf numFmtId="0" fontId="33" fillId="0" borderId="0" xfId="0" applyFont="1"/>
    <xf numFmtId="0" fontId="34" fillId="32" borderId="1" xfId="0" applyFont="1" applyFill="1" applyBorder="1" applyAlignment="1">
      <alignment horizontal="center" vertical="center" wrapText="1"/>
    </xf>
    <xf numFmtId="0" fontId="34" fillId="32" borderId="2" xfId="0" applyFont="1" applyFill="1" applyBorder="1" applyAlignment="1">
      <alignment horizontal="center" vertical="center" wrapText="1"/>
    </xf>
    <xf numFmtId="0" fontId="34" fillId="32" borderId="21" xfId="0" applyFont="1" applyFill="1" applyBorder="1" applyAlignment="1">
      <alignment horizontal="center" vertical="center" wrapText="1"/>
    </xf>
    <xf numFmtId="0" fontId="34" fillId="32" borderId="34" xfId="0" applyFont="1" applyFill="1" applyBorder="1" applyAlignment="1">
      <alignment horizontal="center" vertical="center" wrapText="1"/>
    </xf>
    <xf numFmtId="0" fontId="35" fillId="0" borderId="0" xfId="0" applyFont="1" applyAlignment="1">
      <alignment vertical="center" wrapText="1"/>
    </xf>
    <xf numFmtId="0" fontId="36" fillId="0" borderId="0" xfId="0" applyFont="1" applyAlignment="1">
      <alignment horizontal="center" vertical="center" wrapText="1"/>
    </xf>
    <xf numFmtId="0" fontId="33" fillId="25" borderId="3" xfId="0" applyFont="1" applyFill="1" applyBorder="1" applyAlignment="1">
      <alignment horizontal="center" vertical="center" wrapText="1"/>
    </xf>
    <xf numFmtId="0" fontId="33" fillId="25" borderId="1" xfId="0" applyFont="1" applyFill="1" applyBorder="1" applyAlignment="1">
      <alignment horizontal="center" vertical="center" wrapText="1"/>
    </xf>
    <xf numFmtId="0" fontId="33" fillId="25" borderId="16" xfId="0" applyFont="1" applyFill="1" applyBorder="1" applyAlignment="1">
      <alignment horizontal="center" vertical="center" wrapText="1"/>
    </xf>
    <xf numFmtId="0" fontId="33" fillId="25" borderId="34" xfId="0" applyFont="1" applyFill="1" applyBorder="1" applyAlignment="1">
      <alignment horizontal="left" vertical="top" wrapText="1"/>
    </xf>
    <xf numFmtId="0" fontId="33" fillId="33" borderId="1" xfId="0" applyFont="1" applyFill="1" applyBorder="1" applyAlignment="1">
      <alignment horizontal="left" vertical="top" wrapText="1"/>
    </xf>
    <xf numFmtId="0" fontId="33" fillId="25" borderId="1" xfId="0" applyFont="1" applyFill="1" applyBorder="1" applyAlignment="1">
      <alignment horizontal="left" vertical="top" wrapText="1"/>
    </xf>
    <xf numFmtId="9" fontId="33" fillId="25" borderId="1" xfId="0" applyNumberFormat="1" applyFont="1" applyFill="1" applyBorder="1" applyAlignment="1">
      <alignment horizontal="left" vertical="top" wrapText="1"/>
    </xf>
    <xf numFmtId="0" fontId="33" fillId="25" borderId="16" xfId="0" applyFont="1" applyFill="1" applyBorder="1" applyAlignment="1">
      <alignment horizontal="left" vertical="top" wrapText="1"/>
    </xf>
    <xf numFmtId="0" fontId="33" fillId="25" borderId="15" xfId="0" applyFont="1" applyFill="1" applyBorder="1" applyAlignment="1">
      <alignment horizontal="left" vertical="top" wrapText="1"/>
    </xf>
    <xf numFmtId="0" fontId="33" fillId="25" borderId="0" xfId="0" applyFont="1" applyFill="1" applyAlignment="1">
      <alignment horizontal="left" vertical="center" wrapText="1"/>
    </xf>
    <xf numFmtId="0" fontId="0" fillId="25" borderId="0" xfId="0" applyFill="1" applyAlignment="1">
      <alignment vertical="center"/>
    </xf>
    <xf numFmtId="0" fontId="33" fillId="0" borderId="1" xfId="0" applyFont="1" applyBorder="1" applyAlignment="1">
      <alignment horizontal="center" vertical="center" wrapText="1"/>
    </xf>
    <xf numFmtId="0" fontId="33" fillId="0" borderId="16" xfId="0" applyFont="1" applyBorder="1" applyAlignment="1">
      <alignment horizontal="center" vertical="center" wrapText="1"/>
    </xf>
    <xf numFmtId="0" fontId="33" fillId="0" borderId="34" xfId="0" applyFont="1" applyBorder="1" applyAlignment="1">
      <alignment horizontal="left" vertical="top" wrapText="1"/>
    </xf>
    <xf numFmtId="0" fontId="37" fillId="0" borderId="1" xfId="0" applyFont="1" applyBorder="1" applyAlignment="1">
      <alignment horizontal="left" vertical="top" wrapText="1"/>
    </xf>
    <xf numFmtId="9" fontId="37" fillId="0" borderId="1" xfId="0" applyNumberFormat="1" applyFont="1" applyBorder="1" applyAlignment="1">
      <alignment horizontal="left" vertical="top" wrapText="1"/>
    </xf>
    <xf numFmtId="0" fontId="33" fillId="0" borderId="1" xfId="0" applyFont="1" applyBorder="1" applyAlignment="1">
      <alignment horizontal="left" vertical="top" wrapText="1"/>
    </xf>
    <xf numFmtId="0" fontId="33" fillId="33" borderId="16" xfId="0" applyFont="1" applyFill="1" applyBorder="1" applyAlignment="1">
      <alignment horizontal="left" vertical="top" wrapText="1"/>
    </xf>
    <xf numFmtId="0" fontId="33" fillId="33" borderId="15" xfId="0" applyFont="1" applyFill="1" applyBorder="1" applyAlignment="1">
      <alignment horizontal="left" vertical="top" wrapText="1"/>
    </xf>
    <xf numFmtId="0" fontId="33" fillId="33" borderId="0" xfId="0" applyFont="1" applyFill="1" applyAlignment="1">
      <alignment horizontal="left" vertical="center" wrapText="1"/>
    </xf>
    <xf numFmtId="9" fontId="33" fillId="0" borderId="1" xfId="0" applyNumberFormat="1" applyFont="1" applyBorder="1" applyAlignment="1">
      <alignment horizontal="left" vertical="top" wrapText="1"/>
    </xf>
    <xf numFmtId="0" fontId="33" fillId="0" borderId="16" xfId="0" applyFont="1" applyBorder="1" applyAlignment="1">
      <alignment horizontal="left" vertical="top" wrapText="1"/>
    </xf>
    <xf numFmtId="0" fontId="33" fillId="0" borderId="15" xfId="0" applyFont="1" applyBorder="1" applyAlignment="1">
      <alignment horizontal="left" vertical="top" wrapText="1"/>
    </xf>
    <xf numFmtId="0" fontId="33" fillId="0" borderId="0" xfId="0" applyFont="1" applyAlignment="1">
      <alignment horizontal="left" vertical="center" wrapText="1"/>
    </xf>
    <xf numFmtId="0" fontId="33" fillId="0" borderId="2" xfId="0" applyFont="1" applyBorder="1" applyAlignment="1">
      <alignment horizontal="center" vertical="center" wrapText="1"/>
    </xf>
    <xf numFmtId="0" fontId="33" fillId="0" borderId="0" xfId="0" applyFont="1" applyAlignment="1">
      <alignment vertical="center" wrapText="1"/>
    </xf>
    <xf numFmtId="0" fontId="37" fillId="25" borderId="1" xfId="0" applyFont="1" applyFill="1" applyBorder="1" applyAlignment="1">
      <alignment horizontal="left" vertical="top" wrapText="1"/>
    </xf>
    <xf numFmtId="10" fontId="33" fillId="25" borderId="1" xfId="0" applyNumberFormat="1" applyFont="1" applyFill="1" applyBorder="1" applyAlignment="1">
      <alignment horizontal="left" vertical="top" wrapText="1"/>
    </xf>
    <xf numFmtId="10" fontId="33" fillId="33" borderId="1" xfId="0" applyNumberFormat="1" applyFont="1" applyFill="1" applyBorder="1" applyAlignment="1">
      <alignment horizontal="left" vertical="top" wrapText="1"/>
    </xf>
    <xf numFmtId="0" fontId="33" fillId="33" borderId="0" xfId="0" applyFont="1" applyFill="1" applyAlignment="1">
      <alignment vertical="center" wrapText="1"/>
    </xf>
    <xf numFmtId="0" fontId="0" fillId="26" borderId="0" xfId="0" applyFill="1" applyAlignment="1">
      <alignment vertical="center"/>
    </xf>
    <xf numFmtId="0" fontId="33" fillId="25" borderId="0" xfId="0" applyFont="1" applyFill="1" applyAlignment="1">
      <alignment vertical="center" wrapText="1"/>
    </xf>
    <xf numFmtId="9" fontId="37" fillId="25" borderId="1" xfId="0" applyNumberFormat="1" applyFont="1" applyFill="1" applyBorder="1" applyAlignment="1">
      <alignment horizontal="left" vertical="top" wrapText="1"/>
    </xf>
    <xf numFmtId="0" fontId="37" fillId="33" borderId="16" xfId="0" applyFont="1" applyFill="1" applyBorder="1" applyAlignment="1">
      <alignment horizontal="left" vertical="top" wrapText="1"/>
    </xf>
    <xf numFmtId="9" fontId="37" fillId="33" borderId="1" xfId="0" applyNumberFormat="1" applyFont="1" applyFill="1" applyBorder="1" applyAlignment="1">
      <alignment horizontal="left" vertical="top" wrapText="1"/>
    </xf>
    <xf numFmtId="0" fontId="37" fillId="33" borderId="15" xfId="0" applyFont="1" applyFill="1" applyBorder="1" applyAlignment="1">
      <alignment horizontal="left" vertical="top" wrapText="1"/>
    </xf>
    <xf numFmtId="0" fontId="37" fillId="33" borderId="0" xfId="0" applyFont="1" applyFill="1" applyAlignment="1">
      <alignment vertical="center" wrapText="1"/>
    </xf>
    <xf numFmtId="0" fontId="37" fillId="25" borderId="16" xfId="0" applyFont="1" applyFill="1" applyBorder="1" applyAlignment="1">
      <alignment horizontal="left" vertical="top" wrapText="1"/>
    </xf>
    <xf numFmtId="0" fontId="37" fillId="25" borderId="15" xfId="0" applyFont="1" applyFill="1" applyBorder="1" applyAlignment="1">
      <alignment horizontal="left" vertical="top" wrapText="1"/>
    </xf>
    <xf numFmtId="0" fontId="37" fillId="25" borderId="0" xfId="0" applyFont="1" applyFill="1" applyAlignment="1">
      <alignment vertical="center" wrapText="1"/>
    </xf>
    <xf numFmtId="0" fontId="16" fillId="25" borderId="0" xfId="0" applyFont="1" applyFill="1" applyAlignment="1">
      <alignment vertical="center" wrapText="1"/>
    </xf>
    <xf numFmtId="0" fontId="33" fillId="26" borderId="1" xfId="0" applyFont="1" applyFill="1" applyBorder="1" applyAlignment="1">
      <alignment horizontal="center" vertical="center" wrapText="1"/>
    </xf>
    <xf numFmtId="9" fontId="33" fillId="33" borderId="1" xfId="0" applyNumberFormat="1" applyFont="1" applyFill="1" applyBorder="1" applyAlignment="1">
      <alignment horizontal="left" vertical="top" wrapText="1"/>
    </xf>
    <xf numFmtId="0" fontId="33" fillId="25" borderId="36" xfId="0" applyFont="1" applyFill="1" applyBorder="1" applyAlignment="1">
      <alignment horizontal="left" vertical="top" wrapText="1"/>
    </xf>
    <xf numFmtId="0" fontId="37" fillId="0" borderId="15" xfId="0" applyFont="1" applyBorder="1" applyAlignment="1">
      <alignment horizontal="left" vertical="top" wrapText="1"/>
    </xf>
    <xf numFmtId="0" fontId="0" fillId="25" borderId="0" xfId="0" applyFill="1"/>
    <xf numFmtId="169" fontId="33" fillId="25" borderId="1" xfId="0" applyNumberFormat="1" applyFont="1" applyFill="1" applyBorder="1" applyAlignment="1">
      <alignment horizontal="left" vertical="top" wrapText="1"/>
    </xf>
    <xf numFmtId="0" fontId="38" fillId="25" borderId="37" xfId="0" applyFont="1" applyFill="1" applyBorder="1" applyAlignment="1">
      <alignment horizontal="left" vertical="top" wrapText="1"/>
    </xf>
    <xf numFmtId="0" fontId="33" fillId="26" borderId="35" xfId="0" applyFont="1" applyFill="1" applyBorder="1" applyAlignment="1">
      <alignment horizontal="center" vertical="center" wrapText="1"/>
    </xf>
    <xf numFmtId="0" fontId="37" fillId="0" borderId="16" xfId="0" applyFont="1" applyBorder="1" applyAlignment="1">
      <alignment horizontal="left" vertical="top" wrapText="1"/>
    </xf>
    <xf numFmtId="0" fontId="33" fillId="25" borderId="0" xfId="0" applyFont="1" applyFill="1" applyAlignment="1">
      <alignment horizontal="left" vertical="top" wrapText="1"/>
    </xf>
    <xf numFmtId="0" fontId="33" fillId="25" borderId="38" xfId="0" applyFont="1" applyFill="1" applyBorder="1" applyAlignment="1">
      <alignment horizontal="left" vertical="top" wrapText="1"/>
    </xf>
    <xf numFmtId="0" fontId="33" fillId="33" borderId="2" xfId="0" applyFont="1" applyFill="1" applyBorder="1" applyAlignment="1">
      <alignment horizontal="left" vertical="top" wrapText="1"/>
    </xf>
    <xf numFmtId="0" fontId="37" fillId="25" borderId="2" xfId="0" applyFont="1" applyFill="1" applyBorder="1" applyAlignment="1">
      <alignment horizontal="left" vertical="top" wrapText="1"/>
    </xf>
    <xf numFmtId="9" fontId="33" fillId="25" borderId="2" xfId="0" applyNumberFormat="1" applyFont="1" applyFill="1" applyBorder="1" applyAlignment="1">
      <alignment horizontal="left" vertical="top" wrapText="1"/>
    </xf>
    <xf numFmtId="0" fontId="33" fillId="25" borderId="2" xfId="0" applyFont="1" applyFill="1" applyBorder="1" applyAlignment="1">
      <alignment horizontal="left" vertical="top" wrapText="1"/>
    </xf>
    <xf numFmtId="0" fontId="33" fillId="25" borderId="21" xfId="0" applyFont="1" applyFill="1" applyBorder="1" applyAlignment="1">
      <alignment horizontal="left" vertical="top" wrapText="1"/>
    </xf>
    <xf numFmtId="0" fontId="33" fillId="25" borderId="39" xfId="0" applyFont="1" applyFill="1" applyBorder="1" applyAlignment="1">
      <alignment horizontal="left" vertical="top" wrapText="1"/>
    </xf>
    <xf numFmtId="0" fontId="33" fillId="0" borderId="0" xfId="0" applyFont="1" applyAlignment="1">
      <alignment horizontal="center" vertical="center" wrapText="1"/>
    </xf>
    <xf numFmtId="2" fontId="0" fillId="0" borderId="0" xfId="0" applyNumberFormat="1" applyAlignment="1">
      <alignment horizontal="center" vertical="center"/>
    </xf>
    <xf numFmtId="0" fontId="0" fillId="0" borderId="0" xfId="0" applyAlignment="1">
      <alignment horizontal="center" vertical="center" wrapText="1"/>
    </xf>
    <xf numFmtId="0" fontId="0" fillId="0" borderId="1" xfId="0" applyBorder="1" applyAlignment="1">
      <alignment horizontal="center" vertical="center"/>
    </xf>
    <xf numFmtId="0" fontId="0" fillId="0" borderId="1" xfId="0" applyBorder="1"/>
    <xf numFmtId="0" fontId="40" fillId="0" borderId="0" xfId="0" applyFont="1" applyAlignment="1">
      <alignment vertical="top"/>
    </xf>
    <xf numFmtId="0" fontId="38" fillId="0" borderId="0" xfId="0" applyFont="1" applyAlignment="1">
      <alignment horizontal="left" vertical="top"/>
    </xf>
    <xf numFmtId="0" fontId="41" fillId="0" borderId="0" xfId="0" applyFont="1" applyAlignment="1">
      <alignment vertical="top"/>
    </xf>
    <xf numFmtId="0" fontId="43" fillId="0" borderId="0" xfId="0" applyFont="1" applyAlignment="1">
      <alignment vertical="top" wrapText="1"/>
    </xf>
    <xf numFmtId="0" fontId="45" fillId="25" borderId="0" xfId="0" applyFont="1" applyFill="1" applyAlignment="1">
      <alignment vertical="top" wrapText="1"/>
    </xf>
    <xf numFmtId="0" fontId="45" fillId="25" borderId="0" xfId="0" applyFont="1" applyFill="1" applyAlignment="1">
      <alignment horizontal="left" vertical="top"/>
    </xf>
    <xf numFmtId="0" fontId="38" fillId="25" borderId="0" xfId="0" applyFont="1" applyFill="1" applyAlignment="1">
      <alignment horizontal="left" vertical="top"/>
    </xf>
    <xf numFmtId="0" fontId="46" fillId="32" borderId="44" xfId="0" applyFont="1" applyFill="1" applyBorder="1" applyAlignment="1">
      <alignment horizontal="center" vertical="center" wrapText="1"/>
    </xf>
    <xf numFmtId="0" fontId="47" fillId="25" borderId="0" xfId="0" applyFont="1" applyFill="1" applyAlignment="1">
      <alignment horizontal="center" vertical="center" wrapText="1"/>
    </xf>
    <xf numFmtId="0" fontId="47" fillId="0" borderId="0" xfId="0" applyFont="1" applyAlignment="1">
      <alignment horizontal="center" vertical="center" wrapText="1"/>
    </xf>
    <xf numFmtId="0" fontId="48" fillId="0" borderId="44" xfId="0" applyFont="1" applyBorder="1" applyAlignment="1">
      <alignment horizontal="left" vertical="top" wrapText="1"/>
    </xf>
    <xf numFmtId="0" fontId="48" fillId="25" borderId="44" xfId="0" applyFont="1" applyFill="1" applyBorder="1" applyAlignment="1">
      <alignment horizontal="left" vertical="top" wrapText="1"/>
    </xf>
    <xf numFmtId="0" fontId="38" fillId="0" borderId="44" xfId="0" applyFont="1" applyBorder="1" applyAlignment="1">
      <alignment horizontal="left" vertical="top" wrapText="1"/>
    </xf>
    <xf numFmtId="0" fontId="38" fillId="33" borderId="44" xfId="0" applyFont="1" applyFill="1" applyBorder="1" applyAlignment="1">
      <alignment horizontal="left" vertical="top" wrapText="1"/>
    </xf>
    <xf numFmtId="9" fontId="48" fillId="0" borderId="44" xfId="0" applyNumberFormat="1" applyFont="1" applyBorder="1" applyAlignment="1">
      <alignment horizontal="left" vertical="top" wrapText="1"/>
    </xf>
    <xf numFmtId="9" fontId="38" fillId="33" borderId="44" xfId="0" applyNumberFormat="1" applyFont="1" applyFill="1" applyBorder="1" applyAlignment="1">
      <alignment horizontal="left" vertical="top" wrapText="1"/>
    </xf>
    <xf numFmtId="0" fontId="38" fillId="0" borderId="3" xfId="0" applyFont="1" applyBorder="1" applyAlignment="1">
      <alignment horizontal="left" vertical="top" wrapText="1"/>
    </xf>
    <xf numFmtId="169" fontId="38" fillId="0" borderId="3" xfId="1" applyNumberFormat="1" applyFont="1" applyBorder="1" applyAlignment="1">
      <alignment horizontal="left" vertical="top" wrapText="1"/>
    </xf>
    <xf numFmtId="9" fontId="38" fillId="0" borderId="3" xfId="0" applyNumberFormat="1" applyFont="1" applyBorder="1" applyAlignment="1">
      <alignment horizontal="left" vertical="top" wrapText="1"/>
    </xf>
    <xf numFmtId="9" fontId="38" fillId="33" borderId="3" xfId="0" applyNumberFormat="1" applyFont="1" applyFill="1" applyBorder="1" applyAlignment="1">
      <alignment horizontal="left" vertical="top" wrapText="1"/>
    </xf>
    <xf numFmtId="9" fontId="38" fillId="33" borderId="45" xfId="0" applyNumberFormat="1" applyFont="1" applyFill="1" applyBorder="1" applyAlignment="1">
      <alignment horizontal="left" vertical="top" wrapText="1"/>
    </xf>
    <xf numFmtId="0" fontId="38" fillId="25" borderId="1" xfId="0" applyFont="1" applyFill="1" applyBorder="1" applyAlignment="1">
      <alignment horizontal="left" vertical="top" wrapText="1"/>
    </xf>
    <xf numFmtId="9" fontId="38" fillId="25" borderId="1" xfId="0" applyNumberFormat="1" applyFont="1" applyFill="1" applyBorder="1" applyAlignment="1">
      <alignment horizontal="left" vertical="top" wrapText="1"/>
    </xf>
    <xf numFmtId="9" fontId="38" fillId="33" borderId="1" xfId="0" applyNumberFormat="1" applyFont="1" applyFill="1" applyBorder="1" applyAlignment="1">
      <alignment horizontal="left" vertical="top" wrapText="1"/>
    </xf>
    <xf numFmtId="9" fontId="38" fillId="33" borderId="46" xfId="0" applyNumberFormat="1" applyFont="1" applyFill="1" applyBorder="1" applyAlignment="1">
      <alignment horizontal="left" vertical="top" wrapText="1"/>
    </xf>
    <xf numFmtId="0" fontId="48" fillId="25" borderId="1" xfId="0" applyFont="1" applyFill="1" applyBorder="1" applyAlignment="1">
      <alignment horizontal="left" vertical="top" wrapText="1"/>
    </xf>
    <xf numFmtId="0" fontId="38" fillId="0" borderId="1" xfId="0" applyFont="1" applyBorder="1" applyAlignment="1">
      <alignment horizontal="left" vertical="top" wrapText="1"/>
    </xf>
    <xf numFmtId="0" fontId="38" fillId="33" borderId="1" xfId="0" applyFont="1" applyFill="1" applyBorder="1" applyAlignment="1">
      <alignment horizontal="left" vertical="top" wrapText="1"/>
    </xf>
    <xf numFmtId="9" fontId="38" fillId="0" borderId="1" xfId="0" applyNumberFormat="1" applyFont="1" applyBorder="1" applyAlignment="1">
      <alignment horizontal="left" vertical="top" wrapText="1"/>
    </xf>
    <xf numFmtId="0" fontId="48" fillId="0" borderId="1" xfId="0" applyFont="1" applyBorder="1" applyAlignment="1">
      <alignment horizontal="left" vertical="top" wrapText="1"/>
    </xf>
    <xf numFmtId="9" fontId="48" fillId="0" borderId="1" xfId="0" applyNumberFormat="1" applyFont="1" applyBorder="1" applyAlignment="1">
      <alignment horizontal="left" vertical="top" wrapText="1"/>
    </xf>
    <xf numFmtId="0" fontId="48" fillId="0" borderId="46" xfId="0" applyFont="1" applyBorder="1" applyAlignment="1">
      <alignment horizontal="left" vertical="top" wrapText="1"/>
    </xf>
    <xf numFmtId="9" fontId="38" fillId="25" borderId="46" xfId="0" applyNumberFormat="1" applyFont="1" applyFill="1" applyBorder="1" applyAlignment="1">
      <alignment horizontal="left" vertical="top" wrapText="1"/>
    </xf>
    <xf numFmtId="9" fontId="48" fillId="0" borderId="1" xfId="1" applyFont="1" applyFill="1" applyBorder="1" applyAlignment="1">
      <alignment horizontal="left" vertical="top" wrapText="1"/>
    </xf>
    <xf numFmtId="9" fontId="48" fillId="0" borderId="46" xfId="1" applyFont="1" applyFill="1" applyBorder="1" applyAlignment="1">
      <alignment horizontal="left" vertical="top" wrapText="1"/>
    </xf>
    <xf numFmtId="9" fontId="48" fillId="25" borderId="1" xfId="0" applyNumberFormat="1" applyFont="1" applyFill="1" applyBorder="1" applyAlignment="1">
      <alignment horizontal="left" vertical="top" wrapText="1"/>
    </xf>
    <xf numFmtId="9" fontId="53" fillId="25" borderId="1" xfId="0" applyNumberFormat="1" applyFont="1" applyFill="1" applyBorder="1" applyAlignment="1">
      <alignment horizontal="left" vertical="top" wrapText="1"/>
    </xf>
    <xf numFmtId="0" fontId="38" fillId="25" borderId="46" xfId="0" applyFont="1" applyFill="1" applyBorder="1" applyAlignment="1">
      <alignment horizontal="left" vertical="top" wrapText="1"/>
    </xf>
    <xf numFmtId="0" fontId="38" fillId="25" borderId="2" xfId="0" applyFont="1" applyFill="1" applyBorder="1" applyAlignment="1">
      <alignment horizontal="left" vertical="top" wrapText="1"/>
    </xf>
    <xf numFmtId="0" fontId="38" fillId="33" borderId="2" xfId="0" applyFont="1" applyFill="1" applyBorder="1" applyAlignment="1">
      <alignment horizontal="left" vertical="top" wrapText="1"/>
    </xf>
    <xf numFmtId="10" fontId="38" fillId="25" borderId="2" xfId="0" applyNumberFormat="1" applyFont="1" applyFill="1" applyBorder="1" applyAlignment="1">
      <alignment horizontal="left" vertical="top" wrapText="1"/>
    </xf>
    <xf numFmtId="0" fontId="38" fillId="25" borderId="47" xfId="0" applyFont="1" applyFill="1" applyBorder="1" applyAlignment="1">
      <alignment horizontal="left" vertical="top" wrapText="1"/>
    </xf>
    <xf numFmtId="0" fontId="38" fillId="0" borderId="0" xfId="0" applyFont="1" applyAlignment="1">
      <alignment horizontal="left" vertical="top" wrapText="1"/>
    </xf>
    <xf numFmtId="2" fontId="38" fillId="0" borderId="0" xfId="0" applyNumberFormat="1" applyFont="1" applyAlignment="1">
      <alignment horizontal="left" vertical="top"/>
    </xf>
    <xf numFmtId="0" fontId="54" fillId="0" borderId="23" xfId="0" applyFont="1" applyBorder="1" applyAlignment="1">
      <alignment vertical="top"/>
    </xf>
    <xf numFmtId="0" fontId="54" fillId="0" borderId="0" xfId="0" applyFont="1" applyAlignment="1">
      <alignment vertical="top"/>
    </xf>
    <xf numFmtId="0" fontId="54" fillId="0" borderId="0" xfId="0" applyFont="1" applyAlignment="1">
      <alignment horizontal="left" vertical="top"/>
    </xf>
    <xf numFmtId="0" fontId="0" fillId="0" borderId="0" xfId="0" applyAlignment="1">
      <alignment horizontal="left" vertical="top"/>
    </xf>
    <xf numFmtId="0" fontId="54" fillId="0" borderId="48" xfId="0" applyFont="1" applyBorder="1" applyAlignment="1">
      <alignment vertical="top"/>
    </xf>
    <xf numFmtId="0" fontId="55" fillId="0" borderId="0" xfId="0" applyFont="1" applyAlignment="1">
      <alignment vertical="top" wrapText="1"/>
    </xf>
    <xf numFmtId="0" fontId="55" fillId="0" borderId="0" xfId="0" applyFont="1" applyAlignment="1">
      <alignment horizontal="left" vertical="top" wrapText="1"/>
    </xf>
    <xf numFmtId="0" fontId="56" fillId="0" borderId="0" xfId="0" applyFont="1" applyAlignment="1">
      <alignment vertical="top" wrapText="1"/>
    </xf>
    <xf numFmtId="0" fontId="56" fillId="0" borderId="0" xfId="0" applyFont="1" applyAlignment="1">
      <alignment horizontal="left" vertical="top" wrapText="1"/>
    </xf>
    <xf numFmtId="0" fontId="57" fillId="32" borderId="0" xfId="0" applyFont="1" applyFill="1" applyAlignment="1">
      <alignment horizontal="left" vertical="top"/>
    </xf>
    <xf numFmtId="0" fontId="32" fillId="25" borderId="0" xfId="0" applyFont="1" applyFill="1" applyAlignment="1">
      <alignment vertical="top" wrapText="1"/>
    </xf>
    <xf numFmtId="0" fontId="57" fillId="25" borderId="0" xfId="0" applyFont="1" applyFill="1" applyAlignment="1">
      <alignment horizontal="left" vertical="top"/>
    </xf>
    <xf numFmtId="0" fontId="0" fillId="25" borderId="0" xfId="0" applyFill="1" applyAlignment="1">
      <alignment horizontal="left" vertical="top"/>
    </xf>
    <xf numFmtId="0" fontId="58" fillId="32" borderId="0" xfId="0" applyFont="1" applyFill="1" applyAlignment="1">
      <alignment horizontal="center" vertical="center"/>
    </xf>
    <xf numFmtId="0" fontId="58" fillId="32" borderId="1" xfId="0" applyFont="1" applyFill="1" applyBorder="1" applyAlignment="1">
      <alignment horizontal="center" vertical="center" wrapText="1"/>
    </xf>
    <xf numFmtId="0" fontId="58" fillId="32" borderId="16" xfId="0" applyFont="1" applyFill="1" applyBorder="1" applyAlignment="1">
      <alignment horizontal="center" vertical="center" wrapText="1"/>
    </xf>
    <xf numFmtId="0" fontId="58" fillId="32" borderId="34" xfId="0" applyFont="1" applyFill="1" applyBorder="1" applyAlignment="1">
      <alignment horizontal="center" vertical="center" wrapText="1"/>
    </xf>
    <xf numFmtId="0" fontId="59" fillId="32" borderId="1" xfId="0" applyFont="1" applyFill="1" applyBorder="1" applyAlignment="1">
      <alignment horizontal="center" vertical="center" wrapText="1"/>
    </xf>
    <xf numFmtId="0" fontId="58" fillId="32" borderId="1" xfId="0" applyFont="1" applyFill="1" applyBorder="1" applyAlignment="1">
      <alignment horizontal="center" vertical="center"/>
    </xf>
    <xf numFmtId="0" fontId="58" fillId="25" borderId="0" xfId="0" applyFont="1" applyFill="1" applyAlignment="1">
      <alignment horizontal="center" vertical="center"/>
    </xf>
    <xf numFmtId="0" fontId="58" fillId="25" borderId="0" xfId="0" applyFont="1" applyFill="1" applyAlignment="1">
      <alignment horizontal="center" vertical="center" wrapText="1"/>
    </xf>
    <xf numFmtId="0" fontId="59" fillId="25" borderId="0" xfId="0" applyFont="1" applyFill="1" applyAlignment="1">
      <alignment horizontal="center" vertical="center" wrapText="1"/>
    </xf>
    <xf numFmtId="0" fontId="60" fillId="25" borderId="0" xfId="0" applyFont="1" applyFill="1" applyAlignment="1">
      <alignment horizontal="center" vertical="center"/>
    </xf>
    <xf numFmtId="0" fontId="60" fillId="0" borderId="0" xfId="0" applyFont="1" applyAlignment="1">
      <alignment horizontal="center" vertical="center"/>
    </xf>
    <xf numFmtId="0" fontId="38" fillId="25" borderId="16" xfId="0" applyFont="1" applyFill="1" applyBorder="1" applyAlignment="1">
      <alignment horizontal="left" vertical="top" wrapText="1"/>
    </xf>
    <xf numFmtId="0" fontId="38" fillId="25" borderId="34" xfId="0" applyFont="1" applyFill="1" applyBorder="1" applyAlignment="1">
      <alignment horizontal="left" vertical="top" wrapText="1"/>
    </xf>
    <xf numFmtId="0" fontId="38" fillId="25" borderId="15" xfId="0" applyFont="1" applyFill="1" applyBorder="1" applyAlignment="1">
      <alignment horizontal="left" vertical="top" wrapText="1"/>
    </xf>
    <xf numFmtId="0" fontId="38" fillId="0" borderId="16" xfId="0" applyFont="1" applyBorder="1" applyAlignment="1">
      <alignment horizontal="left" vertical="top" wrapText="1"/>
    </xf>
    <xf numFmtId="0" fontId="38" fillId="0" borderId="34" xfId="0" applyFont="1" applyBorder="1" applyAlignment="1">
      <alignment horizontal="left" vertical="top" wrapText="1"/>
    </xf>
    <xf numFmtId="9" fontId="38" fillId="25" borderId="18" xfId="0" applyNumberFormat="1" applyFont="1" applyFill="1" applyBorder="1" applyAlignment="1">
      <alignment horizontal="left" vertical="top" wrapText="1"/>
    </xf>
    <xf numFmtId="0" fontId="38" fillId="25" borderId="51" xfId="0" applyFont="1" applyFill="1" applyBorder="1" applyAlignment="1">
      <alignment horizontal="left" vertical="top" wrapText="1"/>
    </xf>
    <xf numFmtId="9" fontId="48" fillId="0" borderId="18" xfId="0" applyNumberFormat="1" applyFont="1" applyBorder="1" applyAlignment="1">
      <alignment horizontal="left" vertical="top" wrapText="1"/>
    </xf>
    <xf numFmtId="0" fontId="48" fillId="0" borderId="51" xfId="0" applyFont="1" applyBorder="1" applyAlignment="1">
      <alignment horizontal="left" vertical="top" wrapText="1"/>
    </xf>
    <xf numFmtId="0" fontId="48" fillId="33" borderId="1" xfId="0" applyFont="1" applyFill="1" applyBorder="1" applyAlignment="1">
      <alignment horizontal="left" vertical="top" wrapText="1"/>
    </xf>
    <xf numFmtId="9" fontId="48" fillId="33" borderId="18" xfId="0" applyNumberFormat="1" applyFont="1" applyFill="1" applyBorder="1" applyAlignment="1">
      <alignment horizontal="left" vertical="top" wrapText="1"/>
    </xf>
    <xf numFmtId="0" fontId="48" fillId="33" borderId="51" xfId="0" applyFont="1" applyFill="1" applyBorder="1" applyAlignment="1">
      <alignment horizontal="left" vertical="top" wrapText="1"/>
    </xf>
    <xf numFmtId="9" fontId="48" fillId="25" borderId="18" xfId="0" applyNumberFormat="1" applyFont="1" applyFill="1" applyBorder="1" applyAlignment="1">
      <alignment horizontal="left" vertical="top" wrapText="1"/>
    </xf>
    <xf numFmtId="0" fontId="48" fillId="25" borderId="51" xfId="0" applyFont="1" applyFill="1" applyBorder="1" applyAlignment="1">
      <alignment horizontal="left" vertical="top" wrapText="1"/>
    </xf>
    <xf numFmtId="9" fontId="48" fillId="0" borderId="15" xfId="1" applyFont="1" applyFill="1" applyBorder="1" applyAlignment="1">
      <alignment horizontal="left" vertical="top" wrapText="1"/>
    </xf>
    <xf numFmtId="0" fontId="48" fillId="33" borderId="15" xfId="0" applyFont="1" applyFill="1" applyBorder="1" applyAlignment="1">
      <alignment horizontal="left" vertical="top" wrapText="1"/>
    </xf>
    <xf numFmtId="0" fontId="38" fillId="25" borderId="1" xfId="0" applyFont="1" applyFill="1" applyBorder="1" applyAlignment="1">
      <alignment horizontal="left" vertical="top"/>
    </xf>
    <xf numFmtId="0" fontId="38" fillId="25" borderId="16" xfId="0" applyFont="1" applyFill="1" applyBorder="1" applyAlignment="1">
      <alignment horizontal="left" vertical="top"/>
    </xf>
    <xf numFmtId="9" fontId="38" fillId="25" borderId="15" xfId="0" applyNumberFormat="1" applyFont="1" applyFill="1" applyBorder="1" applyAlignment="1">
      <alignment horizontal="left" vertical="top" wrapText="1"/>
    </xf>
    <xf numFmtId="0" fontId="48" fillId="25" borderId="2" xfId="0" applyFont="1" applyFill="1" applyBorder="1" applyAlignment="1">
      <alignment horizontal="left" vertical="top" wrapText="1"/>
    </xf>
    <xf numFmtId="9" fontId="48" fillId="25" borderId="2" xfId="0" applyNumberFormat="1" applyFont="1" applyFill="1" applyBorder="1" applyAlignment="1">
      <alignment horizontal="left" vertical="top" wrapText="1"/>
    </xf>
    <xf numFmtId="9" fontId="38" fillId="25" borderId="2" xfId="0" applyNumberFormat="1" applyFont="1" applyFill="1" applyBorder="1" applyAlignment="1">
      <alignment horizontal="left" vertical="top" wrapText="1"/>
    </xf>
    <xf numFmtId="9" fontId="38" fillId="25" borderId="13" xfId="0" applyNumberFormat="1" applyFont="1" applyFill="1" applyBorder="1" applyAlignment="1">
      <alignment horizontal="left" vertical="top" wrapText="1"/>
    </xf>
    <xf numFmtId="0" fontId="27" fillId="0" borderId="0" xfId="0" applyFont="1" applyAlignment="1">
      <alignment horizontal="left" vertical="top"/>
    </xf>
    <xf numFmtId="0" fontId="0" fillId="0" borderId="0" xfId="0" applyAlignment="1">
      <alignment horizontal="left" vertical="top" wrapText="1"/>
    </xf>
    <xf numFmtId="2" fontId="0" fillId="0" borderId="0" xfId="0" applyNumberFormat="1" applyAlignment="1">
      <alignment horizontal="left" vertical="top"/>
    </xf>
    <xf numFmtId="0" fontId="22" fillId="26" borderId="1" xfId="0" applyFont="1" applyFill="1" applyBorder="1" applyAlignment="1">
      <alignment horizontal="center" vertical="top" wrapText="1"/>
    </xf>
    <xf numFmtId="0" fontId="22" fillId="26" borderId="11" xfId="0" applyFont="1" applyFill="1" applyBorder="1" applyAlignment="1">
      <alignment horizontal="center" vertical="top" wrapText="1"/>
    </xf>
    <xf numFmtId="0" fontId="0" fillId="0" borderId="1" xfId="0" applyBorder="1" applyAlignment="1">
      <alignment horizontal="left" vertical="top"/>
    </xf>
    <xf numFmtId="9" fontId="0" fillId="0" borderId="1" xfId="1" applyFont="1" applyBorder="1" applyAlignment="1">
      <alignment horizontal="left" vertical="top"/>
    </xf>
    <xf numFmtId="0" fontId="0" fillId="0" borderId="1" xfId="0" applyBorder="1" applyAlignment="1">
      <alignment horizontal="left"/>
    </xf>
    <xf numFmtId="0" fontId="36" fillId="0" borderId="34" xfId="0" applyFont="1" applyBorder="1" applyAlignment="1">
      <alignment horizontal="center" vertical="center" wrapText="1"/>
    </xf>
    <xf numFmtId="0" fontId="36" fillId="0" borderId="1" xfId="0" applyFont="1" applyBorder="1" applyAlignment="1">
      <alignment horizontal="center" vertical="center" wrapText="1"/>
    </xf>
    <xf numFmtId="9" fontId="0" fillId="0" borderId="0" xfId="0" applyNumberFormat="1"/>
    <xf numFmtId="0" fontId="22" fillId="0" borderId="0" xfId="0" applyFont="1" applyFill="1" applyAlignment="1">
      <alignment horizontal="center" vertical="center" wrapText="1"/>
    </xf>
    <xf numFmtId="0" fontId="0" fillId="0" borderId="34" xfId="0" applyBorder="1" applyAlignment="1">
      <alignment vertical="top"/>
    </xf>
    <xf numFmtId="9" fontId="0" fillId="0" borderId="15" xfId="1" applyFont="1" applyBorder="1" applyAlignment="1">
      <alignment horizontal="left" vertical="top"/>
    </xf>
    <xf numFmtId="0" fontId="0" fillId="0" borderId="12" xfId="0" applyBorder="1" applyAlignment="1">
      <alignment vertical="top"/>
    </xf>
    <xf numFmtId="0" fontId="0" fillId="0" borderId="13" xfId="0" applyBorder="1" applyAlignment="1">
      <alignment horizontal="left" vertical="top"/>
    </xf>
    <xf numFmtId="9" fontId="0" fillId="0" borderId="14" xfId="1" applyFont="1" applyBorder="1" applyAlignment="1">
      <alignment horizontal="left" vertical="top"/>
    </xf>
    <xf numFmtId="0" fontId="43" fillId="26" borderId="1" xfId="0" applyFont="1" applyFill="1" applyBorder="1" applyAlignment="1">
      <alignment horizontal="left" vertical="top" wrapText="1"/>
    </xf>
    <xf numFmtId="0" fontId="22" fillId="26" borderId="1" xfId="0" applyFont="1" applyFill="1" applyBorder="1" applyAlignment="1">
      <alignment horizontal="left"/>
    </xf>
    <xf numFmtId="9" fontId="22" fillId="26" borderId="1" xfId="1" applyFont="1" applyFill="1" applyBorder="1" applyAlignment="1">
      <alignment horizontal="left"/>
    </xf>
    <xf numFmtId="0" fontId="0" fillId="0" borderId="0" xfId="0" applyAlignment="1">
      <alignment wrapText="1"/>
    </xf>
    <xf numFmtId="0" fontId="20" fillId="0" borderId="0" xfId="0" applyFont="1"/>
    <xf numFmtId="0" fontId="38" fillId="25" borderId="38" xfId="0" applyFont="1" applyFill="1" applyBorder="1" applyAlignment="1">
      <alignment horizontal="left" vertical="top" wrapText="1"/>
    </xf>
    <xf numFmtId="9" fontId="38" fillId="25" borderId="39" xfId="0" applyNumberFormat="1" applyFont="1" applyFill="1" applyBorder="1" applyAlignment="1">
      <alignment horizontal="left" vertical="top" wrapText="1"/>
    </xf>
    <xf numFmtId="0" fontId="48" fillId="25" borderId="13" xfId="0" applyFont="1" applyFill="1" applyBorder="1" applyAlignment="1">
      <alignment horizontal="left" vertical="top" wrapText="1"/>
    </xf>
    <xf numFmtId="9" fontId="48" fillId="25" borderId="13" xfId="0" applyNumberFormat="1" applyFont="1" applyFill="1" applyBorder="1" applyAlignment="1">
      <alignment horizontal="left" vertical="top" wrapText="1"/>
    </xf>
    <xf numFmtId="0" fontId="39" fillId="10" borderId="27" xfId="0" applyFont="1" applyFill="1" applyBorder="1" applyAlignment="1">
      <alignment horizontal="left" vertical="top" wrapText="1"/>
    </xf>
    <xf numFmtId="0" fontId="14" fillId="9" borderId="1" xfId="0" applyFont="1" applyFill="1" applyBorder="1" applyAlignment="1">
      <alignment horizontal="left" vertical="top" wrapText="1"/>
    </xf>
    <xf numFmtId="0" fontId="14" fillId="10" borderId="1" xfId="0" applyFont="1" applyFill="1" applyBorder="1" applyAlignment="1">
      <alignment horizontal="left" vertical="top" wrapText="1"/>
    </xf>
    <xf numFmtId="0" fontId="38" fillId="10" borderId="27" xfId="0" applyFont="1" applyFill="1" applyBorder="1" applyAlignment="1">
      <alignment horizontal="center" vertical="top" wrapText="1"/>
    </xf>
    <xf numFmtId="9" fontId="38" fillId="25" borderId="1" xfId="0" applyNumberFormat="1" applyFont="1" applyFill="1" applyBorder="1" applyAlignment="1">
      <alignment horizontal="left" vertical="top"/>
    </xf>
    <xf numFmtId="0" fontId="48" fillId="25" borderId="46" xfId="0" applyFont="1" applyFill="1" applyBorder="1" applyAlignment="1">
      <alignment horizontal="left" vertical="top" wrapText="1"/>
    </xf>
    <xf numFmtId="0" fontId="38" fillId="15" borderId="1" xfId="0" applyFont="1" applyFill="1" applyBorder="1" applyAlignment="1">
      <alignment horizontal="left" vertical="top" wrapText="1"/>
    </xf>
    <xf numFmtId="9" fontId="38" fillId="15" borderId="1" xfId="0" applyNumberFormat="1" applyFont="1" applyFill="1" applyBorder="1" applyAlignment="1">
      <alignment horizontal="left" vertical="top" wrapText="1"/>
    </xf>
    <xf numFmtId="49" fontId="38" fillId="25" borderId="1" xfId="15" applyNumberFormat="1" applyFont="1" applyFill="1" applyBorder="1" applyAlignment="1">
      <alignment horizontal="left" vertical="top" wrapText="1"/>
    </xf>
    <xf numFmtId="0" fontId="38" fillId="25" borderId="46" xfId="0" applyFont="1" applyFill="1" applyBorder="1" applyAlignment="1">
      <alignment horizontal="left" vertical="top"/>
    </xf>
    <xf numFmtId="0" fontId="37" fillId="0" borderId="36" xfId="0" applyFont="1" applyBorder="1" applyAlignment="1">
      <alignment horizontal="left" vertical="top" wrapText="1"/>
    </xf>
    <xf numFmtId="9" fontId="48" fillId="25" borderId="44" xfId="0" applyNumberFormat="1" applyFont="1" applyFill="1" applyBorder="1" applyAlignment="1">
      <alignment horizontal="left" vertical="top" wrapText="1"/>
    </xf>
    <xf numFmtId="9" fontId="38" fillId="25" borderId="1" xfId="0" applyNumberFormat="1" applyFont="1" applyFill="1" applyBorder="1" applyAlignment="1">
      <alignment vertical="top" wrapText="1"/>
    </xf>
    <xf numFmtId="0" fontId="48" fillId="15" borderId="44" xfId="0" applyFont="1" applyFill="1" applyBorder="1" applyAlignment="1">
      <alignment horizontal="left" vertical="top" wrapText="1"/>
    </xf>
    <xf numFmtId="0" fontId="38" fillId="25" borderId="44" xfId="0" applyFont="1" applyFill="1" applyBorder="1" applyAlignment="1">
      <alignment horizontal="left" vertical="top" wrapText="1"/>
    </xf>
    <xf numFmtId="9" fontId="38" fillId="25" borderId="1" xfId="1" applyFont="1" applyFill="1" applyBorder="1" applyAlignment="1">
      <alignment horizontal="left" vertical="top" wrapText="1"/>
    </xf>
    <xf numFmtId="0" fontId="37" fillId="15" borderId="1" xfId="0" applyFont="1" applyFill="1" applyBorder="1" applyAlignment="1">
      <alignment horizontal="left" vertical="top" wrapText="1"/>
    </xf>
    <xf numFmtId="0" fontId="33" fillId="15" borderId="1" xfId="0" applyFont="1" applyFill="1" applyBorder="1" applyAlignment="1">
      <alignment horizontal="left" vertical="top" wrapText="1"/>
    </xf>
    <xf numFmtId="0" fontId="48" fillId="19" borderId="44" xfId="0" applyFont="1" applyFill="1" applyBorder="1" applyAlignment="1">
      <alignment horizontal="left" vertical="top" wrapText="1"/>
    </xf>
    <xf numFmtId="9" fontId="38" fillId="0" borderId="1" xfId="1" applyFont="1" applyBorder="1" applyAlignment="1">
      <alignment horizontal="left" vertical="top" wrapText="1"/>
    </xf>
    <xf numFmtId="0" fontId="38" fillId="10" borderId="0" xfId="0" applyFont="1" applyFill="1" applyAlignment="1">
      <alignment horizontal="center" vertical="top"/>
    </xf>
    <xf numFmtId="0" fontId="3" fillId="0" borderId="1" xfId="0" applyFont="1" applyBorder="1" applyAlignment="1">
      <alignment horizontal="left" vertical="top" wrapText="1"/>
    </xf>
    <xf numFmtId="9" fontId="0" fillId="0" borderId="1" xfId="0" applyNumberFormat="1" applyBorder="1" applyAlignment="1">
      <alignment horizontal="left" vertical="top"/>
    </xf>
    <xf numFmtId="9" fontId="38" fillId="0" borderId="1" xfId="0" applyNumberFormat="1" applyFont="1" applyBorder="1" applyAlignment="1">
      <alignment horizontal="left" vertical="top"/>
    </xf>
    <xf numFmtId="9" fontId="3" fillId="0" borderId="1" xfId="1" applyFont="1" applyBorder="1" applyAlignment="1">
      <alignment horizontal="left" vertical="top"/>
    </xf>
    <xf numFmtId="9" fontId="48" fillId="25" borderId="59" xfId="0" applyNumberFormat="1" applyFont="1" applyFill="1" applyBorder="1" applyAlignment="1">
      <alignment horizontal="left" vertical="top" wrapText="1"/>
    </xf>
    <xf numFmtId="0" fontId="3" fillId="0" borderId="3" xfId="0" applyFont="1" applyBorder="1" applyAlignment="1">
      <alignment horizontal="left" vertical="top" wrapText="1"/>
    </xf>
    <xf numFmtId="0" fontId="38" fillId="10" borderId="58" xfId="0" applyFont="1" applyFill="1" applyBorder="1" applyAlignment="1">
      <alignment horizontal="center" vertical="top" wrapText="1"/>
    </xf>
    <xf numFmtId="0" fontId="39" fillId="10" borderId="58" xfId="0" applyFont="1" applyFill="1" applyBorder="1" applyAlignment="1">
      <alignment horizontal="left" vertical="top" wrapText="1"/>
    </xf>
    <xf numFmtId="9" fontId="39" fillId="10" borderId="58" xfId="0" applyNumberFormat="1" applyFont="1" applyFill="1" applyBorder="1" applyAlignment="1">
      <alignment horizontal="left" vertical="top" wrapText="1"/>
    </xf>
    <xf numFmtId="0" fontId="39" fillId="10" borderId="58" xfId="0" applyFont="1" applyFill="1" applyBorder="1" applyAlignment="1">
      <alignment horizontal="left" vertical="top"/>
    </xf>
    <xf numFmtId="9" fontId="39" fillId="10" borderId="57" xfId="1" applyFont="1" applyFill="1" applyBorder="1" applyAlignment="1">
      <alignment horizontal="left" vertical="top"/>
    </xf>
    <xf numFmtId="9" fontId="39" fillId="10" borderId="25" xfId="1" applyFont="1" applyFill="1" applyBorder="1" applyAlignment="1">
      <alignment horizontal="left" vertical="top"/>
    </xf>
    <xf numFmtId="9" fontId="0" fillId="0" borderId="3" xfId="0" applyNumberFormat="1" applyBorder="1" applyAlignment="1">
      <alignment horizontal="left" vertical="top"/>
    </xf>
    <xf numFmtId="0" fontId="3" fillId="0" borderId="0" xfId="0" applyFont="1"/>
    <xf numFmtId="0" fontId="3" fillId="26" borderId="1" xfId="0" applyFont="1" applyFill="1" applyBorder="1"/>
    <xf numFmtId="0" fontId="0" fillId="0" borderId="60" xfId="0" applyBorder="1"/>
    <xf numFmtId="0" fontId="3" fillId="0" borderId="1" xfId="0" applyFont="1" applyBorder="1"/>
    <xf numFmtId="0" fontId="3" fillId="0" borderId="1" xfId="0" applyFont="1" applyBorder="1" applyAlignment="1">
      <alignment horizontal="left"/>
    </xf>
    <xf numFmtId="0" fontId="20" fillId="0" borderId="1" xfId="0" applyFont="1" applyBorder="1" applyAlignment="1">
      <alignment horizontal="left"/>
    </xf>
    <xf numFmtId="0" fontId="36" fillId="0" borderId="15" xfId="0" applyFont="1" applyBorder="1" applyAlignment="1">
      <alignment horizontal="center" vertical="center" wrapText="1"/>
    </xf>
    <xf numFmtId="0" fontId="0" fillId="0" borderId="15" xfId="0" applyBorder="1" applyAlignment="1">
      <alignment horizontal="left" vertical="top"/>
    </xf>
    <xf numFmtId="0" fontId="0" fillId="0" borderId="14" xfId="0" applyBorder="1" applyAlignment="1">
      <alignment horizontal="left" vertical="top"/>
    </xf>
    <xf numFmtId="0" fontId="3" fillId="26" borderId="0" xfId="0" applyFont="1" applyFill="1"/>
    <xf numFmtId="0" fontId="5" fillId="18" borderId="1" xfId="0" applyFont="1" applyFill="1" applyBorder="1" applyAlignment="1">
      <alignment horizontal="left" vertical="top" wrapText="1"/>
    </xf>
    <xf numFmtId="0" fontId="15" fillId="27" borderId="1" xfId="0" applyFont="1" applyFill="1" applyBorder="1" applyAlignment="1">
      <alignment horizontal="left" vertical="top" wrapText="1"/>
    </xf>
    <xf numFmtId="0" fontId="15" fillId="4" borderId="1" xfId="0" applyFont="1" applyFill="1" applyBorder="1" applyAlignment="1">
      <alignment horizontal="left" vertical="top" wrapText="1"/>
    </xf>
    <xf numFmtId="0" fontId="14" fillId="4" borderId="1" xfId="3" applyFont="1" applyFill="1" applyBorder="1" applyAlignment="1">
      <alignment horizontal="left" vertical="top" wrapText="1"/>
    </xf>
    <xf numFmtId="0" fontId="14" fillId="28" borderId="1" xfId="0" applyFont="1" applyFill="1" applyBorder="1" applyAlignment="1">
      <alignment horizontal="left" vertical="top" wrapText="1"/>
    </xf>
    <xf numFmtId="0" fontId="14" fillId="35" borderId="1" xfId="0" applyFont="1" applyFill="1" applyBorder="1" applyAlignment="1">
      <alignment horizontal="left" vertical="top" wrapText="1"/>
    </xf>
    <xf numFmtId="0" fontId="13" fillId="25" borderId="0" xfId="0" applyFont="1" applyFill="1" applyAlignment="1">
      <alignment horizontal="left" vertical="top" wrapText="1"/>
    </xf>
    <xf numFmtId="0" fontId="5" fillId="28" borderId="1" xfId="0" applyFont="1" applyFill="1" applyBorder="1" applyAlignment="1">
      <alignment horizontal="left" vertical="top" wrapText="1"/>
    </xf>
    <xf numFmtId="0" fontId="5" fillId="15" borderId="1"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21" borderId="1" xfId="0" applyFont="1" applyFill="1" applyBorder="1" applyAlignment="1">
      <alignment horizontal="left" vertical="top" wrapText="1"/>
    </xf>
    <xf numFmtId="0" fontId="15" fillId="27" borderId="4" xfId="0" applyFont="1" applyFill="1" applyBorder="1" applyAlignment="1">
      <alignment horizontal="left" vertical="top" wrapText="1"/>
    </xf>
    <xf numFmtId="0" fontId="18" fillId="15" borderId="1" xfId="0" applyFont="1" applyFill="1" applyBorder="1" applyAlignment="1" applyProtection="1">
      <alignment horizontal="left" vertical="top" wrapText="1"/>
      <protection locked="0"/>
    </xf>
    <xf numFmtId="0" fontId="18" fillId="23" borderId="1" xfId="0" applyFont="1" applyFill="1" applyBorder="1" applyAlignment="1" applyProtection="1">
      <alignment horizontal="left" vertical="top" wrapText="1"/>
      <protection locked="0"/>
    </xf>
    <xf numFmtId="165" fontId="14" fillId="25" borderId="1" xfId="0" applyNumberFormat="1" applyFont="1" applyFill="1" applyBorder="1" applyAlignment="1">
      <alignment horizontal="left" vertical="top" wrapText="1"/>
    </xf>
    <xf numFmtId="0" fontId="5" fillId="23" borderId="1" xfId="0" applyFont="1" applyFill="1" applyBorder="1" applyAlignment="1">
      <alignment horizontal="left" vertical="top" wrapText="1"/>
    </xf>
    <xf numFmtId="0" fontId="5" fillId="21" borderId="1" xfId="0" applyFont="1" applyFill="1" applyBorder="1" applyAlignment="1">
      <alignment horizontal="left" vertical="top" wrapText="1"/>
    </xf>
    <xf numFmtId="0" fontId="14" fillId="14" borderId="1" xfId="0" applyFont="1" applyFill="1" applyBorder="1" applyAlignment="1">
      <alignment horizontal="left" vertical="top" wrapText="1"/>
    </xf>
    <xf numFmtId="0" fontId="14" fillId="14" borderId="2" xfId="0" applyFont="1" applyFill="1" applyBorder="1" applyAlignment="1">
      <alignment horizontal="left" vertical="top" wrapText="1"/>
    </xf>
    <xf numFmtId="0" fontId="0" fillId="0" borderId="0" xfId="0" applyFill="1" applyAlignment="1">
      <alignment horizontal="left" vertical="top" wrapText="1"/>
    </xf>
    <xf numFmtId="9" fontId="0" fillId="0" borderId="0" xfId="1" applyFont="1" applyFill="1" applyAlignment="1">
      <alignment horizontal="left" vertical="top" wrapText="1"/>
    </xf>
    <xf numFmtId="0" fontId="6" fillId="0" borderId="0" xfId="0" applyFont="1" applyFill="1" applyAlignment="1">
      <alignment horizontal="left" vertical="top" wrapText="1"/>
    </xf>
    <xf numFmtId="2" fontId="0" fillId="0" borderId="0" xfId="0" applyNumberFormat="1" applyFill="1" applyAlignment="1">
      <alignment horizontal="left" vertical="top" wrapText="1"/>
    </xf>
    <xf numFmtId="0" fontId="0" fillId="0" borderId="0" xfId="0" applyAlignment="1">
      <alignment vertical="top" wrapText="1"/>
    </xf>
    <xf numFmtId="9" fontId="0" fillId="0" borderId="0" xfId="0" applyNumberFormat="1" applyFill="1" applyAlignment="1">
      <alignment horizontal="left" vertical="top" wrapText="1"/>
    </xf>
    <xf numFmtId="0" fontId="15" fillId="6" borderId="1" xfId="0" applyFont="1" applyFill="1" applyBorder="1" applyAlignment="1">
      <alignment horizontal="left" vertical="top" wrapText="1"/>
    </xf>
    <xf numFmtId="0" fontId="18" fillId="25" borderId="1" xfId="0" applyFont="1" applyFill="1" applyBorder="1" applyAlignment="1">
      <alignment horizontal="left" vertical="top" wrapText="1"/>
    </xf>
    <xf numFmtId="0" fontId="61" fillId="15" borderId="1" xfId="0" applyFont="1" applyFill="1" applyBorder="1" applyAlignment="1">
      <alignment horizontal="left" vertical="top" wrapText="1"/>
    </xf>
    <xf numFmtId="0" fontId="61" fillId="15" borderId="13" xfId="0" applyFont="1" applyFill="1" applyBorder="1" applyAlignment="1">
      <alignment horizontal="left" vertical="top" wrapText="1"/>
    </xf>
    <xf numFmtId="0" fontId="61" fillId="4" borderId="1" xfId="0" applyFont="1" applyFill="1" applyBorder="1" applyAlignment="1">
      <alignment horizontal="left" vertical="top" wrapText="1"/>
    </xf>
    <xf numFmtId="0" fontId="18" fillId="12" borderId="1" xfId="0" applyFont="1" applyFill="1" applyBorder="1" applyAlignment="1">
      <alignment horizontal="left" vertical="top" wrapText="1"/>
    </xf>
    <xf numFmtId="0" fontId="15" fillId="12" borderId="1" xfId="0" applyFont="1" applyFill="1" applyBorder="1" applyAlignment="1">
      <alignment horizontal="left" vertical="top" wrapText="1"/>
    </xf>
    <xf numFmtId="167" fontId="18" fillId="25" borderId="1" xfId="0" applyNumberFormat="1" applyFont="1" applyFill="1" applyBorder="1" applyAlignment="1">
      <alignment horizontal="left" vertical="top" wrapText="1"/>
    </xf>
    <xf numFmtId="0" fontId="18" fillId="25" borderId="1" xfId="0" applyFont="1" applyFill="1" applyBorder="1" applyAlignment="1" applyProtection="1">
      <alignment horizontal="left" vertical="top" wrapText="1"/>
      <protection locked="0"/>
    </xf>
    <xf numFmtId="0" fontId="5" fillId="0" borderId="1" xfId="4" applyFont="1" applyBorder="1" applyAlignment="1">
      <alignment horizontal="left" vertical="top" wrapText="1"/>
    </xf>
    <xf numFmtId="0" fontId="5" fillId="0" borderId="2" xfId="4" applyFont="1" applyBorder="1" applyAlignment="1">
      <alignment horizontal="left" vertical="top" wrapText="1"/>
    </xf>
    <xf numFmtId="0" fontId="5" fillId="0" borderId="4" xfId="4" applyFont="1" applyBorder="1" applyAlignment="1">
      <alignment horizontal="left" vertical="top" wrapText="1"/>
    </xf>
    <xf numFmtId="0" fontId="5" fillId="0" borderId="3" xfId="4" applyFont="1" applyBorder="1" applyAlignment="1">
      <alignment horizontal="left" vertical="top" wrapText="1"/>
    </xf>
    <xf numFmtId="165" fontId="14" fillId="0" borderId="1" xfId="0" applyNumberFormat="1" applyFont="1" applyFill="1" applyBorder="1" applyAlignment="1">
      <alignment horizontal="left" vertical="top" wrapText="1"/>
    </xf>
    <xf numFmtId="10" fontId="14" fillId="0" borderId="1" xfId="1" applyNumberFormat="1" applyFont="1" applyFill="1" applyBorder="1" applyAlignment="1">
      <alignment horizontal="left" vertical="top" wrapText="1"/>
    </xf>
    <xf numFmtId="9" fontId="5" fillId="0" borderId="1" xfId="1" applyFont="1" applyFill="1" applyBorder="1" applyAlignment="1">
      <alignment horizontal="left" vertical="top" wrapText="1"/>
    </xf>
    <xf numFmtId="9" fontId="14" fillId="0" borderId="1" xfId="1" applyFont="1" applyFill="1" applyBorder="1" applyAlignment="1">
      <alignment horizontal="left" vertical="top" wrapText="1"/>
    </xf>
    <xf numFmtId="167" fontId="5" fillId="0" borderId="1" xfId="1" applyNumberFormat="1" applyFont="1" applyFill="1" applyBorder="1" applyAlignment="1">
      <alignment horizontal="left" vertical="top" wrapText="1"/>
    </xf>
    <xf numFmtId="0" fontId="5" fillId="0" borderId="1" xfId="1" applyNumberFormat="1" applyFont="1" applyFill="1" applyBorder="1" applyAlignment="1">
      <alignment horizontal="left" vertical="top" wrapText="1"/>
    </xf>
    <xf numFmtId="2" fontId="14" fillId="0" borderId="1" xfId="0" applyNumberFormat="1" applyFont="1" applyFill="1" applyBorder="1" applyAlignment="1">
      <alignment horizontal="left" vertical="top" wrapText="1"/>
    </xf>
    <xf numFmtId="0" fontId="14" fillId="0" borderId="1" xfId="0" applyFont="1" applyFill="1" applyBorder="1" applyAlignment="1">
      <alignment horizontal="left" vertical="top" wrapText="1"/>
    </xf>
    <xf numFmtId="0" fontId="14" fillId="0" borderId="0" xfId="0" applyFont="1" applyFill="1" applyAlignment="1">
      <alignment horizontal="left" vertical="top" wrapText="1"/>
    </xf>
    <xf numFmtId="10" fontId="14" fillId="0" borderId="0" xfId="1" applyNumberFormat="1" applyFont="1" applyFill="1" applyAlignment="1">
      <alignment horizontal="left" vertical="top" wrapText="1"/>
    </xf>
    <xf numFmtId="0" fontId="14" fillId="25" borderId="0" xfId="0" applyFont="1" applyFill="1" applyAlignment="1">
      <alignment horizontal="left" vertical="top" wrapText="1"/>
    </xf>
    <xf numFmtId="9" fontId="15" fillId="0" borderId="1" xfId="1" applyFont="1" applyFill="1" applyBorder="1" applyAlignment="1">
      <alignment horizontal="left" vertical="top" wrapText="1"/>
    </xf>
    <xf numFmtId="169" fontId="5" fillId="0" borderId="1" xfId="1" applyNumberFormat="1" applyFont="1" applyFill="1" applyBorder="1" applyAlignment="1">
      <alignment horizontal="left" vertical="top" wrapText="1"/>
    </xf>
    <xf numFmtId="169" fontId="14" fillId="0" borderId="1" xfId="1" applyNumberFormat="1" applyFont="1" applyFill="1" applyBorder="1" applyAlignment="1">
      <alignment horizontal="left" vertical="top" wrapText="1"/>
    </xf>
    <xf numFmtId="10" fontId="14" fillId="11" borderId="1" xfId="1" applyNumberFormat="1" applyFont="1" applyFill="1" applyBorder="1" applyAlignment="1">
      <alignment horizontal="left" vertical="top" wrapText="1"/>
    </xf>
    <xf numFmtId="43" fontId="5" fillId="0" borderId="9" xfId="0" applyNumberFormat="1" applyFont="1" applyFill="1" applyBorder="1" applyAlignment="1">
      <alignment horizontal="left" vertical="top" wrapText="1"/>
    </xf>
    <xf numFmtId="166" fontId="5" fillId="0" borderId="10" xfId="0" applyNumberFormat="1" applyFont="1" applyFill="1" applyBorder="1" applyAlignment="1">
      <alignment horizontal="left" vertical="top" wrapText="1"/>
    </xf>
    <xf numFmtId="9" fontId="10" fillId="0" borderId="1" xfId="1" applyFont="1" applyFill="1" applyBorder="1" applyAlignment="1">
      <alignment horizontal="left" vertical="top" wrapText="1"/>
    </xf>
    <xf numFmtId="9" fontId="14" fillId="0" borderId="0" xfId="1" applyFont="1" applyFill="1" applyBorder="1" applyAlignment="1">
      <alignment horizontal="left" vertical="top" wrapText="1"/>
    </xf>
    <xf numFmtId="9" fontId="5" fillId="34" borderId="1" xfId="1" applyFont="1" applyFill="1" applyBorder="1" applyAlignment="1">
      <alignment horizontal="left" vertical="top" wrapText="1"/>
    </xf>
    <xf numFmtId="167" fontId="14" fillId="0" borderId="0" xfId="0" applyNumberFormat="1" applyFont="1" applyFill="1" applyAlignment="1">
      <alignment horizontal="left" vertical="top" wrapText="1"/>
    </xf>
    <xf numFmtId="14" fontId="18" fillId="0" borderId="1" xfId="6" applyNumberFormat="1" applyFont="1" applyBorder="1" applyAlignment="1" applyProtection="1">
      <alignment horizontal="left" vertical="top" wrapText="1"/>
      <protection locked="0"/>
    </xf>
    <xf numFmtId="0" fontId="14" fillId="0" borderId="3" xfId="0" applyFont="1" applyFill="1" applyBorder="1" applyAlignment="1">
      <alignment horizontal="left" vertical="top" wrapText="1"/>
    </xf>
    <xf numFmtId="9" fontId="14" fillId="0" borderId="5" xfId="1" applyFont="1" applyFill="1" applyBorder="1" applyAlignment="1">
      <alignment horizontal="left" vertical="top" wrapText="1"/>
    </xf>
    <xf numFmtId="9" fontId="5" fillId="0" borderId="3" xfId="1" applyFont="1" applyFill="1" applyBorder="1" applyAlignment="1">
      <alignment horizontal="left" vertical="top" wrapText="1"/>
    </xf>
    <xf numFmtId="0" fontId="5" fillId="0" borderId="3" xfId="1" applyNumberFormat="1" applyFont="1" applyFill="1" applyBorder="1" applyAlignment="1">
      <alignment horizontal="left" vertical="top" wrapText="1"/>
    </xf>
    <xf numFmtId="2" fontId="14" fillId="0" borderId="3" xfId="0" applyNumberFormat="1" applyFont="1" applyFill="1" applyBorder="1" applyAlignment="1">
      <alignment horizontal="left" vertical="top" wrapText="1"/>
    </xf>
    <xf numFmtId="0" fontId="5" fillId="0" borderId="0" xfId="0" applyFont="1" applyFill="1" applyAlignment="1">
      <alignment horizontal="left" vertical="top" wrapText="1"/>
    </xf>
    <xf numFmtId="0" fontId="5" fillId="25" borderId="0" xfId="0" applyFont="1" applyFill="1" applyAlignment="1">
      <alignment horizontal="left" vertical="top" wrapText="1"/>
    </xf>
    <xf numFmtId="9" fontId="14" fillId="0" borderId="0" xfId="0" applyNumberFormat="1" applyFont="1" applyFill="1" applyAlignment="1">
      <alignment horizontal="left" vertical="top" wrapText="1"/>
    </xf>
    <xf numFmtId="2" fontId="14" fillId="0" borderId="0" xfId="0" applyNumberFormat="1" applyFont="1" applyFill="1" applyAlignment="1">
      <alignment horizontal="left" vertical="top" wrapText="1"/>
    </xf>
    <xf numFmtId="0" fontId="15" fillId="18" borderId="1" xfId="0" applyFont="1" applyFill="1" applyBorder="1" applyAlignment="1">
      <alignment horizontal="left" vertical="top" wrapText="1"/>
    </xf>
    <xf numFmtId="0" fontId="5" fillId="3" borderId="2" xfId="0" applyFont="1" applyFill="1" applyBorder="1" applyAlignment="1">
      <alignment horizontal="left" vertical="top" wrapText="1"/>
    </xf>
    <xf numFmtId="0" fontId="5" fillId="3" borderId="4" xfId="0" applyFont="1" applyFill="1" applyBorder="1" applyAlignment="1">
      <alignment horizontal="left" vertical="top" wrapText="1"/>
    </xf>
    <xf numFmtId="0" fontId="5" fillId="5" borderId="2" xfId="0" applyFont="1" applyFill="1" applyBorder="1" applyAlignment="1">
      <alignment horizontal="left" vertical="top" wrapText="1"/>
    </xf>
    <xf numFmtId="0" fontId="14" fillId="5" borderId="2" xfId="0" applyFont="1" applyFill="1" applyBorder="1" applyAlignment="1">
      <alignment horizontal="left" vertical="top" wrapText="1"/>
    </xf>
    <xf numFmtId="0" fontId="5" fillId="0" borderId="4" xfId="0" applyFont="1" applyFill="1" applyBorder="1" applyAlignment="1">
      <alignment horizontal="left" vertical="top" wrapText="1"/>
    </xf>
    <xf numFmtId="0" fontId="14" fillId="4" borderId="2" xfId="0" applyFont="1" applyFill="1" applyBorder="1" applyAlignment="1">
      <alignment horizontal="left" vertical="top" wrapText="1"/>
    </xf>
    <xf numFmtId="0" fontId="5" fillId="4" borderId="2" xfId="0" applyFont="1" applyFill="1" applyBorder="1" applyAlignment="1">
      <alignment horizontal="left" vertical="top" wrapText="1"/>
    </xf>
    <xf numFmtId="0" fontId="14" fillId="18" borderId="3" xfId="0" applyFont="1" applyFill="1" applyBorder="1" applyAlignment="1">
      <alignment horizontal="left" vertical="top" wrapText="1"/>
    </xf>
    <xf numFmtId="0" fontId="5" fillId="8" borderId="2" xfId="0" applyFont="1" applyFill="1" applyBorder="1" applyAlignment="1">
      <alignment horizontal="left" vertical="top" wrapText="1"/>
    </xf>
    <xf numFmtId="0" fontId="14" fillId="10" borderId="2" xfId="0" applyFont="1" applyFill="1" applyBorder="1" applyAlignment="1">
      <alignment horizontal="left" vertical="top" wrapText="1"/>
    </xf>
    <xf numFmtId="0" fontId="5" fillId="4" borderId="1" xfId="0" applyFont="1" applyFill="1" applyBorder="1" applyAlignment="1">
      <alignment horizontal="left" vertical="top" wrapText="1"/>
    </xf>
    <xf numFmtId="0" fontId="14" fillId="4" borderId="1" xfId="0" applyFont="1" applyFill="1" applyBorder="1" applyAlignment="1">
      <alignment horizontal="left" vertical="top" wrapText="1"/>
    </xf>
    <xf numFmtId="165" fontId="14" fillId="25" borderId="2" xfId="0" applyNumberFormat="1" applyFont="1" applyFill="1" applyBorder="1" applyAlignment="1">
      <alignment horizontal="left" vertical="top" wrapText="1"/>
    </xf>
    <xf numFmtId="165" fontId="14" fillId="25" borderId="3" xfId="0" applyNumberFormat="1"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4" xfId="0" applyFont="1" applyFill="1" applyBorder="1" applyAlignment="1">
      <alignment horizontal="left" vertical="top" wrapText="1"/>
    </xf>
    <xf numFmtId="0" fontId="14" fillId="3" borderId="3" xfId="0" applyFont="1" applyFill="1" applyBorder="1" applyAlignment="1">
      <alignment horizontal="left" vertical="top" wrapText="1"/>
    </xf>
    <xf numFmtId="0" fontId="14" fillId="15" borderId="2" xfId="0" applyFont="1" applyFill="1" applyBorder="1" applyAlignment="1">
      <alignment horizontal="left" vertical="top" wrapText="1"/>
    </xf>
    <xf numFmtId="0" fontId="14" fillId="15" borderId="4" xfId="0" applyFont="1" applyFill="1" applyBorder="1" applyAlignment="1">
      <alignment horizontal="left" vertical="top" wrapText="1"/>
    </xf>
    <xf numFmtId="0" fontId="14" fillId="35" borderId="2" xfId="0" applyFont="1" applyFill="1" applyBorder="1" applyAlignment="1">
      <alignment horizontal="left" vertical="top" wrapText="1"/>
    </xf>
    <xf numFmtId="0" fontId="14" fillId="35" borderId="4" xfId="0" applyFont="1" applyFill="1" applyBorder="1" applyAlignment="1">
      <alignment horizontal="left" vertical="top" wrapText="1"/>
    </xf>
    <xf numFmtId="0" fontId="14" fillId="35" borderId="3" xfId="0" applyFont="1" applyFill="1" applyBorder="1" applyAlignment="1">
      <alignment horizontal="left" vertical="top" wrapText="1"/>
    </xf>
    <xf numFmtId="0" fontId="14" fillId="23" borderId="1" xfId="0" applyFont="1" applyFill="1" applyBorder="1" applyAlignment="1">
      <alignment horizontal="left" vertical="top" wrapText="1"/>
    </xf>
    <xf numFmtId="0" fontId="5" fillId="21" borderId="2" xfId="0" applyFont="1" applyFill="1" applyBorder="1" applyAlignment="1">
      <alignment horizontal="left" vertical="top" wrapText="1"/>
    </xf>
    <xf numFmtId="0" fontId="5" fillId="15" borderId="2" xfId="0" applyFont="1" applyFill="1" applyBorder="1" applyAlignment="1">
      <alignment horizontal="left" vertical="top" wrapText="1"/>
    </xf>
    <xf numFmtId="0" fontId="5" fillId="15" borderId="4" xfId="0" applyFont="1" applyFill="1" applyBorder="1" applyAlignment="1">
      <alignment horizontal="left" vertical="top" wrapText="1"/>
    </xf>
    <xf numFmtId="9" fontId="14" fillId="0" borderId="18" xfId="1" applyFont="1" applyFill="1" applyBorder="1" applyAlignment="1">
      <alignment horizontal="left" vertical="top" wrapText="1"/>
    </xf>
    <xf numFmtId="0" fontId="14" fillId="11" borderId="2" xfId="0" applyFont="1" applyFill="1" applyBorder="1" applyAlignment="1">
      <alignment horizontal="left" vertical="top" wrapText="1"/>
    </xf>
    <xf numFmtId="0" fontId="14" fillId="12" borderId="1" xfId="0" applyFont="1" applyFill="1" applyBorder="1" applyAlignment="1">
      <alignment horizontal="left" vertical="top" wrapText="1"/>
    </xf>
    <xf numFmtId="0" fontId="14" fillId="13" borderId="1" xfId="0" applyFont="1" applyFill="1" applyBorder="1" applyAlignment="1">
      <alignment horizontal="left" vertical="top" wrapText="1"/>
    </xf>
    <xf numFmtId="0" fontId="5" fillId="3" borderId="1" xfId="0" applyFont="1" applyFill="1" applyBorder="1" applyAlignment="1">
      <alignment horizontal="left" vertical="top" wrapText="1"/>
    </xf>
    <xf numFmtId="0" fontId="10" fillId="4" borderId="1" xfId="0" applyFont="1" applyFill="1" applyBorder="1" applyAlignment="1">
      <alignment horizontal="left" vertical="top" wrapText="1"/>
    </xf>
    <xf numFmtId="0" fontId="5" fillId="0" borderId="19" xfId="0" applyFont="1" applyFill="1" applyBorder="1" applyAlignment="1">
      <alignment horizontal="left" vertical="top" wrapText="1"/>
    </xf>
    <xf numFmtId="0" fontId="5" fillId="14" borderId="2" xfId="0" applyFont="1" applyFill="1" applyBorder="1" applyAlignment="1">
      <alignment horizontal="left" vertical="top" wrapText="1"/>
    </xf>
    <xf numFmtId="0" fontId="14" fillId="27" borderId="2" xfId="0" applyFont="1" applyFill="1" applyBorder="1" applyAlignment="1">
      <alignment horizontal="left" vertical="top" wrapText="1"/>
    </xf>
    <xf numFmtId="0" fontId="14" fillId="27" borderId="4" xfId="0" applyFont="1" applyFill="1" applyBorder="1" applyAlignment="1">
      <alignment horizontal="left" vertical="top" wrapText="1"/>
    </xf>
    <xf numFmtId="0" fontId="14" fillId="27" borderId="3" xfId="0" applyFont="1" applyFill="1" applyBorder="1" applyAlignment="1">
      <alignment horizontal="left" vertical="top" wrapText="1"/>
    </xf>
    <xf numFmtId="0" fontId="14" fillId="13" borderId="3" xfId="0" applyFont="1" applyFill="1" applyBorder="1" applyAlignment="1">
      <alignment horizontal="left" vertical="top" wrapText="1"/>
    </xf>
    <xf numFmtId="0" fontId="18" fillId="15" borderId="2" xfId="0" applyFont="1" applyFill="1" applyBorder="1" applyAlignment="1" applyProtection="1">
      <alignment horizontal="left" vertical="top" wrapText="1"/>
      <protection locked="0"/>
    </xf>
    <xf numFmtId="0" fontId="18" fillId="15" borderId="4" xfId="0" applyFont="1" applyFill="1" applyBorder="1" applyAlignment="1" applyProtection="1">
      <alignment horizontal="left" vertical="top" wrapText="1"/>
      <protection locked="0"/>
    </xf>
    <xf numFmtId="0" fontId="18" fillId="15" borderId="3" xfId="0" applyFont="1" applyFill="1" applyBorder="1" applyAlignment="1" applyProtection="1">
      <alignment horizontal="left" vertical="top" wrapText="1"/>
      <protection locked="0"/>
    </xf>
    <xf numFmtId="0" fontId="18" fillId="23" borderId="2" xfId="0" applyFont="1" applyFill="1" applyBorder="1" applyAlignment="1" applyProtection="1">
      <alignment horizontal="left" vertical="top" wrapText="1"/>
      <protection locked="0"/>
    </xf>
    <xf numFmtId="0" fontId="18" fillId="23" borderId="3" xfId="0" applyFont="1" applyFill="1" applyBorder="1" applyAlignment="1" applyProtection="1">
      <alignment horizontal="left" vertical="top" wrapText="1"/>
      <protection locked="0"/>
    </xf>
    <xf numFmtId="0" fontId="18" fillId="23" borderId="4" xfId="0" applyFont="1" applyFill="1" applyBorder="1" applyAlignment="1" applyProtection="1">
      <alignment horizontal="left" vertical="top" wrapText="1"/>
      <protection locked="0"/>
    </xf>
    <xf numFmtId="0" fontId="5" fillId="35" borderId="2" xfId="0" applyFont="1" applyFill="1" applyBorder="1" applyAlignment="1">
      <alignment horizontal="left" vertical="top" wrapText="1"/>
    </xf>
    <xf numFmtId="0" fontId="5" fillId="35" borderId="3" xfId="0" applyFont="1" applyFill="1" applyBorder="1" applyAlignment="1">
      <alignment horizontal="left" vertical="top" wrapText="1"/>
    </xf>
    <xf numFmtId="0" fontId="5" fillId="35" borderId="1" xfId="0" applyFont="1" applyFill="1" applyBorder="1" applyAlignment="1">
      <alignment horizontal="left" vertical="top" wrapText="1"/>
    </xf>
    <xf numFmtId="0" fontId="14" fillId="18" borderId="1" xfId="0" applyFont="1" applyFill="1" applyBorder="1" applyAlignment="1">
      <alignment horizontal="left" vertical="top" wrapText="1"/>
    </xf>
    <xf numFmtId="0" fontId="33" fillId="25" borderId="1" xfId="0" applyFont="1" applyFill="1" applyBorder="1" applyAlignment="1">
      <alignment horizontal="left" vertical="top" wrapText="1"/>
    </xf>
    <xf numFmtId="0" fontId="32" fillId="32" borderId="3" xfId="0" applyFont="1" applyFill="1" applyBorder="1" applyAlignment="1">
      <alignment horizontal="center" vertical="top" wrapText="1"/>
    </xf>
    <xf numFmtId="10" fontId="0" fillId="0" borderId="0" xfId="1" applyNumberFormat="1" applyFont="1" applyFill="1" applyAlignment="1">
      <alignment horizontal="left" vertical="top" wrapText="1"/>
    </xf>
    <xf numFmtId="9" fontId="14" fillId="0" borderId="1" xfId="1" applyNumberFormat="1" applyFont="1" applyFill="1" applyBorder="1" applyAlignment="1">
      <alignment horizontal="left" vertical="top" wrapText="1"/>
    </xf>
    <xf numFmtId="0" fontId="33" fillId="25" borderId="7" xfId="0" applyFont="1" applyFill="1" applyBorder="1" applyAlignment="1">
      <alignment vertical="top" wrapText="1"/>
    </xf>
    <xf numFmtId="0" fontId="33" fillId="25" borderId="1" xfId="0" applyFont="1" applyFill="1" applyBorder="1" applyAlignment="1">
      <alignment vertical="top" wrapText="1"/>
    </xf>
    <xf numFmtId="9" fontId="48" fillId="25" borderId="1" xfId="1" applyFont="1" applyFill="1" applyBorder="1" applyAlignment="1">
      <alignment horizontal="left" vertical="top" wrapText="1"/>
    </xf>
    <xf numFmtId="9" fontId="38" fillId="25" borderId="1" xfId="14" applyNumberFormat="1" applyFont="1" applyFill="1" applyBorder="1" applyAlignment="1">
      <alignment horizontal="left" vertical="top" wrapText="1"/>
    </xf>
    <xf numFmtId="9" fontId="48" fillId="33" borderId="46" xfId="0" applyNumberFormat="1" applyFont="1" applyFill="1" applyBorder="1" applyAlignment="1">
      <alignment horizontal="left" vertical="top" wrapText="1"/>
    </xf>
    <xf numFmtId="0" fontId="34" fillId="32" borderId="16" xfId="0" applyFont="1" applyFill="1" applyBorder="1" applyAlignment="1">
      <alignment horizontal="center" vertical="center" wrapText="1"/>
    </xf>
    <xf numFmtId="0" fontId="48" fillId="0" borderId="1" xfId="0" applyFont="1" applyBorder="1" applyAlignment="1">
      <alignment vertical="top" wrapText="1"/>
    </xf>
    <xf numFmtId="0" fontId="15" fillId="0" borderId="0" xfId="0" applyFont="1" applyBorder="1" applyAlignment="1">
      <alignment vertical="center"/>
    </xf>
    <xf numFmtId="165" fontId="71" fillId="0" borderId="1" xfId="0" applyNumberFormat="1" applyFont="1" applyFill="1" applyBorder="1" applyAlignment="1">
      <alignment horizontal="left" vertical="top" wrapText="1"/>
    </xf>
    <xf numFmtId="0" fontId="10" fillId="6" borderId="1" xfId="0" applyFont="1" applyFill="1" applyBorder="1" applyAlignment="1">
      <alignment horizontal="left" vertical="top" wrapText="1"/>
    </xf>
    <xf numFmtId="0" fontId="5" fillId="11" borderId="1" xfId="0" applyFont="1" applyFill="1" applyBorder="1" applyAlignment="1">
      <alignment horizontal="left" vertical="top" wrapText="1"/>
    </xf>
    <xf numFmtId="0" fontId="5" fillId="14" borderId="1" xfId="0" applyFont="1" applyFill="1" applyBorder="1" applyAlignment="1">
      <alignment horizontal="left" vertical="top" wrapText="1"/>
    </xf>
    <xf numFmtId="0" fontId="11" fillId="15" borderId="1" xfId="0" applyFont="1" applyFill="1" applyBorder="1" applyAlignment="1" applyProtection="1">
      <alignment horizontal="left" vertical="top" wrapText="1"/>
      <protection locked="0"/>
    </xf>
    <xf numFmtId="0" fontId="11" fillId="23" borderId="1" xfId="0" applyFont="1" applyFill="1" applyBorder="1" applyAlignment="1" applyProtection="1">
      <alignment horizontal="left" vertical="top" wrapText="1"/>
      <protection locked="0"/>
    </xf>
    <xf numFmtId="0" fontId="6" fillId="0" borderId="1" xfId="0" applyFont="1" applyFill="1" applyBorder="1" applyAlignment="1">
      <alignment horizontal="left" vertical="top" wrapText="1"/>
    </xf>
    <xf numFmtId="167" fontId="15" fillId="25" borderId="1" xfId="11" applyNumberFormat="1" applyFont="1" applyFill="1" applyBorder="1" applyAlignment="1">
      <alignment horizontal="left" vertical="top" wrapText="1"/>
    </xf>
    <xf numFmtId="168" fontId="15" fillId="25" borderId="1" xfId="11" applyNumberFormat="1" applyFont="1" applyFill="1" applyBorder="1" applyAlignment="1">
      <alignment horizontal="left" vertical="top" wrapText="1"/>
    </xf>
    <xf numFmtId="167" fontId="18" fillId="25" borderId="15" xfId="11" applyNumberFormat="1" applyFont="1" applyFill="1" applyBorder="1" applyAlignment="1">
      <alignment horizontal="left" vertical="top" wrapText="1"/>
    </xf>
    <xf numFmtId="167" fontId="18" fillId="25" borderId="16" xfId="11" applyNumberFormat="1" applyFont="1" applyFill="1" applyBorder="1" applyAlignment="1">
      <alignment horizontal="left" vertical="top" wrapText="1"/>
    </xf>
    <xf numFmtId="167" fontId="18" fillId="25" borderId="1" xfId="11" applyNumberFormat="1" applyFont="1" applyFill="1" applyBorder="1" applyAlignment="1">
      <alignment horizontal="left" vertical="top" wrapText="1"/>
    </xf>
    <xf numFmtId="44" fontId="18" fillId="25" borderId="1" xfId="11" applyFont="1" applyFill="1" applyBorder="1" applyAlignment="1">
      <alignment horizontal="left" vertical="top" wrapText="1"/>
    </xf>
    <xf numFmtId="167" fontId="15" fillId="25" borderId="1" xfId="12" applyNumberFormat="1" applyFont="1" applyFill="1" applyBorder="1" applyAlignment="1">
      <alignment horizontal="left" vertical="top" wrapText="1"/>
    </xf>
    <xf numFmtId="14" fontId="71" fillId="0" borderId="1" xfId="0" applyNumberFormat="1" applyFont="1" applyFill="1" applyBorder="1" applyAlignment="1">
      <alignment horizontal="left" vertical="top" wrapText="1"/>
    </xf>
    <xf numFmtId="6" fontId="14" fillId="36" borderId="1" xfId="0" applyNumberFormat="1" applyFont="1" applyFill="1" applyBorder="1" applyAlignment="1">
      <alignment horizontal="left" vertical="top" wrapText="1"/>
    </xf>
    <xf numFmtId="6" fontId="14" fillId="36" borderId="18" xfId="0" applyNumberFormat="1" applyFont="1" applyFill="1" applyBorder="1" applyAlignment="1">
      <alignment horizontal="left" vertical="top" wrapText="1"/>
    </xf>
    <xf numFmtId="6" fontId="14" fillId="25" borderId="1" xfId="0" applyNumberFormat="1" applyFont="1" applyFill="1" applyBorder="1" applyAlignment="1">
      <alignment horizontal="left" vertical="top" wrapText="1"/>
    </xf>
    <xf numFmtId="170" fontId="15" fillId="25" borderId="4" xfId="10" applyNumberFormat="1" applyFont="1" applyFill="1" applyBorder="1" applyAlignment="1">
      <alignment horizontal="left" vertical="top" wrapText="1"/>
    </xf>
    <xf numFmtId="170" fontId="14" fillId="25" borderId="1" xfId="0" applyNumberFormat="1" applyFont="1" applyFill="1" applyBorder="1" applyAlignment="1">
      <alignment horizontal="left" vertical="top" wrapText="1"/>
    </xf>
    <xf numFmtId="170" fontId="15" fillId="25" borderId="1" xfId="10" applyNumberFormat="1" applyFont="1" applyFill="1" applyBorder="1" applyAlignment="1">
      <alignment horizontal="left" vertical="top" wrapText="1"/>
    </xf>
    <xf numFmtId="170" fontId="14" fillId="25" borderId="1" xfId="11" applyNumberFormat="1" applyFont="1" applyFill="1" applyBorder="1" applyAlignment="1">
      <alignment horizontal="left" vertical="top" wrapText="1"/>
    </xf>
    <xf numFmtId="170" fontId="14" fillId="25" borderId="0" xfId="0" applyNumberFormat="1" applyFont="1" applyFill="1" applyAlignment="1">
      <alignment horizontal="left" vertical="top" wrapText="1"/>
    </xf>
    <xf numFmtId="167" fontId="14" fillId="25" borderId="1" xfId="11" applyNumberFormat="1" applyFont="1" applyFill="1" applyBorder="1" applyAlignment="1">
      <alignment horizontal="left" vertical="top" wrapText="1"/>
    </xf>
    <xf numFmtId="14" fontId="71" fillId="0" borderId="8" xfId="0" applyNumberFormat="1" applyFont="1" applyFill="1" applyBorder="1" applyAlignment="1">
      <alignment horizontal="left" vertical="top" wrapText="1"/>
    </xf>
    <xf numFmtId="0" fontId="70" fillId="0" borderId="0" xfId="0" applyFont="1" applyFill="1" applyAlignment="1">
      <alignment horizontal="left" vertical="top" wrapText="1"/>
    </xf>
    <xf numFmtId="0" fontId="72" fillId="0" borderId="0" xfId="0" applyFont="1" applyFill="1" applyAlignment="1">
      <alignment horizontal="left" vertical="top" wrapText="1"/>
    </xf>
    <xf numFmtId="9" fontId="63" fillId="2" borderId="1" xfId="0" applyNumberFormat="1" applyFont="1" applyFill="1" applyBorder="1" applyAlignment="1">
      <alignment horizontal="left" vertical="top" wrapText="1"/>
    </xf>
    <xf numFmtId="0" fontId="63" fillId="2" borderId="1" xfId="0" applyFont="1" applyFill="1" applyBorder="1" applyAlignment="1">
      <alignment horizontal="left" vertical="top" wrapText="1"/>
    </xf>
    <xf numFmtId="10" fontId="63" fillId="2" borderId="1" xfId="1" applyNumberFormat="1" applyFont="1" applyFill="1" applyBorder="1" applyAlignment="1">
      <alignment horizontal="left" vertical="top" wrapText="1"/>
    </xf>
    <xf numFmtId="2" fontId="63" fillId="2" borderId="1" xfId="0" applyNumberFormat="1" applyFont="1" applyFill="1" applyBorder="1" applyAlignment="1">
      <alignment horizontal="left" vertical="top" wrapText="1"/>
    </xf>
    <xf numFmtId="0" fontId="63" fillId="2" borderId="2" xfId="0" applyFont="1" applyFill="1" applyBorder="1" applyAlignment="1">
      <alignment horizontal="left" vertical="top" wrapText="1"/>
    </xf>
    <xf numFmtId="0" fontId="63" fillId="2" borderId="4" xfId="0" applyFont="1" applyFill="1" applyBorder="1" applyAlignment="1">
      <alignment horizontal="left" vertical="top" wrapText="1"/>
    </xf>
    <xf numFmtId="0" fontId="63" fillId="2" borderId="3" xfId="0" applyFont="1" applyFill="1" applyBorder="1" applyAlignment="1">
      <alignment horizontal="left" vertical="top" wrapText="1"/>
    </xf>
    <xf numFmtId="0" fontId="63" fillId="2" borderId="4" xfId="0" applyFont="1" applyFill="1" applyBorder="1" applyAlignment="1">
      <alignment horizontal="left" vertical="top"/>
    </xf>
    <xf numFmtId="0" fontId="69" fillId="2" borderId="1" xfId="0" applyFont="1" applyFill="1" applyBorder="1" applyAlignment="1">
      <alignment horizontal="left" vertical="top" wrapText="1"/>
    </xf>
    <xf numFmtId="0" fontId="76" fillId="2" borderId="2" xfId="0" applyFont="1" applyFill="1" applyBorder="1" applyAlignment="1">
      <alignment horizontal="left" vertical="top" wrapText="1"/>
    </xf>
    <xf numFmtId="2" fontId="79" fillId="0" borderId="0" xfId="0" applyNumberFormat="1" applyFont="1" applyFill="1" applyAlignment="1">
      <alignment horizontal="left" vertical="top" wrapText="1"/>
    </xf>
    <xf numFmtId="0" fontId="79" fillId="0" borderId="0" xfId="0" applyFont="1" applyFill="1" applyAlignment="1">
      <alignment horizontal="left" vertical="top" wrapText="1"/>
    </xf>
    <xf numFmtId="2" fontId="3" fillId="0" borderId="0" xfId="0" applyNumberFormat="1" applyFont="1" applyFill="1" applyAlignment="1">
      <alignment horizontal="left" vertical="top" wrapText="1"/>
    </xf>
    <xf numFmtId="0" fontId="14" fillId="3" borderId="2" xfId="0" applyFont="1" applyFill="1" applyBorder="1" applyAlignment="1">
      <alignment horizontal="left" vertical="top" wrapText="1"/>
    </xf>
    <xf numFmtId="0" fontId="14" fillId="3" borderId="4" xfId="0" applyFont="1" applyFill="1" applyBorder="1" applyAlignment="1">
      <alignment horizontal="left" vertical="top" wrapText="1"/>
    </xf>
    <xf numFmtId="0" fontId="14" fillId="3" borderId="3" xfId="0" applyFont="1" applyFill="1" applyBorder="1" applyAlignment="1">
      <alignment horizontal="left" vertical="top" wrapText="1"/>
    </xf>
    <xf numFmtId="0" fontId="14" fillId="15" borderId="2" xfId="0" applyFont="1" applyFill="1" applyBorder="1" applyAlignment="1">
      <alignment horizontal="left" vertical="top" wrapText="1"/>
    </xf>
    <xf numFmtId="0" fontId="14" fillId="15" borderId="4" xfId="0" applyFont="1" applyFill="1" applyBorder="1" applyAlignment="1">
      <alignment horizontal="left" vertical="top" wrapText="1"/>
    </xf>
    <xf numFmtId="0" fontId="14" fillId="15" borderId="3" xfId="0" applyFont="1" applyFill="1" applyBorder="1" applyAlignment="1">
      <alignment horizontal="left" vertical="top" wrapText="1"/>
    </xf>
    <xf numFmtId="0" fontId="5" fillId="21" borderId="2" xfId="0" applyFont="1" applyFill="1" applyBorder="1" applyAlignment="1">
      <alignment horizontal="left" vertical="top" wrapText="1"/>
    </xf>
    <xf numFmtId="0" fontId="5" fillId="21" borderId="4" xfId="0" applyFont="1" applyFill="1" applyBorder="1" applyAlignment="1">
      <alignment horizontal="left" vertical="top" wrapText="1"/>
    </xf>
    <xf numFmtId="0" fontId="5" fillId="21" borderId="3" xfId="0" applyFont="1" applyFill="1" applyBorder="1" applyAlignment="1">
      <alignment horizontal="left" vertical="top" wrapText="1"/>
    </xf>
    <xf numFmtId="0" fontId="14" fillId="21" borderId="2" xfId="0" applyFont="1" applyFill="1" applyBorder="1" applyAlignment="1">
      <alignment horizontal="left" vertical="top" wrapText="1"/>
    </xf>
    <xf numFmtId="0" fontId="14" fillId="21" borderId="4" xfId="0" applyFont="1" applyFill="1" applyBorder="1" applyAlignment="1">
      <alignment horizontal="left" vertical="top" wrapText="1"/>
    </xf>
    <xf numFmtId="0" fontId="14" fillId="21" borderId="3" xfId="0" applyFont="1" applyFill="1" applyBorder="1" applyAlignment="1">
      <alignment horizontal="left" vertical="top" wrapText="1"/>
    </xf>
    <xf numFmtId="0" fontId="5" fillId="18" borderId="2" xfId="0" applyFont="1" applyFill="1" applyBorder="1" applyAlignment="1">
      <alignment horizontal="left" vertical="top" wrapText="1"/>
    </xf>
    <xf numFmtId="0" fontId="5" fillId="18" borderId="3" xfId="0" applyFont="1" applyFill="1" applyBorder="1" applyAlignment="1">
      <alignment horizontal="left" vertical="top" wrapText="1"/>
    </xf>
    <xf numFmtId="0" fontId="14" fillId="18" borderId="2" xfId="0" applyFont="1" applyFill="1" applyBorder="1" applyAlignment="1">
      <alignment horizontal="left" vertical="top" wrapText="1"/>
    </xf>
    <xf numFmtId="0" fontId="14" fillId="18" borderId="3" xfId="0" applyFont="1" applyFill="1" applyBorder="1" applyAlignment="1">
      <alignment horizontal="left" vertical="top" wrapText="1"/>
    </xf>
    <xf numFmtId="0" fontId="5" fillId="19" borderId="2" xfId="0" applyFont="1" applyFill="1" applyBorder="1" applyAlignment="1">
      <alignment horizontal="left" vertical="top" wrapText="1"/>
    </xf>
    <xf numFmtId="0" fontId="5" fillId="19" borderId="4" xfId="0" applyFont="1" applyFill="1" applyBorder="1" applyAlignment="1">
      <alignment horizontal="left" vertical="top" wrapText="1"/>
    </xf>
    <xf numFmtId="0" fontId="14" fillId="18" borderId="4" xfId="0" applyFont="1" applyFill="1" applyBorder="1" applyAlignment="1">
      <alignment horizontal="left" vertical="top" wrapText="1"/>
    </xf>
    <xf numFmtId="0" fontId="5" fillId="18" borderId="4" xfId="0" applyFont="1" applyFill="1" applyBorder="1" applyAlignment="1">
      <alignment horizontal="left" vertical="top" wrapText="1"/>
    </xf>
    <xf numFmtId="0" fontId="14" fillId="18" borderId="1" xfId="0" applyFont="1" applyFill="1" applyBorder="1" applyAlignment="1">
      <alignment horizontal="left" vertical="top" wrapText="1"/>
    </xf>
    <xf numFmtId="0" fontId="5" fillId="15" borderId="2" xfId="0" applyFont="1" applyFill="1" applyBorder="1" applyAlignment="1">
      <alignment horizontal="left" vertical="top" wrapText="1"/>
    </xf>
    <xf numFmtId="0" fontId="5" fillId="15" borderId="3" xfId="0" applyFont="1" applyFill="1" applyBorder="1" applyAlignment="1">
      <alignment horizontal="left" vertical="top" wrapText="1"/>
    </xf>
    <xf numFmtId="0" fontId="5" fillId="15" borderId="4" xfId="0" applyFont="1" applyFill="1" applyBorder="1" applyAlignment="1">
      <alignment horizontal="left" vertical="top" wrapText="1"/>
    </xf>
    <xf numFmtId="0" fontId="5" fillId="24" borderId="2" xfId="0" applyFont="1" applyFill="1" applyBorder="1" applyAlignment="1">
      <alignment horizontal="left" vertical="top" wrapText="1"/>
    </xf>
    <xf numFmtId="0" fontId="5" fillId="24" borderId="4" xfId="0" applyFont="1" applyFill="1" applyBorder="1" applyAlignment="1">
      <alignment horizontal="left" vertical="top" wrapText="1"/>
    </xf>
    <xf numFmtId="0" fontId="5" fillId="6" borderId="4" xfId="0" applyFont="1" applyFill="1" applyBorder="1" applyAlignment="1">
      <alignment horizontal="left" vertical="top" wrapText="1"/>
    </xf>
    <xf numFmtId="0" fontId="5" fillId="30" borderId="4" xfId="0" applyFont="1" applyFill="1" applyBorder="1" applyAlignment="1">
      <alignment horizontal="left" vertical="top" wrapText="1"/>
    </xf>
    <xf numFmtId="0" fontId="5" fillId="28" borderId="2" xfId="0" applyFont="1" applyFill="1" applyBorder="1" applyAlignment="1">
      <alignment horizontal="left" vertical="top" wrapText="1"/>
    </xf>
    <xf numFmtId="0" fontId="5" fillId="28" borderId="3" xfId="0" applyFont="1" applyFill="1" applyBorder="1" applyAlignment="1">
      <alignment horizontal="left" vertical="top" wrapText="1"/>
    </xf>
    <xf numFmtId="0" fontId="5" fillId="20" borderId="2" xfId="0" applyFont="1" applyFill="1" applyBorder="1" applyAlignment="1">
      <alignment horizontal="left" vertical="top" wrapText="1"/>
    </xf>
    <xf numFmtId="0" fontId="5" fillId="20" borderId="3" xfId="0" applyFont="1" applyFill="1" applyBorder="1" applyAlignment="1">
      <alignment horizontal="left" vertical="top" wrapText="1"/>
    </xf>
    <xf numFmtId="0" fontId="5" fillId="27" borderId="2" xfId="0" applyFont="1" applyFill="1" applyBorder="1" applyAlignment="1">
      <alignment horizontal="left" vertical="top" wrapText="1"/>
    </xf>
    <xf numFmtId="0" fontId="5" fillId="27" borderId="4" xfId="0" applyFont="1" applyFill="1" applyBorder="1" applyAlignment="1">
      <alignment horizontal="left" vertical="top" wrapText="1"/>
    </xf>
    <xf numFmtId="0" fontId="5" fillId="27" borderId="3" xfId="0" applyFont="1" applyFill="1" applyBorder="1" applyAlignment="1">
      <alignment horizontal="left" vertical="top" wrapText="1"/>
    </xf>
    <xf numFmtId="0" fontId="14" fillId="4" borderId="2" xfId="0" applyFont="1" applyFill="1" applyBorder="1" applyAlignment="1">
      <alignment horizontal="left" vertical="top" wrapText="1"/>
    </xf>
    <xf numFmtId="0" fontId="14" fillId="4" borderId="4" xfId="0" applyFont="1" applyFill="1" applyBorder="1" applyAlignment="1">
      <alignment horizontal="left" vertical="top" wrapText="1"/>
    </xf>
    <xf numFmtId="0" fontId="14" fillId="4" borderId="3" xfId="0" applyFont="1" applyFill="1" applyBorder="1" applyAlignment="1">
      <alignment horizontal="left" vertical="top" wrapText="1"/>
    </xf>
    <xf numFmtId="0" fontId="11" fillId="23" borderId="2" xfId="0" applyFont="1" applyFill="1" applyBorder="1" applyAlignment="1" applyProtection="1">
      <alignment horizontal="left" vertical="top" wrapText="1"/>
      <protection locked="0"/>
    </xf>
    <xf numFmtId="0" fontId="11" fillId="23" borderId="3" xfId="0" applyFont="1" applyFill="1" applyBorder="1" applyAlignment="1" applyProtection="1">
      <alignment horizontal="left" vertical="top" wrapText="1"/>
      <protection locked="0"/>
    </xf>
    <xf numFmtId="0" fontId="5" fillId="19" borderId="3" xfId="0" applyFont="1" applyFill="1" applyBorder="1" applyAlignment="1">
      <alignment horizontal="left" vertical="top" wrapText="1"/>
    </xf>
    <xf numFmtId="0" fontId="14" fillId="13" borderId="2" xfId="0" applyFont="1" applyFill="1" applyBorder="1" applyAlignment="1">
      <alignment horizontal="left" vertical="top" wrapText="1"/>
    </xf>
    <xf numFmtId="0" fontId="14" fillId="13" borderId="4" xfId="0" applyFont="1" applyFill="1" applyBorder="1" applyAlignment="1">
      <alignment horizontal="left" vertical="top" wrapText="1"/>
    </xf>
    <xf numFmtId="0" fontId="14" fillId="13" borderId="3" xfId="0" applyFont="1" applyFill="1" applyBorder="1" applyAlignment="1">
      <alignment horizontal="left" vertical="top" wrapText="1"/>
    </xf>
    <xf numFmtId="0" fontId="5" fillId="13" borderId="2" xfId="0" applyFont="1" applyFill="1" applyBorder="1" applyAlignment="1">
      <alignment horizontal="left" vertical="top" wrapText="1"/>
    </xf>
    <xf numFmtId="0" fontId="5" fillId="13" borderId="4" xfId="0" applyFont="1" applyFill="1" applyBorder="1" applyAlignment="1">
      <alignment horizontal="left" vertical="top" wrapText="1"/>
    </xf>
    <xf numFmtId="0" fontId="5" fillId="13" borderId="3" xfId="0" applyFont="1" applyFill="1" applyBorder="1" applyAlignment="1">
      <alignment horizontal="left" vertical="top" wrapText="1"/>
    </xf>
    <xf numFmtId="0" fontId="15" fillId="4" borderId="2" xfId="0" applyFont="1" applyFill="1" applyBorder="1" applyAlignment="1">
      <alignment horizontal="left" vertical="top" wrapText="1"/>
    </xf>
    <xf numFmtId="0" fontId="15" fillId="4" borderId="4" xfId="0" applyFont="1" applyFill="1" applyBorder="1" applyAlignment="1">
      <alignment horizontal="left" vertical="top" wrapText="1"/>
    </xf>
    <xf numFmtId="0" fontId="5" fillId="5" borderId="2" xfId="0" applyFont="1" applyFill="1" applyBorder="1" applyAlignment="1">
      <alignment horizontal="left" vertical="top" wrapText="1"/>
    </xf>
    <xf numFmtId="0" fontId="5" fillId="5" borderId="4" xfId="0" applyFont="1" applyFill="1" applyBorder="1" applyAlignment="1">
      <alignment horizontal="left" vertical="top" wrapText="1"/>
    </xf>
    <xf numFmtId="0" fontId="5" fillId="5" borderId="3" xfId="0" applyFont="1" applyFill="1" applyBorder="1" applyAlignment="1">
      <alignment horizontal="left" vertical="top" wrapText="1"/>
    </xf>
    <xf numFmtId="0" fontId="18" fillId="23" borderId="2" xfId="0" applyFont="1" applyFill="1" applyBorder="1" applyAlignment="1" applyProtection="1">
      <alignment horizontal="left" vertical="top" wrapText="1"/>
      <protection locked="0"/>
    </xf>
    <xf numFmtId="0" fontId="18" fillId="23" borderId="4" xfId="0" applyFont="1" applyFill="1" applyBorder="1" applyAlignment="1" applyProtection="1">
      <alignment horizontal="left" vertical="top" wrapText="1"/>
      <protection locked="0"/>
    </xf>
    <xf numFmtId="0" fontId="18" fillId="23" borderId="3" xfId="0" applyFont="1" applyFill="1" applyBorder="1" applyAlignment="1" applyProtection="1">
      <alignment horizontal="left" vertical="top" wrapText="1"/>
      <protection locked="0"/>
    </xf>
    <xf numFmtId="0" fontId="14" fillId="27" borderId="2" xfId="0" applyFont="1" applyFill="1" applyBorder="1" applyAlignment="1">
      <alignment horizontal="left" vertical="top" wrapText="1"/>
    </xf>
    <xf numFmtId="0" fontId="14" fillId="27" borderId="4" xfId="0" applyFont="1" applyFill="1" applyBorder="1" applyAlignment="1">
      <alignment horizontal="left" vertical="top" wrapText="1"/>
    </xf>
    <xf numFmtId="0" fontId="14" fillId="27" borderId="3" xfId="0" applyFont="1" applyFill="1" applyBorder="1" applyAlignment="1">
      <alignment horizontal="left" vertical="top" wrapText="1"/>
    </xf>
    <xf numFmtId="0" fontId="14" fillId="35" borderId="2" xfId="0" applyFont="1" applyFill="1" applyBorder="1" applyAlignment="1">
      <alignment horizontal="left" vertical="top" wrapText="1"/>
    </xf>
    <xf numFmtId="0" fontId="14" fillId="35" borderId="3" xfId="0" applyFont="1" applyFill="1" applyBorder="1" applyAlignment="1">
      <alignment horizontal="left" vertical="top" wrapText="1"/>
    </xf>
    <xf numFmtId="0" fontId="5" fillId="35" borderId="1" xfId="0" applyFont="1" applyFill="1" applyBorder="1" applyAlignment="1">
      <alignment horizontal="left" vertical="top" wrapText="1"/>
    </xf>
    <xf numFmtId="0" fontId="10" fillId="4" borderId="2" xfId="0" applyFont="1" applyFill="1" applyBorder="1" applyAlignment="1">
      <alignment horizontal="left" vertical="top" wrapText="1"/>
    </xf>
    <xf numFmtId="0" fontId="10" fillId="4" borderId="4" xfId="0" applyFont="1" applyFill="1" applyBorder="1" applyAlignment="1">
      <alignment horizontal="left" vertical="top" wrapText="1"/>
    </xf>
    <xf numFmtId="0" fontId="10" fillId="4" borderId="3" xfId="0" applyFont="1" applyFill="1" applyBorder="1" applyAlignment="1">
      <alignment horizontal="left" vertical="top" wrapText="1"/>
    </xf>
    <xf numFmtId="0" fontId="15" fillId="3" borderId="1" xfId="0" applyFont="1" applyFill="1" applyBorder="1" applyAlignment="1">
      <alignment horizontal="left" vertical="top" wrapText="1"/>
    </xf>
    <xf numFmtId="0" fontId="11" fillId="23" borderId="4" xfId="0" applyFont="1" applyFill="1" applyBorder="1" applyAlignment="1" applyProtection="1">
      <alignment horizontal="left" vertical="top" wrapText="1"/>
      <protection locked="0"/>
    </xf>
    <xf numFmtId="0" fontId="14" fillId="3" borderId="1" xfId="0" applyFont="1" applyFill="1" applyBorder="1" applyAlignment="1">
      <alignment horizontal="left" vertical="top" wrapText="1"/>
    </xf>
    <xf numFmtId="0" fontId="8" fillId="0" borderId="64" xfId="0" applyFont="1" applyBorder="1" applyAlignment="1">
      <alignment horizontal="left" vertical="top" wrapText="1"/>
    </xf>
    <xf numFmtId="0" fontId="8" fillId="0" borderId="65" xfId="0" applyFont="1" applyBorder="1" applyAlignment="1">
      <alignment horizontal="left" vertical="top" wrapText="1"/>
    </xf>
    <xf numFmtId="0" fontId="8" fillId="0" borderId="66" xfId="0" applyFont="1" applyBorder="1" applyAlignment="1">
      <alignment horizontal="left" vertical="top" wrapText="1"/>
    </xf>
    <xf numFmtId="0" fontId="8" fillId="0" borderId="10" xfId="0" applyFont="1" applyBorder="1" applyAlignment="1">
      <alignment horizontal="left" vertical="top" wrapText="1"/>
    </xf>
    <xf numFmtId="0" fontId="8" fillId="0" borderId="67" xfId="0" applyFont="1" applyBorder="1" applyAlignment="1">
      <alignment horizontal="left" vertical="top" wrapText="1"/>
    </xf>
    <xf numFmtId="0" fontId="8" fillId="0" borderId="8" xfId="0" applyFont="1" applyBorder="1" applyAlignment="1">
      <alignment horizontal="left" vertical="top" wrapText="1"/>
    </xf>
    <xf numFmtId="165" fontId="14" fillId="25" borderId="2" xfId="0" applyNumberFormat="1" applyFont="1" applyFill="1" applyBorder="1" applyAlignment="1">
      <alignment horizontal="left" vertical="top" wrapText="1"/>
    </xf>
    <xf numFmtId="165" fontId="14" fillId="25" borderId="4" xfId="0" applyNumberFormat="1" applyFont="1" applyFill="1" applyBorder="1" applyAlignment="1">
      <alignment horizontal="left" vertical="top" wrapText="1"/>
    </xf>
    <xf numFmtId="165" fontId="14" fillId="25" borderId="3" xfId="0" applyNumberFormat="1" applyFont="1" applyFill="1" applyBorder="1" applyAlignment="1">
      <alignment horizontal="left" vertical="top" wrapText="1"/>
    </xf>
    <xf numFmtId="0" fontId="5" fillId="16" borderId="2" xfId="0" applyFont="1" applyFill="1" applyBorder="1" applyAlignment="1">
      <alignment horizontal="left" vertical="top" wrapText="1"/>
    </xf>
    <xf numFmtId="0" fontId="5" fillId="16" borderId="4" xfId="0" applyFont="1" applyFill="1" applyBorder="1" applyAlignment="1">
      <alignment horizontal="left" vertical="top" wrapText="1"/>
    </xf>
    <xf numFmtId="0" fontId="5" fillId="4" borderId="2" xfId="0" applyFont="1" applyFill="1" applyBorder="1" applyAlignment="1">
      <alignment horizontal="left" vertical="top" wrapText="1"/>
    </xf>
    <xf numFmtId="0" fontId="5" fillId="4" borderId="4" xfId="0" applyFont="1" applyFill="1" applyBorder="1" applyAlignment="1">
      <alignment horizontal="left" vertical="top" wrapText="1"/>
    </xf>
    <xf numFmtId="0" fontId="18" fillId="15" borderId="2" xfId="0" applyFont="1" applyFill="1" applyBorder="1" applyAlignment="1" applyProtection="1">
      <alignment horizontal="left" vertical="top" wrapText="1"/>
      <protection locked="0"/>
    </xf>
    <xf numFmtId="0" fontId="18" fillId="15" borderId="4" xfId="0" applyFont="1" applyFill="1" applyBorder="1" applyAlignment="1" applyProtection="1">
      <alignment horizontal="left" vertical="top" wrapText="1"/>
      <protection locked="0"/>
    </xf>
    <xf numFmtId="0" fontId="18" fillId="15" borderId="3" xfId="0" applyFont="1" applyFill="1" applyBorder="1" applyAlignment="1" applyProtection="1">
      <alignment horizontal="left" vertical="top" wrapText="1"/>
      <protection locked="0"/>
    </xf>
    <xf numFmtId="0" fontId="11" fillId="15" borderId="2" xfId="0" applyFont="1" applyFill="1" applyBorder="1" applyAlignment="1" applyProtection="1">
      <alignment horizontal="left" vertical="top" wrapText="1"/>
      <protection locked="0"/>
    </xf>
    <xf numFmtId="0" fontId="11" fillId="15" borderId="4" xfId="0" applyFont="1" applyFill="1" applyBorder="1" applyAlignment="1" applyProtection="1">
      <alignment horizontal="left" vertical="top" wrapText="1"/>
      <protection locked="0"/>
    </xf>
    <xf numFmtId="0" fontId="11" fillId="15" borderId="3" xfId="0" applyFont="1" applyFill="1" applyBorder="1" applyAlignment="1" applyProtection="1">
      <alignment horizontal="left" vertical="top" wrapText="1"/>
      <protection locked="0"/>
    </xf>
    <xf numFmtId="0" fontId="8" fillId="0" borderId="78" xfId="0" applyFont="1" applyBorder="1" applyAlignment="1">
      <alignment horizontal="left" vertical="top" wrapText="1"/>
    </xf>
    <xf numFmtId="0" fontId="8" fillId="0" borderId="79" xfId="0" applyFont="1" applyBorder="1" applyAlignment="1">
      <alignment horizontal="left" vertical="top" wrapText="1"/>
    </xf>
    <xf numFmtId="0" fontId="63" fillId="2" borderId="1" xfId="0" applyFont="1" applyFill="1" applyBorder="1" applyAlignment="1">
      <alignment horizontal="left" vertical="top" wrapText="1"/>
    </xf>
    <xf numFmtId="0" fontId="8" fillId="0" borderId="76" xfId="0" applyFont="1" applyBorder="1" applyAlignment="1">
      <alignment horizontal="left" vertical="top" wrapText="1"/>
    </xf>
    <xf numFmtId="0" fontId="8" fillId="0" borderId="77" xfId="0" applyFont="1" applyBorder="1" applyAlignment="1">
      <alignment horizontal="left" vertical="top" wrapText="1"/>
    </xf>
    <xf numFmtId="0" fontId="5" fillId="16" borderId="3" xfId="0" applyFont="1" applyFill="1" applyBorder="1" applyAlignment="1">
      <alignment horizontal="left" vertical="top" wrapText="1"/>
    </xf>
    <xf numFmtId="0" fontId="5" fillId="20" borderId="4" xfId="0" applyFont="1" applyFill="1" applyBorder="1" applyAlignment="1">
      <alignment horizontal="left" vertical="top" wrapText="1"/>
    </xf>
    <xf numFmtId="0" fontId="66" fillId="0" borderId="1" xfId="0" applyFont="1" applyFill="1" applyBorder="1" applyAlignment="1">
      <alignment horizontal="left" vertical="top" wrapText="1"/>
    </xf>
    <xf numFmtId="0" fontId="5" fillId="0" borderId="2" xfId="0" applyFont="1" applyFill="1" applyBorder="1" applyAlignment="1">
      <alignment horizontal="left" vertical="top" wrapText="1"/>
    </xf>
    <xf numFmtId="0" fontId="5" fillId="0" borderId="4" xfId="0" applyFont="1" applyFill="1" applyBorder="1" applyAlignment="1">
      <alignment horizontal="left" vertical="top" wrapText="1"/>
    </xf>
    <xf numFmtId="0" fontId="5" fillId="4" borderId="3" xfId="0" applyFont="1" applyFill="1" applyBorder="1" applyAlignment="1">
      <alignment horizontal="left" vertical="top" wrapText="1"/>
    </xf>
    <xf numFmtId="0" fontId="8" fillId="0" borderId="68" xfId="0" applyFont="1" applyBorder="1" applyAlignment="1">
      <alignment horizontal="left" vertical="top" wrapText="1"/>
    </xf>
    <xf numFmtId="0" fontId="8" fillId="0" borderId="74" xfId="0" applyFont="1" applyBorder="1" applyAlignment="1">
      <alignment horizontal="left" vertical="top" wrapText="1"/>
    </xf>
    <xf numFmtId="0" fontId="8" fillId="0" borderId="71" xfId="0" applyFont="1" applyBorder="1" applyAlignment="1">
      <alignment horizontal="left" vertical="top" wrapText="1"/>
    </xf>
    <xf numFmtId="0" fontId="8" fillId="0" borderId="75" xfId="0" applyFont="1" applyBorder="1" applyAlignment="1">
      <alignment horizontal="left" vertical="top" wrapText="1"/>
    </xf>
    <xf numFmtId="0" fontId="67" fillId="0" borderId="7" xfId="0" applyFont="1" applyFill="1" applyBorder="1" applyAlignment="1">
      <alignment horizontal="left" vertical="top" wrapText="1"/>
    </xf>
    <xf numFmtId="0" fontId="67" fillId="0" borderId="6" xfId="0" applyFont="1" applyFill="1" applyBorder="1" applyAlignment="1">
      <alignment horizontal="left" vertical="top" wrapText="1"/>
    </xf>
    <xf numFmtId="0" fontId="67" fillId="0" borderId="5" xfId="0" applyFont="1" applyFill="1" applyBorder="1" applyAlignment="1">
      <alignment horizontal="left" vertical="top" wrapText="1"/>
    </xf>
    <xf numFmtId="0" fontId="8" fillId="0" borderId="69" xfId="0" applyFont="1" applyBorder="1" applyAlignment="1">
      <alignment horizontal="left" vertical="top" wrapText="1"/>
    </xf>
    <xf numFmtId="0" fontId="8" fillId="0" borderId="70" xfId="0" applyFont="1" applyBorder="1" applyAlignment="1">
      <alignment horizontal="left" vertical="top" wrapText="1"/>
    </xf>
    <xf numFmtId="0" fontId="8" fillId="0" borderId="72" xfId="0" applyFont="1" applyBorder="1" applyAlignment="1">
      <alignment horizontal="left" vertical="top" wrapText="1"/>
    </xf>
    <xf numFmtId="0" fontId="8" fillId="0" borderId="73" xfId="0" applyFont="1" applyBorder="1" applyAlignment="1">
      <alignment horizontal="left" vertical="top" wrapText="1"/>
    </xf>
    <xf numFmtId="0" fontId="65" fillId="0" borderId="16" xfId="0" applyFont="1" applyFill="1" applyBorder="1" applyAlignment="1">
      <alignment horizontal="left" vertical="top" wrapText="1"/>
    </xf>
    <xf numFmtId="0" fontId="65" fillId="0" borderId="17" xfId="0" applyFont="1" applyFill="1" applyBorder="1" applyAlignment="1">
      <alignment horizontal="left" vertical="top" wrapText="1"/>
    </xf>
    <xf numFmtId="0" fontId="65" fillId="0" borderId="18" xfId="0" applyFont="1" applyFill="1" applyBorder="1" applyAlignment="1">
      <alignment horizontal="left" vertical="top" wrapText="1"/>
    </xf>
    <xf numFmtId="0" fontId="14" fillId="28" borderId="2" xfId="0" applyFont="1" applyFill="1" applyBorder="1" applyAlignment="1">
      <alignment horizontal="left" vertical="top" wrapText="1"/>
    </xf>
    <xf numFmtId="0" fontId="14" fillId="28" borderId="3" xfId="0" applyFont="1" applyFill="1" applyBorder="1" applyAlignment="1">
      <alignment horizontal="left" vertical="top" wrapText="1"/>
    </xf>
    <xf numFmtId="0" fontId="14" fillId="23" borderId="2" xfId="0" applyFont="1" applyFill="1" applyBorder="1" applyAlignment="1">
      <alignment horizontal="left" vertical="top" wrapText="1"/>
    </xf>
    <xf numFmtId="0" fontId="14" fillId="23" borderId="4" xfId="0" applyFont="1" applyFill="1" applyBorder="1" applyAlignment="1">
      <alignment horizontal="left" vertical="top" wrapText="1"/>
    </xf>
    <xf numFmtId="0" fontId="14" fillId="23" borderId="3" xfId="0" applyFont="1" applyFill="1" applyBorder="1" applyAlignment="1">
      <alignment horizontal="left" vertical="top" wrapText="1"/>
    </xf>
    <xf numFmtId="0" fontId="62" fillId="22" borderId="1" xfId="0" applyFont="1" applyFill="1" applyBorder="1" applyAlignment="1">
      <alignment horizontal="left" vertical="top" wrapText="1"/>
    </xf>
    <xf numFmtId="0" fontId="68" fillId="2" borderId="1" xfId="0" applyFont="1" applyFill="1" applyBorder="1" applyAlignment="1">
      <alignment horizontal="left" vertical="top" wrapText="1"/>
    </xf>
    <xf numFmtId="0" fontId="69" fillId="2" borderId="1" xfId="0" applyFont="1" applyFill="1" applyBorder="1" applyAlignment="1">
      <alignment horizontal="left" vertical="top" wrapText="1"/>
    </xf>
    <xf numFmtId="0" fontId="63" fillId="2" borderId="2" xfId="0" applyFont="1" applyFill="1" applyBorder="1" applyAlignment="1">
      <alignment horizontal="left" vertical="top" wrapText="1"/>
    </xf>
    <xf numFmtId="0" fontId="63" fillId="2" borderId="3" xfId="0" applyFont="1" applyFill="1" applyBorder="1" applyAlignment="1">
      <alignment horizontal="left" vertical="top" wrapText="1"/>
    </xf>
    <xf numFmtId="0" fontId="63" fillId="2" borderId="2" xfId="0" applyFont="1" applyFill="1" applyBorder="1" applyAlignment="1">
      <alignment horizontal="left" vertical="top"/>
    </xf>
    <xf numFmtId="0" fontId="63" fillId="2" borderId="3" xfId="0" applyFont="1" applyFill="1" applyBorder="1" applyAlignment="1">
      <alignment horizontal="left" vertical="top"/>
    </xf>
    <xf numFmtId="0" fontId="5" fillId="29" borderId="2" xfId="0" applyFont="1" applyFill="1" applyBorder="1" applyAlignment="1">
      <alignment horizontal="left" vertical="top" wrapText="1"/>
    </xf>
    <xf numFmtId="0" fontId="5" fillId="29" borderId="4" xfId="0" applyFont="1" applyFill="1" applyBorder="1" applyAlignment="1">
      <alignment horizontal="left" vertical="top" wrapText="1"/>
    </xf>
    <xf numFmtId="0" fontId="5" fillId="11" borderId="2" xfId="0" applyFont="1" applyFill="1" applyBorder="1" applyAlignment="1">
      <alignment horizontal="left" vertical="top" wrapText="1"/>
    </xf>
    <xf numFmtId="0" fontId="5" fillId="11" borderId="4" xfId="0" applyFont="1" applyFill="1" applyBorder="1" applyAlignment="1">
      <alignment horizontal="left" vertical="top" wrapText="1"/>
    </xf>
    <xf numFmtId="0" fontId="5" fillId="11" borderId="3" xfId="0" applyFont="1" applyFill="1" applyBorder="1" applyAlignment="1">
      <alignment horizontal="left" vertical="top" wrapText="1"/>
    </xf>
    <xf numFmtId="0" fontId="64" fillId="0" borderId="16" xfId="0" applyFont="1" applyFill="1" applyBorder="1" applyAlignment="1">
      <alignment horizontal="left" vertical="top" wrapText="1"/>
    </xf>
    <xf numFmtId="0" fontId="64" fillId="0" borderId="17" xfId="0" applyFont="1" applyFill="1" applyBorder="1" applyAlignment="1">
      <alignment horizontal="left" vertical="top" wrapText="1"/>
    </xf>
    <xf numFmtId="0" fontId="64" fillId="0" borderId="18" xfId="0" applyFont="1" applyFill="1" applyBorder="1" applyAlignment="1">
      <alignment horizontal="left" vertical="top" wrapText="1"/>
    </xf>
    <xf numFmtId="0" fontId="14" fillId="0" borderId="21" xfId="0" applyFont="1" applyFill="1" applyBorder="1" applyAlignment="1">
      <alignment horizontal="left" vertical="top" wrapText="1"/>
    </xf>
    <xf numFmtId="0" fontId="14" fillId="0" borderId="19" xfId="0" applyFont="1" applyFill="1" applyBorder="1" applyAlignment="1">
      <alignment horizontal="left" vertical="top" wrapText="1"/>
    </xf>
    <xf numFmtId="0" fontId="5" fillId="24" borderId="1" xfId="0" applyFont="1" applyFill="1" applyBorder="1" applyAlignment="1">
      <alignment horizontal="left" vertical="top" wrapText="1"/>
    </xf>
    <xf numFmtId="0" fontId="5" fillId="12" borderId="2" xfId="0" applyFont="1" applyFill="1" applyBorder="1" applyAlignment="1">
      <alignment horizontal="left" vertical="top" wrapText="1"/>
    </xf>
    <xf numFmtId="0" fontId="5" fillId="12" borderId="4" xfId="0" applyFont="1" applyFill="1" applyBorder="1" applyAlignment="1">
      <alignment horizontal="left" vertical="top" wrapText="1"/>
    </xf>
    <xf numFmtId="0" fontId="5" fillId="12" borderId="3" xfId="0" applyFont="1" applyFill="1" applyBorder="1" applyAlignment="1">
      <alignment horizontal="left" vertical="top" wrapText="1"/>
    </xf>
    <xf numFmtId="0" fontId="14" fillId="12" borderId="2" xfId="0" applyFont="1" applyFill="1" applyBorder="1" applyAlignment="1">
      <alignment horizontal="left" vertical="top" wrapText="1"/>
    </xf>
    <xf numFmtId="0" fontId="14" fillId="12" borderId="4" xfId="0" applyFont="1" applyFill="1" applyBorder="1" applyAlignment="1">
      <alignment horizontal="left" vertical="top" wrapText="1"/>
    </xf>
    <xf numFmtId="0" fontId="14" fillId="12" borderId="3" xfId="0" applyFont="1" applyFill="1" applyBorder="1" applyAlignment="1">
      <alignment horizontal="left" vertical="top" wrapText="1"/>
    </xf>
    <xf numFmtId="9" fontId="14" fillId="0" borderId="16" xfId="1" applyFont="1" applyFill="1" applyBorder="1" applyAlignment="1">
      <alignment horizontal="left" vertical="top" wrapText="1"/>
    </xf>
    <xf numFmtId="9" fontId="14" fillId="0" borderId="17" xfId="1" applyFont="1" applyFill="1" applyBorder="1" applyAlignment="1">
      <alignment horizontal="left" vertical="top" wrapText="1"/>
    </xf>
    <xf numFmtId="9" fontId="14" fillId="0" borderId="18" xfId="1" applyFont="1" applyFill="1" applyBorder="1" applyAlignment="1">
      <alignment horizontal="left" vertical="top" wrapText="1"/>
    </xf>
    <xf numFmtId="0" fontId="5" fillId="3" borderId="2" xfId="0" applyFont="1" applyFill="1" applyBorder="1" applyAlignment="1">
      <alignment horizontal="left" vertical="top" wrapText="1"/>
    </xf>
    <xf numFmtId="0" fontId="5" fillId="3" borderId="3" xfId="0" applyFont="1" applyFill="1" applyBorder="1" applyAlignment="1">
      <alignment horizontal="left" vertical="top" wrapText="1"/>
    </xf>
    <xf numFmtId="0" fontId="5" fillId="35" borderId="2" xfId="0" applyFont="1" applyFill="1" applyBorder="1" applyAlignment="1">
      <alignment horizontal="left" vertical="top" wrapText="1"/>
    </xf>
    <xf numFmtId="0" fontId="5" fillId="35" borderId="4" xfId="0" applyFont="1" applyFill="1" applyBorder="1" applyAlignment="1">
      <alignment horizontal="left" vertical="top" wrapText="1"/>
    </xf>
    <xf numFmtId="0" fontId="5" fillId="35" borderId="3" xfId="0" applyFont="1" applyFill="1" applyBorder="1" applyAlignment="1">
      <alignment horizontal="left" vertical="top" wrapText="1"/>
    </xf>
    <xf numFmtId="0" fontId="5" fillId="0" borderId="19" xfId="0" applyFont="1" applyFill="1" applyBorder="1" applyAlignment="1">
      <alignment horizontal="left" vertical="top" wrapText="1"/>
    </xf>
    <xf numFmtId="0" fontId="15" fillId="3" borderId="2" xfId="0" applyFont="1" applyFill="1" applyBorder="1" applyAlignment="1">
      <alignment horizontal="left" vertical="top" wrapText="1"/>
    </xf>
    <xf numFmtId="0" fontId="15" fillId="3" borderId="4" xfId="0" applyFont="1" applyFill="1" applyBorder="1" applyAlignment="1">
      <alignment horizontal="left" vertical="top" wrapText="1"/>
    </xf>
    <xf numFmtId="0" fontId="15" fillId="3" borderId="3" xfId="0" applyFont="1" applyFill="1" applyBorder="1" applyAlignment="1">
      <alignment horizontal="left" vertical="top" wrapText="1"/>
    </xf>
    <xf numFmtId="0" fontId="14" fillId="11" borderId="2" xfId="0" applyFont="1" applyFill="1" applyBorder="1" applyAlignment="1">
      <alignment horizontal="left" vertical="top" wrapText="1"/>
    </xf>
    <xf numFmtId="0" fontId="14" fillId="11" borderId="4" xfId="0" applyFont="1" applyFill="1" applyBorder="1" applyAlignment="1">
      <alignment horizontal="left" vertical="top" wrapText="1"/>
    </xf>
    <xf numFmtId="0" fontId="14" fillId="11" borderId="3" xfId="0" applyFont="1" applyFill="1" applyBorder="1" applyAlignment="1">
      <alignment horizontal="left" vertical="top" wrapText="1"/>
    </xf>
    <xf numFmtId="0" fontId="14" fillId="7" borderId="2" xfId="0" applyFont="1" applyFill="1" applyBorder="1" applyAlignment="1">
      <alignment horizontal="left" vertical="top" wrapText="1"/>
    </xf>
    <xf numFmtId="0" fontId="14" fillId="7" borderId="4" xfId="0" applyFont="1" applyFill="1" applyBorder="1" applyAlignment="1">
      <alignment horizontal="left" vertical="top" wrapText="1"/>
    </xf>
    <xf numFmtId="0" fontId="14" fillId="7" borderId="3" xfId="0" applyFont="1" applyFill="1" applyBorder="1" applyAlignment="1">
      <alignment horizontal="left" vertical="top" wrapText="1"/>
    </xf>
    <xf numFmtId="0" fontId="15" fillId="17" borderId="2" xfId="0" applyFont="1" applyFill="1" applyBorder="1" applyAlignment="1">
      <alignment horizontal="left" vertical="top" wrapText="1"/>
    </xf>
    <xf numFmtId="0" fontId="15" fillId="17" borderId="4" xfId="0" applyFont="1" applyFill="1" applyBorder="1" applyAlignment="1">
      <alignment horizontal="left" vertical="top" wrapText="1"/>
    </xf>
    <xf numFmtId="0" fontId="15" fillId="17" borderId="3" xfId="0" applyFont="1" applyFill="1" applyBorder="1" applyAlignment="1">
      <alignment horizontal="left" vertical="top" wrapText="1"/>
    </xf>
    <xf numFmtId="0" fontId="15" fillId="27" borderId="2" xfId="0" applyFont="1" applyFill="1" applyBorder="1" applyAlignment="1">
      <alignment horizontal="left" vertical="top" wrapText="1"/>
    </xf>
    <xf numFmtId="0" fontId="15" fillId="27" borderId="3" xfId="0" applyFont="1" applyFill="1" applyBorder="1" applyAlignment="1">
      <alignment horizontal="left" vertical="top" wrapText="1"/>
    </xf>
    <xf numFmtId="0" fontId="15" fillId="6" borderId="2" xfId="0" applyFont="1" applyFill="1" applyBorder="1" applyAlignment="1">
      <alignment horizontal="left" vertical="top" wrapText="1"/>
    </xf>
    <xf numFmtId="0" fontId="15" fillId="6" borderId="4" xfId="0" applyFont="1" applyFill="1" applyBorder="1" applyAlignment="1">
      <alignment horizontal="left" vertical="top" wrapText="1"/>
    </xf>
    <xf numFmtId="0" fontId="15" fillId="6" borderId="3" xfId="0" applyFont="1" applyFill="1" applyBorder="1" applyAlignment="1">
      <alignment horizontal="left" vertical="top" wrapText="1"/>
    </xf>
    <xf numFmtId="0" fontId="14" fillId="12" borderId="1" xfId="0" applyFont="1" applyFill="1" applyBorder="1" applyAlignment="1">
      <alignment horizontal="left" vertical="top" wrapText="1"/>
    </xf>
    <xf numFmtId="0" fontId="5" fillId="8" borderId="2" xfId="0" applyFont="1" applyFill="1" applyBorder="1" applyAlignment="1">
      <alignment horizontal="left" vertical="top" wrapText="1"/>
    </xf>
    <xf numFmtId="0" fontId="5" fillId="8" borderId="4" xfId="0" applyFont="1" applyFill="1" applyBorder="1" applyAlignment="1">
      <alignment horizontal="left" vertical="top" wrapText="1"/>
    </xf>
    <xf numFmtId="0" fontId="5" fillId="8" borderId="3" xfId="0" applyFont="1" applyFill="1" applyBorder="1" applyAlignment="1">
      <alignment horizontal="left" vertical="top" wrapText="1"/>
    </xf>
    <xf numFmtId="0" fontId="5" fillId="14" borderId="2" xfId="0" applyFont="1" applyFill="1" applyBorder="1" applyAlignment="1">
      <alignment horizontal="left" vertical="top" wrapText="1"/>
    </xf>
    <xf numFmtId="0" fontId="5" fillId="14" borderId="4" xfId="0" applyFont="1" applyFill="1" applyBorder="1" applyAlignment="1">
      <alignment horizontal="left" vertical="top" wrapText="1"/>
    </xf>
    <xf numFmtId="0" fontId="5" fillId="14" borderId="3" xfId="0" applyFont="1" applyFill="1" applyBorder="1" applyAlignment="1">
      <alignment horizontal="left" vertical="top" wrapText="1"/>
    </xf>
    <xf numFmtId="0" fontId="5" fillId="13" borderId="1" xfId="0" applyFont="1" applyFill="1" applyBorder="1" applyAlignment="1">
      <alignment horizontal="left" vertical="top" wrapText="1"/>
    </xf>
    <xf numFmtId="0" fontId="5" fillId="7" borderId="2" xfId="0" applyFont="1" applyFill="1" applyBorder="1" applyAlignment="1">
      <alignment horizontal="left" vertical="top" wrapText="1"/>
    </xf>
    <xf numFmtId="0" fontId="5" fillId="7" borderId="3" xfId="0" applyFont="1" applyFill="1" applyBorder="1" applyAlignment="1">
      <alignment horizontal="left" vertical="top" wrapText="1"/>
    </xf>
    <xf numFmtId="0" fontId="14" fillId="6" borderId="2" xfId="0" applyFont="1" applyFill="1" applyBorder="1" applyAlignment="1">
      <alignment horizontal="left" vertical="top" wrapText="1"/>
    </xf>
    <xf numFmtId="0" fontId="14" fillId="6" borderId="4" xfId="0" applyFont="1" applyFill="1" applyBorder="1" applyAlignment="1">
      <alignment horizontal="left" vertical="top" wrapText="1"/>
    </xf>
    <xf numFmtId="0" fontId="14" fillId="6" borderId="3" xfId="0" applyFont="1" applyFill="1" applyBorder="1" applyAlignment="1">
      <alignment horizontal="left" vertical="top" wrapText="1"/>
    </xf>
    <xf numFmtId="0" fontId="5" fillId="7" borderId="4" xfId="0" applyFont="1" applyFill="1" applyBorder="1" applyAlignment="1">
      <alignment horizontal="left" vertical="top" wrapText="1"/>
    </xf>
    <xf numFmtId="0" fontId="10" fillId="4" borderId="1" xfId="0" applyFont="1" applyFill="1" applyBorder="1" applyAlignment="1">
      <alignment horizontal="left" vertical="top" wrapText="1"/>
    </xf>
    <xf numFmtId="0" fontId="15" fillId="7" borderId="2" xfId="0" applyFont="1" applyFill="1" applyBorder="1" applyAlignment="1">
      <alignment horizontal="left" vertical="top" wrapText="1"/>
    </xf>
    <xf numFmtId="0" fontId="15" fillId="7" borderId="3" xfId="0" applyFont="1" applyFill="1" applyBorder="1" applyAlignment="1">
      <alignment horizontal="left" vertical="top" wrapText="1"/>
    </xf>
    <xf numFmtId="0" fontId="14" fillId="13" borderId="1" xfId="0" applyFont="1" applyFill="1" applyBorder="1" applyAlignment="1">
      <alignment horizontal="left" vertical="top" wrapText="1"/>
    </xf>
    <xf numFmtId="0" fontId="5" fillId="26" borderId="2" xfId="0" applyFont="1" applyFill="1" applyBorder="1" applyAlignment="1">
      <alignment horizontal="left" vertical="top" wrapText="1"/>
    </xf>
    <xf numFmtId="0" fontId="5" fillId="26" borderId="4" xfId="0" applyFont="1" applyFill="1" applyBorder="1" applyAlignment="1">
      <alignment horizontal="left" vertical="top" wrapText="1"/>
    </xf>
    <xf numFmtId="0" fontId="5" fillId="26" borderId="3" xfId="0" applyFont="1" applyFill="1" applyBorder="1" applyAlignment="1">
      <alignment horizontal="left" vertical="top" wrapText="1"/>
    </xf>
    <xf numFmtId="0" fontId="5" fillId="3" borderId="4" xfId="0" applyFont="1" applyFill="1" applyBorder="1" applyAlignment="1">
      <alignment horizontal="left" vertical="top" wrapText="1"/>
    </xf>
    <xf numFmtId="0" fontId="10" fillId="15" borderId="2" xfId="0" applyFont="1" applyFill="1" applyBorder="1" applyAlignment="1">
      <alignment horizontal="left" vertical="top" wrapText="1"/>
    </xf>
    <xf numFmtId="0" fontId="10" fillId="15" borderId="4" xfId="0" applyFont="1" applyFill="1" applyBorder="1" applyAlignment="1">
      <alignment horizontal="left" vertical="top" wrapText="1"/>
    </xf>
    <xf numFmtId="0" fontId="10" fillId="15" borderId="3" xfId="0" applyFont="1" applyFill="1" applyBorder="1" applyAlignment="1">
      <alignment horizontal="left" vertical="top" wrapText="1"/>
    </xf>
    <xf numFmtId="0" fontId="14" fillId="29" borderId="2" xfId="0" applyFont="1" applyFill="1" applyBorder="1" applyAlignment="1">
      <alignment horizontal="left" vertical="top" wrapText="1"/>
    </xf>
    <xf numFmtId="0" fontId="14" fillId="29" borderId="4" xfId="0" applyFont="1" applyFill="1" applyBorder="1" applyAlignment="1">
      <alignment horizontal="left" vertical="top" wrapText="1"/>
    </xf>
    <xf numFmtId="0" fontId="14" fillId="29" borderId="3" xfId="0" applyFont="1" applyFill="1" applyBorder="1" applyAlignment="1">
      <alignment horizontal="left" vertical="top" wrapText="1"/>
    </xf>
    <xf numFmtId="0" fontId="5" fillId="29" borderId="3" xfId="0" applyFont="1" applyFill="1" applyBorder="1" applyAlignment="1">
      <alignment horizontal="left" vertical="top" wrapText="1"/>
    </xf>
    <xf numFmtId="0" fontId="14" fillId="35" borderId="4" xfId="0" applyFont="1" applyFill="1" applyBorder="1" applyAlignment="1">
      <alignment horizontal="left" vertical="top" wrapText="1"/>
    </xf>
    <xf numFmtId="0" fontId="5" fillId="23" borderId="2" xfId="0" applyFont="1" applyFill="1" applyBorder="1" applyAlignment="1">
      <alignment horizontal="left" vertical="top" wrapText="1"/>
    </xf>
    <xf numFmtId="0" fontId="5" fillId="23" borderId="4" xfId="0" applyFont="1" applyFill="1" applyBorder="1" applyAlignment="1">
      <alignment horizontal="left" vertical="top" wrapText="1"/>
    </xf>
    <xf numFmtId="0" fontId="14" fillId="18" borderId="2" xfId="0" applyFont="1" applyFill="1" applyBorder="1" applyAlignment="1">
      <alignment horizontal="left" vertical="top"/>
    </xf>
    <xf numFmtId="0" fontId="14" fillId="18" borderId="4" xfId="0" applyFont="1" applyFill="1" applyBorder="1" applyAlignment="1">
      <alignment horizontal="left" vertical="top"/>
    </xf>
    <xf numFmtId="0" fontId="14" fillId="18" borderId="3" xfId="0" applyFont="1" applyFill="1" applyBorder="1" applyAlignment="1">
      <alignment horizontal="left" vertical="top"/>
    </xf>
    <xf numFmtId="0" fontId="10" fillId="7" borderId="2" xfId="0" applyFont="1" applyFill="1" applyBorder="1" applyAlignment="1">
      <alignment horizontal="left" vertical="top" wrapText="1"/>
    </xf>
    <xf numFmtId="0" fontId="10" fillId="7" borderId="4" xfId="0" applyFont="1" applyFill="1" applyBorder="1" applyAlignment="1">
      <alignment horizontal="left" vertical="top" wrapText="1"/>
    </xf>
    <xf numFmtId="0" fontId="10" fillId="7" borderId="3" xfId="0" applyFont="1" applyFill="1" applyBorder="1" applyAlignment="1">
      <alignment horizontal="left" vertical="top" wrapText="1"/>
    </xf>
    <xf numFmtId="0" fontId="15" fillId="7" borderId="4" xfId="0" applyFont="1" applyFill="1" applyBorder="1" applyAlignment="1">
      <alignment horizontal="left" vertical="top" wrapText="1"/>
    </xf>
    <xf numFmtId="0" fontId="14" fillId="5" borderId="2" xfId="0" applyFont="1" applyFill="1" applyBorder="1" applyAlignment="1">
      <alignment horizontal="left" vertical="top" wrapText="1"/>
    </xf>
    <xf numFmtId="0" fontId="14" fillId="5" borderId="4" xfId="0" applyFont="1" applyFill="1" applyBorder="1" applyAlignment="1">
      <alignment horizontal="left" vertical="top" wrapText="1"/>
    </xf>
    <xf numFmtId="0" fontId="14" fillId="5" borderId="3" xfId="0" applyFont="1" applyFill="1" applyBorder="1" applyAlignment="1">
      <alignment horizontal="left" vertical="top" wrapText="1"/>
    </xf>
    <xf numFmtId="0" fontId="14" fillId="4" borderId="2" xfId="3" applyFont="1" applyFill="1" applyBorder="1" applyAlignment="1">
      <alignment horizontal="left" vertical="top" wrapText="1"/>
    </xf>
    <xf numFmtId="0" fontId="14" fillId="4" borderId="4" xfId="3" applyFont="1" applyFill="1" applyBorder="1" applyAlignment="1">
      <alignment horizontal="left" vertical="top" wrapText="1"/>
    </xf>
    <xf numFmtId="0" fontId="14" fillId="4" borderId="3" xfId="3" applyFont="1" applyFill="1" applyBorder="1" applyAlignment="1">
      <alignment horizontal="left" vertical="top" wrapText="1"/>
    </xf>
    <xf numFmtId="0" fontId="5" fillId="6" borderId="1" xfId="0" applyFont="1" applyFill="1" applyBorder="1" applyAlignment="1">
      <alignment horizontal="left" vertical="top" wrapText="1"/>
    </xf>
    <xf numFmtId="0" fontId="10" fillId="6" borderId="2" xfId="0" applyFont="1" applyFill="1" applyBorder="1" applyAlignment="1">
      <alignment horizontal="left" vertical="top" wrapText="1"/>
    </xf>
    <xf numFmtId="0" fontId="10" fillId="6" borderId="4" xfId="0" applyFont="1" applyFill="1" applyBorder="1" applyAlignment="1">
      <alignment horizontal="left" vertical="top" wrapText="1"/>
    </xf>
    <xf numFmtId="0" fontId="10" fillId="6" borderId="3" xfId="0" applyFont="1" applyFill="1" applyBorder="1" applyAlignment="1">
      <alignment horizontal="left" vertical="top" wrapText="1"/>
    </xf>
    <xf numFmtId="0" fontId="5" fillId="23" borderId="3" xfId="0" applyFont="1" applyFill="1" applyBorder="1" applyAlignment="1">
      <alignment horizontal="left" vertical="top" wrapText="1"/>
    </xf>
    <xf numFmtId="0" fontId="15" fillId="3" borderId="20" xfId="0" applyFont="1" applyFill="1" applyBorder="1" applyAlignment="1">
      <alignment horizontal="left" vertical="top" wrapText="1"/>
    </xf>
    <xf numFmtId="0" fontId="14" fillId="6" borderId="2" xfId="3" applyFont="1" applyFill="1" applyBorder="1" applyAlignment="1">
      <alignment horizontal="left" vertical="top" wrapText="1"/>
    </xf>
    <xf numFmtId="0" fontId="14" fillId="6" borderId="4" xfId="3" applyFont="1" applyFill="1" applyBorder="1" applyAlignment="1">
      <alignment horizontal="left" vertical="top" wrapText="1"/>
    </xf>
    <xf numFmtId="0" fontId="14" fillId="6" borderId="3" xfId="3" applyFont="1" applyFill="1" applyBorder="1" applyAlignment="1">
      <alignment horizontal="left" vertical="top" wrapText="1"/>
    </xf>
    <xf numFmtId="0" fontId="14" fillId="10" borderId="2" xfId="0" applyFont="1" applyFill="1" applyBorder="1" applyAlignment="1">
      <alignment horizontal="left" vertical="top" wrapText="1"/>
    </xf>
    <xf numFmtId="0" fontId="14" fillId="10" borderId="3" xfId="0" applyFont="1" applyFill="1" applyBorder="1" applyAlignment="1">
      <alignment horizontal="left" vertical="top" wrapText="1"/>
    </xf>
    <xf numFmtId="0" fontId="5" fillId="4" borderId="1" xfId="0" applyFont="1" applyFill="1" applyBorder="1" applyAlignment="1">
      <alignment horizontal="left" vertical="top" wrapText="1"/>
    </xf>
    <xf numFmtId="0" fontId="5" fillId="31" borderId="2" xfId="0" applyFont="1" applyFill="1" applyBorder="1" applyAlignment="1">
      <alignment horizontal="left" vertical="top" wrapText="1"/>
    </xf>
    <xf numFmtId="0" fontId="5" fillId="31" borderId="4" xfId="0" applyFont="1" applyFill="1" applyBorder="1" applyAlignment="1">
      <alignment horizontal="left" vertical="top" wrapText="1"/>
    </xf>
    <xf numFmtId="0" fontId="5" fillId="31" borderId="3" xfId="0" applyFont="1" applyFill="1" applyBorder="1" applyAlignment="1">
      <alignment horizontal="left" vertical="top" wrapText="1"/>
    </xf>
    <xf numFmtId="0" fontId="14" fillId="0" borderId="4" xfId="0" applyFont="1" applyFill="1" applyBorder="1" applyAlignment="1">
      <alignment horizontal="center" vertical="top" wrapText="1"/>
    </xf>
    <xf numFmtId="0" fontId="14" fillId="0" borderId="3" xfId="0" applyFont="1" applyFill="1" applyBorder="1" applyAlignment="1">
      <alignment horizontal="center" vertical="top" wrapText="1"/>
    </xf>
    <xf numFmtId="0" fontId="28" fillId="0" borderId="27" xfId="0" applyFont="1" applyBorder="1" applyAlignment="1">
      <alignment horizontal="center" vertical="center" wrapText="1"/>
    </xf>
    <xf numFmtId="0" fontId="29" fillId="0" borderId="27" xfId="0" applyFont="1" applyBorder="1" applyAlignment="1">
      <alignment horizontal="left" vertical="center" wrapText="1"/>
    </xf>
    <xf numFmtId="0" fontId="10" fillId="0" borderId="30" xfId="0" applyFont="1" applyBorder="1" applyAlignment="1">
      <alignment horizontal="left" vertical="center"/>
    </xf>
    <xf numFmtId="0" fontId="32" fillId="32" borderId="3" xfId="0" applyFont="1" applyFill="1" applyBorder="1" applyAlignment="1">
      <alignment horizontal="center" vertical="top" wrapText="1"/>
    </xf>
    <xf numFmtId="0" fontId="73" fillId="25" borderId="31" xfId="0" applyFont="1" applyFill="1" applyBorder="1" applyAlignment="1">
      <alignment horizontal="left" vertical="top" wrapText="1"/>
    </xf>
    <xf numFmtId="0" fontId="32" fillId="25" borderId="32" xfId="0" applyFont="1" applyFill="1" applyBorder="1" applyAlignment="1">
      <alignment horizontal="left" vertical="top"/>
    </xf>
    <xf numFmtId="0" fontId="32" fillId="25" borderId="33" xfId="0" applyFont="1" applyFill="1" applyBorder="1" applyAlignment="1">
      <alignment horizontal="left" vertical="top"/>
    </xf>
    <xf numFmtId="0" fontId="10" fillId="0" borderId="24" xfId="0" applyFont="1" applyBorder="1" applyAlignment="1">
      <alignment horizontal="center" vertical="center"/>
    </xf>
    <xf numFmtId="0" fontId="37" fillId="25" borderId="1" xfId="0" applyFont="1" applyFill="1" applyBorder="1" applyAlignment="1">
      <alignment horizontal="left" vertical="top" wrapText="1"/>
    </xf>
    <xf numFmtId="0" fontId="33" fillId="0" borderId="2" xfId="0" applyFont="1" applyBorder="1" applyAlignment="1">
      <alignment horizontal="center" vertical="center" wrapText="1"/>
    </xf>
    <xf numFmtId="0" fontId="33" fillId="26" borderId="4" xfId="0" applyFont="1" applyFill="1" applyBorder="1" applyAlignment="1">
      <alignment horizontal="center" vertical="center" wrapText="1"/>
    </xf>
    <xf numFmtId="0" fontId="33" fillId="0" borderId="4" xfId="0" applyFont="1" applyBorder="1" applyAlignment="1">
      <alignment horizontal="center" vertical="center" wrapText="1"/>
    </xf>
    <xf numFmtId="0" fontId="33" fillId="0" borderId="3" xfId="0" applyFont="1" applyBorder="1" applyAlignment="1">
      <alignment horizontal="center" vertical="center" wrapText="1"/>
    </xf>
    <xf numFmtId="0" fontId="33" fillId="25" borderId="1" xfId="0" applyFont="1" applyFill="1" applyBorder="1" applyAlignment="1">
      <alignment horizontal="left" vertical="top" wrapText="1"/>
    </xf>
    <xf numFmtId="0" fontId="33" fillId="0" borderId="35" xfId="0" applyFont="1" applyBorder="1" applyAlignment="1">
      <alignment horizontal="center" vertical="center" wrapText="1"/>
    </xf>
    <xf numFmtId="0" fontId="33" fillId="0" borderId="1" xfId="0" applyFont="1" applyBorder="1" applyAlignment="1">
      <alignment horizontal="center" vertical="center" wrapText="1"/>
    </xf>
    <xf numFmtId="0" fontId="33" fillId="0" borderId="13" xfId="0" applyFont="1" applyBorder="1" applyAlignment="1">
      <alignment horizontal="center" vertical="center" wrapText="1"/>
    </xf>
    <xf numFmtId="0" fontId="78" fillId="0" borderId="78" xfId="0" applyFont="1" applyBorder="1" applyAlignment="1">
      <alignment horizontal="left" vertical="top" wrapText="1"/>
    </xf>
    <xf numFmtId="0" fontId="78" fillId="0" borderId="79" xfId="0" applyFont="1" applyBorder="1" applyAlignment="1">
      <alignment horizontal="left" vertical="top" wrapText="1"/>
    </xf>
    <xf numFmtId="0" fontId="74" fillId="25" borderId="17" xfId="0" applyFont="1" applyFill="1" applyBorder="1" applyAlignment="1">
      <alignment horizontal="left" vertical="top" wrapText="1"/>
    </xf>
    <xf numFmtId="0" fontId="75" fillId="25" borderId="17" xfId="0" applyFont="1" applyFill="1" applyBorder="1" applyAlignment="1">
      <alignment horizontal="left" vertical="top" wrapText="1"/>
    </xf>
    <xf numFmtId="0" fontId="75" fillId="25" borderId="18" xfId="0" applyFont="1" applyFill="1" applyBorder="1" applyAlignment="1">
      <alignment horizontal="left" vertical="top" wrapText="1"/>
    </xf>
    <xf numFmtId="0" fontId="78" fillId="0" borderId="64" xfId="0" applyFont="1" applyBorder="1" applyAlignment="1">
      <alignment horizontal="left" vertical="top" wrapText="1"/>
    </xf>
    <xf numFmtId="0" fontId="78" fillId="0" borderId="65" xfId="0" applyFont="1" applyBorder="1" applyAlignment="1">
      <alignment horizontal="left" vertical="top" wrapText="1"/>
    </xf>
    <xf numFmtId="0" fontId="78" fillId="0" borderId="76" xfId="0" applyFont="1" applyBorder="1" applyAlignment="1">
      <alignment horizontal="left" vertical="top" wrapText="1"/>
    </xf>
    <xf numFmtId="0" fontId="78" fillId="0" borderId="10" xfId="0" applyFont="1" applyBorder="1" applyAlignment="1">
      <alignment horizontal="left" vertical="top" wrapText="1"/>
    </xf>
    <xf numFmtId="0" fontId="78" fillId="0" borderId="67" xfId="0" applyFont="1" applyBorder="1" applyAlignment="1">
      <alignment horizontal="left" vertical="top" wrapText="1"/>
    </xf>
    <xf numFmtId="0" fontId="78" fillId="0" borderId="77" xfId="0" applyFont="1" applyBorder="1" applyAlignment="1">
      <alignment horizontal="left" vertical="top" wrapText="1"/>
    </xf>
    <xf numFmtId="0" fontId="78" fillId="0" borderId="68" xfId="0" applyFont="1" applyBorder="1" applyAlignment="1">
      <alignment horizontal="left" vertical="top" wrapText="1"/>
    </xf>
    <xf numFmtId="0" fontId="78" fillId="0" borderId="69" xfId="0" applyFont="1" applyBorder="1" applyAlignment="1">
      <alignment horizontal="left" vertical="top" wrapText="1"/>
    </xf>
    <xf numFmtId="0" fontId="78" fillId="0" borderId="70" xfId="0" applyFont="1" applyBorder="1" applyAlignment="1">
      <alignment horizontal="left" vertical="top" wrapText="1"/>
    </xf>
    <xf numFmtId="0" fontId="78" fillId="0" borderId="71" xfId="0" applyFont="1" applyBorder="1" applyAlignment="1">
      <alignment horizontal="left" vertical="top" wrapText="1"/>
    </xf>
    <xf numFmtId="0" fontId="78" fillId="0" borderId="72" xfId="0" applyFont="1" applyBorder="1" applyAlignment="1">
      <alignment horizontal="left" vertical="top" wrapText="1"/>
    </xf>
    <xf numFmtId="0" fontId="78" fillId="0" borderId="73" xfId="0" applyFont="1" applyBorder="1" applyAlignment="1">
      <alignment horizontal="left" vertical="top" wrapText="1"/>
    </xf>
    <xf numFmtId="0" fontId="78" fillId="0" borderId="74" xfId="0" applyFont="1" applyBorder="1" applyAlignment="1">
      <alignment horizontal="left" vertical="top" wrapText="1"/>
    </xf>
    <xf numFmtId="0" fontId="78" fillId="0" borderId="75" xfId="0" applyFont="1" applyBorder="1" applyAlignment="1">
      <alignment horizontal="left" vertical="top" wrapText="1"/>
    </xf>
    <xf numFmtId="0" fontId="78" fillId="0" borderId="66" xfId="0" applyFont="1" applyBorder="1" applyAlignment="1">
      <alignment horizontal="left" vertical="top" wrapText="1"/>
    </xf>
    <xf numFmtId="0" fontId="78" fillId="0" borderId="8" xfId="0" applyFont="1" applyBorder="1" applyAlignment="1">
      <alignment horizontal="left" vertical="top" wrapText="1"/>
    </xf>
    <xf numFmtId="0" fontId="39" fillId="10" borderId="26" xfId="0" applyFont="1" applyFill="1" applyBorder="1" applyAlignment="1">
      <alignment horizontal="left" vertical="top" wrapText="1"/>
    </xf>
    <xf numFmtId="0" fontId="39" fillId="10" borderId="27" xfId="0" applyFont="1" applyFill="1" applyBorder="1" applyAlignment="1">
      <alignment horizontal="left" vertical="top" wrapText="1"/>
    </xf>
    <xf numFmtId="0" fontId="33" fillId="0" borderId="20" xfId="0" applyFont="1" applyBorder="1" applyAlignment="1">
      <alignment horizontal="center" vertical="center" wrapText="1"/>
    </xf>
    <xf numFmtId="0" fontId="33" fillId="25" borderId="2" xfId="0" applyFont="1" applyFill="1" applyBorder="1" applyAlignment="1">
      <alignment horizontal="left" vertical="top" wrapText="1"/>
    </xf>
    <xf numFmtId="0" fontId="38" fillId="0" borderId="1" xfId="0" applyFont="1" applyBorder="1" applyAlignment="1">
      <alignment horizontal="left" vertical="top" wrapText="1"/>
    </xf>
    <xf numFmtId="0" fontId="40" fillId="0" borderId="40" xfId="0" applyFont="1" applyBorder="1" applyAlignment="1">
      <alignment horizontal="center" vertical="top"/>
    </xf>
    <xf numFmtId="0" fontId="40" fillId="0" borderId="41" xfId="0" applyFont="1" applyBorder="1" applyAlignment="1">
      <alignment horizontal="center" vertical="top"/>
    </xf>
    <xf numFmtId="0" fontId="73" fillId="25" borderId="80" xfId="0" applyFont="1" applyFill="1" applyBorder="1" applyAlignment="1">
      <alignment horizontal="left" vertical="top" wrapText="1"/>
    </xf>
    <xf numFmtId="0" fontId="73" fillId="25" borderId="27" xfId="0" applyFont="1" applyFill="1" applyBorder="1" applyAlignment="1">
      <alignment horizontal="left" vertical="top" wrapText="1"/>
    </xf>
    <xf numFmtId="0" fontId="73" fillId="25" borderId="81" xfId="0" applyFont="1" applyFill="1" applyBorder="1" applyAlignment="1">
      <alignment horizontal="left" vertical="top" wrapText="1"/>
    </xf>
    <xf numFmtId="0" fontId="42" fillId="0" borderId="23" xfId="0" applyFont="1" applyBorder="1" applyAlignment="1">
      <alignment horizontal="left" vertical="top" wrapText="1"/>
    </xf>
    <xf numFmtId="0" fontId="42" fillId="0" borderId="24" xfId="0" applyFont="1" applyBorder="1" applyAlignment="1">
      <alignment horizontal="left" vertical="top" wrapText="1"/>
    </xf>
    <xf numFmtId="0" fontId="42" fillId="0" borderId="25" xfId="0" applyFont="1" applyBorder="1" applyAlignment="1">
      <alignment horizontal="left" vertical="top" wrapText="1"/>
    </xf>
    <xf numFmtId="0" fontId="45" fillId="25" borderId="0" xfId="0" applyFont="1" applyFill="1" applyAlignment="1">
      <alignment horizontal="left" vertical="top"/>
    </xf>
    <xf numFmtId="0" fontId="45" fillId="25" borderId="0" xfId="0" applyFont="1" applyFill="1" applyAlignment="1">
      <alignment horizontal="left" vertical="top" wrapText="1"/>
    </xf>
    <xf numFmtId="0" fontId="38" fillId="0" borderId="44" xfId="0" applyFont="1" applyBorder="1" applyAlignment="1">
      <alignment horizontal="left" vertical="top" wrapText="1"/>
    </xf>
    <xf numFmtId="0" fontId="49" fillId="0" borderId="3" xfId="0" applyFont="1" applyBorder="1" applyAlignment="1">
      <alignment horizontal="left" vertical="top" wrapText="1"/>
    </xf>
    <xf numFmtId="0" fontId="48" fillId="0" borderId="1" xfId="0" applyFont="1" applyBorder="1" applyAlignment="1">
      <alignment horizontal="left" vertical="top" wrapText="1"/>
    </xf>
    <xf numFmtId="0" fontId="44" fillId="32" borderId="42" xfId="0" applyFont="1" applyFill="1" applyBorder="1" applyAlignment="1">
      <alignment horizontal="center" vertical="center"/>
    </xf>
    <xf numFmtId="0" fontId="44" fillId="32" borderId="43" xfId="0" applyFont="1" applyFill="1" applyBorder="1" applyAlignment="1">
      <alignment horizontal="center" vertical="center"/>
    </xf>
    <xf numFmtId="0" fontId="44" fillId="32" borderId="53" xfId="0" applyFont="1" applyFill="1" applyBorder="1" applyAlignment="1">
      <alignment horizontal="center" vertical="center"/>
    </xf>
    <xf numFmtId="0" fontId="38" fillId="10" borderId="26" xfId="0" applyFont="1" applyFill="1" applyBorder="1" applyAlignment="1">
      <alignment horizontal="center" vertical="top" wrapText="1"/>
    </xf>
    <xf numFmtId="0" fontId="38" fillId="10" borderId="27" xfId="0" applyFont="1" applyFill="1" applyBorder="1" applyAlignment="1">
      <alignment horizontal="center" vertical="top" wrapText="1"/>
    </xf>
    <xf numFmtId="0" fontId="38" fillId="10" borderId="28" xfId="0" applyFont="1" applyFill="1" applyBorder="1" applyAlignment="1">
      <alignment horizontal="center" vertical="top" wrapText="1"/>
    </xf>
    <xf numFmtId="0" fontId="38" fillId="25" borderId="1" xfId="0" applyFont="1" applyFill="1" applyBorder="1" applyAlignment="1">
      <alignment horizontal="left" vertical="top" wrapText="1"/>
    </xf>
    <xf numFmtId="0" fontId="48" fillId="25" borderId="1" xfId="0" applyFont="1" applyFill="1" applyBorder="1" applyAlignment="1">
      <alignment horizontal="left" vertical="top" wrapText="1"/>
    </xf>
    <xf numFmtId="0" fontId="48" fillId="25" borderId="2" xfId="0" applyFont="1" applyFill="1" applyBorder="1" applyAlignment="1">
      <alignment horizontal="left" vertical="top" wrapText="1"/>
    </xf>
    <xf numFmtId="0" fontId="44" fillId="32" borderId="54" xfId="0" applyFont="1" applyFill="1" applyBorder="1" applyAlignment="1">
      <alignment horizontal="center"/>
    </xf>
    <xf numFmtId="0" fontId="44" fillId="32" borderId="32" xfId="0" applyFont="1" applyFill="1" applyBorder="1" applyAlignment="1">
      <alignment horizontal="center"/>
    </xf>
    <xf numFmtId="0" fontId="54" fillId="0" borderId="24" xfId="0" applyFont="1" applyBorder="1" applyAlignment="1">
      <alignment horizontal="center" vertical="top"/>
    </xf>
    <xf numFmtId="0" fontId="54" fillId="0" borderId="49" xfId="0" applyFont="1" applyBorder="1" applyAlignment="1">
      <alignment horizontal="center" vertical="top"/>
    </xf>
    <xf numFmtId="0" fontId="55" fillId="0" borderId="50" xfId="0" applyFont="1" applyBorder="1" applyAlignment="1">
      <alignment horizontal="left" vertical="top" wrapText="1"/>
    </xf>
    <xf numFmtId="0" fontId="55" fillId="0" borderId="22" xfId="0" applyFont="1" applyBorder="1" applyAlignment="1">
      <alignment horizontal="left" vertical="top" wrapText="1"/>
    </xf>
    <xf numFmtId="0" fontId="43" fillId="0" borderId="26" xfId="0" applyFont="1" applyBorder="1" applyAlignment="1">
      <alignment horizontal="left" vertical="top" wrapText="1"/>
    </xf>
    <xf numFmtId="0" fontId="43" fillId="0" borderId="27" xfId="0" applyFont="1" applyBorder="1" applyAlignment="1">
      <alignment horizontal="left" vertical="top" wrapText="1"/>
    </xf>
    <xf numFmtId="0" fontId="32" fillId="25" borderId="0" xfId="0" applyFont="1" applyFill="1" applyAlignment="1">
      <alignment horizontal="left" vertical="top"/>
    </xf>
    <xf numFmtId="0" fontId="32" fillId="25" borderId="0" xfId="0" applyFont="1" applyFill="1" applyAlignment="1">
      <alignment horizontal="left" vertical="top" wrapText="1"/>
    </xf>
    <xf numFmtId="0" fontId="38" fillId="10" borderId="55" xfId="0" applyFont="1" applyFill="1" applyBorder="1" applyAlignment="1">
      <alignment horizontal="center" vertical="top"/>
    </xf>
    <xf numFmtId="0" fontId="38" fillId="10" borderId="0" xfId="0" applyFont="1" applyFill="1" applyAlignment="1">
      <alignment horizontal="center" vertical="top"/>
    </xf>
    <xf numFmtId="0" fontId="38" fillId="10" borderId="56" xfId="0" applyFont="1" applyFill="1" applyBorder="1" applyAlignment="1">
      <alignment horizontal="center" vertical="top"/>
    </xf>
    <xf numFmtId="0" fontId="48" fillId="25" borderId="4" xfId="0" applyFont="1" applyFill="1" applyBorder="1" applyAlignment="1">
      <alignment horizontal="left" vertical="top" wrapText="1"/>
    </xf>
    <xf numFmtId="0" fontId="48" fillId="25" borderId="20" xfId="0" applyFont="1" applyFill="1" applyBorder="1" applyAlignment="1">
      <alignment horizontal="left" vertical="top" wrapText="1"/>
    </xf>
    <xf numFmtId="0" fontId="38" fillId="25" borderId="1" xfId="0" applyFont="1" applyFill="1" applyBorder="1" applyAlignment="1">
      <alignment horizontal="left" vertical="top"/>
    </xf>
    <xf numFmtId="0" fontId="80" fillId="0" borderId="64" xfId="0" applyFont="1" applyBorder="1" applyAlignment="1">
      <alignment horizontal="left" vertical="top" wrapText="1"/>
    </xf>
    <xf numFmtId="0" fontId="80" fillId="0" borderId="65" xfId="0" applyFont="1" applyBorder="1" applyAlignment="1">
      <alignment horizontal="left" vertical="top" wrapText="1"/>
    </xf>
    <xf numFmtId="0" fontId="80" fillId="0" borderId="76" xfId="0" applyFont="1" applyBorder="1" applyAlignment="1">
      <alignment horizontal="left" vertical="top" wrapText="1"/>
    </xf>
    <xf numFmtId="0" fontId="80" fillId="0" borderId="10" xfId="0" applyFont="1" applyBorder="1" applyAlignment="1">
      <alignment horizontal="left" vertical="top" wrapText="1"/>
    </xf>
    <xf numFmtId="0" fontId="80" fillId="0" borderId="67" xfId="0" applyFont="1" applyBorder="1" applyAlignment="1">
      <alignment horizontal="left" vertical="top" wrapText="1"/>
    </xf>
    <xf numFmtId="0" fontId="80" fillId="0" borderId="77" xfId="0" applyFont="1" applyBorder="1" applyAlignment="1">
      <alignment horizontal="left" vertical="top" wrapText="1"/>
    </xf>
    <xf numFmtId="0" fontId="80" fillId="0" borderId="68" xfId="0" applyFont="1" applyBorder="1" applyAlignment="1">
      <alignment horizontal="left" vertical="top" wrapText="1"/>
    </xf>
    <xf numFmtId="0" fontId="80" fillId="0" borderId="69" xfId="0" applyFont="1" applyBorder="1" applyAlignment="1">
      <alignment horizontal="left" vertical="top" wrapText="1"/>
    </xf>
    <xf numFmtId="0" fontId="80" fillId="0" borderId="70" xfId="0" applyFont="1" applyBorder="1" applyAlignment="1">
      <alignment horizontal="left" vertical="top" wrapText="1"/>
    </xf>
    <xf numFmtId="0" fontId="80" fillId="0" borderId="71" xfId="0" applyFont="1" applyBorder="1" applyAlignment="1">
      <alignment horizontal="left" vertical="top" wrapText="1"/>
    </xf>
    <xf numFmtId="0" fontId="80" fillId="0" borderId="72" xfId="0" applyFont="1" applyBorder="1" applyAlignment="1">
      <alignment horizontal="left" vertical="top" wrapText="1"/>
    </xf>
    <xf numFmtId="0" fontId="80" fillId="0" borderId="73" xfId="0" applyFont="1" applyBorder="1" applyAlignment="1">
      <alignment horizontal="left" vertical="top" wrapText="1"/>
    </xf>
    <xf numFmtId="0" fontId="80" fillId="0" borderId="74" xfId="0" applyFont="1" applyBorder="1" applyAlignment="1">
      <alignment horizontal="left" vertical="top" wrapText="1"/>
    </xf>
    <xf numFmtId="0" fontId="80" fillId="0" borderId="75" xfId="0" applyFont="1" applyBorder="1" applyAlignment="1">
      <alignment horizontal="left" vertical="top" wrapText="1"/>
    </xf>
    <xf numFmtId="0" fontId="80" fillId="0" borderId="66" xfId="0" applyFont="1" applyBorder="1" applyAlignment="1">
      <alignment horizontal="left" vertical="top" wrapText="1"/>
    </xf>
    <xf numFmtId="0" fontId="80" fillId="0" borderId="8" xfId="0" applyFont="1" applyBorder="1" applyAlignment="1">
      <alignment horizontal="left" vertical="top" wrapText="1"/>
    </xf>
    <xf numFmtId="0" fontId="80" fillId="0" borderId="78" xfId="0" applyFont="1" applyBorder="1" applyAlignment="1">
      <alignment horizontal="left" vertical="top" wrapText="1"/>
    </xf>
    <xf numFmtId="0" fontId="80" fillId="0" borderId="79" xfId="0" applyFont="1" applyBorder="1" applyAlignment="1">
      <alignment horizontal="left" vertical="top" wrapText="1"/>
    </xf>
    <xf numFmtId="0" fontId="22" fillId="11" borderId="52" xfId="0" applyFont="1" applyFill="1" applyBorder="1" applyAlignment="1">
      <alignment horizontal="center" vertical="center" wrapText="1"/>
    </xf>
    <xf numFmtId="0" fontId="22" fillId="11" borderId="0" xfId="0" applyFont="1" applyFill="1" applyAlignment="1">
      <alignment horizontal="center" vertical="center" wrapText="1"/>
    </xf>
    <xf numFmtId="0" fontId="22" fillId="11" borderId="61" xfId="0" applyFont="1" applyFill="1" applyBorder="1" applyAlignment="1">
      <alignment horizontal="center" vertical="center" wrapText="1"/>
    </xf>
    <xf numFmtId="0" fontId="22" fillId="11" borderId="62" xfId="0" applyFont="1" applyFill="1" applyBorder="1" applyAlignment="1">
      <alignment horizontal="center" vertical="center" wrapText="1"/>
    </xf>
    <xf numFmtId="0" fontId="22" fillId="11" borderId="63" xfId="0" applyFont="1" applyFill="1" applyBorder="1" applyAlignment="1">
      <alignment horizontal="center" vertical="center" wrapText="1"/>
    </xf>
  </cellXfs>
  <cellStyles count="16">
    <cellStyle name="Hipervínculo 2" xfId="8"/>
    <cellStyle name="Millares" xfId="14" builtinId="3"/>
    <cellStyle name="Millares [0]" xfId="15" builtinId="6"/>
    <cellStyle name="Millares 2" xfId="10"/>
    <cellStyle name="Millares 3" xfId="9"/>
    <cellStyle name="Moneda" xfId="11" builtinId="4"/>
    <cellStyle name="Moneda [0]" xfId="12" builtinId="7"/>
    <cellStyle name="Moneda [0] 2 2" xfId="2"/>
    <cellStyle name="Normal" xfId="0" builtinId="0"/>
    <cellStyle name="Normal 2" xfId="6"/>
    <cellStyle name="Normal 2 2" xfId="13"/>
    <cellStyle name="Normal 3" xfId="3"/>
    <cellStyle name="Normal 4" xfId="4"/>
    <cellStyle name="Porcentaje" xfId="1" builtinId="5"/>
    <cellStyle name="Porcentaje 2" xfId="5"/>
    <cellStyle name="Porcentual 2" xfId="7"/>
  </cellStyles>
  <dxfs count="0"/>
  <tableStyles count="0" defaultTableStyle="TableStyleMedium2" defaultPivotStyle="PivotStyleLight16"/>
  <colors>
    <mruColors>
      <color rgb="FF00FF00"/>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AVANCE GENERAL VIGENCIA 2021 - ETITC </a:t>
            </a:r>
          </a:p>
        </c:rich>
      </c:tx>
      <c:layout>
        <c:manualLayout>
          <c:xMode val="edge"/>
          <c:yMode val="edge"/>
          <c:x val="0.18739769046465016"/>
          <c:y val="0.10223313361283691"/>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8569729496551138"/>
          <c:y val="0.31221194046563466"/>
          <c:w val="0.43273785091025851"/>
          <c:h val="0.73034533803088375"/>
        </c:manualLayout>
      </c:layout>
      <c:scatterChart>
        <c:scatterStyle val="smoothMarker"/>
        <c:varyColors val="0"/>
        <c:dLbls>
          <c:showLegendKey val="0"/>
          <c:showVal val="0"/>
          <c:showCatName val="0"/>
          <c:showSerName val="0"/>
          <c:showPercent val="0"/>
          <c:showBubbleSize val="0"/>
        </c:dLbls>
        <c:axId val="452723888"/>
        <c:axId val="452722640"/>
      </c:scatterChart>
      <c:valAx>
        <c:axId val="452722640"/>
        <c:scaling>
          <c:orientation val="minMax"/>
          <c:max val="1"/>
          <c:min val="-1"/>
        </c:scaling>
        <c:delete val="1"/>
        <c:axPos val="l"/>
        <c:numFmt formatCode="General" sourceLinked="1"/>
        <c:majorTickMark val="out"/>
        <c:minorTickMark val="none"/>
        <c:tickLblPos val="nextTo"/>
        <c:crossAx val="452723888"/>
        <c:crosses val="autoZero"/>
        <c:crossBetween val="midCat"/>
      </c:valAx>
      <c:valAx>
        <c:axId val="452723888"/>
        <c:scaling>
          <c:orientation val="minMax"/>
          <c:max val="1"/>
          <c:min val="-1"/>
        </c:scaling>
        <c:delete val="1"/>
        <c:axPos val="b"/>
        <c:numFmt formatCode="General" sourceLinked="1"/>
        <c:majorTickMark val="out"/>
        <c:minorTickMark val="none"/>
        <c:tickLblPos val="nextTo"/>
        <c:crossAx val="452722640"/>
        <c:crosses val="autoZero"/>
        <c:crossBetween val="midCat"/>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AVANCE GENERAL - ETITC 2021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0"/>
      <c:rotY val="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7.8900481189851268E-2"/>
          <c:y val="0.15319444444444447"/>
          <c:w val="0.88498840769903764"/>
          <c:h val="0.72088764946048411"/>
        </c:manualLayout>
      </c:layout>
      <c:bar3DChart>
        <c:barDir val="col"/>
        <c:grouping val="stacked"/>
        <c:varyColors val="0"/>
        <c:ser>
          <c:idx val="0"/>
          <c:order val="0"/>
          <c:tx>
            <c:strRef>
              <c:f>'[1]AVANCE 2021'!$P$3</c:f>
              <c:strCache>
                <c:ptCount val="1"/>
                <c:pt idx="0">
                  <c:v>AVANCE GENERAL </c:v>
                </c:pt>
              </c:strCache>
            </c:strRef>
          </c:tx>
          <c:spPr>
            <a:solidFill>
              <a:schemeClr val="accent1"/>
            </a:solidFill>
            <a:ln>
              <a:noFill/>
            </a:ln>
            <a:effectLst>
              <a:outerShdw blurRad="63500" dist="190500" dir="5400000" sx="49000" sy="49000" algn="ctr" rotWithShape="0">
                <a:srgbClr val="000000">
                  <a:alpha val="97000"/>
                </a:srgbClr>
              </a:outerShdw>
            </a:effectLst>
            <a:sp3d/>
          </c:spPr>
          <c:invertIfNegative val="0"/>
          <c:dPt>
            <c:idx val="0"/>
            <c:invertIfNegative val="0"/>
            <c:bubble3D val="0"/>
            <c:spPr>
              <a:solidFill>
                <a:srgbClr val="00B050"/>
              </a:solidFill>
              <a:ln>
                <a:noFill/>
              </a:ln>
              <a:effectLst>
                <a:outerShdw blurRad="63500" dist="190500" dir="5400000" sx="49000" sy="49000" algn="ctr" rotWithShape="0">
                  <a:srgbClr val="000000">
                    <a:alpha val="97000"/>
                  </a:srgbClr>
                </a:outerShdw>
              </a:effectLst>
              <a:sp3d/>
            </c:spPr>
            <c:extLst>
              <c:ext xmlns:c16="http://schemas.microsoft.com/office/drawing/2014/chart" uri="{C3380CC4-5D6E-409C-BE32-E72D297353CC}">
                <c16:uniqueId val="{00000001-F211-4207-9088-80ADA8DA081F}"/>
              </c:ext>
            </c:extLst>
          </c:dPt>
          <c:dPt>
            <c:idx val="1"/>
            <c:invertIfNegative val="0"/>
            <c:bubble3D val="0"/>
            <c:spPr>
              <a:solidFill>
                <a:schemeClr val="accent6">
                  <a:lumMod val="60000"/>
                  <a:lumOff val="40000"/>
                </a:schemeClr>
              </a:solidFill>
              <a:ln>
                <a:noFill/>
              </a:ln>
              <a:effectLst>
                <a:outerShdw blurRad="63500" dist="190500" dir="5400000" sx="49000" sy="49000" algn="ctr" rotWithShape="0">
                  <a:srgbClr val="000000">
                    <a:alpha val="97000"/>
                  </a:srgbClr>
                </a:outerShdw>
              </a:effectLst>
              <a:sp3d/>
            </c:spPr>
            <c:extLst>
              <c:ext xmlns:c16="http://schemas.microsoft.com/office/drawing/2014/chart" uri="{C3380CC4-5D6E-409C-BE32-E72D297353CC}">
                <c16:uniqueId val="{00000003-F211-4207-9088-80ADA8DA081F}"/>
              </c:ext>
            </c:extLst>
          </c:dPt>
          <c:dPt>
            <c:idx val="2"/>
            <c:invertIfNegative val="0"/>
            <c:bubble3D val="0"/>
            <c:spPr>
              <a:solidFill>
                <a:srgbClr val="92D050"/>
              </a:solidFill>
              <a:ln>
                <a:noFill/>
              </a:ln>
              <a:effectLst>
                <a:outerShdw blurRad="63500" dist="190500" dir="5400000" sx="49000" sy="49000" algn="ctr" rotWithShape="0">
                  <a:srgbClr val="000000">
                    <a:alpha val="97000"/>
                  </a:srgbClr>
                </a:outerShdw>
              </a:effectLst>
              <a:sp3d/>
            </c:spPr>
            <c:extLst>
              <c:ext xmlns:c16="http://schemas.microsoft.com/office/drawing/2014/chart" uri="{C3380CC4-5D6E-409C-BE32-E72D297353CC}">
                <c16:uniqueId val="{00000005-F211-4207-9088-80ADA8DA081F}"/>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'[1]AVANCE 2021'!$M$4:$M$6</c:f>
              <c:strCache>
                <c:ptCount val="3"/>
                <c:pt idx="0">
                  <c:v>Lo Intitucional </c:v>
                </c:pt>
                <c:pt idx="1">
                  <c:v>Lo Social </c:v>
                </c:pt>
                <c:pt idx="2">
                  <c:v>Lo ambiental </c:v>
                </c:pt>
              </c:strCache>
            </c:strRef>
          </c:cat>
          <c:val>
            <c:numRef>
              <c:f>'[1]AVANCE 2021'!$P$4:$P$6</c:f>
              <c:numCache>
                <c:formatCode>General</c:formatCode>
                <c:ptCount val="3"/>
                <c:pt idx="0">
                  <c:v>0.84208685861941679</c:v>
                </c:pt>
                <c:pt idx="1">
                  <c:v>0.80658343333333338</c:v>
                </c:pt>
                <c:pt idx="2">
                  <c:v>0.79933020266930299</c:v>
                </c:pt>
              </c:numCache>
            </c:numRef>
          </c:val>
          <c:extLst>
            <c:ext xmlns:c16="http://schemas.microsoft.com/office/drawing/2014/chart" uri="{C3380CC4-5D6E-409C-BE32-E72D297353CC}">
              <c16:uniqueId val="{00000006-F211-4207-9088-80ADA8DA081F}"/>
            </c:ext>
          </c:extLst>
        </c:ser>
        <c:dLbls>
          <c:showLegendKey val="0"/>
          <c:showVal val="0"/>
          <c:showCatName val="0"/>
          <c:showSerName val="0"/>
          <c:showPercent val="0"/>
          <c:showBubbleSize val="0"/>
        </c:dLbls>
        <c:gapWidth val="150"/>
        <c:shape val="cylinder"/>
        <c:axId val="527943552"/>
        <c:axId val="527958112"/>
        <c:axId val="0"/>
      </c:bar3DChart>
      <c:catAx>
        <c:axId val="5279435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527958112"/>
        <c:crosses val="autoZero"/>
        <c:auto val="1"/>
        <c:lblAlgn val="ctr"/>
        <c:lblOffset val="100"/>
        <c:noMultiLvlLbl val="0"/>
      </c:catAx>
      <c:valAx>
        <c:axId val="527958112"/>
        <c:scaling>
          <c:orientation val="minMax"/>
        </c:scaling>
        <c:delete val="1"/>
        <c:axPos val="l"/>
        <c:numFmt formatCode="General" sourceLinked="1"/>
        <c:majorTickMark val="none"/>
        <c:minorTickMark val="none"/>
        <c:tickLblPos val="nextTo"/>
        <c:crossAx val="527943552"/>
        <c:crosses val="autoZero"/>
        <c:crossBetween val="between"/>
      </c:valAx>
      <c:spPr>
        <a:noFill/>
        <a:ln>
          <a:noFill/>
        </a:ln>
        <a:effectLst/>
      </c:spPr>
    </c:plotArea>
    <c:plotVisOnly val="1"/>
    <c:dispBlanksAs val="gap"/>
    <c:showDLblsOverMax val="0"/>
  </c:chart>
  <c:spPr>
    <a:solidFill>
      <a:schemeClr val="accent6">
        <a:lumMod val="20000"/>
        <a:lumOff val="80000"/>
      </a:schemeClr>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r>
              <a:rPr lang="en-US" b="1">
                <a:solidFill>
                  <a:sysClr val="windowText" lastClr="000000"/>
                </a:solidFill>
              </a:rPr>
              <a:t>AVANCE GENERAL 2022</a:t>
            </a:r>
          </a:p>
        </c:rich>
      </c:tx>
      <c:layout>
        <c:manualLayout>
          <c:xMode val="edge"/>
          <c:yMode val="edge"/>
          <c:x val="0.3209512159130522"/>
          <c:y val="4.0903049145174585E-2"/>
        </c:manualLayout>
      </c:layout>
      <c:overlay val="0"/>
      <c:spPr>
        <a:noFill/>
        <a:ln>
          <a:noFill/>
        </a:ln>
        <a:effectLst/>
      </c:spPr>
      <c:txPr>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0.11355555542281351"/>
          <c:y val="0.23762677700229184"/>
          <c:w val="0.88498840769903764"/>
          <c:h val="0.56831765820939051"/>
        </c:manualLayout>
      </c:layout>
      <c:bar3DChart>
        <c:barDir val="col"/>
        <c:grouping val="stacked"/>
        <c:varyColors val="0"/>
        <c:ser>
          <c:idx val="0"/>
          <c:order val="0"/>
          <c:tx>
            <c:strRef>
              <c:f>'ACANCES 2022'!$C$2</c:f>
              <c:strCache>
                <c:ptCount val="1"/>
                <c:pt idx="0">
                  <c:v>AVANCE TOTAL </c:v>
                </c:pt>
              </c:strCache>
            </c:strRef>
          </c:tx>
          <c:spPr>
            <a:solidFill>
              <a:schemeClr val="bg1">
                <a:lumMod val="65000"/>
              </a:schemeClr>
            </a:solidFill>
            <a:ln w="9525" cap="flat" cmpd="sng" algn="ctr">
              <a:solidFill>
                <a:schemeClr val="accent1">
                  <a:shade val="95000"/>
                </a:schemeClr>
              </a:solidFill>
              <a:round/>
            </a:ln>
            <a:effectLst>
              <a:outerShdw blurRad="50800" dist="38100" dir="5400000" algn="t" rotWithShape="0">
                <a:prstClr val="black">
                  <a:alpha val="40000"/>
                </a:prstClr>
              </a:outerShdw>
            </a:effectLst>
            <a:sp3d contourW="9525">
              <a:contourClr>
                <a:schemeClr val="accent1">
                  <a:shade val="95000"/>
                </a:schemeClr>
              </a:contourClr>
            </a:sp3d>
          </c:spPr>
          <c:invertIfNegative val="0"/>
          <c:dLbls>
            <c:dLbl>
              <c:idx val="0"/>
              <c:layout>
                <c:manualLayout>
                  <c:x val="1.3888888888888888E-2"/>
                  <c:y val="-0.2037037037037036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270-455C-A930-CBBF97D851D8}"/>
                </c:ext>
              </c:extLst>
            </c:dLbl>
            <c:dLbl>
              <c:idx val="1"/>
              <c:layout>
                <c:manualLayout>
                  <c:x val="2.2471299349915864E-2"/>
                  <c:y val="-0.3333156311634898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270-455C-A930-CBBF97D851D8}"/>
                </c:ext>
              </c:extLst>
            </c:dLbl>
            <c:dLbl>
              <c:idx val="2"/>
              <c:layout>
                <c:manualLayout>
                  <c:x val="1.9444444444444344E-2"/>
                  <c:y val="-0.1990740740740741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270-455C-A930-CBBF97D851D8}"/>
                </c:ext>
              </c:extLst>
            </c:dLbl>
            <c:dLbl>
              <c:idx val="3"/>
              <c:layout>
                <c:manualLayout>
                  <c:x val="2.5000000000000001E-2"/>
                  <c:y val="-0.1250000000000000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270-455C-A930-CBBF97D851D8}"/>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'ACANCES 2022'!$B$3:$B$6</c:f>
              <c:strCache>
                <c:ptCount val="4"/>
                <c:pt idx="0">
                  <c:v>Rectoría</c:v>
                </c:pt>
                <c:pt idx="1">
                  <c:v>Vicerrectoría Administrativa y Financiera</c:v>
                </c:pt>
                <c:pt idx="2">
                  <c:v>Vicerrectoría Académica</c:v>
                </c:pt>
                <c:pt idx="3">
                  <c:v>Vicerrectoría de Investigación, Extensión y Transferencia</c:v>
                </c:pt>
              </c:strCache>
            </c:strRef>
          </c:cat>
          <c:val>
            <c:numRef>
              <c:f>'ACANCES 2022'!$C$3:$C$6</c:f>
              <c:numCache>
                <c:formatCode>0%</c:formatCode>
                <c:ptCount val="4"/>
                <c:pt idx="0">
                  <c:v>0</c:v>
                </c:pt>
                <c:pt idx="1">
                  <c:v>0</c:v>
                </c:pt>
                <c:pt idx="2">
                  <c:v>0</c:v>
                </c:pt>
                <c:pt idx="3">
                  <c:v>0</c:v>
                </c:pt>
              </c:numCache>
            </c:numRef>
          </c:val>
          <c:extLst>
            <c:ext xmlns:c16="http://schemas.microsoft.com/office/drawing/2014/chart" uri="{C3380CC4-5D6E-409C-BE32-E72D297353CC}">
              <c16:uniqueId val="{00000004-B270-455C-A930-CBBF97D851D8}"/>
            </c:ext>
          </c:extLst>
        </c:ser>
        <c:dLbls>
          <c:showLegendKey val="0"/>
          <c:showVal val="0"/>
          <c:showCatName val="0"/>
          <c:showSerName val="0"/>
          <c:showPercent val="0"/>
          <c:showBubbleSize val="0"/>
        </c:dLbls>
        <c:gapWidth val="150"/>
        <c:shape val="box"/>
        <c:axId val="1757774351"/>
        <c:axId val="2033940607"/>
        <c:axId val="0"/>
      </c:bar3DChart>
      <c:catAx>
        <c:axId val="1757774351"/>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crossAx val="2033940607"/>
        <c:crosses val="autoZero"/>
        <c:auto val="1"/>
        <c:lblAlgn val="ctr"/>
        <c:lblOffset val="100"/>
        <c:noMultiLvlLbl val="0"/>
      </c:catAx>
      <c:valAx>
        <c:axId val="2033940607"/>
        <c:scaling>
          <c:orientation val="minMax"/>
        </c:scaling>
        <c:delete val="1"/>
        <c:axPos val="l"/>
        <c:numFmt formatCode="0%" sourceLinked="1"/>
        <c:majorTickMark val="none"/>
        <c:minorTickMark val="none"/>
        <c:tickLblPos val="nextTo"/>
        <c:crossAx val="1757774351"/>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599931184097272"/>
          <c:y val="0.11513385525991233"/>
          <c:w val="0.49153267343119517"/>
          <c:h val="0.8634354936402181"/>
        </c:manualLayout>
      </c:layout>
      <c:doughnutChart>
        <c:varyColors val="1"/>
        <c:ser>
          <c:idx val="0"/>
          <c:order val="0"/>
          <c:explosion val="1"/>
          <c:dPt>
            <c:idx val="0"/>
            <c:bubble3D val="0"/>
            <c:spPr>
              <a:solidFill>
                <a:srgbClr val="FF0000"/>
              </a:solidFill>
              <a:ln w="19050">
                <a:solidFill>
                  <a:schemeClr val="lt1"/>
                </a:solidFill>
              </a:ln>
              <a:effectLst/>
            </c:spPr>
            <c:extLst>
              <c:ext xmlns:c16="http://schemas.microsoft.com/office/drawing/2014/chart" uri="{C3380CC4-5D6E-409C-BE32-E72D297353CC}">
                <c16:uniqueId val="{00000001-323F-484C-8561-0BA741C7FB34}"/>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323F-484C-8561-0BA741C7FB34}"/>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5-323F-484C-8561-0BA741C7FB34}"/>
              </c:ext>
            </c:extLst>
          </c:dPt>
          <c:dPt>
            <c:idx val="3"/>
            <c:bubble3D val="0"/>
            <c:spPr>
              <a:solidFill>
                <a:srgbClr val="FFFF00"/>
              </a:solidFill>
              <a:ln w="19050">
                <a:solidFill>
                  <a:schemeClr val="lt1"/>
                </a:solidFill>
              </a:ln>
              <a:effectLst/>
            </c:spPr>
            <c:extLst>
              <c:ext xmlns:c16="http://schemas.microsoft.com/office/drawing/2014/chart" uri="{C3380CC4-5D6E-409C-BE32-E72D297353CC}">
                <c16:uniqueId val="{00000007-323F-484C-8561-0BA741C7FB34}"/>
              </c:ext>
            </c:extLst>
          </c:dPt>
          <c:dPt>
            <c:idx val="4"/>
            <c:bubble3D val="0"/>
            <c:spPr>
              <a:solidFill>
                <a:srgbClr val="FFFF00"/>
              </a:solidFill>
              <a:ln w="19050">
                <a:solidFill>
                  <a:schemeClr val="lt1"/>
                </a:solidFill>
              </a:ln>
              <a:effectLst/>
            </c:spPr>
            <c:extLst>
              <c:ext xmlns:c16="http://schemas.microsoft.com/office/drawing/2014/chart" uri="{C3380CC4-5D6E-409C-BE32-E72D297353CC}">
                <c16:uniqueId val="{00000009-323F-484C-8561-0BA741C7FB34}"/>
              </c:ext>
            </c:extLst>
          </c:dPt>
          <c:dPt>
            <c:idx val="5"/>
            <c:bubble3D val="0"/>
            <c:spPr>
              <a:solidFill>
                <a:srgbClr val="FFFF00"/>
              </a:solidFill>
              <a:ln w="19050">
                <a:solidFill>
                  <a:schemeClr val="lt1"/>
                </a:solidFill>
              </a:ln>
              <a:effectLst/>
            </c:spPr>
            <c:extLst>
              <c:ext xmlns:c16="http://schemas.microsoft.com/office/drawing/2014/chart" uri="{C3380CC4-5D6E-409C-BE32-E72D297353CC}">
                <c16:uniqueId val="{0000000B-323F-484C-8561-0BA741C7FB34}"/>
              </c:ext>
            </c:extLst>
          </c:dPt>
          <c:dPt>
            <c:idx val="6"/>
            <c:bubble3D val="0"/>
            <c:spPr>
              <a:solidFill>
                <a:srgbClr val="FFC000"/>
              </a:solidFill>
              <a:ln w="19050">
                <a:solidFill>
                  <a:schemeClr val="lt1"/>
                </a:solidFill>
              </a:ln>
              <a:effectLst/>
            </c:spPr>
            <c:extLst>
              <c:ext xmlns:c16="http://schemas.microsoft.com/office/drawing/2014/chart" uri="{C3380CC4-5D6E-409C-BE32-E72D297353CC}">
                <c16:uniqueId val="{0000000D-323F-484C-8561-0BA741C7FB34}"/>
              </c:ext>
            </c:extLst>
          </c:dPt>
          <c:dPt>
            <c:idx val="7"/>
            <c:bubble3D val="0"/>
            <c:spPr>
              <a:solidFill>
                <a:srgbClr val="92D050"/>
              </a:solidFill>
              <a:ln w="19050">
                <a:solidFill>
                  <a:schemeClr val="lt1"/>
                </a:solidFill>
              </a:ln>
              <a:effectLst/>
            </c:spPr>
            <c:extLst>
              <c:ext xmlns:c16="http://schemas.microsoft.com/office/drawing/2014/chart" uri="{C3380CC4-5D6E-409C-BE32-E72D297353CC}">
                <c16:uniqueId val="{0000000F-323F-484C-8561-0BA741C7FB34}"/>
              </c:ext>
            </c:extLst>
          </c:dPt>
          <c:dPt>
            <c:idx val="8"/>
            <c:bubble3D val="0"/>
            <c:spPr>
              <a:solidFill>
                <a:srgbClr val="00B050"/>
              </a:solidFill>
              <a:ln w="19050">
                <a:solidFill>
                  <a:schemeClr val="lt1"/>
                </a:solidFill>
              </a:ln>
              <a:effectLst/>
            </c:spPr>
            <c:extLst>
              <c:ext xmlns:c16="http://schemas.microsoft.com/office/drawing/2014/chart" uri="{C3380CC4-5D6E-409C-BE32-E72D297353CC}">
                <c16:uniqueId val="{00000011-323F-484C-8561-0BA741C7FB34}"/>
              </c:ext>
            </c:extLst>
          </c:dPt>
          <c:dPt>
            <c:idx val="9"/>
            <c:bubble3D val="0"/>
            <c:spPr>
              <a:solidFill>
                <a:srgbClr val="00B050"/>
              </a:solidFill>
              <a:ln w="19050">
                <a:solidFill>
                  <a:schemeClr val="lt1"/>
                </a:solidFill>
              </a:ln>
              <a:effectLst/>
            </c:spPr>
            <c:extLst>
              <c:ext xmlns:c16="http://schemas.microsoft.com/office/drawing/2014/chart" uri="{C3380CC4-5D6E-409C-BE32-E72D297353CC}">
                <c16:uniqueId val="{00000013-323F-484C-8561-0BA741C7FB34}"/>
              </c:ext>
            </c:extLst>
          </c:dPt>
          <c:dPt>
            <c:idx val="10"/>
            <c:bubble3D val="0"/>
            <c:spPr>
              <a:noFill/>
              <a:ln w="19050">
                <a:noFill/>
              </a:ln>
              <a:effectLst/>
            </c:spPr>
            <c:extLst>
              <c:ext xmlns:c16="http://schemas.microsoft.com/office/drawing/2014/chart" uri="{C3380CC4-5D6E-409C-BE32-E72D297353CC}">
                <c16:uniqueId val="{00000015-323F-484C-8561-0BA741C7FB34}"/>
              </c:ext>
            </c:extLst>
          </c:dPt>
          <c:dLbls>
            <c:dLbl>
              <c:idx val="0"/>
              <c:layout>
                <c:manualLayout>
                  <c:x val="-7.2222222222222215E-2"/>
                  <c:y val="-2.3148148148148147E-2"/>
                </c:manualLayout>
              </c:layout>
              <c:tx>
                <c:rich>
                  <a:bodyPr/>
                  <a:lstStyle/>
                  <a:p>
                    <a:fld id="{6F2F018B-132D-43AB-83C9-DF5835714218}"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1-323F-484C-8561-0BA741C7FB34}"/>
                </c:ext>
              </c:extLst>
            </c:dLbl>
            <c:dLbl>
              <c:idx val="1"/>
              <c:layout>
                <c:manualLayout>
                  <c:x val="-6.3888888888888884E-2"/>
                  <c:y val="-6.9444444444444448E-2"/>
                </c:manualLayout>
              </c:layout>
              <c:tx>
                <c:rich>
                  <a:bodyPr/>
                  <a:lstStyle/>
                  <a:p>
                    <a:fld id="{7532F51B-EFA1-46F2-A1DA-F3FD1BE096A7}"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3-323F-484C-8561-0BA741C7FB34}"/>
                </c:ext>
              </c:extLst>
            </c:dLbl>
            <c:dLbl>
              <c:idx val="2"/>
              <c:layout>
                <c:manualLayout>
                  <c:x val="-4.7222222222222221E-2"/>
                  <c:y val="-8.3333333333333356E-2"/>
                </c:manualLayout>
              </c:layout>
              <c:tx>
                <c:rich>
                  <a:bodyPr/>
                  <a:lstStyle/>
                  <a:p>
                    <a:fld id="{592B763C-5905-47B2-971E-5F1E7F1D5A84}"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5-323F-484C-8561-0BA741C7FB34}"/>
                </c:ext>
              </c:extLst>
            </c:dLbl>
            <c:dLbl>
              <c:idx val="3"/>
              <c:layout>
                <c:manualLayout>
                  <c:x val="-3.8888888888888938E-2"/>
                  <c:y val="-0.125"/>
                </c:manualLayout>
              </c:layout>
              <c:tx>
                <c:rich>
                  <a:bodyPr/>
                  <a:lstStyle/>
                  <a:p>
                    <a:fld id="{1F14B7CC-3474-4432-8B8E-CC00389C6662}"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7-323F-484C-8561-0BA741C7FB34}"/>
                </c:ext>
              </c:extLst>
            </c:dLbl>
            <c:dLbl>
              <c:idx val="4"/>
              <c:layout>
                <c:manualLayout>
                  <c:x val="-1.6666666666666718E-2"/>
                  <c:y val="-0.1388888888888889"/>
                </c:manualLayout>
              </c:layout>
              <c:tx>
                <c:rich>
                  <a:bodyPr/>
                  <a:lstStyle/>
                  <a:p>
                    <a:fld id="{04E7F004-42A7-4BEE-B9BA-75D9BD1C0FB3}"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9-323F-484C-8561-0BA741C7FB34}"/>
                </c:ext>
              </c:extLst>
            </c:dLbl>
            <c:dLbl>
              <c:idx val="5"/>
              <c:layout>
                <c:manualLayout>
                  <c:x val="1.9444444444444545E-2"/>
                  <c:y val="-0.12962962962962962"/>
                </c:manualLayout>
              </c:layout>
              <c:tx>
                <c:rich>
                  <a:bodyPr/>
                  <a:lstStyle/>
                  <a:p>
                    <a:fld id="{FC72E76F-7491-4F95-BDF2-4C1015EEFC1D}"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B-323F-484C-8561-0BA741C7FB34}"/>
                </c:ext>
              </c:extLst>
            </c:dLbl>
            <c:dLbl>
              <c:idx val="6"/>
              <c:layout>
                <c:manualLayout>
                  <c:x val="3.0555555555555555E-2"/>
                  <c:y val="-0.1111111111111111"/>
                </c:manualLayout>
              </c:layout>
              <c:tx>
                <c:rich>
                  <a:bodyPr/>
                  <a:lstStyle/>
                  <a:p>
                    <a:fld id="{8FEA5A19-B62B-4D82-8C1A-72FF7B220570}"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D-323F-484C-8561-0BA741C7FB34}"/>
                </c:ext>
              </c:extLst>
            </c:dLbl>
            <c:dLbl>
              <c:idx val="7"/>
              <c:layout>
                <c:manualLayout>
                  <c:x val="4.4444444444444446E-2"/>
                  <c:y val="-7.870370370370372E-2"/>
                </c:manualLayout>
              </c:layout>
              <c:tx>
                <c:rich>
                  <a:bodyPr/>
                  <a:lstStyle/>
                  <a:p>
                    <a:fld id="{7A72C01E-0A31-41B1-9DF3-E31DC9CC532D}"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F-323F-484C-8561-0BA741C7FB34}"/>
                </c:ext>
              </c:extLst>
            </c:dLbl>
            <c:dLbl>
              <c:idx val="8"/>
              <c:layout>
                <c:manualLayout>
                  <c:x val="6.3888888888888884E-2"/>
                  <c:y val="-4.6296296296296294E-2"/>
                </c:manualLayout>
              </c:layout>
              <c:tx>
                <c:rich>
                  <a:bodyPr/>
                  <a:lstStyle/>
                  <a:p>
                    <a:fld id="{1535B040-5E6D-4D15-BBD2-67304BB9175C}"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1-323F-484C-8561-0BA741C7FB34}"/>
                </c:ext>
              </c:extLst>
            </c:dLbl>
            <c:dLbl>
              <c:idx val="9"/>
              <c:layout>
                <c:manualLayout>
                  <c:x val="7.2222222222222215E-2"/>
                  <c:y val="-1.8518518518518517E-2"/>
                </c:manualLayout>
              </c:layout>
              <c:tx>
                <c:rich>
                  <a:bodyPr/>
                  <a:lstStyle/>
                  <a:p>
                    <a:fld id="{7392DEE1-43FA-453A-A901-54EBCD238E18}" type="CELLRANGE">
                      <a:rPr lang="en-US"/>
                      <a:pPr/>
                      <a:t>[CELLRANGE]</a:t>
                    </a:fld>
                    <a:endParaRPr lang="es-CO"/>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3-323F-484C-8561-0BA741C7FB34}"/>
                </c:ext>
              </c:extLst>
            </c:dLbl>
            <c:dLbl>
              <c:idx val="10"/>
              <c:tx>
                <c:rich>
                  <a:bodyPr/>
                  <a:lstStyle/>
                  <a:p>
                    <a:fld id="{E3B664AF-3D81-4681-AC28-F436FEE0D008}" type="CELLRANGE">
                      <a:rPr lang="es-CO"/>
                      <a:pPr/>
                      <a:t>[CELLRANGE]</a:t>
                    </a:fld>
                    <a:endParaRPr lang="es-CO"/>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23F-484C-8561-0BA741C7FB34}"/>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showLeaderLines val="0"/>
            <c:extLst>
              <c:ext xmlns:c15="http://schemas.microsoft.com/office/drawing/2012/chart" uri="{CE6537A1-D6FC-4f65-9D91-7224C49458BB}">
                <c15:showDataLabelsRange val="1"/>
              </c:ext>
            </c:extLst>
          </c:dLbls>
          <c:val>
            <c:numRef>
              <c:f>'ACANCES 2022'!$C$14:$C$24</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c:ext xmlns:c15="http://schemas.microsoft.com/office/drawing/2012/chart" uri="{02D57815-91ED-43cb-92C2-25804820EDAC}">
              <c15:datalabelsRange>
                <c15:f>'ACANCES 2022'!$B$14:$B$24</c15:f>
                <c15:dlblRangeCache>
                  <c:ptCount val="11"/>
                  <c:pt idx="0">
                    <c:v>10</c:v>
                  </c:pt>
                  <c:pt idx="1">
                    <c:v>20</c:v>
                  </c:pt>
                  <c:pt idx="2">
                    <c:v>30</c:v>
                  </c:pt>
                  <c:pt idx="3">
                    <c:v>40</c:v>
                  </c:pt>
                  <c:pt idx="4">
                    <c:v>50</c:v>
                  </c:pt>
                  <c:pt idx="5">
                    <c:v>60</c:v>
                  </c:pt>
                  <c:pt idx="6">
                    <c:v>70</c:v>
                  </c:pt>
                  <c:pt idx="7">
                    <c:v>80</c:v>
                  </c:pt>
                  <c:pt idx="8">
                    <c:v>90</c:v>
                  </c:pt>
                  <c:pt idx="9">
                    <c:v>100</c:v>
                  </c:pt>
                </c15:dlblRangeCache>
              </c15:datalabelsRange>
            </c:ext>
            <c:ext xmlns:c16="http://schemas.microsoft.com/office/drawing/2014/chart" uri="{C3380CC4-5D6E-409C-BE32-E72D297353CC}">
              <c16:uniqueId val="{00000016-323F-484C-8561-0BA741C7FB34}"/>
            </c:ext>
          </c:extLst>
        </c:ser>
        <c:dLbls>
          <c:showLegendKey val="0"/>
          <c:showVal val="0"/>
          <c:showCatName val="0"/>
          <c:showSerName val="0"/>
          <c:showPercent val="0"/>
          <c:showBubbleSize val="0"/>
          <c:showLeaderLines val="0"/>
        </c:dLbls>
        <c:firstSliceAng val="270"/>
        <c:holeSize val="66"/>
      </c:doughnutChart>
      <c:scatterChart>
        <c:scatterStyle val="smoothMarker"/>
        <c:varyColors val="0"/>
        <c:ser>
          <c:idx val="1"/>
          <c:order val="1"/>
          <c:tx>
            <c:v>puntos</c:v>
          </c:tx>
          <c:spPr>
            <a:ln w="28575" cap="rnd">
              <a:solidFill>
                <a:schemeClr val="tx1"/>
              </a:solidFill>
              <a:round/>
              <a:headEnd type="stealth" w="sm" len="sm"/>
              <a:tailEnd type="stealth"/>
            </a:ln>
            <a:effectLst>
              <a:outerShdw blurRad="50800" dist="50800" dir="5400000" algn="ctr" rotWithShape="0">
                <a:srgbClr val="00B050"/>
              </a:outerShdw>
            </a:effectLst>
          </c:spPr>
          <c:marker>
            <c:symbol val="circle"/>
            <c:size val="5"/>
            <c:spPr>
              <a:solidFill>
                <a:schemeClr val="accent2"/>
              </a:solidFill>
              <a:ln w="9525">
                <a:solidFill>
                  <a:schemeClr val="accent2"/>
                </a:solidFill>
              </a:ln>
              <a:effectLst>
                <a:outerShdw blurRad="50800" dist="50800" dir="5400000" algn="ctr" rotWithShape="0">
                  <a:srgbClr val="00B050"/>
                </a:outerShdw>
              </a:effectLst>
            </c:spPr>
          </c:marker>
          <c:xVal>
            <c:numRef>
              <c:f>'ACANCES 2022'!$C$29:$C$30</c:f>
              <c:numCache>
                <c:formatCode>General</c:formatCode>
                <c:ptCount val="2"/>
                <c:pt idx="0">
                  <c:v>0</c:v>
                </c:pt>
                <c:pt idx="1">
                  <c:v>-1</c:v>
                </c:pt>
              </c:numCache>
            </c:numRef>
          </c:xVal>
          <c:yVal>
            <c:numRef>
              <c:f>'ACANCES 2022'!$D$29:$D$30</c:f>
              <c:numCache>
                <c:formatCode>General</c:formatCode>
                <c:ptCount val="2"/>
                <c:pt idx="0">
                  <c:v>0</c:v>
                </c:pt>
                <c:pt idx="1">
                  <c:v>0</c:v>
                </c:pt>
              </c:numCache>
            </c:numRef>
          </c:yVal>
          <c:smooth val="1"/>
          <c:extLst>
            <c:ext xmlns:c16="http://schemas.microsoft.com/office/drawing/2014/chart" uri="{C3380CC4-5D6E-409C-BE32-E72D297353CC}">
              <c16:uniqueId val="{00000017-323F-484C-8561-0BA741C7FB34}"/>
            </c:ext>
          </c:extLst>
        </c:ser>
        <c:dLbls>
          <c:showLegendKey val="0"/>
          <c:showVal val="0"/>
          <c:showCatName val="0"/>
          <c:showSerName val="0"/>
          <c:showPercent val="0"/>
          <c:showBubbleSize val="0"/>
        </c:dLbls>
        <c:axId val="1397928799"/>
        <c:axId val="1397915071"/>
      </c:scatterChart>
      <c:valAx>
        <c:axId val="1397915071"/>
        <c:scaling>
          <c:orientation val="minMax"/>
          <c:max val="1"/>
          <c:min val="-1"/>
        </c:scaling>
        <c:delete val="1"/>
        <c:axPos val="l"/>
        <c:numFmt formatCode="General" sourceLinked="1"/>
        <c:majorTickMark val="out"/>
        <c:minorTickMark val="none"/>
        <c:tickLblPos val="nextTo"/>
        <c:crossAx val="1397928799"/>
        <c:crosses val="autoZero"/>
        <c:crossBetween val="midCat"/>
      </c:valAx>
      <c:valAx>
        <c:axId val="1397928799"/>
        <c:scaling>
          <c:orientation val="minMax"/>
          <c:max val="1"/>
          <c:min val="-1"/>
        </c:scaling>
        <c:delete val="1"/>
        <c:axPos val="b"/>
        <c:numFmt formatCode="General" sourceLinked="1"/>
        <c:majorTickMark val="out"/>
        <c:minorTickMark val="none"/>
        <c:tickLblPos val="nextTo"/>
        <c:crossAx val="1397915071"/>
        <c:crosses val="autoZero"/>
        <c:crossBetween val="midCat"/>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b="1" i="0" u="none" strike="noStrike" kern="1200" cap="none" spc="20" baseline="0">
                <a:solidFill>
                  <a:sysClr val="windowText" lastClr="000000"/>
                </a:solidFill>
                <a:latin typeface="+mn-lt"/>
                <a:ea typeface="+mn-ea"/>
                <a:cs typeface="+mn-cs"/>
              </a:rPr>
              <a:t>AVANCE GENERAL </a:t>
            </a:r>
          </a:p>
          <a:p>
            <a:pPr>
              <a:defRPr/>
            </a:pPr>
            <a:r>
              <a:rPr lang="en-US" sz="1400" b="1" i="0" u="none" strike="noStrike" kern="1200" cap="none" spc="20" baseline="0">
                <a:solidFill>
                  <a:sysClr val="windowText" lastClr="000000"/>
                </a:solidFill>
                <a:latin typeface="+mn-lt"/>
                <a:ea typeface="+mn-ea"/>
                <a:cs typeface="+mn-cs"/>
              </a:rPr>
              <a:t>POR ESTRATEGIA</a:t>
            </a:r>
            <a:r>
              <a:rPr lang="en-US"/>
              <a:t> </a:t>
            </a:r>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w="25400">
          <a:noFill/>
        </a:ln>
        <a:effectLst/>
        <a:sp3d/>
      </c:spPr>
    </c:sideWall>
    <c:backWall>
      <c:thickness val="0"/>
      <c:spPr>
        <a:noFill/>
        <a:ln w="25400">
          <a:noFill/>
        </a:ln>
        <a:effectLst/>
        <a:sp3d/>
      </c:spPr>
    </c:backWall>
    <c:plotArea>
      <c:layout/>
      <c:bar3DChart>
        <c:barDir val="bar"/>
        <c:grouping val="clustered"/>
        <c:varyColors val="0"/>
        <c:ser>
          <c:idx val="0"/>
          <c:order val="0"/>
          <c:tx>
            <c:strRef>
              <c:f>'ACANCES 2022'!$H$3</c:f>
              <c:strCache>
                <c:ptCount val="1"/>
                <c:pt idx="0">
                  <c:v>AVANCE GENERAL </c:v>
                </c:pt>
              </c:strCache>
            </c:strRef>
          </c:tx>
          <c:spPr>
            <a:solidFill>
              <a:schemeClr val="tx2">
                <a:lumMod val="7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dLbl>
              <c:idx val="0"/>
              <c:layout>
                <c:manualLayout>
                  <c:x val="3.2615318370663629E-2"/>
                  <c:y val="-3.298683091684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E21-4CAD-BE96-81D4B64C892C}"/>
                </c:ext>
              </c:extLst>
            </c:dLbl>
            <c:dLbl>
              <c:idx val="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E21-4CAD-BE96-81D4B64C892C}"/>
                </c:ext>
              </c:extLst>
            </c:dLbl>
            <c:dLbl>
              <c:idx val="2"/>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E21-4CAD-BE96-81D4B64C892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'ACANCES 2022'!$J$4:$J$6</c:f>
              <c:strCache>
                <c:ptCount val="3"/>
                <c:pt idx="0">
                  <c:v>Lo Intitucional </c:v>
                </c:pt>
                <c:pt idx="1">
                  <c:v>Lo Social </c:v>
                </c:pt>
                <c:pt idx="2">
                  <c:v>Lo ambiental </c:v>
                </c:pt>
              </c:strCache>
            </c:strRef>
          </c:cat>
          <c:val>
            <c:numRef>
              <c:f>'ACANCES 2022'!$H$4:$H$6</c:f>
              <c:numCache>
                <c:formatCode>0%</c:formatCode>
                <c:ptCount val="3"/>
                <c:pt idx="0">
                  <c:v>0</c:v>
                </c:pt>
                <c:pt idx="1">
                  <c:v>0</c:v>
                </c:pt>
                <c:pt idx="2">
                  <c:v>0</c:v>
                </c:pt>
              </c:numCache>
            </c:numRef>
          </c:val>
          <c:extLst>
            <c:ext xmlns:c16="http://schemas.microsoft.com/office/drawing/2014/chart" uri="{C3380CC4-5D6E-409C-BE32-E72D297353CC}">
              <c16:uniqueId val="{00000000-4E21-4CAD-BE96-81D4B64C892C}"/>
            </c:ext>
          </c:extLst>
        </c:ser>
        <c:dLbls>
          <c:showLegendKey val="0"/>
          <c:showVal val="0"/>
          <c:showCatName val="0"/>
          <c:showSerName val="0"/>
          <c:showPercent val="0"/>
          <c:showBubbleSize val="0"/>
        </c:dLbls>
        <c:gapWidth val="65"/>
        <c:shape val="box"/>
        <c:axId val="1749856367"/>
        <c:axId val="1749871759"/>
        <c:axId val="0"/>
      </c:bar3DChart>
      <c:catAx>
        <c:axId val="1749856367"/>
        <c:scaling>
          <c:orientation val="minMax"/>
        </c:scaling>
        <c:delete val="0"/>
        <c:axPos val="l"/>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ysClr val="windowText" lastClr="000000"/>
                </a:solidFill>
                <a:latin typeface="+mn-lt"/>
                <a:ea typeface="+mn-ea"/>
                <a:cs typeface="+mn-cs"/>
              </a:defRPr>
            </a:pPr>
            <a:endParaRPr lang="es-CO"/>
          </a:p>
        </c:txPr>
        <c:crossAx val="1749871759"/>
        <c:crosses val="autoZero"/>
        <c:auto val="1"/>
        <c:lblAlgn val="ctr"/>
        <c:lblOffset val="100"/>
        <c:noMultiLvlLbl val="0"/>
      </c:catAx>
      <c:valAx>
        <c:axId val="1749871759"/>
        <c:scaling>
          <c:orientation val="minMax"/>
        </c:scaling>
        <c:delete val="1"/>
        <c:axPos val="b"/>
        <c:majorGridlines>
          <c:spPr>
            <a:ln w="9525" cap="flat" cmpd="sng" algn="ctr">
              <a:noFill/>
              <a:round/>
            </a:ln>
            <a:effectLst/>
          </c:spPr>
        </c:majorGridlines>
        <c:numFmt formatCode="0%" sourceLinked="1"/>
        <c:majorTickMark val="none"/>
        <c:minorTickMark val="none"/>
        <c:tickLblPos val="nextTo"/>
        <c:crossAx val="1749856367"/>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b="1" i="0" u="none" strike="noStrike" kern="1200" cap="none" spc="20" baseline="0">
                <a:solidFill>
                  <a:sysClr val="windowText" lastClr="000000"/>
                </a:solidFill>
                <a:latin typeface="+mn-lt"/>
                <a:ea typeface="+mn-ea"/>
                <a:cs typeface="+mn-cs"/>
              </a:rPr>
              <a:t>N° DE METAS POR DEPENDENCIA</a:t>
            </a:r>
          </a:p>
        </c:rich>
      </c:tx>
      <c:layout>
        <c:manualLayout>
          <c:xMode val="edge"/>
          <c:yMode val="edge"/>
          <c:x val="0.42991364500435358"/>
          <c:y val="7.000501594443688E-3"/>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manualLayout>
          <c:layoutTarget val="inner"/>
          <c:xMode val="edge"/>
          <c:yMode val="edge"/>
          <c:x val="9.0411573711974516E-2"/>
          <c:y val="5.436090574492964E-2"/>
          <c:w val="0.47108818106314165"/>
          <c:h val="0.75056391726903904"/>
        </c:manualLayout>
      </c:layout>
      <c:doughnutChart>
        <c:varyColors val="1"/>
        <c:ser>
          <c:idx val="0"/>
          <c:order val="0"/>
          <c:tx>
            <c:strRef>
              <c:f>'ACANCES 2022'!$E$2</c:f>
              <c:strCache>
                <c:ptCount val="1"/>
                <c:pt idx="0">
                  <c:v>N° DE METAS A CARGO </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AAD0-4427-9F92-0A20FC35B5E9}"/>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AAD0-4427-9F92-0A20FC35B5E9}"/>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AAD0-4427-9F92-0A20FC35B5E9}"/>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AAD0-4427-9F92-0A20FC35B5E9}"/>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AAD0-4427-9F92-0A20FC35B5E9}"/>
              </c:ext>
            </c:extLst>
          </c:dPt>
          <c:dLbls>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ext>
            </c:extLst>
          </c:dLbls>
          <c:cat>
            <c:strRef>
              <c:f>'ACANCES 2022'!$D$3:$D$7</c:f>
              <c:strCache>
                <c:ptCount val="5"/>
                <c:pt idx="0">
                  <c:v>Rectoría</c:v>
                </c:pt>
                <c:pt idx="1">
                  <c:v>Vicerrectoría Administrativa y Financiera</c:v>
                </c:pt>
                <c:pt idx="2">
                  <c:v>Vicerrectoría Académica</c:v>
                </c:pt>
                <c:pt idx="3">
                  <c:v>Vicerrectoría de Investigación, Extensión y Transferencia</c:v>
                </c:pt>
                <c:pt idx="4">
                  <c:v>Sin obligatorio avance 2022</c:v>
                </c:pt>
              </c:strCache>
            </c:strRef>
          </c:cat>
          <c:val>
            <c:numRef>
              <c:f>'ACANCES 2022'!$E$3:$E$7</c:f>
              <c:numCache>
                <c:formatCode>General</c:formatCode>
                <c:ptCount val="5"/>
                <c:pt idx="0">
                  <c:v>12</c:v>
                </c:pt>
                <c:pt idx="1">
                  <c:v>22</c:v>
                </c:pt>
                <c:pt idx="2">
                  <c:v>17</c:v>
                </c:pt>
                <c:pt idx="3">
                  <c:v>14</c:v>
                </c:pt>
                <c:pt idx="4">
                  <c:v>6</c:v>
                </c:pt>
              </c:numCache>
            </c:numRef>
          </c:val>
          <c:extLst>
            <c:ext xmlns:c16="http://schemas.microsoft.com/office/drawing/2014/chart" uri="{C3380CC4-5D6E-409C-BE32-E72D297353CC}">
              <c16:uniqueId val="{0000000A-AAD0-4427-9F92-0A20FC35B5E9}"/>
            </c:ext>
          </c:extLst>
        </c:ser>
        <c:dLbls>
          <c:showLegendKey val="0"/>
          <c:showVal val="0"/>
          <c:showCatName val="0"/>
          <c:showSerName val="0"/>
          <c:showPercent val="1"/>
          <c:showBubbleSize val="0"/>
          <c:showLeaderLines val="0"/>
        </c:dLbls>
        <c:firstSliceAng val="0"/>
        <c:holeSize val="50"/>
      </c:doughnutChart>
      <c:spPr>
        <a:noFill/>
        <a:ln>
          <a:noFill/>
        </a:ln>
        <a:effectLst/>
      </c:spPr>
    </c:plotArea>
    <c:legend>
      <c:legendPos val="r"/>
      <c:layout>
        <c:manualLayout>
          <c:xMode val="edge"/>
          <c:yMode val="edge"/>
          <c:x val="0.55260027605491313"/>
          <c:y val="0.10559482873524496"/>
          <c:w val="0.43958452689443145"/>
          <c:h val="0.8564816660707761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sz="1400" b="1" i="0" u="none" strike="noStrike" kern="1200" cap="none" spc="20" baseline="0">
                <a:solidFill>
                  <a:sysClr val="windowText" lastClr="000000"/>
                </a:solidFill>
                <a:latin typeface="+mn-lt"/>
                <a:ea typeface="+mn-ea"/>
                <a:cs typeface="+mn-cs"/>
              </a:rPr>
              <a:t>METAS ESTRATÉGICAS </a:t>
            </a:r>
          </a:p>
        </c:rich>
      </c:tx>
      <c:layout>
        <c:manualLayout>
          <c:xMode val="edge"/>
          <c:yMode val="edge"/>
          <c:x val="0.22459766893647662"/>
          <c:y val="2.2514305447859172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pieChart>
        <c:varyColors val="1"/>
        <c:ser>
          <c:idx val="0"/>
          <c:order val="0"/>
          <c:tx>
            <c:strRef>
              <c:f>'ACANCES 2022'!$K$3</c:f>
              <c:strCache>
                <c:ptCount val="1"/>
                <c:pt idx="0">
                  <c:v>METAS ESTRATÉGICAS </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1FA2-41A4-AC67-15CB30DB7311}"/>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1FA2-41A4-AC67-15CB30DB7311}"/>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1FA2-41A4-AC67-15CB30DB7311}"/>
              </c:ext>
            </c:extLst>
          </c:dPt>
          <c:dLbls>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es-CO"/>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layout/>
              </c:ext>
            </c:extLst>
          </c:dLbls>
          <c:cat>
            <c:strRef>
              <c:f>'ACANCES 2022'!$J$4:$J$6</c:f>
              <c:strCache>
                <c:ptCount val="3"/>
                <c:pt idx="0">
                  <c:v>Lo Intitucional </c:v>
                </c:pt>
                <c:pt idx="1">
                  <c:v>Lo Social </c:v>
                </c:pt>
                <c:pt idx="2">
                  <c:v>Lo ambiental </c:v>
                </c:pt>
              </c:strCache>
            </c:strRef>
          </c:cat>
          <c:val>
            <c:numRef>
              <c:f>'ACANCES 2022'!$K$4:$K$6</c:f>
              <c:numCache>
                <c:formatCode>General</c:formatCode>
                <c:ptCount val="3"/>
                <c:pt idx="0">
                  <c:v>26</c:v>
                </c:pt>
                <c:pt idx="1">
                  <c:v>23</c:v>
                </c:pt>
                <c:pt idx="2">
                  <c:v>16</c:v>
                </c:pt>
              </c:numCache>
            </c:numRef>
          </c:val>
          <c:extLst>
            <c:ext xmlns:c16="http://schemas.microsoft.com/office/drawing/2014/chart" uri="{C3380CC4-5D6E-409C-BE32-E72D297353CC}">
              <c16:uniqueId val="{00000006-1FA2-41A4-AC67-15CB30DB7311}"/>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0724868766404194"/>
          <c:y val="0.32746391076115483"/>
          <c:w val="0.25386242344706911"/>
          <c:h val="0.2847714348206474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3.xml"/><Relationship Id="rId7" Type="http://schemas.openxmlformats.org/officeDocument/2006/relationships/chart" Target="../charts/chart7.xml"/><Relationship Id="rId2" Type="http://schemas.microsoft.com/office/2007/relationships/hdphoto" Target="../media/hdphoto1.wdp"/><Relationship Id="rId1" Type="http://schemas.openxmlformats.org/officeDocument/2006/relationships/image" Target="../media/image4.png"/><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57501</xdr:colOff>
      <xdr:row>0</xdr:row>
      <xdr:rowOff>0</xdr:rowOff>
    </xdr:from>
    <xdr:to>
      <xdr:col>0</xdr:col>
      <xdr:colOff>1767840</xdr:colOff>
      <xdr:row>4</xdr:row>
      <xdr:rowOff>54093</xdr:rowOff>
    </xdr:to>
    <xdr:pic>
      <xdr:nvPicPr>
        <xdr:cNvPr id="2" name="Imagen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501" y="0"/>
          <a:ext cx="1710339" cy="6125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290987</xdr:colOff>
      <xdr:row>0</xdr:row>
      <xdr:rowOff>0</xdr:rowOff>
    </xdr:from>
    <xdr:ext cx="2932883" cy="842441"/>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71509" y="0"/>
          <a:ext cx="2932883" cy="842441"/>
        </a:xfrm>
        <a:prstGeom prst="rect">
          <a:avLst/>
        </a:prstGeom>
      </xdr:spPr>
    </xdr:pic>
    <xdr:clientData/>
  </xdr:oneCellAnchor>
  <xdr:oneCellAnchor>
    <xdr:from>
      <xdr:col>3</xdr:col>
      <xdr:colOff>54212</xdr:colOff>
      <xdr:row>3</xdr:row>
      <xdr:rowOff>57979</xdr:rowOff>
    </xdr:from>
    <xdr:ext cx="3186545" cy="784412"/>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flipH="1">
          <a:off x="54212" y="57979"/>
          <a:ext cx="3186545" cy="784412"/>
        </a:xfrm>
        <a:prstGeom prst="rect">
          <a:avLst/>
        </a:prstGeom>
      </xdr:spPr>
    </xdr:pic>
    <xdr:clientData/>
  </xdr:oneCellAnchor>
  <xdr:oneCellAnchor>
    <xdr:from>
      <xdr:col>24</xdr:col>
      <xdr:colOff>1282420</xdr:colOff>
      <xdr:row>0</xdr:row>
      <xdr:rowOff>102921</xdr:rowOff>
    </xdr:from>
    <xdr:ext cx="2991708" cy="849580"/>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170495" y="1760271"/>
          <a:ext cx="2991708" cy="849580"/>
        </a:xfrm>
        <a:prstGeom prst="rect">
          <a:avLst/>
        </a:prstGeom>
      </xdr:spPr>
    </xdr:pic>
    <xdr:clientData/>
  </xdr:oneCellAnchor>
  <xdr:twoCellAnchor>
    <xdr:from>
      <xdr:col>7</xdr:col>
      <xdr:colOff>1143000</xdr:colOff>
      <xdr:row>3</xdr:row>
      <xdr:rowOff>66260</xdr:rowOff>
    </xdr:from>
    <xdr:to>
      <xdr:col>13</xdr:col>
      <xdr:colOff>33131</xdr:colOff>
      <xdr:row>3</xdr:row>
      <xdr:rowOff>662608</xdr:rowOff>
    </xdr:to>
    <xdr:sp macro="" textlink="">
      <xdr:nvSpPr>
        <xdr:cNvPr id="2" name="CuadroTexto 1"/>
        <xdr:cNvSpPr txBox="1"/>
      </xdr:nvSpPr>
      <xdr:spPr>
        <a:xfrm>
          <a:off x="6717196" y="66260"/>
          <a:ext cx="3752022" cy="5963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50" b="1"/>
            <a:t>SEGUIMIENTO PDI 2021 - 2024, VIGENCIA 2022</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47625</xdr:colOff>
      <xdr:row>0</xdr:row>
      <xdr:rowOff>167987</xdr:rowOff>
    </xdr:from>
    <xdr:ext cx="2762226" cy="727362"/>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flipH="1">
          <a:off x="47625" y="167987"/>
          <a:ext cx="2762226" cy="727362"/>
        </a:xfrm>
        <a:prstGeom prst="rect">
          <a:avLst/>
        </a:prstGeom>
      </xdr:spPr>
    </xdr:pic>
    <xdr:clientData/>
  </xdr:oneCellAnchor>
  <xdr:oneCellAnchor>
    <xdr:from>
      <xdr:col>3</xdr:col>
      <xdr:colOff>534700</xdr:colOff>
      <xdr:row>0</xdr:row>
      <xdr:rowOff>15523</xdr:rowOff>
    </xdr:from>
    <xdr:ext cx="3022024" cy="727427"/>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3575" y="15523"/>
          <a:ext cx="3022024" cy="727427"/>
        </a:xfrm>
        <a:prstGeom prst="rect">
          <a:avLst/>
        </a:prstGeom>
      </xdr:spPr>
    </xdr:pic>
    <xdr:clientData/>
  </xdr:oneCellAnchor>
  <xdr:oneCellAnchor>
    <xdr:from>
      <xdr:col>19</xdr:col>
      <xdr:colOff>1060431</xdr:colOff>
      <xdr:row>0</xdr:row>
      <xdr:rowOff>92222</xdr:rowOff>
    </xdr:from>
    <xdr:ext cx="2600633" cy="745977"/>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67556" y="92222"/>
          <a:ext cx="2600633" cy="745977"/>
        </a:xfrm>
        <a:prstGeom prst="rect">
          <a:avLst/>
        </a:prstGeom>
      </xdr:spPr>
    </xdr:pic>
    <xdr:clientData/>
  </xdr:oneCellAnchor>
  <xdr:twoCellAnchor>
    <xdr:from>
      <xdr:col>4</xdr:col>
      <xdr:colOff>1381125</xdr:colOff>
      <xdr:row>0</xdr:row>
      <xdr:rowOff>133350</xdr:rowOff>
    </xdr:from>
    <xdr:to>
      <xdr:col>10</xdr:col>
      <xdr:colOff>342072</xdr:colOff>
      <xdr:row>0</xdr:row>
      <xdr:rowOff>729698</xdr:rowOff>
    </xdr:to>
    <xdr:sp macro="" textlink="">
      <xdr:nvSpPr>
        <xdr:cNvPr id="5" name="CuadroTexto 4"/>
        <xdr:cNvSpPr txBox="1"/>
      </xdr:nvSpPr>
      <xdr:spPr>
        <a:xfrm>
          <a:off x="6677025" y="133350"/>
          <a:ext cx="3752022" cy="5963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t>SEGUIMIENTO PDI 2021 - 2024, VIGENCIA 2022</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5</xdr:col>
      <xdr:colOff>1358715</xdr:colOff>
      <xdr:row>0</xdr:row>
      <xdr:rowOff>0</xdr:rowOff>
    </xdr:from>
    <xdr:ext cx="2932883" cy="842441"/>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25590" y="0"/>
          <a:ext cx="2932883" cy="842441"/>
        </a:xfrm>
        <a:prstGeom prst="rect">
          <a:avLst/>
        </a:prstGeom>
      </xdr:spPr>
    </xdr:pic>
    <xdr:clientData/>
  </xdr:oneCellAnchor>
  <xdr:oneCellAnchor>
    <xdr:from>
      <xdr:col>3</xdr:col>
      <xdr:colOff>108857</xdr:colOff>
      <xdr:row>0</xdr:row>
      <xdr:rowOff>54429</xdr:rowOff>
    </xdr:from>
    <xdr:ext cx="2762226" cy="784412"/>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flipH="1">
          <a:off x="108857" y="54429"/>
          <a:ext cx="2762226" cy="784412"/>
        </a:xfrm>
        <a:prstGeom prst="rect">
          <a:avLst/>
        </a:prstGeom>
      </xdr:spPr>
    </xdr:pic>
    <xdr:clientData/>
  </xdr:oneCellAnchor>
  <xdr:oneCellAnchor>
    <xdr:from>
      <xdr:col>24</xdr:col>
      <xdr:colOff>232522</xdr:colOff>
      <xdr:row>0</xdr:row>
      <xdr:rowOff>71437</xdr:rowOff>
    </xdr:from>
    <xdr:ext cx="2796988" cy="738188"/>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587447" y="71437"/>
          <a:ext cx="2796988" cy="738188"/>
        </a:xfrm>
        <a:prstGeom prst="rect">
          <a:avLst/>
        </a:prstGeom>
      </xdr:spPr>
    </xdr:pic>
    <xdr:clientData/>
  </xdr:oneCellAnchor>
  <xdr:twoCellAnchor>
    <xdr:from>
      <xdr:col>7</xdr:col>
      <xdr:colOff>1590675</xdr:colOff>
      <xdr:row>0</xdr:row>
      <xdr:rowOff>152400</xdr:rowOff>
    </xdr:from>
    <xdr:to>
      <xdr:col>14</xdr:col>
      <xdr:colOff>599247</xdr:colOff>
      <xdr:row>1</xdr:row>
      <xdr:rowOff>539198</xdr:rowOff>
    </xdr:to>
    <xdr:sp macro="" textlink="">
      <xdr:nvSpPr>
        <xdr:cNvPr id="5" name="CuadroTexto 4"/>
        <xdr:cNvSpPr txBox="1"/>
      </xdr:nvSpPr>
      <xdr:spPr>
        <a:xfrm>
          <a:off x="6553200" y="152400"/>
          <a:ext cx="3752022" cy="5963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t>SEGUIMIENTO PDI 2021 - 2024, VIGENCIA 2022</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67235</xdr:colOff>
      <xdr:row>3</xdr:row>
      <xdr:rowOff>190501</xdr:rowOff>
    </xdr:from>
    <xdr:to>
      <xdr:col>12</xdr:col>
      <xdr:colOff>638735</xdr:colOff>
      <xdr:row>3</xdr:row>
      <xdr:rowOff>537883</xdr:rowOff>
    </xdr:to>
    <xdr:sp macro="" textlink="">
      <xdr:nvSpPr>
        <xdr:cNvPr id="7" name="CuadroTexto 6">
          <a:extLst>
            <a:ext uri="{FF2B5EF4-FFF2-40B4-BE49-F238E27FC236}">
              <a16:creationId xmlns:a16="http://schemas.microsoft.com/office/drawing/2014/main" id="{00000000-0008-0000-0500-000007000000}"/>
            </a:ext>
          </a:extLst>
        </xdr:cNvPr>
        <xdr:cNvSpPr txBox="1"/>
      </xdr:nvSpPr>
      <xdr:spPr>
        <a:xfrm>
          <a:off x="11239500" y="1580030"/>
          <a:ext cx="571500" cy="3473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 98</a:t>
          </a:r>
        </a:p>
      </xdr:txBody>
    </xdr:sp>
    <xdr:clientData/>
  </xdr:twoCellAnchor>
  <xdr:twoCellAnchor>
    <xdr:from>
      <xdr:col>6</xdr:col>
      <xdr:colOff>0</xdr:colOff>
      <xdr:row>0</xdr:row>
      <xdr:rowOff>0</xdr:rowOff>
    </xdr:from>
    <xdr:to>
      <xdr:col>13</xdr:col>
      <xdr:colOff>784011</xdr:colOff>
      <xdr:row>7</xdr:row>
      <xdr:rowOff>130988</xdr:rowOff>
    </xdr:to>
    <xdr:graphicFrame macro="">
      <xdr:nvGraphicFramePr>
        <xdr:cNvPr id="2" name="Gráfico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655909</xdr:colOff>
      <xdr:row>1</xdr:row>
      <xdr:rowOff>13780</xdr:rowOff>
    </xdr:from>
    <xdr:to>
      <xdr:col>24</xdr:col>
      <xdr:colOff>657509</xdr:colOff>
      <xdr:row>5</xdr:row>
      <xdr:rowOff>523734</xdr:rowOff>
    </xdr:to>
    <xdr:graphicFrame macro="">
      <xdr:nvGraphicFramePr>
        <xdr:cNvPr id="3" name="Gráfico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12</xdr:col>
      <xdr:colOff>556964</xdr:colOff>
      <xdr:row>5</xdr:row>
      <xdr:rowOff>151946</xdr:rowOff>
    </xdr:from>
    <xdr:to>
      <xdr:col>14</xdr:col>
      <xdr:colOff>158750</xdr:colOff>
      <xdr:row>12</xdr:row>
      <xdr:rowOff>127000</xdr:rowOff>
    </xdr:to>
    <xdr:sp macro="" textlink="">
      <xdr:nvSpPr>
        <xdr:cNvPr id="9" name="Elipse 8">
          <a:extLst>
            <a:ext uri="{FF2B5EF4-FFF2-40B4-BE49-F238E27FC236}">
              <a16:creationId xmlns:a16="http://schemas.microsoft.com/office/drawing/2014/main" id="{00000000-0008-0000-0600-000009000000}"/>
            </a:ext>
          </a:extLst>
        </xdr:cNvPr>
        <xdr:cNvSpPr/>
      </xdr:nvSpPr>
      <xdr:spPr>
        <a:xfrm>
          <a:off x="9700964" y="945696"/>
          <a:ext cx="1125786" cy="1086304"/>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611189</xdr:colOff>
      <xdr:row>40</xdr:row>
      <xdr:rowOff>33337</xdr:rowOff>
    </xdr:from>
    <xdr:to>
      <xdr:col>16</xdr:col>
      <xdr:colOff>714375</xdr:colOff>
      <xdr:row>50</xdr:row>
      <xdr:rowOff>63500</xdr:rowOff>
    </xdr:to>
    <xdr:sp macro="" textlink="">
      <xdr:nvSpPr>
        <xdr:cNvPr id="26" name="Elipse 25">
          <a:extLst>
            <a:ext uri="{FF2B5EF4-FFF2-40B4-BE49-F238E27FC236}">
              <a16:creationId xmlns:a16="http://schemas.microsoft.com/office/drawing/2014/main" id="{00000000-0008-0000-0600-00001A000000}"/>
            </a:ext>
          </a:extLst>
        </xdr:cNvPr>
        <xdr:cNvSpPr/>
      </xdr:nvSpPr>
      <xdr:spPr>
        <a:xfrm>
          <a:off x="11279189" y="6383337"/>
          <a:ext cx="1627186" cy="1617663"/>
        </a:xfrm>
        <a:prstGeom prst="ellipse">
          <a:avLst/>
        </a:prstGeom>
        <a:solidFill>
          <a:schemeClr val="accent6">
            <a:lumMod val="20000"/>
            <a:lumOff val="80000"/>
          </a:schemeClr>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8</xdr:col>
      <xdr:colOff>760414</xdr:colOff>
      <xdr:row>41</xdr:row>
      <xdr:rowOff>119062</xdr:rowOff>
    </xdr:from>
    <xdr:to>
      <xdr:col>11</xdr:col>
      <xdr:colOff>674688</xdr:colOff>
      <xdr:row>54</xdr:row>
      <xdr:rowOff>147638</xdr:rowOff>
    </xdr:to>
    <xdr:sp macro="" textlink="">
      <xdr:nvSpPr>
        <xdr:cNvPr id="25" name="Elipse 24">
          <a:extLst>
            <a:ext uri="{FF2B5EF4-FFF2-40B4-BE49-F238E27FC236}">
              <a16:creationId xmlns:a16="http://schemas.microsoft.com/office/drawing/2014/main" id="{00000000-0008-0000-0600-000019000000}"/>
            </a:ext>
          </a:extLst>
        </xdr:cNvPr>
        <xdr:cNvSpPr/>
      </xdr:nvSpPr>
      <xdr:spPr>
        <a:xfrm>
          <a:off x="6856414" y="6627812"/>
          <a:ext cx="2200274" cy="2092326"/>
        </a:xfrm>
        <a:prstGeom prst="ellipse">
          <a:avLst/>
        </a:prstGeom>
        <a:solidFill>
          <a:schemeClr val="accent6">
            <a:lumMod val="20000"/>
            <a:lumOff val="80000"/>
          </a:schemeClr>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2</xdr:col>
      <xdr:colOff>539946</xdr:colOff>
      <xdr:row>24</xdr:row>
      <xdr:rowOff>11651</xdr:rowOff>
    </xdr:from>
    <xdr:to>
      <xdr:col>10</xdr:col>
      <xdr:colOff>25743</xdr:colOff>
      <xdr:row>57</xdr:row>
      <xdr:rowOff>102973</xdr:rowOff>
    </xdr:to>
    <xdr:sp macro="" textlink="">
      <xdr:nvSpPr>
        <xdr:cNvPr id="22" name="Elipse 21">
          <a:extLst>
            <a:ext uri="{FF2B5EF4-FFF2-40B4-BE49-F238E27FC236}">
              <a16:creationId xmlns:a16="http://schemas.microsoft.com/office/drawing/2014/main" id="{00000000-0008-0000-0600-000016000000}"/>
            </a:ext>
          </a:extLst>
        </xdr:cNvPr>
        <xdr:cNvSpPr/>
      </xdr:nvSpPr>
      <xdr:spPr>
        <a:xfrm>
          <a:off x="2084541" y="3718678"/>
          <a:ext cx="5664175" cy="5188484"/>
        </a:xfrm>
        <a:prstGeom prst="ellipse">
          <a:avLst/>
        </a:prstGeom>
        <a:solidFill>
          <a:srgbClr val="00FF00"/>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2</xdr:col>
      <xdr:colOff>606974</xdr:colOff>
      <xdr:row>24</xdr:row>
      <xdr:rowOff>114636</xdr:rowOff>
    </xdr:from>
    <xdr:to>
      <xdr:col>9</xdr:col>
      <xdr:colOff>695067</xdr:colOff>
      <xdr:row>57</xdr:row>
      <xdr:rowOff>77229</xdr:rowOff>
    </xdr:to>
    <xdr:sp macro="" textlink="">
      <xdr:nvSpPr>
        <xdr:cNvPr id="21" name="Elipse 20">
          <a:extLst>
            <a:ext uri="{FF2B5EF4-FFF2-40B4-BE49-F238E27FC236}">
              <a16:creationId xmlns:a16="http://schemas.microsoft.com/office/drawing/2014/main" id="{00000000-0008-0000-0600-000015000000}"/>
            </a:ext>
          </a:extLst>
        </xdr:cNvPr>
        <xdr:cNvSpPr/>
      </xdr:nvSpPr>
      <xdr:spPr>
        <a:xfrm>
          <a:off x="2151569" y="3821663"/>
          <a:ext cx="5494174" cy="5059755"/>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419574</xdr:colOff>
      <xdr:row>20</xdr:row>
      <xdr:rowOff>15767</xdr:rowOff>
    </xdr:from>
    <xdr:to>
      <xdr:col>15</xdr:col>
      <xdr:colOff>730250</xdr:colOff>
      <xdr:row>48</xdr:row>
      <xdr:rowOff>63500</xdr:rowOff>
    </xdr:to>
    <xdr:sp macro="" textlink="">
      <xdr:nvSpPr>
        <xdr:cNvPr id="20" name="Elipse 19">
          <a:extLst>
            <a:ext uri="{FF2B5EF4-FFF2-40B4-BE49-F238E27FC236}">
              <a16:creationId xmlns:a16="http://schemas.microsoft.com/office/drawing/2014/main" id="{00000000-0008-0000-0600-000014000000}"/>
            </a:ext>
          </a:extLst>
        </xdr:cNvPr>
        <xdr:cNvSpPr/>
      </xdr:nvSpPr>
      <xdr:spPr>
        <a:xfrm>
          <a:off x="7277574" y="3190767"/>
          <a:ext cx="4882676" cy="4492733"/>
        </a:xfrm>
        <a:prstGeom prst="ellipse">
          <a:avLst/>
        </a:prstGeom>
        <a:solidFill>
          <a:srgbClr val="00FF00"/>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9</xdr:col>
      <xdr:colOff>453615</xdr:colOff>
      <xdr:row>20</xdr:row>
      <xdr:rowOff>101045</xdr:rowOff>
    </xdr:from>
    <xdr:to>
      <xdr:col>15</xdr:col>
      <xdr:colOff>650875</xdr:colOff>
      <xdr:row>48</xdr:row>
      <xdr:rowOff>15875</xdr:rowOff>
    </xdr:to>
    <xdr:sp macro="" textlink="">
      <xdr:nvSpPr>
        <xdr:cNvPr id="19" name="Elipse 18">
          <a:extLst>
            <a:ext uri="{FF2B5EF4-FFF2-40B4-BE49-F238E27FC236}">
              <a16:creationId xmlns:a16="http://schemas.microsoft.com/office/drawing/2014/main" id="{00000000-0008-0000-0600-000013000000}"/>
            </a:ext>
          </a:extLst>
        </xdr:cNvPr>
        <xdr:cNvSpPr/>
      </xdr:nvSpPr>
      <xdr:spPr>
        <a:xfrm>
          <a:off x="7311615" y="3276045"/>
          <a:ext cx="4769260" cy="4359830"/>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17</xdr:col>
      <xdr:colOff>488791</xdr:colOff>
      <xdr:row>0</xdr:row>
      <xdr:rowOff>95250</xdr:rowOff>
    </xdr:from>
    <xdr:to>
      <xdr:col>25</xdr:col>
      <xdr:colOff>418367</xdr:colOff>
      <xdr:row>38</xdr:row>
      <xdr:rowOff>69582</xdr:rowOff>
    </xdr:to>
    <xdr:pic>
      <xdr:nvPicPr>
        <xdr:cNvPr id="15" name="Imagen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cstate="print">
          <a:lum bright="70000" contrast="-70000"/>
          <a:extLst>
            <a:ext uri="{BEBA8EAE-BF5A-486C-A8C5-ECC9F3942E4B}">
              <a14:imgProps xmlns:a14="http://schemas.microsoft.com/office/drawing/2010/main">
                <a14:imgLayer r:embed="rId2">
                  <a14:imgEffect>
                    <a14:saturation sat="73000"/>
                  </a14:imgEffect>
                </a14:imgLayer>
              </a14:imgProps>
            </a:ext>
            <a:ext uri="{28A0092B-C50C-407E-A947-70E740481C1C}">
              <a14:useLocalDpi xmlns:a14="http://schemas.microsoft.com/office/drawing/2010/main" val="0"/>
            </a:ext>
          </a:extLst>
        </a:blip>
        <a:stretch>
          <a:fillRect/>
        </a:stretch>
      </xdr:blipFill>
      <xdr:spPr>
        <a:xfrm>
          <a:off x="13442791" y="95250"/>
          <a:ext cx="6025576" cy="6006832"/>
        </a:xfrm>
        <a:prstGeom prst="rect">
          <a:avLst/>
        </a:prstGeom>
        <a:effectLst>
          <a:reflection stA="7000" endPos="65000" dist="50800" dir="5400000" sy="-100000" algn="bl" rotWithShape="0"/>
        </a:effectLst>
      </xdr:spPr>
    </xdr:pic>
    <xdr:clientData/>
  </xdr:twoCellAnchor>
  <xdr:twoCellAnchor>
    <xdr:from>
      <xdr:col>7</xdr:col>
      <xdr:colOff>301625</xdr:colOff>
      <xdr:row>3</xdr:row>
      <xdr:rowOff>15873</xdr:rowOff>
    </xdr:from>
    <xdr:to>
      <xdr:col>11</xdr:col>
      <xdr:colOff>222250</xdr:colOff>
      <xdr:row>20</xdr:row>
      <xdr:rowOff>79374</xdr:rowOff>
    </xdr:to>
    <xdr:sp macro="" textlink="">
      <xdr:nvSpPr>
        <xdr:cNvPr id="14" name="Elipse 13">
          <a:extLst>
            <a:ext uri="{FF2B5EF4-FFF2-40B4-BE49-F238E27FC236}">
              <a16:creationId xmlns:a16="http://schemas.microsoft.com/office/drawing/2014/main" id="{00000000-0008-0000-0600-00000E000000}"/>
            </a:ext>
          </a:extLst>
        </xdr:cNvPr>
        <xdr:cNvSpPr/>
      </xdr:nvSpPr>
      <xdr:spPr>
        <a:xfrm>
          <a:off x="5635625" y="492123"/>
          <a:ext cx="2968625" cy="2762251"/>
        </a:xfrm>
        <a:prstGeom prst="ellipse">
          <a:avLst/>
        </a:prstGeom>
        <a:solidFill>
          <a:srgbClr val="00FF00"/>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7</xdr:col>
      <xdr:colOff>333291</xdr:colOff>
      <xdr:row>3</xdr:row>
      <xdr:rowOff>60593</xdr:rowOff>
    </xdr:from>
    <xdr:to>
      <xdr:col>11</xdr:col>
      <xdr:colOff>142875</xdr:colOff>
      <xdr:row>20</xdr:row>
      <xdr:rowOff>47624</xdr:rowOff>
    </xdr:to>
    <xdr:sp macro="" textlink="">
      <xdr:nvSpPr>
        <xdr:cNvPr id="6" name="Elipse 5">
          <a:extLst>
            <a:ext uri="{FF2B5EF4-FFF2-40B4-BE49-F238E27FC236}">
              <a16:creationId xmlns:a16="http://schemas.microsoft.com/office/drawing/2014/main" id="{00000000-0008-0000-0600-000006000000}"/>
            </a:ext>
          </a:extLst>
        </xdr:cNvPr>
        <xdr:cNvSpPr/>
      </xdr:nvSpPr>
      <xdr:spPr>
        <a:xfrm>
          <a:off x="5667291" y="536843"/>
          <a:ext cx="2857584" cy="2685781"/>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xdr:from>
      <xdr:col>21</xdr:col>
      <xdr:colOff>495940</xdr:colOff>
      <xdr:row>31</xdr:row>
      <xdr:rowOff>79375</xdr:rowOff>
    </xdr:from>
    <xdr:to>
      <xdr:col>26</xdr:col>
      <xdr:colOff>317500</xdr:colOff>
      <xdr:row>52</xdr:row>
      <xdr:rowOff>95249</xdr:rowOff>
    </xdr:to>
    <xdr:sp macro="" textlink="">
      <xdr:nvSpPr>
        <xdr:cNvPr id="13" name="Elipse 12">
          <a:extLst>
            <a:ext uri="{FF2B5EF4-FFF2-40B4-BE49-F238E27FC236}">
              <a16:creationId xmlns:a16="http://schemas.microsoft.com/office/drawing/2014/main" id="{00000000-0008-0000-0600-00000D000000}"/>
            </a:ext>
          </a:extLst>
        </xdr:cNvPr>
        <xdr:cNvSpPr/>
      </xdr:nvSpPr>
      <xdr:spPr>
        <a:xfrm>
          <a:off x="16497940" y="5000625"/>
          <a:ext cx="3631560" cy="3349624"/>
        </a:xfrm>
        <a:prstGeom prst="ellipse">
          <a:avLst/>
        </a:prstGeom>
        <a:solidFill>
          <a:srgbClr val="00FF00"/>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21</xdr:col>
      <xdr:colOff>605142</xdr:colOff>
      <xdr:row>31</xdr:row>
      <xdr:rowOff>147309</xdr:rowOff>
    </xdr:from>
    <xdr:to>
      <xdr:col>26</xdr:col>
      <xdr:colOff>206375</xdr:colOff>
      <xdr:row>52</xdr:row>
      <xdr:rowOff>47625</xdr:rowOff>
    </xdr:to>
    <xdr:sp macro="" textlink="">
      <xdr:nvSpPr>
        <xdr:cNvPr id="7" name="Elipse 6">
          <a:extLst>
            <a:ext uri="{FF2B5EF4-FFF2-40B4-BE49-F238E27FC236}">
              <a16:creationId xmlns:a16="http://schemas.microsoft.com/office/drawing/2014/main" id="{00000000-0008-0000-0600-000007000000}"/>
            </a:ext>
          </a:extLst>
        </xdr:cNvPr>
        <xdr:cNvSpPr/>
      </xdr:nvSpPr>
      <xdr:spPr>
        <a:xfrm>
          <a:off x="16607142" y="5068559"/>
          <a:ext cx="3411233" cy="3234066"/>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54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13</xdr:col>
      <xdr:colOff>557975</xdr:colOff>
      <xdr:row>0</xdr:row>
      <xdr:rowOff>99681</xdr:rowOff>
    </xdr:from>
    <xdr:to>
      <xdr:col>20</xdr:col>
      <xdr:colOff>269875</xdr:colOff>
      <xdr:row>29</xdr:row>
      <xdr:rowOff>95250</xdr:rowOff>
    </xdr:to>
    <xdr:sp macro="" textlink="">
      <xdr:nvSpPr>
        <xdr:cNvPr id="11" name="Elipse 10">
          <a:extLst>
            <a:ext uri="{FF2B5EF4-FFF2-40B4-BE49-F238E27FC236}">
              <a16:creationId xmlns:a16="http://schemas.microsoft.com/office/drawing/2014/main" id="{00000000-0008-0000-0600-00000B000000}"/>
            </a:ext>
          </a:extLst>
        </xdr:cNvPr>
        <xdr:cNvSpPr/>
      </xdr:nvSpPr>
      <xdr:spPr>
        <a:xfrm>
          <a:off x="10463975" y="99681"/>
          <a:ext cx="5045900" cy="4599319"/>
        </a:xfrm>
        <a:prstGeom prst="ellipse">
          <a:avLst/>
        </a:prstGeom>
        <a:solidFill>
          <a:srgbClr val="00FF00"/>
        </a:solidFill>
        <a:ln>
          <a:noFill/>
        </a:ln>
        <a:effectLst>
          <a:glow rad="228600">
            <a:schemeClr val="accent6">
              <a:satMod val="175000"/>
              <a:alpha val="40000"/>
            </a:schemeClr>
          </a:glow>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657843</xdr:colOff>
      <xdr:row>0</xdr:row>
      <xdr:rowOff>105704</xdr:rowOff>
    </xdr:from>
    <xdr:to>
      <xdr:col>20</xdr:col>
      <xdr:colOff>190500</xdr:colOff>
      <xdr:row>29</xdr:row>
      <xdr:rowOff>63500</xdr:rowOff>
    </xdr:to>
    <xdr:sp macro="" textlink="">
      <xdr:nvSpPr>
        <xdr:cNvPr id="5" name="Elipse 4">
          <a:extLst>
            <a:ext uri="{FF2B5EF4-FFF2-40B4-BE49-F238E27FC236}">
              <a16:creationId xmlns:a16="http://schemas.microsoft.com/office/drawing/2014/main" id="{00000000-0008-0000-0600-000005000000}"/>
            </a:ext>
          </a:extLst>
        </xdr:cNvPr>
        <xdr:cNvSpPr/>
      </xdr:nvSpPr>
      <xdr:spPr>
        <a:xfrm>
          <a:off x="10563843" y="105704"/>
          <a:ext cx="4866657" cy="4561546"/>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35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154441</xdr:colOff>
      <xdr:row>20</xdr:row>
      <xdr:rowOff>91623</xdr:rowOff>
    </xdr:from>
    <xdr:to>
      <xdr:col>9</xdr:col>
      <xdr:colOff>225137</xdr:colOff>
      <xdr:row>25</xdr:row>
      <xdr:rowOff>119991</xdr:rowOff>
    </xdr:to>
    <xdr:sp macro="" textlink="">
      <xdr:nvSpPr>
        <xdr:cNvPr id="10" name="Elipse 9">
          <a:extLst>
            <a:ext uri="{FF2B5EF4-FFF2-40B4-BE49-F238E27FC236}">
              <a16:creationId xmlns:a16="http://schemas.microsoft.com/office/drawing/2014/main" id="{00000000-0008-0000-0600-00000A000000}"/>
            </a:ext>
          </a:extLst>
        </xdr:cNvPr>
        <xdr:cNvSpPr/>
      </xdr:nvSpPr>
      <xdr:spPr>
        <a:xfrm>
          <a:off x="6250441" y="3266623"/>
          <a:ext cx="832696" cy="822118"/>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140264</xdr:colOff>
      <xdr:row>5</xdr:row>
      <xdr:rowOff>127837</xdr:rowOff>
    </xdr:from>
    <xdr:to>
      <xdr:col>6</xdr:col>
      <xdr:colOff>231689</xdr:colOff>
      <xdr:row>34</xdr:row>
      <xdr:rowOff>51486</xdr:rowOff>
    </xdr:to>
    <xdr:sp macro="" textlink="">
      <xdr:nvSpPr>
        <xdr:cNvPr id="12" name="Elipse 11">
          <a:extLst>
            <a:ext uri="{FF2B5EF4-FFF2-40B4-BE49-F238E27FC236}">
              <a16:creationId xmlns:a16="http://schemas.microsoft.com/office/drawing/2014/main" id="{00000000-0008-0000-0600-00000C000000}"/>
            </a:ext>
          </a:extLst>
        </xdr:cNvPr>
        <xdr:cNvSpPr/>
      </xdr:nvSpPr>
      <xdr:spPr>
        <a:xfrm>
          <a:off x="140264" y="900134"/>
          <a:ext cx="4725209" cy="4402974"/>
        </a:xfrm>
        <a:prstGeom prst="ellipse">
          <a:avLst/>
        </a:prstGeom>
        <a:solidFill>
          <a:srgbClr val="00FF00"/>
        </a:solidFill>
        <a:ln>
          <a:noFill/>
        </a:ln>
        <a:effectLst>
          <a:glow rad="228600">
            <a:schemeClr val="accent6">
              <a:satMod val="175000"/>
              <a:alpha val="40000"/>
            </a:schemeClr>
          </a:glow>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0</xdr:col>
      <xdr:colOff>263440</xdr:colOff>
      <xdr:row>6</xdr:row>
      <xdr:rowOff>97901</xdr:rowOff>
    </xdr:from>
    <xdr:to>
      <xdr:col>6</xdr:col>
      <xdr:colOff>108980</xdr:colOff>
      <xdr:row>33</xdr:row>
      <xdr:rowOff>144591</xdr:rowOff>
    </xdr:to>
    <xdr:sp macro="" textlink="">
      <xdr:nvSpPr>
        <xdr:cNvPr id="8" name="Elipse 7">
          <a:extLst>
            <a:ext uri="{FF2B5EF4-FFF2-40B4-BE49-F238E27FC236}">
              <a16:creationId xmlns:a16="http://schemas.microsoft.com/office/drawing/2014/main" id="{00000000-0008-0000-0600-000008000000}"/>
            </a:ext>
          </a:extLst>
        </xdr:cNvPr>
        <xdr:cNvSpPr/>
      </xdr:nvSpPr>
      <xdr:spPr>
        <a:xfrm>
          <a:off x="263440" y="1050401"/>
          <a:ext cx="4417540" cy="4332940"/>
        </a:xfrm>
        <a:prstGeom prst="ellipse">
          <a:avLst/>
        </a:pr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path path="circle">
            <a:fillToRect l="50000" t="50000" r="50000" b="50000"/>
          </a:path>
          <a:tileRect/>
        </a:gradFill>
        <a:ln>
          <a:noFill/>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7</xdr:row>
      <xdr:rowOff>6352</xdr:rowOff>
    </xdr:from>
    <xdr:to>
      <xdr:col>6</xdr:col>
      <xdr:colOff>420585</xdr:colOff>
      <xdr:row>28</xdr:row>
      <xdr:rowOff>12370</xdr:rowOff>
    </xdr:to>
    <xdr:graphicFrame macro="">
      <xdr:nvGraphicFramePr>
        <xdr:cNvPr id="16" name="Gráfico 15">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692520</xdr:colOff>
      <xdr:row>32</xdr:row>
      <xdr:rowOff>63500</xdr:rowOff>
    </xdr:from>
    <xdr:to>
      <xdr:col>27</xdr:col>
      <xdr:colOff>396875</xdr:colOff>
      <xdr:row>53</xdr:row>
      <xdr:rowOff>31750</xdr:rowOff>
    </xdr:to>
    <xdr:graphicFrame macro="">
      <xdr:nvGraphicFramePr>
        <xdr:cNvPr id="17" name="Gráfico 16">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708974</xdr:colOff>
      <xdr:row>3</xdr:row>
      <xdr:rowOff>79108</xdr:rowOff>
    </xdr:from>
    <xdr:to>
      <xdr:col>20</xdr:col>
      <xdr:colOff>47625</xdr:colOff>
      <xdr:row>22</xdr:row>
      <xdr:rowOff>142875</xdr:rowOff>
    </xdr:to>
    <xdr:graphicFrame macro="">
      <xdr:nvGraphicFramePr>
        <xdr:cNvPr id="18" name="Gráfico 17">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737922</xdr:colOff>
      <xdr:row>31</xdr:row>
      <xdr:rowOff>7195</xdr:rowOff>
    </xdr:from>
    <xdr:to>
      <xdr:col>9</xdr:col>
      <xdr:colOff>299875</xdr:colOff>
      <xdr:row>53</xdr:row>
      <xdr:rowOff>89296</xdr:rowOff>
    </xdr:to>
    <xdr:graphicFrame macro="">
      <xdr:nvGraphicFramePr>
        <xdr:cNvPr id="23" name="Gráfico 22">
          <a:extLst>
            <a:ext uri="{FF2B5EF4-FFF2-40B4-BE49-F238E27FC236}">
              <a16:creationId xmlns:a16="http://schemas.microsoft.com/office/drawing/2014/main" id="{00000000-0008-0000-06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253669</xdr:colOff>
      <xdr:row>24</xdr:row>
      <xdr:rowOff>112495</xdr:rowOff>
    </xdr:from>
    <xdr:to>
      <xdr:col>16</xdr:col>
      <xdr:colOff>191885</xdr:colOff>
      <xdr:row>42</xdr:row>
      <xdr:rowOff>75424</xdr:rowOff>
    </xdr:to>
    <xdr:graphicFrame macro="">
      <xdr:nvGraphicFramePr>
        <xdr:cNvPr id="24" name="Gráfico 23">
          <a:extLst>
            <a:ext uri="{FF2B5EF4-FFF2-40B4-BE49-F238E27FC236}">
              <a16:creationId xmlns:a16="http://schemas.microsoft.com/office/drawing/2014/main" id="{00000000-0008-0000-06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446090</xdr:colOff>
      <xdr:row>49</xdr:row>
      <xdr:rowOff>58737</xdr:rowOff>
    </xdr:from>
    <xdr:to>
      <xdr:col>15</xdr:col>
      <xdr:colOff>79376</xdr:colOff>
      <xdr:row>56</xdr:row>
      <xdr:rowOff>31750</xdr:rowOff>
    </xdr:to>
    <xdr:sp macro="" textlink="">
      <xdr:nvSpPr>
        <xdr:cNvPr id="27" name="Elipse 26">
          <a:extLst>
            <a:ext uri="{FF2B5EF4-FFF2-40B4-BE49-F238E27FC236}">
              <a16:creationId xmlns:a16="http://schemas.microsoft.com/office/drawing/2014/main" id="{00000000-0008-0000-0600-00001B000000}"/>
            </a:ext>
          </a:extLst>
        </xdr:cNvPr>
        <xdr:cNvSpPr/>
      </xdr:nvSpPr>
      <xdr:spPr>
        <a:xfrm>
          <a:off x="10352090" y="7837487"/>
          <a:ext cx="1157286" cy="1084263"/>
        </a:xfrm>
        <a:prstGeom prst="ellipse">
          <a:avLst/>
        </a:prstGeom>
        <a:solidFill>
          <a:schemeClr val="accent6">
            <a:lumMod val="20000"/>
            <a:lumOff val="80000"/>
          </a:schemeClr>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xdr:from>
      <xdr:col>13</xdr:col>
      <xdr:colOff>74615</xdr:colOff>
      <xdr:row>52</xdr:row>
      <xdr:rowOff>4762</xdr:rowOff>
    </xdr:from>
    <xdr:to>
      <xdr:col>14</xdr:col>
      <xdr:colOff>31751</xdr:colOff>
      <xdr:row>55</xdr:row>
      <xdr:rowOff>142875</xdr:rowOff>
    </xdr:to>
    <xdr:sp macro="" textlink="">
      <xdr:nvSpPr>
        <xdr:cNvPr id="28" name="Elipse 27">
          <a:extLst>
            <a:ext uri="{FF2B5EF4-FFF2-40B4-BE49-F238E27FC236}">
              <a16:creationId xmlns:a16="http://schemas.microsoft.com/office/drawing/2014/main" id="{00000000-0008-0000-0600-00001C000000}"/>
            </a:ext>
          </a:extLst>
        </xdr:cNvPr>
        <xdr:cNvSpPr/>
      </xdr:nvSpPr>
      <xdr:spPr>
        <a:xfrm>
          <a:off x="9980615" y="8259762"/>
          <a:ext cx="719136" cy="614363"/>
        </a:xfrm>
        <a:prstGeom prst="ellipse">
          <a:avLst/>
        </a:prstGeom>
        <a:solidFill>
          <a:schemeClr val="accent6">
            <a:lumMod val="20000"/>
            <a:lumOff val="80000"/>
          </a:schemeClr>
        </a:solidFill>
        <a:ln>
          <a:noFill/>
        </a:ln>
        <a:effectLst>
          <a:glow rad="101600">
            <a:schemeClr val="accent6">
              <a:satMod val="175000"/>
              <a:alpha val="40000"/>
            </a:schemeClr>
          </a:glow>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indent="0" algn="l"/>
          <a:endParaRPr lang="es-CO" sz="1100">
            <a:solidFill>
              <a:schemeClr val="lt1"/>
            </a:solidFill>
            <a:latin typeface="+mn-lt"/>
            <a:ea typeface="+mn-ea"/>
            <a:cs typeface="+mn-cs"/>
          </a:endParaRPr>
        </a:p>
      </xdr:txBody>
    </xdr:sp>
    <xdr:clientData/>
  </xdr:twoCellAnchor>
  <xdr:twoCellAnchor editAs="oneCell">
    <xdr:from>
      <xdr:col>7</xdr:col>
      <xdr:colOff>222250</xdr:colOff>
      <xdr:row>3</xdr:row>
      <xdr:rowOff>142876</xdr:rowOff>
    </xdr:from>
    <xdr:to>
      <xdr:col>11</xdr:col>
      <xdr:colOff>333375</xdr:colOff>
      <xdr:row>16</xdr:row>
      <xdr:rowOff>110326</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556250" y="619126"/>
          <a:ext cx="3159125" cy="2031200"/>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0.39785</cdr:x>
      <cdr:y>0.62132</cdr:y>
    </cdr:from>
    <cdr:to>
      <cdr:x>0.78182</cdr:x>
      <cdr:y>0.76352</cdr:y>
    </cdr:to>
    <cdr:sp macro="" textlink="">
      <cdr:nvSpPr>
        <cdr:cNvPr id="2" name="CuadroTexto 1"/>
        <cdr:cNvSpPr txBox="1"/>
      </cdr:nvSpPr>
      <cdr:spPr>
        <a:xfrm xmlns:a="http://schemas.openxmlformats.org/drawingml/2006/main">
          <a:off x="2307650" y="2051583"/>
          <a:ext cx="2227192" cy="46956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400"/>
            <a:t>AVANCE</a:t>
          </a:r>
          <a:r>
            <a:rPr lang="es-CO" sz="1400" baseline="0"/>
            <a:t> TOTAL 2022</a:t>
          </a:r>
          <a:endParaRPr lang="es-CO" sz="14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NDRES\Downloads\seguimientopdi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itucional"/>
      <sheetName val="Social"/>
      <sheetName val="Ambiental"/>
      <sheetName val="AVANCE 2021"/>
      <sheetName val="Hoja2"/>
    </sheetNames>
    <sheetDataSet>
      <sheetData sheetId="0">
        <row r="9">
          <cell r="S9">
            <v>100</v>
          </cell>
        </row>
      </sheetData>
      <sheetData sheetId="1">
        <row r="7">
          <cell r="P7">
            <v>13.333333333333334</v>
          </cell>
        </row>
      </sheetData>
      <sheetData sheetId="2">
        <row r="7">
          <cell r="S7">
            <v>85.714285714285722</v>
          </cell>
        </row>
      </sheetData>
      <sheetData sheetId="3">
        <row r="3">
          <cell r="P3" t="str">
            <v xml:space="preserve">AVANCE GENERAL </v>
          </cell>
        </row>
        <row r="4">
          <cell r="M4" t="str">
            <v xml:space="preserve">Lo Intitucional </v>
          </cell>
          <cell r="P4">
            <v>0.84208685861941679</v>
          </cell>
        </row>
        <row r="5">
          <cell r="M5" t="str">
            <v xml:space="preserve">Lo Social </v>
          </cell>
          <cell r="P5">
            <v>0.80658343333333338</v>
          </cell>
        </row>
        <row r="6">
          <cell r="M6" t="str">
            <v xml:space="preserve">Lo ambiental </v>
          </cell>
          <cell r="P6">
            <v>0.79933020266930299</v>
          </cell>
        </row>
      </sheetData>
      <sheetData sheetId="4">
        <row r="30">
          <cell r="B30">
            <v>0.1</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3811"/>
  <sheetViews>
    <sheetView showGridLines="0" tabSelected="1" topLeftCell="I1" zoomScale="55" zoomScaleNormal="55" workbookViewId="0">
      <pane ySplit="6" topLeftCell="A178" activePane="bottomLeft" state="frozen"/>
      <selection activeCell="B1" sqref="B1"/>
      <selection pane="bottomLeft" activeCell="W183" sqref="W183"/>
    </sheetView>
  </sheetViews>
  <sheetFormatPr baseColWidth="10" defaultColWidth="11.42578125" defaultRowHeight="44.25" outlineLevelRow="1" x14ac:dyDescent="0.2"/>
  <cols>
    <col min="1" max="1" width="33.7109375" style="281" customWidth="1"/>
    <col min="2" max="2" width="40.140625" style="8" customWidth="1"/>
    <col min="3" max="3" width="50.42578125" style="8" customWidth="1"/>
    <col min="4" max="4" width="24.7109375" style="9" customWidth="1"/>
    <col min="5" max="5" width="27.28515625" style="283" customWidth="1"/>
    <col min="6" max="6" width="22.85546875" style="398" customWidth="1"/>
    <col min="7" max="7" width="29.7109375" style="9" customWidth="1"/>
    <col min="8" max="8" width="44.5703125" style="8" customWidth="1"/>
    <col min="9" max="9" width="26.28515625" style="9" customWidth="1"/>
    <col min="10" max="10" width="25.140625" style="268" customWidth="1"/>
    <col min="11" max="11" width="29.5703125" style="268" customWidth="1"/>
    <col min="12" max="12" width="19.5703125" style="281" customWidth="1"/>
    <col min="13" max="13" width="15.5703125" style="281" customWidth="1"/>
    <col min="14" max="14" width="37.28515625" style="418" customWidth="1"/>
    <col min="15" max="15" width="17.7109375" style="281" customWidth="1"/>
    <col min="16" max="16" width="11.42578125" style="281" customWidth="1"/>
    <col min="17" max="17" width="18.42578125" style="281" customWidth="1"/>
    <col min="18" max="21" width="11.42578125" style="281" customWidth="1"/>
    <col min="22" max="22" width="11.42578125" style="286" hidden="1" customWidth="1"/>
    <col min="23" max="23" width="25.5703125" style="382" customWidth="1"/>
    <col min="24" max="24" width="24.28515625" style="281" customWidth="1"/>
    <col min="25" max="25" width="21.140625" style="281" customWidth="1"/>
    <col min="26" max="26" width="27.5703125" style="284" customWidth="1"/>
    <col min="27" max="27" width="24.28515625" style="281" customWidth="1"/>
    <col min="28" max="28" width="21.140625" style="281" customWidth="1"/>
    <col min="29" max="29" width="25.5703125" style="284" bestFit="1" customWidth="1"/>
    <col min="30" max="30" width="24.28515625" style="281" customWidth="1"/>
    <col min="31" max="31" width="21.140625" style="281" customWidth="1"/>
    <col min="32" max="32" width="25.5703125" style="284" bestFit="1" customWidth="1"/>
    <col min="33" max="33" width="24.28515625" style="281" hidden="1" customWidth="1"/>
    <col min="34" max="34" width="14" style="281" customWidth="1"/>
    <col min="35" max="35" width="25.28515625" style="281" customWidth="1"/>
    <col min="36" max="248" width="9.140625" style="281" customWidth="1"/>
    <col min="249" max="16384" width="11.42578125" style="281"/>
  </cols>
  <sheetData>
    <row r="1" spans="1:35" ht="12" hidden="1" customHeight="1" x14ac:dyDescent="0.2">
      <c r="A1" s="548" t="s">
        <v>15</v>
      </c>
      <c r="B1" s="548"/>
      <c r="C1" s="548"/>
      <c r="D1" s="548"/>
      <c r="E1" s="548"/>
      <c r="F1" s="548"/>
      <c r="G1" s="548"/>
      <c r="H1" s="548"/>
      <c r="I1" s="548"/>
      <c r="J1" s="548"/>
      <c r="K1" s="548"/>
      <c r="L1" s="548"/>
      <c r="M1" s="548"/>
      <c r="N1" s="548"/>
      <c r="O1" s="548"/>
      <c r="P1" s="548"/>
      <c r="Q1" s="548"/>
      <c r="R1" s="548"/>
      <c r="S1" s="548"/>
      <c r="T1" s="548"/>
      <c r="U1" s="548"/>
      <c r="V1" s="548"/>
      <c r="W1" s="548"/>
      <c r="X1" s="548"/>
      <c r="Y1" s="548"/>
      <c r="Z1" s="548"/>
      <c r="AA1" s="548"/>
      <c r="AB1" s="548"/>
      <c r="AC1" s="548"/>
      <c r="AD1" s="548"/>
      <c r="AE1" s="548"/>
      <c r="AF1" s="548"/>
      <c r="AG1" s="548"/>
      <c r="AH1" s="296" t="s">
        <v>16</v>
      </c>
      <c r="AI1" s="297" t="s">
        <v>16</v>
      </c>
    </row>
    <row r="2" spans="1:35" ht="12.6" customHeight="1" x14ac:dyDescent="0.2">
      <c r="A2" s="548"/>
      <c r="B2" s="548"/>
      <c r="C2" s="548"/>
      <c r="D2" s="548"/>
      <c r="E2" s="548"/>
      <c r="F2" s="548"/>
      <c r="G2" s="548"/>
      <c r="H2" s="548"/>
      <c r="I2" s="548"/>
      <c r="J2" s="548"/>
      <c r="K2" s="548"/>
      <c r="L2" s="548"/>
      <c r="M2" s="548"/>
      <c r="N2" s="548"/>
      <c r="O2" s="548"/>
      <c r="P2" s="548"/>
      <c r="Q2" s="548"/>
      <c r="R2" s="548"/>
      <c r="S2" s="548"/>
      <c r="T2" s="548"/>
      <c r="U2" s="548"/>
      <c r="V2" s="548"/>
      <c r="W2" s="548"/>
      <c r="X2" s="548"/>
      <c r="Y2" s="548"/>
      <c r="Z2" s="548"/>
      <c r="AA2" s="548"/>
      <c r="AB2" s="548"/>
      <c r="AC2" s="548"/>
      <c r="AD2" s="548"/>
      <c r="AE2" s="548"/>
      <c r="AF2" s="548"/>
      <c r="AG2" s="548"/>
      <c r="AH2" s="296" t="s">
        <v>17</v>
      </c>
      <c r="AI2" s="298" t="s">
        <v>17</v>
      </c>
    </row>
    <row r="3" spans="1:35" ht="21" customHeight="1" x14ac:dyDescent="0.2">
      <c r="A3" s="548"/>
      <c r="B3" s="548"/>
      <c r="C3" s="548"/>
      <c r="D3" s="548"/>
      <c r="E3" s="548"/>
      <c r="F3" s="548"/>
      <c r="G3" s="548"/>
      <c r="H3" s="548"/>
      <c r="I3" s="548"/>
      <c r="J3" s="548"/>
      <c r="K3" s="548"/>
      <c r="L3" s="548"/>
      <c r="M3" s="548"/>
      <c r="N3" s="548"/>
      <c r="O3" s="548"/>
      <c r="P3" s="548"/>
      <c r="Q3" s="548"/>
      <c r="R3" s="548"/>
      <c r="S3" s="548"/>
      <c r="T3" s="548"/>
      <c r="U3" s="548"/>
      <c r="V3" s="548"/>
      <c r="W3" s="548"/>
      <c r="X3" s="548"/>
      <c r="Y3" s="548"/>
      <c r="Z3" s="548"/>
      <c r="AA3" s="548"/>
      <c r="AB3" s="548"/>
      <c r="AC3" s="548"/>
      <c r="AD3" s="548"/>
      <c r="AE3" s="548"/>
      <c r="AF3" s="548"/>
      <c r="AG3" s="548"/>
      <c r="AH3" s="296" t="s">
        <v>18</v>
      </c>
      <c r="AI3" s="298" t="s">
        <v>18</v>
      </c>
    </row>
    <row r="4" spans="1:35" ht="9.6" customHeight="1" x14ac:dyDescent="0.2">
      <c r="A4" s="548"/>
      <c r="B4" s="548"/>
      <c r="C4" s="548"/>
      <c r="D4" s="548"/>
      <c r="E4" s="548"/>
      <c r="F4" s="548"/>
      <c r="G4" s="548"/>
      <c r="H4" s="548"/>
      <c r="I4" s="548"/>
      <c r="J4" s="548"/>
      <c r="K4" s="548"/>
      <c r="L4" s="548"/>
      <c r="M4" s="548"/>
      <c r="N4" s="548"/>
      <c r="O4" s="548"/>
      <c r="P4" s="548"/>
      <c r="Q4" s="548"/>
      <c r="R4" s="548"/>
      <c r="S4" s="548"/>
      <c r="T4" s="548"/>
      <c r="U4" s="548"/>
      <c r="V4" s="548"/>
      <c r="W4" s="548"/>
      <c r="X4" s="548"/>
      <c r="Y4" s="548"/>
      <c r="Z4" s="548"/>
      <c r="AA4" s="548"/>
      <c r="AB4" s="548"/>
      <c r="AC4" s="548"/>
      <c r="AD4" s="548"/>
      <c r="AE4" s="548"/>
      <c r="AF4" s="548"/>
      <c r="AG4" s="548"/>
      <c r="AH4" s="296" t="s">
        <v>19</v>
      </c>
      <c r="AI4" s="299" t="s">
        <v>19</v>
      </c>
    </row>
    <row r="5" spans="1:35" s="9" customFormat="1" ht="19.899999999999999" customHeight="1" x14ac:dyDescent="0.2">
      <c r="A5" s="520" t="s">
        <v>20</v>
      </c>
      <c r="B5" s="520" t="s">
        <v>21</v>
      </c>
      <c r="C5" s="520" t="s">
        <v>22</v>
      </c>
      <c r="D5" s="520" t="s">
        <v>23</v>
      </c>
      <c r="E5" s="520" t="s">
        <v>24</v>
      </c>
      <c r="F5" s="520" t="s">
        <v>25</v>
      </c>
      <c r="G5" s="551" t="s">
        <v>26</v>
      </c>
      <c r="H5" s="551" t="s">
        <v>27</v>
      </c>
      <c r="I5" s="553" t="s">
        <v>28</v>
      </c>
      <c r="J5" s="520" t="s">
        <v>29</v>
      </c>
      <c r="K5" s="520" t="s">
        <v>30</v>
      </c>
      <c r="L5" s="520" t="s">
        <v>31</v>
      </c>
      <c r="M5" s="520" t="s">
        <v>32</v>
      </c>
      <c r="N5" s="549" t="s">
        <v>33</v>
      </c>
      <c r="O5" s="520" t="s">
        <v>0</v>
      </c>
      <c r="P5" s="520" t="s">
        <v>34</v>
      </c>
      <c r="Q5" s="520" t="s">
        <v>35</v>
      </c>
      <c r="R5" s="520" t="s">
        <v>36</v>
      </c>
      <c r="S5" s="520"/>
      <c r="T5" s="520"/>
      <c r="U5" s="520"/>
      <c r="V5" s="419"/>
      <c r="W5" s="520" t="s">
        <v>37</v>
      </c>
      <c r="X5" s="520"/>
      <c r="Y5" s="520"/>
      <c r="Z5" s="520" t="s">
        <v>38</v>
      </c>
      <c r="AA5" s="520"/>
      <c r="AB5" s="520"/>
      <c r="AC5" s="520" t="s">
        <v>39</v>
      </c>
      <c r="AD5" s="520"/>
      <c r="AE5" s="520"/>
      <c r="AF5" s="520" t="s">
        <v>40</v>
      </c>
      <c r="AG5" s="520"/>
      <c r="AH5" s="520"/>
      <c r="AI5" s="308"/>
    </row>
    <row r="6" spans="1:35" s="9" customFormat="1" ht="93.75" x14ac:dyDescent="0.2">
      <c r="A6" s="520"/>
      <c r="B6" s="520"/>
      <c r="C6" s="520"/>
      <c r="D6" s="520"/>
      <c r="E6" s="520"/>
      <c r="F6" s="520"/>
      <c r="G6" s="552"/>
      <c r="H6" s="552"/>
      <c r="I6" s="554"/>
      <c r="J6" s="520"/>
      <c r="K6" s="520"/>
      <c r="L6" s="520"/>
      <c r="M6" s="520"/>
      <c r="N6" s="550"/>
      <c r="O6" s="520"/>
      <c r="P6" s="520"/>
      <c r="Q6" s="520"/>
      <c r="R6" s="420" t="s">
        <v>41</v>
      </c>
      <c r="S6" s="420" t="s">
        <v>42</v>
      </c>
      <c r="T6" s="420" t="s">
        <v>43</v>
      </c>
      <c r="U6" s="420" t="s">
        <v>44</v>
      </c>
      <c r="V6" s="419" t="s">
        <v>45</v>
      </c>
      <c r="W6" s="421" t="s">
        <v>46</v>
      </c>
      <c r="X6" s="420" t="s">
        <v>47</v>
      </c>
      <c r="Y6" s="420" t="s">
        <v>48</v>
      </c>
      <c r="Z6" s="422" t="s">
        <v>49</v>
      </c>
      <c r="AA6" s="420" t="s">
        <v>47</v>
      </c>
      <c r="AB6" s="420" t="s">
        <v>48</v>
      </c>
      <c r="AC6" s="422" t="s">
        <v>50</v>
      </c>
      <c r="AD6" s="420" t="s">
        <v>47</v>
      </c>
      <c r="AE6" s="420" t="s">
        <v>48</v>
      </c>
      <c r="AF6" s="422" t="s">
        <v>51</v>
      </c>
      <c r="AG6" s="420" t="s">
        <v>47</v>
      </c>
      <c r="AH6" s="420" t="s">
        <v>48</v>
      </c>
      <c r="AI6" s="308"/>
    </row>
    <row r="7" spans="1:35" s="9" customFormat="1" ht="9.75" customHeight="1" x14ac:dyDescent="0.2">
      <c r="A7" s="423"/>
      <c r="B7" s="428"/>
      <c r="C7" s="428"/>
      <c r="D7" s="423"/>
      <c r="E7" s="423"/>
      <c r="F7" s="423"/>
      <c r="G7" s="424"/>
      <c r="H7" s="425"/>
      <c r="I7" s="426"/>
      <c r="J7" s="420"/>
      <c r="K7" s="420"/>
      <c r="L7" s="420"/>
      <c r="M7" s="420"/>
      <c r="N7" s="427"/>
      <c r="O7" s="420"/>
      <c r="P7" s="420"/>
      <c r="Q7" s="420"/>
      <c r="R7" s="420"/>
      <c r="S7" s="420"/>
      <c r="T7" s="420"/>
      <c r="U7" s="420"/>
      <c r="V7" s="419"/>
      <c r="W7" s="421"/>
      <c r="X7" s="420"/>
      <c r="Y7" s="420"/>
      <c r="Z7" s="422"/>
      <c r="AA7" s="420"/>
      <c r="AB7" s="420"/>
      <c r="AC7" s="422"/>
      <c r="AD7" s="420"/>
      <c r="AE7" s="420"/>
      <c r="AF7" s="422"/>
      <c r="AG7" s="420"/>
      <c r="AH7" s="420"/>
      <c r="AI7" s="308"/>
    </row>
    <row r="8" spans="1:35" ht="69.599999999999994" customHeight="1" outlineLevel="1" x14ac:dyDescent="0.2">
      <c r="A8" s="526" t="s">
        <v>13</v>
      </c>
      <c r="B8" s="432" t="s">
        <v>52</v>
      </c>
      <c r="C8" s="432" t="s">
        <v>53</v>
      </c>
      <c r="D8" s="599" t="s">
        <v>54</v>
      </c>
      <c r="E8" s="606" t="s">
        <v>55</v>
      </c>
      <c r="F8" s="606" t="s">
        <v>56</v>
      </c>
      <c r="G8" s="587" t="s">
        <v>57</v>
      </c>
      <c r="H8" s="2" t="s">
        <v>58</v>
      </c>
      <c r="I8" s="608" t="s">
        <v>59</v>
      </c>
      <c r="J8" s="276" t="s">
        <v>60</v>
      </c>
      <c r="K8" s="276" t="s">
        <v>61</v>
      </c>
      <c r="L8" s="300">
        <v>44593</v>
      </c>
      <c r="M8" s="300">
        <v>44925</v>
      </c>
      <c r="N8" s="300">
        <v>44652</v>
      </c>
      <c r="O8" s="301">
        <f t="shared" ref="O8:O104" si="0">+(+_xlfn.DAYS(L8,N8))/(+_xlfn.DAYS(L8,M8))</f>
        <v>0.17771084337349397</v>
      </c>
      <c r="P8" s="301">
        <f t="shared" ref="P8:P154" si="1">+IF(O8&gt;=100,100,IF(O8&lt;=0,0,O8))</f>
        <v>0.17771084337349397</v>
      </c>
      <c r="Q8" s="302">
        <v>1</v>
      </c>
      <c r="R8" s="303">
        <v>0.25</v>
      </c>
      <c r="S8" s="303">
        <v>0.5</v>
      </c>
      <c r="T8" s="303">
        <v>0.75</v>
      </c>
      <c r="U8" s="303">
        <v>1</v>
      </c>
      <c r="V8" s="303"/>
      <c r="W8" s="383"/>
      <c r="X8" s="304"/>
      <c r="Y8" s="305"/>
      <c r="Z8" s="306"/>
      <c r="AA8" s="307"/>
      <c r="AB8" s="307"/>
      <c r="AC8" s="306"/>
      <c r="AD8" s="307"/>
      <c r="AE8" s="307"/>
      <c r="AF8" s="306"/>
      <c r="AG8" s="307"/>
      <c r="AH8" s="307"/>
      <c r="AI8" s="308"/>
    </row>
    <row r="9" spans="1:35" ht="69.599999999999994" customHeight="1" outlineLevel="1" x14ac:dyDescent="0.2">
      <c r="A9" s="527"/>
      <c r="B9" s="433"/>
      <c r="C9" s="433"/>
      <c r="D9" s="600"/>
      <c r="E9" s="611"/>
      <c r="F9" s="611"/>
      <c r="G9" s="588"/>
      <c r="H9" s="2" t="s">
        <v>62</v>
      </c>
      <c r="I9" s="609"/>
      <c r="J9" s="276" t="s">
        <v>63</v>
      </c>
      <c r="K9" s="276" t="s">
        <v>61</v>
      </c>
      <c r="L9" s="300">
        <v>44593</v>
      </c>
      <c r="M9" s="300">
        <v>44925</v>
      </c>
      <c r="N9" s="300">
        <v>44652</v>
      </c>
      <c r="O9" s="301">
        <f t="shared" si="0"/>
        <v>0.17771084337349397</v>
      </c>
      <c r="P9" s="301">
        <f t="shared" si="1"/>
        <v>0.17771084337349397</v>
      </c>
      <c r="Q9" s="302">
        <v>1</v>
      </c>
      <c r="R9" s="303">
        <v>0.25</v>
      </c>
      <c r="S9" s="303">
        <v>0.5</v>
      </c>
      <c r="T9" s="303">
        <v>0.75</v>
      </c>
      <c r="U9" s="303">
        <v>1</v>
      </c>
      <c r="V9" s="303"/>
      <c r="W9" s="383"/>
      <c r="X9" s="304"/>
      <c r="Y9" s="305"/>
      <c r="Z9" s="306"/>
      <c r="AA9" s="307"/>
      <c r="AB9" s="307"/>
      <c r="AC9" s="306"/>
      <c r="AD9" s="307"/>
      <c r="AE9" s="307"/>
      <c r="AF9" s="306"/>
      <c r="AG9" s="307"/>
      <c r="AH9" s="307"/>
      <c r="AI9" s="308"/>
    </row>
    <row r="10" spans="1:35" ht="69.599999999999994" customHeight="1" outlineLevel="1" x14ac:dyDescent="0.2">
      <c r="A10" s="527"/>
      <c r="B10" s="433"/>
      <c r="C10" s="433"/>
      <c r="D10" s="600"/>
      <c r="E10" s="611"/>
      <c r="F10" s="611"/>
      <c r="G10" s="588"/>
      <c r="H10" s="2" t="s">
        <v>64</v>
      </c>
      <c r="I10" s="609"/>
      <c r="J10" s="276" t="s">
        <v>63</v>
      </c>
      <c r="K10" s="276" t="s">
        <v>61</v>
      </c>
      <c r="L10" s="300">
        <v>44593</v>
      </c>
      <c r="M10" s="300">
        <v>44925</v>
      </c>
      <c r="N10" s="300">
        <v>44652</v>
      </c>
      <c r="O10" s="301">
        <f t="shared" si="0"/>
        <v>0.17771084337349397</v>
      </c>
      <c r="P10" s="301">
        <f t="shared" si="1"/>
        <v>0.17771084337349397</v>
      </c>
      <c r="Q10" s="302">
        <v>1</v>
      </c>
      <c r="R10" s="303">
        <v>0.25</v>
      </c>
      <c r="S10" s="303">
        <v>0.5</v>
      </c>
      <c r="T10" s="303">
        <v>0.75</v>
      </c>
      <c r="U10" s="303">
        <v>1</v>
      </c>
      <c r="V10" s="303"/>
      <c r="W10" s="383"/>
      <c r="X10" s="304"/>
      <c r="Y10" s="305"/>
      <c r="Z10" s="306"/>
      <c r="AA10" s="307"/>
      <c r="AB10" s="307"/>
      <c r="AC10" s="306"/>
      <c r="AD10" s="307"/>
      <c r="AE10" s="307"/>
      <c r="AF10" s="306"/>
      <c r="AG10" s="307"/>
      <c r="AH10" s="307"/>
      <c r="AI10" s="308"/>
    </row>
    <row r="11" spans="1:35" ht="69.599999999999994" customHeight="1" outlineLevel="1" x14ac:dyDescent="0.2">
      <c r="A11" s="527"/>
      <c r="B11" s="433"/>
      <c r="C11" s="433"/>
      <c r="D11" s="600"/>
      <c r="E11" s="611"/>
      <c r="F11" s="611"/>
      <c r="G11" s="588"/>
      <c r="H11" s="2" t="s">
        <v>65</v>
      </c>
      <c r="I11" s="609"/>
      <c r="J11" s="276" t="s">
        <v>66</v>
      </c>
      <c r="K11" s="276" t="s">
        <v>61</v>
      </c>
      <c r="L11" s="300">
        <v>44593</v>
      </c>
      <c r="M11" s="300">
        <v>44925</v>
      </c>
      <c r="N11" s="300">
        <v>44652</v>
      </c>
      <c r="O11" s="301">
        <f t="shared" si="0"/>
        <v>0.17771084337349397</v>
      </c>
      <c r="P11" s="301">
        <f t="shared" si="1"/>
        <v>0.17771084337349397</v>
      </c>
      <c r="Q11" s="302">
        <v>1</v>
      </c>
      <c r="R11" s="303">
        <v>0.25</v>
      </c>
      <c r="S11" s="303">
        <v>0.5</v>
      </c>
      <c r="T11" s="303">
        <v>0.75</v>
      </c>
      <c r="U11" s="303">
        <v>1</v>
      </c>
      <c r="V11" s="303"/>
      <c r="W11" s="383"/>
      <c r="X11" s="304"/>
      <c r="Y11" s="305"/>
      <c r="Z11" s="306"/>
      <c r="AA11" s="307"/>
      <c r="AB11" s="307"/>
      <c r="AC11" s="306"/>
      <c r="AD11" s="307"/>
      <c r="AE11" s="307"/>
      <c r="AF11" s="306"/>
      <c r="AG11" s="307"/>
      <c r="AH11" s="307"/>
      <c r="AI11" s="308"/>
    </row>
    <row r="12" spans="1:35" ht="69.599999999999994" customHeight="1" outlineLevel="1" x14ac:dyDescent="0.2">
      <c r="A12" s="527"/>
      <c r="B12" s="433"/>
      <c r="C12" s="433"/>
      <c r="D12" s="600"/>
      <c r="E12" s="611"/>
      <c r="F12" s="611"/>
      <c r="G12" s="588"/>
      <c r="H12" s="2" t="s">
        <v>67</v>
      </c>
      <c r="I12" s="609"/>
      <c r="J12" s="276" t="s">
        <v>68</v>
      </c>
      <c r="K12" s="276" t="s">
        <v>61</v>
      </c>
      <c r="L12" s="300">
        <v>44593</v>
      </c>
      <c r="M12" s="300">
        <v>44925</v>
      </c>
      <c r="N12" s="300">
        <v>44652</v>
      </c>
      <c r="O12" s="301">
        <f t="shared" si="0"/>
        <v>0.17771084337349397</v>
      </c>
      <c r="P12" s="301">
        <f t="shared" si="1"/>
        <v>0.17771084337349397</v>
      </c>
      <c r="Q12" s="302">
        <v>1</v>
      </c>
      <c r="R12" s="303">
        <v>0.25</v>
      </c>
      <c r="S12" s="303">
        <v>0.5</v>
      </c>
      <c r="T12" s="303">
        <v>0.75</v>
      </c>
      <c r="U12" s="303">
        <v>1</v>
      </c>
      <c r="V12" s="303"/>
      <c r="W12" s="383"/>
      <c r="X12" s="304"/>
      <c r="Y12" s="305"/>
      <c r="Z12" s="306"/>
      <c r="AA12" s="307"/>
      <c r="AB12" s="307"/>
      <c r="AC12" s="306"/>
      <c r="AD12" s="307"/>
      <c r="AE12" s="307"/>
      <c r="AF12" s="306"/>
      <c r="AG12" s="307"/>
      <c r="AH12" s="307"/>
      <c r="AI12" s="308"/>
    </row>
    <row r="13" spans="1:35" ht="69.599999999999994" customHeight="1" outlineLevel="1" x14ac:dyDescent="0.2">
      <c r="A13" s="527"/>
      <c r="B13" s="433"/>
      <c r="C13" s="433"/>
      <c r="D13" s="600"/>
      <c r="E13" s="611"/>
      <c r="F13" s="611"/>
      <c r="G13" s="588"/>
      <c r="H13" s="2" t="s">
        <v>69</v>
      </c>
      <c r="I13" s="609"/>
      <c r="J13" s="276" t="s">
        <v>70</v>
      </c>
      <c r="K13" s="276" t="s">
        <v>61</v>
      </c>
      <c r="L13" s="300">
        <v>44593</v>
      </c>
      <c r="M13" s="300">
        <v>44925</v>
      </c>
      <c r="N13" s="300">
        <v>44652</v>
      </c>
      <c r="O13" s="301">
        <f t="shared" si="0"/>
        <v>0.17771084337349397</v>
      </c>
      <c r="P13" s="301">
        <f t="shared" si="1"/>
        <v>0.17771084337349397</v>
      </c>
      <c r="Q13" s="302">
        <v>1</v>
      </c>
      <c r="R13" s="303">
        <v>0.25</v>
      </c>
      <c r="S13" s="303">
        <v>0.5</v>
      </c>
      <c r="T13" s="303">
        <v>0.75</v>
      </c>
      <c r="U13" s="303">
        <v>1</v>
      </c>
      <c r="V13" s="303"/>
      <c r="W13" s="383"/>
      <c r="X13" s="304"/>
      <c r="Y13" s="305"/>
      <c r="Z13" s="306"/>
      <c r="AA13" s="307"/>
      <c r="AB13" s="307"/>
      <c r="AC13" s="306"/>
      <c r="AD13" s="307"/>
      <c r="AE13" s="307"/>
      <c r="AF13" s="306"/>
      <c r="AG13" s="307"/>
      <c r="AH13" s="307"/>
      <c r="AI13" s="308"/>
    </row>
    <row r="14" spans="1:35" ht="69.599999999999994" customHeight="1" outlineLevel="1" x14ac:dyDescent="0.2">
      <c r="A14" s="527"/>
      <c r="B14" s="434"/>
      <c r="C14" s="434"/>
      <c r="D14" s="601"/>
      <c r="E14" s="607"/>
      <c r="F14" s="607"/>
      <c r="G14" s="589"/>
      <c r="H14" s="2" t="s">
        <v>71</v>
      </c>
      <c r="I14" s="610"/>
      <c r="J14" s="276" t="s">
        <v>72</v>
      </c>
      <c r="K14" s="276" t="s">
        <v>61</v>
      </c>
      <c r="L14" s="300">
        <v>44593</v>
      </c>
      <c r="M14" s="300">
        <v>44925</v>
      </c>
      <c r="N14" s="300">
        <v>44652</v>
      </c>
      <c r="O14" s="301">
        <f t="shared" si="0"/>
        <v>0.17771084337349397</v>
      </c>
      <c r="P14" s="301">
        <f t="shared" si="1"/>
        <v>0.17771084337349397</v>
      </c>
      <c r="Q14" s="302">
        <v>1</v>
      </c>
      <c r="R14" s="303">
        <v>0.25</v>
      </c>
      <c r="S14" s="303">
        <v>0.5</v>
      </c>
      <c r="T14" s="303">
        <v>0.75</v>
      </c>
      <c r="U14" s="303">
        <v>1</v>
      </c>
      <c r="V14" s="303"/>
      <c r="W14" s="383"/>
      <c r="X14" s="304"/>
      <c r="Y14" s="305"/>
      <c r="Z14" s="306"/>
      <c r="AA14" s="307"/>
      <c r="AB14" s="307"/>
      <c r="AC14" s="306"/>
      <c r="AD14" s="307"/>
      <c r="AE14" s="307"/>
      <c r="AF14" s="306"/>
      <c r="AG14" s="307"/>
      <c r="AH14" s="307"/>
      <c r="AI14" s="308"/>
    </row>
    <row r="15" spans="1:35" ht="63" customHeight="1" outlineLevel="1" x14ac:dyDescent="0.2">
      <c r="A15" s="527"/>
      <c r="B15" s="432" t="s">
        <v>52</v>
      </c>
      <c r="C15" s="432" t="s">
        <v>73</v>
      </c>
      <c r="D15" s="481" t="s">
        <v>74</v>
      </c>
      <c r="E15" s="510" t="s">
        <v>75</v>
      </c>
      <c r="F15" s="510" t="s">
        <v>76</v>
      </c>
      <c r="G15" s="343" t="s">
        <v>77</v>
      </c>
      <c r="H15" s="343" t="s">
        <v>78</v>
      </c>
      <c r="I15" s="581" t="s">
        <v>79</v>
      </c>
      <c r="J15" s="12" t="s">
        <v>80</v>
      </c>
      <c r="K15" s="12" t="s">
        <v>61</v>
      </c>
      <c r="L15" s="300">
        <v>44593</v>
      </c>
      <c r="M15" s="300">
        <v>44925</v>
      </c>
      <c r="N15" s="300">
        <v>44652</v>
      </c>
      <c r="O15" s="301">
        <f t="shared" si="0"/>
        <v>0.17771084337349397</v>
      </c>
      <c r="P15" s="301">
        <f t="shared" si="1"/>
        <v>0.17771084337349397</v>
      </c>
      <c r="Q15" s="302">
        <v>1</v>
      </c>
      <c r="R15" s="303">
        <v>0.25</v>
      </c>
      <c r="S15" s="303">
        <v>0.5</v>
      </c>
      <c r="T15" s="303">
        <v>0.75</v>
      </c>
      <c r="U15" s="303">
        <v>1</v>
      </c>
      <c r="V15" s="303"/>
      <c r="W15" s="383"/>
      <c r="X15" s="302"/>
      <c r="Y15" s="305"/>
      <c r="Z15" s="306"/>
      <c r="AA15" s="307"/>
      <c r="AB15" s="307"/>
      <c r="AC15" s="306"/>
      <c r="AD15" s="307"/>
      <c r="AE15" s="307"/>
      <c r="AF15" s="306"/>
      <c r="AG15" s="307"/>
      <c r="AH15" s="307"/>
      <c r="AI15" s="308"/>
    </row>
    <row r="16" spans="1:35" ht="168.75" customHeight="1" outlineLevel="1" x14ac:dyDescent="0.2">
      <c r="A16" s="527"/>
      <c r="B16" s="433"/>
      <c r="C16" s="433"/>
      <c r="D16" s="482"/>
      <c r="E16" s="511"/>
      <c r="F16" s="511"/>
      <c r="G16" s="467" t="s">
        <v>81</v>
      </c>
      <c r="H16" s="343" t="s">
        <v>82</v>
      </c>
      <c r="I16" s="582"/>
      <c r="J16" s="276" t="s">
        <v>83</v>
      </c>
      <c r="K16" s="399">
        <v>7000000</v>
      </c>
      <c r="L16" s="300">
        <v>44593</v>
      </c>
      <c r="M16" s="300">
        <v>44925</v>
      </c>
      <c r="N16" s="300">
        <v>44652</v>
      </c>
      <c r="O16" s="301">
        <f t="shared" si="0"/>
        <v>0.17771084337349397</v>
      </c>
      <c r="P16" s="301">
        <f t="shared" si="1"/>
        <v>0.17771084337349397</v>
      </c>
      <c r="Q16" s="302">
        <v>1</v>
      </c>
      <c r="R16" s="303">
        <v>0.25</v>
      </c>
      <c r="S16" s="303">
        <v>0.5</v>
      </c>
      <c r="T16" s="303">
        <v>0.75</v>
      </c>
      <c r="U16" s="303">
        <v>1</v>
      </c>
      <c r="V16" s="303"/>
      <c r="W16" s="383"/>
      <c r="X16" s="302"/>
      <c r="Y16" s="305"/>
      <c r="Z16" s="306"/>
      <c r="AA16" s="307"/>
      <c r="AB16" s="307"/>
      <c r="AC16" s="306"/>
      <c r="AD16" s="307"/>
      <c r="AE16" s="307"/>
      <c r="AF16" s="306"/>
      <c r="AG16" s="307"/>
      <c r="AH16" s="307"/>
      <c r="AI16" s="308"/>
    </row>
    <row r="17" spans="1:36" ht="168.75" customHeight="1" outlineLevel="1" x14ac:dyDescent="0.2">
      <c r="A17" s="527"/>
      <c r="B17" s="433"/>
      <c r="C17" s="433"/>
      <c r="D17" s="482"/>
      <c r="E17" s="511"/>
      <c r="F17" s="511"/>
      <c r="G17" s="468"/>
      <c r="H17" s="343" t="s">
        <v>84</v>
      </c>
      <c r="I17" s="582"/>
      <c r="J17" s="276" t="s">
        <v>85</v>
      </c>
      <c r="K17" s="399">
        <v>29000000</v>
      </c>
      <c r="L17" s="300">
        <v>44593</v>
      </c>
      <c r="M17" s="300">
        <v>44925</v>
      </c>
      <c r="N17" s="300">
        <v>44652</v>
      </c>
      <c r="O17" s="301">
        <f t="shared" si="0"/>
        <v>0.17771084337349397</v>
      </c>
      <c r="P17" s="301">
        <f t="shared" si="1"/>
        <v>0.17771084337349397</v>
      </c>
      <c r="Q17" s="302">
        <v>1</v>
      </c>
      <c r="R17" s="303">
        <v>0.25</v>
      </c>
      <c r="S17" s="303">
        <v>0.5</v>
      </c>
      <c r="T17" s="303">
        <v>0.75</v>
      </c>
      <c r="U17" s="303">
        <v>1</v>
      </c>
      <c r="V17" s="303"/>
      <c r="W17" s="383"/>
      <c r="X17" s="302"/>
      <c r="Y17" s="305"/>
      <c r="Z17" s="306"/>
      <c r="AA17" s="307"/>
      <c r="AB17" s="307"/>
      <c r="AC17" s="306"/>
      <c r="AD17" s="307"/>
      <c r="AE17" s="307"/>
      <c r="AF17" s="306"/>
      <c r="AG17" s="307"/>
      <c r="AH17" s="307"/>
      <c r="AI17" s="308"/>
    </row>
    <row r="18" spans="1:36" ht="150" customHeight="1" outlineLevel="1" x14ac:dyDescent="0.2">
      <c r="A18" s="527"/>
      <c r="B18" s="433"/>
      <c r="C18" s="433"/>
      <c r="D18" s="482"/>
      <c r="E18" s="511"/>
      <c r="F18" s="511"/>
      <c r="G18" s="468"/>
      <c r="H18" s="343" t="s">
        <v>86</v>
      </c>
      <c r="I18" s="582"/>
      <c r="J18" s="276" t="s">
        <v>87</v>
      </c>
      <c r="K18" s="399">
        <v>13000000</v>
      </c>
      <c r="L18" s="300">
        <v>44593</v>
      </c>
      <c r="M18" s="300">
        <v>44925</v>
      </c>
      <c r="N18" s="300">
        <v>44652</v>
      </c>
      <c r="O18" s="301">
        <f t="shared" si="0"/>
        <v>0.17771084337349397</v>
      </c>
      <c r="P18" s="301">
        <f t="shared" si="1"/>
        <v>0.17771084337349397</v>
      </c>
      <c r="Q18" s="302">
        <v>1</v>
      </c>
      <c r="R18" s="303">
        <v>0.25</v>
      </c>
      <c r="S18" s="303">
        <v>0.5</v>
      </c>
      <c r="T18" s="303">
        <v>0.75</v>
      </c>
      <c r="U18" s="303">
        <v>1</v>
      </c>
      <c r="V18" s="303"/>
      <c r="W18" s="383"/>
      <c r="X18" s="302"/>
      <c r="Y18" s="305"/>
      <c r="Z18" s="306"/>
      <c r="AA18" s="307"/>
      <c r="AB18" s="307"/>
      <c r="AC18" s="306"/>
      <c r="AD18" s="307"/>
      <c r="AE18" s="307"/>
      <c r="AF18" s="306"/>
      <c r="AG18" s="307"/>
      <c r="AH18" s="307"/>
      <c r="AI18" s="308"/>
    </row>
    <row r="19" spans="1:36" ht="56.25" customHeight="1" outlineLevel="1" x14ac:dyDescent="0.2">
      <c r="A19" s="527"/>
      <c r="B19" s="433"/>
      <c r="C19" s="433"/>
      <c r="D19" s="482"/>
      <c r="E19" s="511"/>
      <c r="F19" s="511"/>
      <c r="G19" s="468"/>
      <c r="H19" s="343" t="s">
        <v>88</v>
      </c>
      <c r="I19" s="582"/>
      <c r="J19" s="276" t="s">
        <v>89</v>
      </c>
      <c r="K19" s="399">
        <v>5000000</v>
      </c>
      <c r="L19" s="300">
        <v>44593</v>
      </c>
      <c r="M19" s="300">
        <v>44925</v>
      </c>
      <c r="N19" s="300">
        <v>44652</v>
      </c>
      <c r="O19" s="301">
        <f t="shared" si="0"/>
        <v>0.17771084337349397</v>
      </c>
      <c r="P19" s="301">
        <f t="shared" si="1"/>
        <v>0.17771084337349397</v>
      </c>
      <c r="Q19" s="302">
        <v>1</v>
      </c>
      <c r="R19" s="303">
        <v>0.25</v>
      </c>
      <c r="S19" s="303">
        <v>0.5</v>
      </c>
      <c r="T19" s="303">
        <v>0.75</v>
      </c>
      <c r="U19" s="303">
        <v>1</v>
      </c>
      <c r="V19" s="303"/>
      <c r="W19" s="383"/>
      <c r="X19" s="302"/>
      <c r="Y19" s="305"/>
      <c r="Z19" s="306"/>
      <c r="AA19" s="307"/>
      <c r="AB19" s="307"/>
      <c r="AC19" s="306"/>
      <c r="AD19" s="307"/>
      <c r="AE19" s="307"/>
      <c r="AF19" s="306"/>
      <c r="AG19" s="307"/>
      <c r="AH19" s="307"/>
      <c r="AI19" s="308"/>
    </row>
    <row r="20" spans="1:36" ht="56.25" customHeight="1" outlineLevel="1" x14ac:dyDescent="0.2">
      <c r="A20" s="527"/>
      <c r="B20" s="433"/>
      <c r="C20" s="433"/>
      <c r="D20" s="482"/>
      <c r="E20" s="511"/>
      <c r="F20" s="511"/>
      <c r="G20" s="468"/>
      <c r="H20" s="343" t="s">
        <v>90</v>
      </c>
      <c r="I20" s="582"/>
      <c r="J20" s="276" t="s">
        <v>91</v>
      </c>
      <c r="K20" s="399">
        <v>88000000</v>
      </c>
      <c r="L20" s="300">
        <v>44593</v>
      </c>
      <c r="M20" s="300">
        <v>44925</v>
      </c>
      <c r="N20" s="300">
        <v>44652</v>
      </c>
      <c r="O20" s="301">
        <f t="shared" si="0"/>
        <v>0.17771084337349397</v>
      </c>
      <c r="P20" s="301">
        <f t="shared" si="1"/>
        <v>0.17771084337349397</v>
      </c>
      <c r="Q20" s="302">
        <v>1</v>
      </c>
      <c r="R20" s="303">
        <v>0.25</v>
      </c>
      <c r="S20" s="303">
        <v>0.5</v>
      </c>
      <c r="T20" s="303">
        <v>0.75</v>
      </c>
      <c r="U20" s="303">
        <v>1</v>
      </c>
      <c r="V20" s="303"/>
      <c r="W20" s="383"/>
      <c r="X20" s="302"/>
      <c r="Y20" s="305"/>
      <c r="Z20" s="306"/>
      <c r="AA20" s="307"/>
      <c r="AB20" s="307"/>
      <c r="AC20" s="306"/>
      <c r="AD20" s="307"/>
      <c r="AE20" s="307"/>
      <c r="AF20" s="306"/>
      <c r="AG20" s="307"/>
      <c r="AH20" s="307"/>
      <c r="AI20" s="308"/>
    </row>
    <row r="21" spans="1:36" ht="75" customHeight="1" outlineLevel="1" x14ac:dyDescent="0.2">
      <c r="A21" s="527"/>
      <c r="B21" s="433"/>
      <c r="C21" s="433"/>
      <c r="D21" s="482"/>
      <c r="E21" s="511"/>
      <c r="F21" s="511"/>
      <c r="G21" s="469"/>
      <c r="H21" s="343" t="s">
        <v>92</v>
      </c>
      <c r="I21" s="582"/>
      <c r="J21" s="276" t="s">
        <v>93</v>
      </c>
      <c r="K21" s="399">
        <v>23000000</v>
      </c>
      <c r="L21" s="300">
        <v>44593</v>
      </c>
      <c r="M21" s="300">
        <v>44925</v>
      </c>
      <c r="N21" s="300">
        <v>44652</v>
      </c>
      <c r="O21" s="301">
        <f t="shared" si="0"/>
        <v>0.17771084337349397</v>
      </c>
      <c r="P21" s="301">
        <f t="shared" si="1"/>
        <v>0.17771084337349397</v>
      </c>
      <c r="Q21" s="302">
        <v>1</v>
      </c>
      <c r="R21" s="303">
        <v>0.25</v>
      </c>
      <c r="S21" s="303">
        <v>0.5</v>
      </c>
      <c r="T21" s="303">
        <v>0.75</v>
      </c>
      <c r="U21" s="303">
        <v>1</v>
      </c>
      <c r="V21" s="303"/>
      <c r="W21" s="383"/>
      <c r="X21" s="302"/>
      <c r="Y21" s="305"/>
      <c r="Z21" s="306"/>
      <c r="AA21" s="307"/>
      <c r="AB21" s="307"/>
      <c r="AC21" s="306"/>
      <c r="AD21" s="307"/>
      <c r="AE21" s="307"/>
      <c r="AF21" s="306"/>
      <c r="AG21" s="307"/>
      <c r="AH21" s="307"/>
      <c r="AI21" s="308"/>
    </row>
    <row r="22" spans="1:36" ht="93.75" customHeight="1" outlineLevel="1" x14ac:dyDescent="0.2">
      <c r="A22" s="527"/>
      <c r="B22" s="433"/>
      <c r="C22" s="434"/>
      <c r="D22" s="482"/>
      <c r="E22" s="528"/>
      <c r="F22" s="528"/>
      <c r="G22" s="343" t="s">
        <v>94</v>
      </c>
      <c r="H22" s="343" t="s">
        <v>95</v>
      </c>
      <c r="I22" s="583"/>
      <c r="J22" s="12" t="s">
        <v>96</v>
      </c>
      <c r="K22" s="12" t="s">
        <v>61</v>
      </c>
      <c r="L22" s="300">
        <v>44593</v>
      </c>
      <c r="M22" s="300">
        <v>44925</v>
      </c>
      <c r="N22" s="300">
        <v>44652</v>
      </c>
      <c r="O22" s="301">
        <f t="shared" si="0"/>
        <v>0.17771084337349397</v>
      </c>
      <c r="P22" s="301">
        <f t="shared" si="1"/>
        <v>0.17771084337349397</v>
      </c>
      <c r="Q22" s="302">
        <v>1</v>
      </c>
      <c r="R22" s="303">
        <v>0.25</v>
      </c>
      <c r="S22" s="303">
        <v>0.5</v>
      </c>
      <c r="T22" s="303">
        <v>0.75</v>
      </c>
      <c r="U22" s="303">
        <v>1</v>
      </c>
      <c r="V22" s="303"/>
      <c r="W22" s="383"/>
      <c r="X22" s="302"/>
      <c r="Y22" s="305"/>
      <c r="Z22" s="306"/>
      <c r="AA22" s="307"/>
      <c r="AB22" s="307"/>
      <c r="AC22" s="306"/>
      <c r="AD22" s="307"/>
      <c r="AE22" s="307"/>
      <c r="AF22" s="306"/>
      <c r="AG22" s="307"/>
      <c r="AH22" s="307"/>
      <c r="AI22" s="308"/>
    </row>
    <row r="23" spans="1:36" ht="225" customHeight="1" outlineLevel="1" x14ac:dyDescent="0.2">
      <c r="A23" s="527"/>
      <c r="B23" s="433"/>
      <c r="C23" s="432" t="s">
        <v>97</v>
      </c>
      <c r="D23" s="482"/>
      <c r="E23" s="510" t="s">
        <v>98</v>
      </c>
      <c r="F23" s="510" t="s">
        <v>99</v>
      </c>
      <c r="G23" s="467" t="s">
        <v>57</v>
      </c>
      <c r="H23" s="343" t="s">
        <v>100</v>
      </c>
      <c r="I23" s="581" t="s">
        <v>101</v>
      </c>
      <c r="J23" s="276" t="s">
        <v>102</v>
      </c>
      <c r="K23" s="399">
        <v>4200000</v>
      </c>
      <c r="L23" s="300">
        <v>44593</v>
      </c>
      <c r="M23" s="300">
        <v>44925</v>
      </c>
      <c r="N23" s="300">
        <v>44652</v>
      </c>
      <c r="O23" s="301">
        <f t="shared" si="0"/>
        <v>0.17771084337349397</v>
      </c>
      <c r="P23" s="301">
        <f t="shared" si="1"/>
        <v>0.17771084337349397</v>
      </c>
      <c r="Q23" s="302">
        <v>1</v>
      </c>
      <c r="R23" s="303">
        <v>0.25</v>
      </c>
      <c r="S23" s="303">
        <v>0.5</v>
      </c>
      <c r="T23" s="303">
        <v>0.75</v>
      </c>
      <c r="U23" s="303">
        <v>1</v>
      </c>
      <c r="V23" s="303"/>
      <c r="W23" s="383"/>
      <c r="X23" s="302"/>
      <c r="Y23" s="305"/>
      <c r="Z23" s="306"/>
      <c r="AA23" s="307"/>
      <c r="AB23" s="307"/>
      <c r="AC23" s="306"/>
      <c r="AD23" s="307"/>
      <c r="AE23" s="307"/>
      <c r="AF23" s="306"/>
      <c r="AG23" s="307"/>
      <c r="AH23" s="307"/>
      <c r="AI23" s="308"/>
    </row>
    <row r="24" spans="1:36" ht="112.5" customHeight="1" outlineLevel="1" x14ac:dyDescent="0.2">
      <c r="A24" s="527"/>
      <c r="B24" s="433"/>
      <c r="C24" s="433"/>
      <c r="D24" s="482"/>
      <c r="E24" s="511"/>
      <c r="F24" s="511"/>
      <c r="G24" s="468"/>
      <c r="H24" s="343" t="s">
        <v>103</v>
      </c>
      <c r="I24" s="582"/>
      <c r="J24" s="276" t="s">
        <v>104</v>
      </c>
      <c r="K24" s="399">
        <v>14000000</v>
      </c>
      <c r="L24" s="300">
        <v>44593</v>
      </c>
      <c r="M24" s="300">
        <v>44925</v>
      </c>
      <c r="N24" s="300">
        <v>44652</v>
      </c>
      <c r="O24" s="301">
        <f t="shared" si="0"/>
        <v>0.17771084337349397</v>
      </c>
      <c r="P24" s="301">
        <f t="shared" si="1"/>
        <v>0.17771084337349397</v>
      </c>
      <c r="Q24" s="302">
        <v>1</v>
      </c>
      <c r="R24" s="303">
        <v>0.25</v>
      </c>
      <c r="S24" s="303">
        <v>0.5</v>
      </c>
      <c r="T24" s="303">
        <v>0.75</v>
      </c>
      <c r="U24" s="303">
        <v>1</v>
      </c>
      <c r="V24" s="303"/>
      <c r="W24" s="383"/>
      <c r="X24" s="302"/>
      <c r="Y24" s="305"/>
      <c r="Z24" s="306"/>
      <c r="AA24" s="307"/>
      <c r="AB24" s="307"/>
      <c r="AC24" s="306"/>
      <c r="AD24" s="307"/>
      <c r="AE24" s="307"/>
      <c r="AF24" s="306"/>
      <c r="AG24" s="307"/>
      <c r="AH24" s="307"/>
      <c r="AI24" s="308"/>
    </row>
    <row r="25" spans="1:36" ht="168.75" customHeight="1" outlineLevel="1" x14ac:dyDescent="0.2">
      <c r="A25" s="527"/>
      <c r="B25" s="434"/>
      <c r="C25" s="434"/>
      <c r="D25" s="483"/>
      <c r="E25" s="528"/>
      <c r="F25" s="528"/>
      <c r="G25" s="469"/>
      <c r="H25" s="343" t="s">
        <v>84</v>
      </c>
      <c r="I25" s="583"/>
      <c r="J25" s="276" t="s">
        <v>105</v>
      </c>
      <c r="K25" s="399">
        <v>4200000</v>
      </c>
      <c r="L25" s="300">
        <v>44593</v>
      </c>
      <c r="M25" s="300">
        <v>44925</v>
      </c>
      <c r="N25" s="300">
        <v>44652</v>
      </c>
      <c r="O25" s="301">
        <f t="shared" si="0"/>
        <v>0.17771084337349397</v>
      </c>
      <c r="P25" s="301">
        <f t="shared" si="1"/>
        <v>0.17771084337349397</v>
      </c>
      <c r="Q25" s="302">
        <v>1</v>
      </c>
      <c r="R25" s="303">
        <v>0.25</v>
      </c>
      <c r="S25" s="303">
        <v>0.5</v>
      </c>
      <c r="T25" s="303">
        <v>0.75</v>
      </c>
      <c r="U25" s="303">
        <v>1</v>
      </c>
      <c r="V25" s="303"/>
      <c r="W25" s="383"/>
      <c r="X25" s="302"/>
      <c r="Y25" s="305"/>
      <c r="Z25" s="306"/>
      <c r="AA25" s="307"/>
      <c r="AB25" s="307"/>
      <c r="AC25" s="306"/>
      <c r="AD25" s="307"/>
      <c r="AE25" s="307"/>
      <c r="AF25" s="306"/>
      <c r="AG25" s="307"/>
      <c r="AH25" s="307"/>
      <c r="AI25" s="308"/>
    </row>
    <row r="26" spans="1:36" ht="63" customHeight="1" outlineLevel="1" x14ac:dyDescent="0.2">
      <c r="A26" s="527"/>
      <c r="B26" s="432" t="s">
        <v>52</v>
      </c>
      <c r="C26" s="432" t="s">
        <v>106</v>
      </c>
      <c r="D26" s="606" t="s">
        <v>3</v>
      </c>
      <c r="E26" s="606" t="s">
        <v>107</v>
      </c>
      <c r="F26" s="606" t="s">
        <v>108</v>
      </c>
      <c r="G26" s="587" t="s">
        <v>57</v>
      </c>
      <c r="H26" s="587" t="s">
        <v>109</v>
      </c>
      <c r="I26" s="613" t="s">
        <v>110</v>
      </c>
      <c r="J26" s="276" t="s">
        <v>111</v>
      </c>
      <c r="K26" s="399">
        <v>24000000</v>
      </c>
      <c r="L26" s="300">
        <v>44593</v>
      </c>
      <c r="M26" s="300">
        <v>44925</v>
      </c>
      <c r="N26" s="300">
        <v>44652</v>
      </c>
      <c r="O26" s="301">
        <f t="shared" si="0"/>
        <v>0.17771084337349397</v>
      </c>
      <c r="P26" s="301">
        <f t="shared" si="1"/>
        <v>0.17771084337349397</v>
      </c>
      <c r="Q26" s="302">
        <v>0.6</v>
      </c>
      <c r="R26" s="303">
        <v>0.45</v>
      </c>
      <c r="S26" s="303">
        <v>0.5</v>
      </c>
      <c r="T26" s="303">
        <v>0.55000000000000004</v>
      </c>
      <c r="U26" s="303">
        <v>0.6</v>
      </c>
      <c r="V26" s="303"/>
      <c r="W26" s="383"/>
      <c r="X26" s="302"/>
      <c r="Y26" s="305"/>
      <c r="Z26" s="306"/>
      <c r="AA26" s="307"/>
      <c r="AB26" s="307"/>
      <c r="AC26" s="306"/>
      <c r="AD26" s="307"/>
      <c r="AE26" s="307"/>
      <c r="AF26" s="306"/>
      <c r="AG26" s="307"/>
      <c r="AH26" s="307"/>
      <c r="AI26" s="308"/>
    </row>
    <row r="27" spans="1:36" ht="131.25" customHeight="1" outlineLevel="1" x14ac:dyDescent="0.2">
      <c r="A27" s="527"/>
      <c r="B27" s="434"/>
      <c r="C27" s="434"/>
      <c r="D27" s="607"/>
      <c r="E27" s="607"/>
      <c r="F27" s="607"/>
      <c r="G27" s="589"/>
      <c r="H27" s="589"/>
      <c r="I27" s="614"/>
      <c r="J27" s="276" t="s">
        <v>112</v>
      </c>
      <c r="K27" s="276" t="s">
        <v>61</v>
      </c>
      <c r="L27" s="300">
        <v>44593</v>
      </c>
      <c r="M27" s="300">
        <v>44925</v>
      </c>
      <c r="N27" s="300">
        <v>44652</v>
      </c>
      <c r="O27" s="301">
        <f t="shared" si="0"/>
        <v>0.17771084337349397</v>
      </c>
      <c r="P27" s="301">
        <f t="shared" si="1"/>
        <v>0.17771084337349397</v>
      </c>
      <c r="Q27" s="302">
        <v>1</v>
      </c>
      <c r="R27" s="303">
        <v>0.25</v>
      </c>
      <c r="S27" s="303">
        <v>0.5</v>
      </c>
      <c r="T27" s="303">
        <v>0.75</v>
      </c>
      <c r="U27" s="303">
        <v>1</v>
      </c>
      <c r="V27" s="303"/>
      <c r="W27" s="383"/>
      <c r="X27" s="302"/>
      <c r="Y27" s="305"/>
      <c r="Z27" s="306"/>
      <c r="AA27" s="307"/>
      <c r="AB27" s="307"/>
      <c r="AC27" s="306"/>
      <c r="AD27" s="307"/>
      <c r="AE27" s="307"/>
      <c r="AF27" s="306"/>
      <c r="AG27" s="307"/>
      <c r="AH27" s="307"/>
      <c r="AI27" s="308"/>
    </row>
    <row r="28" spans="1:36" ht="93.75" customHeight="1" outlineLevel="1" x14ac:dyDescent="0.2">
      <c r="A28" s="527"/>
      <c r="B28" s="432" t="s">
        <v>52</v>
      </c>
      <c r="C28" s="432" t="s">
        <v>53</v>
      </c>
      <c r="D28" s="602" t="s">
        <v>113</v>
      </c>
      <c r="E28" s="605" t="s">
        <v>55</v>
      </c>
      <c r="F28" s="605" t="s">
        <v>56</v>
      </c>
      <c r="G28" s="615" t="s">
        <v>57</v>
      </c>
      <c r="H28" s="360" t="s">
        <v>114</v>
      </c>
      <c r="I28" s="598" t="s">
        <v>59</v>
      </c>
      <c r="J28" s="276" t="s">
        <v>115</v>
      </c>
      <c r="K28" s="276" t="s">
        <v>116</v>
      </c>
      <c r="L28" s="300">
        <v>44593</v>
      </c>
      <c r="M28" s="300">
        <v>44925</v>
      </c>
      <c r="N28" s="300">
        <v>44652</v>
      </c>
      <c r="O28" s="301">
        <f t="shared" si="0"/>
        <v>0.17771084337349397</v>
      </c>
      <c r="P28" s="301">
        <f t="shared" si="1"/>
        <v>0.17771084337349397</v>
      </c>
      <c r="Q28" s="302">
        <v>1</v>
      </c>
      <c r="R28" s="303">
        <v>0.25</v>
      </c>
      <c r="S28" s="303">
        <v>0.5</v>
      </c>
      <c r="T28" s="303">
        <v>0.75</v>
      </c>
      <c r="U28" s="303">
        <v>1</v>
      </c>
      <c r="V28" s="303"/>
      <c r="W28" s="383"/>
      <c r="X28" s="302"/>
      <c r="Y28" s="305"/>
      <c r="Z28" s="306"/>
      <c r="AA28" s="307"/>
      <c r="AB28" s="307"/>
      <c r="AC28" s="306"/>
      <c r="AD28" s="307"/>
      <c r="AE28" s="307"/>
      <c r="AF28" s="306"/>
      <c r="AG28" s="307"/>
      <c r="AH28" s="307"/>
      <c r="AI28" s="308"/>
    </row>
    <row r="29" spans="1:36" ht="75" customHeight="1" outlineLevel="1" x14ac:dyDescent="0.2">
      <c r="A29" s="527"/>
      <c r="B29" s="433"/>
      <c r="C29" s="433"/>
      <c r="D29" s="603"/>
      <c r="E29" s="605"/>
      <c r="F29" s="605"/>
      <c r="G29" s="615"/>
      <c r="H29" s="360" t="s">
        <v>117</v>
      </c>
      <c r="I29" s="598"/>
      <c r="J29" s="276" t="s">
        <v>118</v>
      </c>
      <c r="K29" s="276" t="s">
        <v>116</v>
      </c>
      <c r="L29" s="300">
        <v>44593</v>
      </c>
      <c r="M29" s="300">
        <v>44925</v>
      </c>
      <c r="N29" s="300">
        <v>44652</v>
      </c>
      <c r="O29" s="301">
        <f t="shared" si="0"/>
        <v>0.17771084337349397</v>
      </c>
      <c r="P29" s="301">
        <f t="shared" si="1"/>
        <v>0.17771084337349397</v>
      </c>
      <c r="Q29" s="302">
        <v>1</v>
      </c>
      <c r="R29" s="303">
        <v>0.25</v>
      </c>
      <c r="S29" s="303">
        <v>0.5</v>
      </c>
      <c r="T29" s="303">
        <v>0.75</v>
      </c>
      <c r="U29" s="303">
        <v>1</v>
      </c>
      <c r="V29" s="303"/>
      <c r="W29" s="383"/>
      <c r="X29" s="302"/>
      <c r="Y29" s="305"/>
      <c r="Z29" s="306"/>
      <c r="AA29" s="307"/>
      <c r="AB29" s="307"/>
      <c r="AC29" s="306"/>
      <c r="AD29" s="307"/>
      <c r="AE29" s="307"/>
      <c r="AF29" s="306"/>
      <c r="AG29" s="307"/>
      <c r="AH29" s="307"/>
      <c r="AI29" s="308"/>
    </row>
    <row r="30" spans="1:36" ht="75" customHeight="1" outlineLevel="1" x14ac:dyDescent="0.2">
      <c r="A30" s="527"/>
      <c r="B30" s="433"/>
      <c r="C30" s="433"/>
      <c r="D30" s="603"/>
      <c r="E30" s="605"/>
      <c r="F30" s="605"/>
      <c r="G30" s="615"/>
      <c r="H30" s="360" t="s">
        <v>119</v>
      </c>
      <c r="I30" s="598"/>
      <c r="J30" s="276" t="s">
        <v>120</v>
      </c>
      <c r="K30" s="276" t="s">
        <v>116</v>
      </c>
      <c r="L30" s="300">
        <v>44593</v>
      </c>
      <c r="M30" s="300">
        <v>44925</v>
      </c>
      <c r="N30" s="300">
        <v>44652</v>
      </c>
      <c r="O30" s="301">
        <f t="shared" si="0"/>
        <v>0.17771084337349397</v>
      </c>
      <c r="P30" s="301">
        <f t="shared" si="1"/>
        <v>0.17771084337349397</v>
      </c>
      <c r="Q30" s="302">
        <v>1</v>
      </c>
      <c r="R30" s="303">
        <v>0.25</v>
      </c>
      <c r="S30" s="303">
        <v>0.5</v>
      </c>
      <c r="T30" s="303">
        <v>0.75</v>
      </c>
      <c r="U30" s="303">
        <v>1</v>
      </c>
      <c r="V30" s="303"/>
      <c r="W30" s="383"/>
      <c r="X30" s="302"/>
      <c r="Y30" s="305"/>
      <c r="Z30" s="306"/>
      <c r="AA30" s="307"/>
      <c r="AB30" s="307"/>
      <c r="AC30" s="306"/>
      <c r="AD30" s="307"/>
      <c r="AE30" s="307"/>
      <c r="AF30" s="306"/>
      <c r="AG30" s="307"/>
      <c r="AH30" s="307"/>
      <c r="AI30" s="308"/>
    </row>
    <row r="31" spans="1:36" ht="56.25" customHeight="1" outlineLevel="1" x14ac:dyDescent="0.2">
      <c r="A31" s="527"/>
      <c r="B31" s="433"/>
      <c r="C31" s="433"/>
      <c r="D31" s="603"/>
      <c r="E31" s="605"/>
      <c r="F31" s="605"/>
      <c r="G31" s="615"/>
      <c r="H31" s="360" t="s">
        <v>121</v>
      </c>
      <c r="I31" s="598"/>
      <c r="J31" s="276" t="s">
        <v>122</v>
      </c>
      <c r="K31" s="276" t="s">
        <v>116</v>
      </c>
      <c r="L31" s="300">
        <v>44593</v>
      </c>
      <c r="M31" s="300">
        <v>44925</v>
      </c>
      <c r="N31" s="300">
        <v>44652</v>
      </c>
      <c r="O31" s="301">
        <f t="shared" si="0"/>
        <v>0.17771084337349397</v>
      </c>
      <c r="P31" s="301">
        <f t="shared" si="1"/>
        <v>0.17771084337349397</v>
      </c>
      <c r="Q31" s="302">
        <v>1</v>
      </c>
      <c r="R31" s="303">
        <v>0.25</v>
      </c>
      <c r="S31" s="303">
        <v>0.5</v>
      </c>
      <c r="T31" s="303">
        <v>0.75</v>
      </c>
      <c r="U31" s="303">
        <v>1</v>
      </c>
      <c r="V31" s="303"/>
      <c r="W31" s="383"/>
      <c r="X31" s="302"/>
      <c r="Y31" s="305"/>
      <c r="Z31" s="306"/>
      <c r="AA31" s="307"/>
      <c r="AB31" s="307"/>
      <c r="AC31" s="306"/>
      <c r="AD31" s="307"/>
      <c r="AE31" s="307"/>
      <c r="AF31" s="306"/>
      <c r="AG31" s="307"/>
      <c r="AH31" s="307"/>
      <c r="AI31" s="308"/>
    </row>
    <row r="32" spans="1:36" ht="56.25" customHeight="1" outlineLevel="1" x14ac:dyDescent="0.2">
      <c r="A32" s="527"/>
      <c r="B32" s="434"/>
      <c r="C32" s="434"/>
      <c r="D32" s="604"/>
      <c r="E32" s="605"/>
      <c r="F32" s="605"/>
      <c r="G32" s="615"/>
      <c r="H32" s="266" t="s">
        <v>123</v>
      </c>
      <c r="I32" s="598"/>
      <c r="J32" s="276" t="s">
        <v>124</v>
      </c>
      <c r="K32" s="276" t="s">
        <v>116</v>
      </c>
      <c r="L32" s="300">
        <v>44593</v>
      </c>
      <c r="M32" s="300">
        <v>44925</v>
      </c>
      <c r="N32" s="300">
        <v>44652</v>
      </c>
      <c r="O32" s="301">
        <f t="shared" si="0"/>
        <v>0.17771084337349397</v>
      </c>
      <c r="P32" s="301">
        <f t="shared" si="1"/>
        <v>0.17771084337349397</v>
      </c>
      <c r="Q32" s="302">
        <v>1</v>
      </c>
      <c r="R32" s="303">
        <v>0.25</v>
      </c>
      <c r="S32" s="303">
        <v>0.5</v>
      </c>
      <c r="T32" s="303">
        <v>0.75</v>
      </c>
      <c r="U32" s="303">
        <v>1</v>
      </c>
      <c r="V32" s="303"/>
      <c r="W32" s="383"/>
      <c r="X32" s="302"/>
      <c r="Y32" s="305"/>
      <c r="Z32" s="306"/>
      <c r="AA32" s="307"/>
      <c r="AB32" s="307"/>
      <c r="AC32" s="306"/>
      <c r="AD32" s="307"/>
      <c r="AE32" s="307"/>
      <c r="AF32" s="306"/>
      <c r="AG32" s="307"/>
      <c r="AH32" s="307"/>
      <c r="AI32" s="309"/>
      <c r="AJ32" s="282"/>
    </row>
    <row r="33" spans="1:35" ht="90.75" customHeight="1" outlineLevel="1" x14ac:dyDescent="0.2">
      <c r="A33" s="527"/>
      <c r="B33" s="433" t="s">
        <v>52</v>
      </c>
      <c r="C33" s="433" t="s">
        <v>53</v>
      </c>
      <c r="D33" s="508" t="s">
        <v>125</v>
      </c>
      <c r="E33" s="453" t="s">
        <v>55</v>
      </c>
      <c r="F33" s="453" t="s">
        <v>56</v>
      </c>
      <c r="G33" s="595" t="s">
        <v>126</v>
      </c>
      <c r="H33" s="287" t="s">
        <v>127</v>
      </c>
      <c r="I33" s="595" t="s">
        <v>56</v>
      </c>
      <c r="J33" s="276" t="s">
        <v>128</v>
      </c>
      <c r="K33" s="399">
        <v>32600000</v>
      </c>
      <c r="L33" s="300">
        <v>44593</v>
      </c>
      <c r="M33" s="300">
        <v>44925</v>
      </c>
      <c r="N33" s="300">
        <v>44652</v>
      </c>
      <c r="O33" s="301">
        <f t="shared" si="0"/>
        <v>0.17771084337349397</v>
      </c>
      <c r="P33" s="301">
        <f t="shared" si="1"/>
        <v>0.17771084337349397</v>
      </c>
      <c r="Q33" s="302">
        <v>1</v>
      </c>
      <c r="R33" s="303">
        <v>0.25</v>
      </c>
      <c r="S33" s="303">
        <v>0.5</v>
      </c>
      <c r="T33" s="303">
        <v>0.75</v>
      </c>
      <c r="U33" s="303">
        <v>1</v>
      </c>
      <c r="V33" s="303"/>
      <c r="W33" s="383"/>
      <c r="X33" s="302"/>
      <c r="Y33" s="305"/>
      <c r="Z33" s="306"/>
      <c r="AA33" s="307"/>
      <c r="AB33" s="307"/>
      <c r="AC33" s="306"/>
      <c r="AD33" s="307"/>
      <c r="AE33" s="307"/>
      <c r="AF33" s="306"/>
      <c r="AG33" s="307"/>
      <c r="AH33" s="307"/>
      <c r="AI33" s="308"/>
    </row>
    <row r="34" spans="1:35" ht="56.25" customHeight="1" outlineLevel="1" x14ac:dyDescent="0.2">
      <c r="A34" s="527"/>
      <c r="B34" s="433"/>
      <c r="C34" s="433"/>
      <c r="D34" s="509"/>
      <c r="E34" s="455"/>
      <c r="F34" s="455"/>
      <c r="G34" s="596"/>
      <c r="H34" s="287" t="s">
        <v>129</v>
      </c>
      <c r="I34" s="596"/>
      <c r="J34" s="276" t="s">
        <v>128</v>
      </c>
      <c r="K34" s="399" t="s">
        <v>61</v>
      </c>
      <c r="L34" s="300">
        <v>44593</v>
      </c>
      <c r="M34" s="300">
        <v>44925</v>
      </c>
      <c r="N34" s="300">
        <v>44652</v>
      </c>
      <c r="O34" s="301">
        <f t="shared" si="0"/>
        <v>0.17771084337349397</v>
      </c>
      <c r="P34" s="301">
        <f t="shared" si="1"/>
        <v>0.17771084337349397</v>
      </c>
      <c r="Q34" s="302">
        <v>1</v>
      </c>
      <c r="R34" s="303">
        <v>0.25</v>
      </c>
      <c r="S34" s="303">
        <v>0.5</v>
      </c>
      <c r="T34" s="303">
        <v>0.75</v>
      </c>
      <c r="U34" s="303">
        <v>1</v>
      </c>
      <c r="V34" s="303"/>
      <c r="W34" s="383"/>
      <c r="X34" s="302"/>
      <c r="Y34" s="305"/>
      <c r="Z34" s="306"/>
      <c r="AA34" s="307"/>
      <c r="AB34" s="307"/>
      <c r="AC34" s="306"/>
      <c r="AD34" s="307"/>
      <c r="AE34" s="307"/>
      <c r="AF34" s="306"/>
      <c r="AG34" s="307"/>
      <c r="AH34" s="307"/>
      <c r="AI34" s="308"/>
    </row>
    <row r="35" spans="1:35" ht="75" customHeight="1" outlineLevel="1" x14ac:dyDescent="0.2">
      <c r="A35" s="527"/>
      <c r="B35" s="433"/>
      <c r="C35" s="433"/>
      <c r="D35" s="509"/>
      <c r="E35" s="455"/>
      <c r="F35" s="455"/>
      <c r="G35" s="596"/>
      <c r="H35" s="287" t="s">
        <v>130</v>
      </c>
      <c r="I35" s="596"/>
      <c r="J35" s="276" t="s">
        <v>131</v>
      </c>
      <c r="K35" s="276" t="s">
        <v>61</v>
      </c>
      <c r="L35" s="300">
        <v>44593</v>
      </c>
      <c r="M35" s="300">
        <v>44925</v>
      </c>
      <c r="N35" s="300">
        <v>44652</v>
      </c>
      <c r="O35" s="301">
        <f t="shared" si="0"/>
        <v>0.17771084337349397</v>
      </c>
      <c r="P35" s="301">
        <f t="shared" si="1"/>
        <v>0.17771084337349397</v>
      </c>
      <c r="Q35" s="302">
        <v>1</v>
      </c>
      <c r="R35" s="303">
        <v>0.25</v>
      </c>
      <c r="S35" s="303">
        <v>0.5</v>
      </c>
      <c r="T35" s="303">
        <v>0.75</v>
      </c>
      <c r="U35" s="303">
        <v>1</v>
      </c>
      <c r="V35" s="303"/>
      <c r="W35" s="383"/>
      <c r="X35" s="302"/>
      <c r="Y35" s="305"/>
      <c r="Z35" s="306"/>
      <c r="AA35" s="307"/>
      <c r="AB35" s="307"/>
      <c r="AC35" s="306"/>
      <c r="AD35" s="307"/>
      <c r="AE35" s="307"/>
      <c r="AF35" s="306"/>
      <c r="AG35" s="307"/>
      <c r="AH35" s="307"/>
      <c r="AI35" s="308"/>
    </row>
    <row r="36" spans="1:35" ht="56.25" customHeight="1" outlineLevel="1" x14ac:dyDescent="0.2">
      <c r="A36" s="527"/>
      <c r="B36" s="433"/>
      <c r="C36" s="433"/>
      <c r="D36" s="509"/>
      <c r="E36" s="455"/>
      <c r="F36" s="455"/>
      <c r="G36" s="596"/>
      <c r="H36" s="287" t="s">
        <v>132</v>
      </c>
      <c r="I36" s="596"/>
      <c r="J36" s="276" t="s">
        <v>133</v>
      </c>
      <c r="K36" s="399">
        <v>41800000</v>
      </c>
      <c r="L36" s="300">
        <v>44593</v>
      </c>
      <c r="M36" s="300">
        <v>44925</v>
      </c>
      <c r="N36" s="300">
        <v>44652</v>
      </c>
      <c r="O36" s="301">
        <f t="shared" si="0"/>
        <v>0.17771084337349397</v>
      </c>
      <c r="P36" s="301">
        <f t="shared" si="1"/>
        <v>0.17771084337349397</v>
      </c>
      <c r="Q36" s="302">
        <v>1</v>
      </c>
      <c r="R36" s="303">
        <v>0.25</v>
      </c>
      <c r="S36" s="303">
        <v>0.5</v>
      </c>
      <c r="T36" s="303">
        <v>0.75</v>
      </c>
      <c r="U36" s="303">
        <v>1</v>
      </c>
      <c r="V36" s="303"/>
      <c r="W36" s="383"/>
      <c r="X36" s="302"/>
      <c r="Y36" s="305"/>
      <c r="Z36" s="306"/>
      <c r="AA36" s="307"/>
      <c r="AB36" s="307"/>
      <c r="AC36" s="306"/>
      <c r="AD36" s="307"/>
      <c r="AE36" s="307"/>
      <c r="AF36" s="306"/>
      <c r="AG36" s="307"/>
      <c r="AH36" s="307"/>
      <c r="AI36" s="308"/>
    </row>
    <row r="37" spans="1:35" ht="46.5" customHeight="1" outlineLevel="1" x14ac:dyDescent="0.2">
      <c r="A37" s="527"/>
      <c r="B37" s="433"/>
      <c r="C37" s="433"/>
      <c r="D37" s="509"/>
      <c r="E37" s="455"/>
      <c r="F37" s="455"/>
      <c r="G37" s="596"/>
      <c r="H37" s="287" t="s">
        <v>134</v>
      </c>
      <c r="I37" s="596"/>
      <c r="J37" s="276" t="s">
        <v>135</v>
      </c>
      <c r="K37" s="276" t="s">
        <v>61</v>
      </c>
      <c r="L37" s="300">
        <v>44593</v>
      </c>
      <c r="M37" s="300">
        <v>44925</v>
      </c>
      <c r="N37" s="300">
        <v>44652</v>
      </c>
      <c r="O37" s="301">
        <f t="shared" si="0"/>
        <v>0.17771084337349397</v>
      </c>
      <c r="P37" s="301">
        <f t="shared" si="1"/>
        <v>0.17771084337349397</v>
      </c>
      <c r="Q37" s="302">
        <v>1</v>
      </c>
      <c r="R37" s="303">
        <v>0.25</v>
      </c>
      <c r="S37" s="303">
        <v>0.5</v>
      </c>
      <c r="T37" s="303">
        <v>0.75</v>
      </c>
      <c r="U37" s="303">
        <v>1</v>
      </c>
      <c r="V37" s="303"/>
      <c r="W37" s="383"/>
      <c r="X37" s="302"/>
      <c r="Y37" s="305"/>
      <c r="Z37" s="306"/>
      <c r="AA37" s="307"/>
      <c r="AB37" s="307"/>
      <c r="AC37" s="306"/>
      <c r="AD37" s="307"/>
      <c r="AE37" s="307"/>
      <c r="AF37" s="306"/>
      <c r="AG37" s="307"/>
      <c r="AH37" s="307"/>
      <c r="AI37" s="308"/>
    </row>
    <row r="38" spans="1:35" ht="56.25" customHeight="1" outlineLevel="1" x14ac:dyDescent="0.2">
      <c r="A38" s="527"/>
      <c r="B38" s="433"/>
      <c r="C38" s="433"/>
      <c r="D38" s="509"/>
      <c r="E38" s="455"/>
      <c r="F38" s="454"/>
      <c r="G38" s="597"/>
      <c r="H38" s="287" t="s">
        <v>136</v>
      </c>
      <c r="I38" s="597"/>
      <c r="J38" s="276" t="s">
        <v>137</v>
      </c>
      <c r="K38" s="276" t="s">
        <v>61</v>
      </c>
      <c r="L38" s="300">
        <v>44593</v>
      </c>
      <c r="M38" s="300">
        <v>44925</v>
      </c>
      <c r="N38" s="300">
        <v>44652</v>
      </c>
      <c r="O38" s="301">
        <f t="shared" si="0"/>
        <v>0.17771084337349397</v>
      </c>
      <c r="P38" s="301">
        <f t="shared" si="1"/>
        <v>0.17771084337349397</v>
      </c>
      <c r="Q38" s="302">
        <v>1</v>
      </c>
      <c r="R38" s="303">
        <v>0.25</v>
      </c>
      <c r="S38" s="303">
        <v>0.5</v>
      </c>
      <c r="T38" s="303">
        <v>0.75</v>
      </c>
      <c r="U38" s="303">
        <v>1</v>
      </c>
      <c r="V38" s="303"/>
      <c r="W38" s="383"/>
      <c r="X38" s="302"/>
      <c r="Y38" s="305"/>
      <c r="Z38" s="306"/>
      <c r="AA38" s="307"/>
      <c r="AB38" s="307"/>
      <c r="AC38" s="306"/>
      <c r="AD38" s="307"/>
      <c r="AE38" s="307"/>
      <c r="AF38" s="306"/>
      <c r="AG38" s="307"/>
      <c r="AH38" s="307"/>
      <c r="AI38" s="308"/>
    </row>
    <row r="39" spans="1:35" ht="131.25" customHeight="1" outlineLevel="1" x14ac:dyDescent="0.2">
      <c r="A39" s="527"/>
      <c r="B39" s="433"/>
      <c r="C39" s="433"/>
      <c r="D39" s="509"/>
      <c r="E39" s="455"/>
      <c r="F39" s="356" t="s">
        <v>139</v>
      </c>
      <c r="G39" s="263" t="s">
        <v>140</v>
      </c>
      <c r="H39" s="263" t="s">
        <v>141</v>
      </c>
      <c r="I39" s="263" t="s">
        <v>142</v>
      </c>
      <c r="J39" s="276" t="s">
        <v>143</v>
      </c>
      <c r="K39" s="276" t="s">
        <v>61</v>
      </c>
      <c r="L39" s="300">
        <v>44593</v>
      </c>
      <c r="M39" s="300">
        <v>44925</v>
      </c>
      <c r="N39" s="300">
        <v>44652</v>
      </c>
      <c r="O39" s="301">
        <f t="shared" si="0"/>
        <v>0.17771084337349397</v>
      </c>
      <c r="P39" s="301">
        <f t="shared" si="1"/>
        <v>0.17771084337349397</v>
      </c>
      <c r="Q39" s="302">
        <v>0.15</v>
      </c>
      <c r="R39" s="303">
        <v>9.5000000000000001E-2</v>
      </c>
      <c r="S39" s="303">
        <v>0.11</v>
      </c>
      <c r="T39" s="303">
        <v>0.13</v>
      </c>
      <c r="U39" s="303">
        <v>0.15</v>
      </c>
      <c r="V39" s="303"/>
      <c r="W39" s="383"/>
      <c r="X39" s="302"/>
      <c r="Y39" s="305"/>
      <c r="Z39" s="306"/>
      <c r="AA39" s="307"/>
      <c r="AB39" s="307"/>
      <c r="AC39" s="306"/>
      <c r="AD39" s="307"/>
      <c r="AE39" s="307"/>
      <c r="AF39" s="306"/>
      <c r="AG39" s="307"/>
      <c r="AH39" s="307"/>
      <c r="AI39" s="308"/>
    </row>
    <row r="40" spans="1:35" ht="75" customHeight="1" outlineLevel="1" x14ac:dyDescent="0.2">
      <c r="A40" s="527"/>
      <c r="B40" s="433"/>
      <c r="C40" s="433"/>
      <c r="D40" s="509"/>
      <c r="E40" s="455"/>
      <c r="F40" s="453" t="s">
        <v>144</v>
      </c>
      <c r="G40" s="263" t="s">
        <v>145</v>
      </c>
      <c r="H40" s="263" t="s">
        <v>146</v>
      </c>
      <c r="I40" s="593" t="s">
        <v>147</v>
      </c>
      <c r="J40" s="276" t="s">
        <v>148</v>
      </c>
      <c r="K40" s="399">
        <v>60000000</v>
      </c>
      <c r="L40" s="300">
        <v>44593</v>
      </c>
      <c r="M40" s="300">
        <v>44925</v>
      </c>
      <c r="N40" s="300">
        <v>44652</v>
      </c>
      <c r="O40" s="301">
        <f t="shared" si="0"/>
        <v>0.17771084337349397</v>
      </c>
      <c r="P40" s="301">
        <f t="shared" si="1"/>
        <v>0.17771084337349397</v>
      </c>
      <c r="Q40" s="302">
        <v>0.5</v>
      </c>
      <c r="R40" s="303">
        <v>0.2</v>
      </c>
      <c r="S40" s="303">
        <v>0.3</v>
      </c>
      <c r="T40" s="303">
        <v>0.4</v>
      </c>
      <c r="U40" s="303">
        <v>0.5</v>
      </c>
      <c r="V40" s="303"/>
      <c r="W40" s="383"/>
      <c r="X40" s="302"/>
      <c r="Y40" s="305"/>
      <c r="Z40" s="306"/>
      <c r="AA40" s="307"/>
      <c r="AB40" s="307"/>
      <c r="AC40" s="306"/>
      <c r="AD40" s="307"/>
      <c r="AE40" s="307"/>
      <c r="AF40" s="306"/>
      <c r="AG40" s="307"/>
      <c r="AH40" s="307"/>
      <c r="AI40" s="308"/>
    </row>
    <row r="41" spans="1:35" ht="46.5" customHeight="1" outlineLevel="1" x14ac:dyDescent="0.2">
      <c r="A41" s="527"/>
      <c r="B41" s="433"/>
      <c r="C41" s="433"/>
      <c r="D41" s="509"/>
      <c r="E41" s="455"/>
      <c r="F41" s="454"/>
      <c r="G41" s="263" t="s">
        <v>149</v>
      </c>
      <c r="H41" s="263" t="s">
        <v>150</v>
      </c>
      <c r="I41" s="594"/>
      <c r="J41" s="276" t="s">
        <v>151</v>
      </c>
      <c r="K41" s="276" t="s">
        <v>61</v>
      </c>
      <c r="L41" s="300">
        <v>44593</v>
      </c>
      <c r="M41" s="300">
        <v>44925</v>
      </c>
      <c r="N41" s="300">
        <v>44652</v>
      </c>
      <c r="O41" s="301">
        <f t="shared" si="0"/>
        <v>0.17771084337349397</v>
      </c>
      <c r="P41" s="301">
        <f t="shared" si="1"/>
        <v>0.17771084337349397</v>
      </c>
      <c r="Q41" s="302">
        <v>1</v>
      </c>
      <c r="R41" s="303">
        <v>0.25</v>
      </c>
      <c r="S41" s="303">
        <v>0.5</v>
      </c>
      <c r="T41" s="303">
        <v>0.75</v>
      </c>
      <c r="U41" s="303">
        <v>1</v>
      </c>
      <c r="V41" s="303"/>
      <c r="W41" s="383"/>
      <c r="X41" s="302"/>
      <c r="Y41" s="305"/>
      <c r="Z41" s="306"/>
      <c r="AA41" s="307"/>
      <c r="AB41" s="307"/>
      <c r="AC41" s="306"/>
      <c r="AD41" s="307"/>
      <c r="AE41" s="307"/>
      <c r="AF41" s="306"/>
      <c r="AG41" s="307"/>
      <c r="AH41" s="307"/>
      <c r="AI41" s="308"/>
    </row>
    <row r="42" spans="1:35" ht="112.5" customHeight="1" outlineLevel="1" x14ac:dyDescent="0.2">
      <c r="A42" s="527"/>
      <c r="B42" s="434"/>
      <c r="C42" s="434"/>
      <c r="D42" s="523"/>
      <c r="E42" s="454"/>
      <c r="F42" s="357" t="s">
        <v>56</v>
      </c>
      <c r="G42" s="273" t="s">
        <v>152</v>
      </c>
      <c r="H42" s="263" t="s">
        <v>153</v>
      </c>
      <c r="I42" s="273" t="s">
        <v>59</v>
      </c>
      <c r="J42" s="276" t="s">
        <v>154</v>
      </c>
      <c r="K42" s="276" t="s">
        <v>61</v>
      </c>
      <c r="L42" s="300">
        <v>44593</v>
      </c>
      <c r="M42" s="300">
        <v>44925</v>
      </c>
      <c r="N42" s="300">
        <v>44652</v>
      </c>
      <c r="O42" s="301">
        <f t="shared" si="0"/>
        <v>0.17771084337349397</v>
      </c>
      <c r="P42" s="301">
        <f t="shared" si="1"/>
        <v>0.17771084337349397</v>
      </c>
      <c r="Q42" s="302">
        <v>0.87</v>
      </c>
      <c r="R42" s="303">
        <v>0.87</v>
      </c>
      <c r="S42" s="303">
        <v>0.87</v>
      </c>
      <c r="T42" s="303">
        <v>0.87</v>
      </c>
      <c r="U42" s="303">
        <v>0.87</v>
      </c>
      <c r="V42" s="303"/>
      <c r="W42" s="383"/>
      <c r="X42" s="302"/>
      <c r="Y42" s="305"/>
      <c r="Z42" s="306"/>
      <c r="AA42" s="307"/>
      <c r="AB42" s="307"/>
      <c r="AC42" s="306"/>
      <c r="AD42" s="307"/>
      <c r="AE42" s="307"/>
      <c r="AF42" s="306"/>
      <c r="AG42" s="307"/>
      <c r="AH42" s="307"/>
      <c r="AI42" s="308"/>
    </row>
    <row r="43" spans="1:35" ht="90" customHeight="1" outlineLevel="1" x14ac:dyDescent="0.2">
      <c r="A43" s="527"/>
      <c r="B43" s="432" t="s">
        <v>52</v>
      </c>
      <c r="C43" s="432" t="s">
        <v>53</v>
      </c>
      <c r="D43" s="448" t="s">
        <v>155</v>
      </c>
      <c r="E43" s="444" t="s">
        <v>156</v>
      </c>
      <c r="F43" s="444" t="s">
        <v>157</v>
      </c>
      <c r="G43" s="446" t="s">
        <v>158</v>
      </c>
      <c r="H43" s="3" t="s">
        <v>159</v>
      </c>
      <c r="I43" s="590" t="s">
        <v>160</v>
      </c>
      <c r="J43" s="276" t="s">
        <v>161</v>
      </c>
      <c r="K43" s="399">
        <v>26600000</v>
      </c>
      <c r="L43" s="300">
        <v>44593</v>
      </c>
      <c r="M43" s="300">
        <v>44925</v>
      </c>
      <c r="N43" s="300">
        <v>44652</v>
      </c>
      <c r="O43" s="301">
        <f t="shared" si="0"/>
        <v>0.17771084337349397</v>
      </c>
      <c r="P43" s="301">
        <f t="shared" si="1"/>
        <v>0.17771084337349397</v>
      </c>
      <c r="Q43" s="302">
        <v>1</v>
      </c>
      <c r="R43" s="303">
        <v>0.25</v>
      </c>
      <c r="S43" s="303">
        <v>0.5</v>
      </c>
      <c r="T43" s="303">
        <v>0.75</v>
      </c>
      <c r="U43" s="303">
        <v>1</v>
      </c>
      <c r="V43" s="303"/>
      <c r="W43" s="383"/>
      <c r="X43" s="302"/>
      <c r="Y43" s="305"/>
      <c r="Z43" s="306"/>
      <c r="AA43" s="307"/>
      <c r="AB43" s="307"/>
      <c r="AC43" s="306"/>
      <c r="AD43" s="307"/>
      <c r="AE43" s="307"/>
      <c r="AF43" s="306"/>
      <c r="AG43" s="307"/>
      <c r="AH43" s="307"/>
      <c r="AI43" s="308"/>
    </row>
    <row r="44" spans="1:35" ht="56.25" customHeight="1" outlineLevel="1" x14ac:dyDescent="0.2">
      <c r="A44" s="527"/>
      <c r="B44" s="433"/>
      <c r="C44" s="433"/>
      <c r="D44" s="449"/>
      <c r="E44" s="451"/>
      <c r="F44" s="451"/>
      <c r="G44" s="450"/>
      <c r="H44" s="3" t="s">
        <v>162</v>
      </c>
      <c r="I44" s="591"/>
      <c r="J44" s="276" t="s">
        <v>163</v>
      </c>
      <c r="K44" s="276" t="s">
        <v>61</v>
      </c>
      <c r="L44" s="300">
        <v>44593</v>
      </c>
      <c r="M44" s="300">
        <v>44925</v>
      </c>
      <c r="N44" s="300">
        <v>44652</v>
      </c>
      <c r="O44" s="301">
        <f t="shared" si="0"/>
        <v>0.17771084337349397</v>
      </c>
      <c r="P44" s="301">
        <f t="shared" si="1"/>
        <v>0.17771084337349397</v>
      </c>
      <c r="Q44" s="302">
        <v>1</v>
      </c>
      <c r="R44" s="303">
        <v>0.25</v>
      </c>
      <c r="S44" s="303">
        <v>0.5</v>
      </c>
      <c r="T44" s="303">
        <v>0.75</v>
      </c>
      <c r="U44" s="303">
        <v>1</v>
      </c>
      <c r="V44" s="303"/>
      <c r="W44" s="383"/>
      <c r="X44" s="302"/>
      <c r="Y44" s="305"/>
      <c r="Z44" s="306"/>
      <c r="AA44" s="307"/>
      <c r="AB44" s="307"/>
      <c r="AC44" s="306"/>
      <c r="AD44" s="307"/>
      <c r="AE44" s="307"/>
      <c r="AF44" s="306"/>
      <c r="AG44" s="307"/>
      <c r="AH44" s="307"/>
      <c r="AI44" s="308"/>
    </row>
    <row r="45" spans="1:35" ht="112.5" customHeight="1" outlineLevel="1" x14ac:dyDescent="0.2">
      <c r="A45" s="527"/>
      <c r="B45" s="433"/>
      <c r="C45" s="433"/>
      <c r="D45" s="449"/>
      <c r="E45" s="451"/>
      <c r="F45" s="451"/>
      <c r="G45" s="450"/>
      <c r="H45" s="3" t="s">
        <v>164</v>
      </c>
      <c r="I45" s="591"/>
      <c r="J45" s="276" t="s">
        <v>165</v>
      </c>
      <c r="K45" s="276" t="s">
        <v>61</v>
      </c>
      <c r="L45" s="300">
        <v>44593</v>
      </c>
      <c r="M45" s="300">
        <v>44925</v>
      </c>
      <c r="N45" s="300">
        <v>44652</v>
      </c>
      <c r="O45" s="301">
        <f t="shared" si="0"/>
        <v>0.17771084337349397</v>
      </c>
      <c r="P45" s="301">
        <f t="shared" si="1"/>
        <v>0.17771084337349397</v>
      </c>
      <c r="Q45" s="302">
        <v>1</v>
      </c>
      <c r="R45" s="303">
        <v>0.25</v>
      </c>
      <c r="S45" s="303">
        <v>0.5</v>
      </c>
      <c r="T45" s="303">
        <v>0.75</v>
      </c>
      <c r="U45" s="303">
        <v>1</v>
      </c>
      <c r="V45" s="303"/>
      <c r="W45" s="383"/>
      <c r="X45" s="302"/>
      <c r="Y45" s="305"/>
      <c r="Z45" s="306"/>
      <c r="AA45" s="307"/>
      <c r="AB45" s="307"/>
      <c r="AC45" s="306"/>
      <c r="AD45" s="307"/>
      <c r="AE45" s="307"/>
      <c r="AF45" s="306"/>
      <c r="AG45" s="307"/>
      <c r="AH45" s="307"/>
      <c r="AI45" s="308"/>
    </row>
    <row r="46" spans="1:35" ht="56.25" customHeight="1" outlineLevel="1" x14ac:dyDescent="0.2">
      <c r="A46" s="527"/>
      <c r="B46" s="433"/>
      <c r="C46" s="433"/>
      <c r="D46" s="449"/>
      <c r="E46" s="451"/>
      <c r="F46" s="451"/>
      <c r="G46" s="450"/>
      <c r="H46" s="3" t="s">
        <v>166</v>
      </c>
      <c r="I46" s="591"/>
      <c r="J46" s="276" t="s">
        <v>167</v>
      </c>
      <c r="K46" s="276" t="s">
        <v>61</v>
      </c>
      <c r="L46" s="300">
        <v>44593</v>
      </c>
      <c r="M46" s="300">
        <v>44925</v>
      </c>
      <c r="N46" s="300">
        <v>44652</v>
      </c>
      <c r="O46" s="301">
        <f t="shared" si="0"/>
        <v>0.17771084337349397</v>
      </c>
      <c r="P46" s="301">
        <f t="shared" si="1"/>
        <v>0.17771084337349397</v>
      </c>
      <c r="Q46" s="302">
        <v>1</v>
      </c>
      <c r="R46" s="303">
        <v>0.25</v>
      </c>
      <c r="S46" s="303">
        <v>0.5</v>
      </c>
      <c r="T46" s="303">
        <v>0.75</v>
      </c>
      <c r="U46" s="303">
        <v>1</v>
      </c>
      <c r="V46" s="303"/>
      <c r="W46" s="383"/>
      <c r="X46" s="302"/>
      <c r="Y46" s="305"/>
      <c r="Z46" s="306"/>
      <c r="AA46" s="307"/>
      <c r="AB46" s="307"/>
      <c r="AC46" s="306"/>
      <c r="AD46" s="307"/>
      <c r="AE46" s="307"/>
      <c r="AF46" s="306"/>
      <c r="AG46" s="307"/>
      <c r="AH46" s="307"/>
      <c r="AI46" s="308"/>
    </row>
    <row r="47" spans="1:35" ht="56.25" customHeight="1" outlineLevel="1" x14ac:dyDescent="0.2">
      <c r="A47" s="527"/>
      <c r="B47" s="434"/>
      <c r="C47" s="434"/>
      <c r="D47" s="472"/>
      <c r="E47" s="445"/>
      <c r="F47" s="445"/>
      <c r="G47" s="447"/>
      <c r="H47" s="3" t="s">
        <v>168</v>
      </c>
      <c r="I47" s="592"/>
      <c r="J47" s="276" t="s">
        <v>169</v>
      </c>
      <c r="K47" s="276" t="s">
        <v>61</v>
      </c>
      <c r="L47" s="300">
        <v>44593</v>
      </c>
      <c r="M47" s="300">
        <v>44925</v>
      </c>
      <c r="N47" s="300">
        <v>44652</v>
      </c>
      <c r="O47" s="301">
        <f t="shared" si="0"/>
        <v>0.17771084337349397</v>
      </c>
      <c r="P47" s="301">
        <f t="shared" si="1"/>
        <v>0.17771084337349397</v>
      </c>
      <c r="Q47" s="302">
        <v>1</v>
      </c>
      <c r="R47" s="303">
        <v>0.25</v>
      </c>
      <c r="S47" s="303">
        <v>0.5</v>
      </c>
      <c r="T47" s="303">
        <v>0.75</v>
      </c>
      <c r="U47" s="303">
        <v>1</v>
      </c>
      <c r="V47" s="303"/>
      <c r="W47" s="383"/>
      <c r="X47" s="302"/>
      <c r="Y47" s="305"/>
      <c r="Z47" s="306"/>
      <c r="AA47" s="307"/>
      <c r="AB47" s="307"/>
      <c r="AC47" s="306"/>
      <c r="AD47" s="307"/>
      <c r="AE47" s="307"/>
      <c r="AF47" s="306"/>
      <c r="AG47" s="307"/>
      <c r="AH47" s="307"/>
      <c r="AI47" s="308"/>
    </row>
    <row r="48" spans="1:35" ht="90" customHeight="1" outlineLevel="1" x14ac:dyDescent="0.2">
      <c r="A48" s="527"/>
      <c r="B48" s="432" t="s">
        <v>52</v>
      </c>
      <c r="C48" s="432" t="s">
        <v>53</v>
      </c>
      <c r="D48" s="481" t="s">
        <v>170</v>
      </c>
      <c r="E48" s="481" t="s">
        <v>156</v>
      </c>
      <c r="F48" s="481" t="s">
        <v>157</v>
      </c>
      <c r="G48" s="637" t="s">
        <v>171</v>
      </c>
      <c r="H48" s="264" t="s">
        <v>172</v>
      </c>
      <c r="I48" s="640" t="s">
        <v>160</v>
      </c>
      <c r="J48" s="276" t="s">
        <v>173</v>
      </c>
      <c r="K48" s="400">
        <v>47000000</v>
      </c>
      <c r="L48" s="300">
        <v>44593</v>
      </c>
      <c r="M48" s="300">
        <v>44925</v>
      </c>
      <c r="N48" s="300">
        <v>44652</v>
      </c>
      <c r="O48" s="301">
        <f t="shared" si="0"/>
        <v>0.17771084337349397</v>
      </c>
      <c r="P48" s="301">
        <f t="shared" si="1"/>
        <v>0.17771084337349397</v>
      </c>
      <c r="Q48" s="302">
        <v>1</v>
      </c>
      <c r="R48" s="303">
        <v>0.25</v>
      </c>
      <c r="S48" s="303">
        <v>0.5</v>
      </c>
      <c r="T48" s="303">
        <v>0.75</v>
      </c>
      <c r="U48" s="303">
        <v>1</v>
      </c>
      <c r="V48" s="303"/>
      <c r="W48" s="383"/>
      <c r="X48" s="302"/>
      <c r="Y48" s="305"/>
      <c r="Z48" s="306"/>
      <c r="AA48" s="307"/>
      <c r="AB48" s="307"/>
      <c r="AC48" s="306"/>
      <c r="AD48" s="307"/>
      <c r="AE48" s="307"/>
      <c r="AF48" s="306"/>
      <c r="AG48" s="307"/>
      <c r="AH48" s="307"/>
      <c r="AI48" s="308"/>
    </row>
    <row r="49" spans="1:35" ht="56.25" customHeight="1" outlineLevel="1" x14ac:dyDescent="0.2">
      <c r="A49" s="527"/>
      <c r="B49" s="433"/>
      <c r="C49" s="433"/>
      <c r="D49" s="482"/>
      <c r="E49" s="482"/>
      <c r="F49" s="482"/>
      <c r="G49" s="638"/>
      <c r="H49" s="264" t="s">
        <v>174</v>
      </c>
      <c r="I49" s="641"/>
      <c r="J49" s="276" t="s">
        <v>173</v>
      </c>
      <c r="K49" s="288" t="s">
        <v>61</v>
      </c>
      <c r="L49" s="300">
        <v>44593</v>
      </c>
      <c r="M49" s="300">
        <v>44925</v>
      </c>
      <c r="N49" s="300">
        <v>44652</v>
      </c>
      <c r="O49" s="301">
        <f t="shared" si="0"/>
        <v>0.17771084337349397</v>
      </c>
      <c r="P49" s="301">
        <f t="shared" si="1"/>
        <v>0.17771084337349397</v>
      </c>
      <c r="Q49" s="302">
        <v>1</v>
      </c>
      <c r="R49" s="303">
        <v>0.25</v>
      </c>
      <c r="S49" s="303">
        <v>0.5</v>
      </c>
      <c r="T49" s="303">
        <v>0.75</v>
      </c>
      <c r="U49" s="303">
        <v>1</v>
      </c>
      <c r="V49" s="303"/>
      <c r="W49" s="383"/>
      <c r="X49" s="302"/>
      <c r="Y49" s="305"/>
      <c r="Z49" s="306"/>
      <c r="AA49" s="307"/>
      <c r="AB49" s="307"/>
      <c r="AC49" s="306"/>
      <c r="AD49" s="307"/>
      <c r="AE49" s="307"/>
      <c r="AF49" s="306"/>
      <c r="AG49" s="307"/>
      <c r="AH49" s="307"/>
      <c r="AI49" s="308"/>
    </row>
    <row r="50" spans="1:35" ht="56.25" customHeight="1" outlineLevel="1" x14ac:dyDescent="0.2">
      <c r="A50" s="527"/>
      <c r="B50" s="433"/>
      <c r="C50" s="433"/>
      <c r="D50" s="482"/>
      <c r="E50" s="482"/>
      <c r="F50" s="482"/>
      <c r="G50" s="638"/>
      <c r="H50" s="264" t="s">
        <v>175</v>
      </c>
      <c r="I50" s="641"/>
      <c r="J50" s="276" t="s">
        <v>176</v>
      </c>
      <c r="K50" s="288" t="s">
        <v>61</v>
      </c>
      <c r="L50" s="300">
        <v>44593</v>
      </c>
      <c r="M50" s="300">
        <v>44925</v>
      </c>
      <c r="N50" s="300">
        <v>44652</v>
      </c>
      <c r="O50" s="301">
        <f t="shared" si="0"/>
        <v>0.17771084337349397</v>
      </c>
      <c r="P50" s="301">
        <f t="shared" si="1"/>
        <v>0.17771084337349397</v>
      </c>
      <c r="Q50" s="302">
        <v>1</v>
      </c>
      <c r="R50" s="303">
        <v>0.25</v>
      </c>
      <c r="S50" s="303">
        <v>0.5</v>
      </c>
      <c r="T50" s="303">
        <v>0.75</v>
      </c>
      <c r="U50" s="303">
        <v>1</v>
      </c>
      <c r="V50" s="303"/>
      <c r="W50" s="383"/>
      <c r="X50" s="302"/>
      <c r="Y50" s="305"/>
      <c r="Z50" s="306"/>
      <c r="AA50" s="307"/>
      <c r="AB50" s="307"/>
      <c r="AC50" s="306"/>
      <c r="AD50" s="307"/>
      <c r="AE50" s="307"/>
      <c r="AF50" s="306"/>
      <c r="AG50" s="307"/>
      <c r="AH50" s="307"/>
      <c r="AI50" s="308"/>
    </row>
    <row r="51" spans="1:35" ht="46.5" customHeight="1" outlineLevel="1" x14ac:dyDescent="0.2">
      <c r="A51" s="527"/>
      <c r="B51" s="433"/>
      <c r="C51" s="433"/>
      <c r="D51" s="482"/>
      <c r="E51" s="482"/>
      <c r="F51" s="482"/>
      <c r="G51" s="638"/>
      <c r="H51" s="264" t="s">
        <v>177</v>
      </c>
      <c r="I51" s="641"/>
      <c r="J51" s="276" t="s">
        <v>178</v>
      </c>
      <c r="K51" s="288"/>
      <c r="L51" s="300">
        <v>44593</v>
      </c>
      <c r="M51" s="300">
        <v>44925</v>
      </c>
      <c r="N51" s="300">
        <v>44652</v>
      </c>
      <c r="O51" s="301">
        <f t="shared" si="0"/>
        <v>0.17771084337349397</v>
      </c>
      <c r="P51" s="301">
        <f t="shared" si="1"/>
        <v>0.17771084337349397</v>
      </c>
      <c r="Q51" s="302">
        <v>1</v>
      </c>
      <c r="R51" s="303">
        <v>0.25</v>
      </c>
      <c r="S51" s="303">
        <v>0.5</v>
      </c>
      <c r="T51" s="303">
        <v>0.75</v>
      </c>
      <c r="U51" s="303">
        <v>1</v>
      </c>
      <c r="V51" s="303"/>
      <c r="W51" s="383"/>
      <c r="X51" s="302"/>
      <c r="Y51" s="305"/>
      <c r="Z51" s="306"/>
      <c r="AA51" s="307"/>
      <c r="AB51" s="307"/>
      <c r="AC51" s="306"/>
      <c r="AD51" s="307"/>
      <c r="AE51" s="307"/>
      <c r="AF51" s="306"/>
      <c r="AG51" s="307"/>
      <c r="AH51" s="307"/>
      <c r="AI51" s="308"/>
    </row>
    <row r="52" spans="1:35" ht="56.25" customHeight="1" outlineLevel="1" x14ac:dyDescent="0.2">
      <c r="A52" s="527"/>
      <c r="B52" s="433"/>
      <c r="C52" s="433"/>
      <c r="D52" s="482"/>
      <c r="E52" s="482"/>
      <c r="F52" s="482"/>
      <c r="G52" s="638"/>
      <c r="H52" s="264" t="s">
        <v>179</v>
      </c>
      <c r="I52" s="641"/>
      <c r="J52" s="276" t="s">
        <v>180</v>
      </c>
      <c r="K52" s="288" t="s">
        <v>61</v>
      </c>
      <c r="L52" s="300">
        <v>44593</v>
      </c>
      <c r="M52" s="300">
        <v>44925</v>
      </c>
      <c r="N52" s="300">
        <v>44652</v>
      </c>
      <c r="O52" s="301">
        <f t="shared" si="0"/>
        <v>0.17771084337349397</v>
      </c>
      <c r="P52" s="301">
        <f t="shared" si="1"/>
        <v>0.17771084337349397</v>
      </c>
      <c r="Q52" s="302">
        <v>1</v>
      </c>
      <c r="R52" s="303">
        <v>0.25</v>
      </c>
      <c r="S52" s="303">
        <v>0.5</v>
      </c>
      <c r="T52" s="303">
        <v>0.75</v>
      </c>
      <c r="U52" s="303">
        <v>1</v>
      </c>
      <c r="V52" s="303"/>
      <c r="W52" s="383"/>
      <c r="X52" s="302"/>
      <c r="Y52" s="305"/>
      <c r="Z52" s="306"/>
      <c r="AA52" s="307"/>
      <c r="AB52" s="307"/>
      <c r="AC52" s="306"/>
      <c r="AD52" s="307"/>
      <c r="AE52" s="307"/>
      <c r="AF52" s="306"/>
      <c r="AG52" s="307"/>
      <c r="AH52" s="307"/>
      <c r="AI52" s="308"/>
    </row>
    <row r="53" spans="1:35" ht="56.25" customHeight="1" outlineLevel="1" x14ac:dyDescent="0.2">
      <c r="A53" s="527"/>
      <c r="B53" s="433"/>
      <c r="C53" s="433"/>
      <c r="D53" s="482"/>
      <c r="E53" s="482"/>
      <c r="F53" s="482"/>
      <c r="G53" s="638"/>
      <c r="H53" s="264" t="s">
        <v>181</v>
      </c>
      <c r="I53" s="641"/>
      <c r="J53" s="300" t="s">
        <v>182</v>
      </c>
      <c r="K53" s="288" t="s">
        <v>61</v>
      </c>
      <c r="L53" s="300">
        <v>44593</v>
      </c>
      <c r="M53" s="300">
        <v>44925</v>
      </c>
      <c r="N53" s="300">
        <v>44652</v>
      </c>
      <c r="O53" s="301">
        <f t="shared" si="0"/>
        <v>0.17771084337349397</v>
      </c>
      <c r="P53" s="301">
        <f t="shared" si="1"/>
        <v>0.17771084337349397</v>
      </c>
      <c r="Q53" s="302">
        <v>1</v>
      </c>
      <c r="R53" s="303">
        <v>0.25</v>
      </c>
      <c r="S53" s="303">
        <v>0.5</v>
      </c>
      <c r="T53" s="303">
        <v>0.75</v>
      </c>
      <c r="U53" s="303">
        <v>1</v>
      </c>
      <c r="V53" s="303"/>
      <c r="W53" s="383"/>
      <c r="X53" s="302"/>
      <c r="Y53" s="305"/>
      <c r="Z53" s="306"/>
      <c r="AA53" s="307"/>
      <c r="AB53" s="307"/>
      <c r="AC53" s="306"/>
      <c r="AD53" s="307"/>
      <c r="AE53" s="307"/>
      <c r="AF53" s="306"/>
      <c r="AG53" s="307"/>
      <c r="AH53" s="307"/>
      <c r="AI53" s="308"/>
    </row>
    <row r="54" spans="1:35" ht="75" customHeight="1" outlineLevel="1" x14ac:dyDescent="0.2">
      <c r="A54" s="527"/>
      <c r="B54" s="433"/>
      <c r="C54" s="433"/>
      <c r="D54" s="482"/>
      <c r="E54" s="482"/>
      <c r="F54" s="482"/>
      <c r="G54" s="639"/>
      <c r="H54" s="264" t="s">
        <v>183</v>
      </c>
      <c r="I54" s="642"/>
      <c r="J54" s="300" t="s">
        <v>184</v>
      </c>
      <c r="K54" s="288" t="s">
        <v>61</v>
      </c>
      <c r="L54" s="300">
        <v>44593</v>
      </c>
      <c r="M54" s="300">
        <v>44925</v>
      </c>
      <c r="N54" s="300">
        <v>44652</v>
      </c>
      <c r="O54" s="301">
        <f t="shared" si="0"/>
        <v>0.17771084337349397</v>
      </c>
      <c r="P54" s="301">
        <f t="shared" si="1"/>
        <v>0.17771084337349397</v>
      </c>
      <c r="Q54" s="302">
        <v>1</v>
      </c>
      <c r="R54" s="303">
        <v>0.25</v>
      </c>
      <c r="S54" s="303">
        <v>0.5</v>
      </c>
      <c r="T54" s="303">
        <v>0.75</v>
      </c>
      <c r="U54" s="303">
        <v>1</v>
      </c>
      <c r="V54" s="303"/>
      <c r="W54" s="383"/>
      <c r="X54" s="302"/>
      <c r="Y54" s="305"/>
      <c r="Z54" s="306"/>
      <c r="AA54" s="307"/>
      <c r="AB54" s="307"/>
      <c r="AC54" s="306"/>
      <c r="AD54" s="307"/>
      <c r="AE54" s="307"/>
      <c r="AF54" s="306"/>
      <c r="AG54" s="307"/>
      <c r="AH54" s="307"/>
      <c r="AI54" s="308"/>
    </row>
    <row r="55" spans="1:35" ht="93.75" customHeight="1" outlineLevel="1" x14ac:dyDescent="0.2">
      <c r="A55" s="527"/>
      <c r="B55" s="434"/>
      <c r="C55" s="434"/>
      <c r="D55" s="482"/>
      <c r="E55" s="483"/>
      <c r="F55" s="483"/>
      <c r="G55" s="5" t="s">
        <v>185</v>
      </c>
      <c r="H55" s="265" t="s">
        <v>186</v>
      </c>
      <c r="I55" s="265" t="s">
        <v>160</v>
      </c>
      <c r="J55" s="276" t="s">
        <v>187</v>
      </c>
      <c r="K55" s="288" t="s">
        <v>61</v>
      </c>
      <c r="L55" s="300">
        <v>44593</v>
      </c>
      <c r="M55" s="300">
        <v>44925</v>
      </c>
      <c r="N55" s="300">
        <v>44652</v>
      </c>
      <c r="O55" s="301">
        <f t="shared" si="0"/>
        <v>0.17771084337349397</v>
      </c>
      <c r="P55" s="301">
        <f t="shared" si="1"/>
        <v>0.17771084337349397</v>
      </c>
      <c r="Q55" s="302">
        <v>0.7</v>
      </c>
      <c r="R55" s="303">
        <v>0.55000000000000004</v>
      </c>
      <c r="S55" s="303">
        <v>0.6</v>
      </c>
      <c r="T55" s="303">
        <v>0.65</v>
      </c>
      <c r="U55" s="303">
        <v>0.7</v>
      </c>
      <c r="V55" s="303"/>
      <c r="W55" s="383"/>
      <c r="X55" s="302"/>
      <c r="Y55" s="305"/>
      <c r="Z55" s="306"/>
      <c r="AA55" s="307"/>
      <c r="AB55" s="307"/>
      <c r="AC55" s="306"/>
      <c r="AD55" s="307"/>
      <c r="AE55" s="307"/>
      <c r="AF55" s="306"/>
      <c r="AG55" s="307"/>
      <c r="AH55" s="307"/>
      <c r="AI55" s="308"/>
    </row>
    <row r="56" spans="1:35" ht="56.25" customHeight="1" outlineLevel="1" x14ac:dyDescent="0.2">
      <c r="A56" s="527"/>
      <c r="B56" s="595" t="s">
        <v>52</v>
      </c>
      <c r="C56" s="595" t="s">
        <v>188</v>
      </c>
      <c r="D56" s="643" t="s">
        <v>189</v>
      </c>
      <c r="E56" s="644" t="s">
        <v>190</v>
      </c>
      <c r="F56" s="644" t="s">
        <v>191</v>
      </c>
      <c r="G56" s="608"/>
      <c r="H56" s="287" t="s">
        <v>192</v>
      </c>
      <c r="I56" s="649" t="s">
        <v>160</v>
      </c>
      <c r="J56" s="276" t="s">
        <v>1352</v>
      </c>
      <c r="K56" s="288" t="s">
        <v>61</v>
      </c>
      <c r="L56" s="300">
        <v>44593</v>
      </c>
      <c r="M56" s="300">
        <v>44925</v>
      </c>
      <c r="N56" s="300">
        <v>44652</v>
      </c>
      <c r="O56" s="301">
        <f t="shared" si="0"/>
        <v>0.17771084337349397</v>
      </c>
      <c r="P56" s="301">
        <f t="shared" si="1"/>
        <v>0.17771084337349397</v>
      </c>
      <c r="Q56" s="302">
        <v>1</v>
      </c>
      <c r="R56" s="303">
        <v>0.25</v>
      </c>
      <c r="S56" s="303">
        <v>0.5</v>
      </c>
      <c r="T56" s="303">
        <v>0.75</v>
      </c>
      <c r="U56" s="303">
        <v>1</v>
      </c>
      <c r="V56" s="303"/>
      <c r="W56" s="383"/>
      <c r="X56" s="302"/>
      <c r="Y56" s="305"/>
      <c r="Z56" s="306"/>
      <c r="AA56" s="307"/>
      <c r="AB56" s="307"/>
      <c r="AC56" s="306"/>
      <c r="AD56" s="307"/>
      <c r="AE56" s="307"/>
      <c r="AF56" s="306"/>
      <c r="AG56" s="307"/>
      <c r="AH56" s="307"/>
      <c r="AI56" s="308"/>
    </row>
    <row r="57" spans="1:35" ht="46.5" customHeight="1" outlineLevel="1" x14ac:dyDescent="0.2">
      <c r="A57" s="527"/>
      <c r="B57" s="596"/>
      <c r="C57" s="596"/>
      <c r="D57" s="643"/>
      <c r="E57" s="645"/>
      <c r="F57" s="645"/>
      <c r="G57" s="609"/>
      <c r="H57" s="287" t="s">
        <v>193</v>
      </c>
      <c r="I57" s="650"/>
      <c r="J57" s="276" t="s">
        <v>1352</v>
      </c>
      <c r="K57" s="288" t="s">
        <v>61</v>
      </c>
      <c r="L57" s="300">
        <v>44593</v>
      </c>
      <c r="M57" s="300">
        <v>44925</v>
      </c>
      <c r="N57" s="300">
        <v>44652</v>
      </c>
      <c r="O57" s="301">
        <f t="shared" si="0"/>
        <v>0.17771084337349397</v>
      </c>
      <c r="P57" s="301">
        <f t="shared" si="1"/>
        <v>0.17771084337349397</v>
      </c>
      <c r="Q57" s="302">
        <v>1</v>
      </c>
      <c r="R57" s="303">
        <v>0.25</v>
      </c>
      <c r="S57" s="303">
        <v>0.5</v>
      </c>
      <c r="T57" s="303">
        <v>0.75</v>
      </c>
      <c r="U57" s="303">
        <v>1</v>
      </c>
      <c r="V57" s="303"/>
      <c r="W57" s="383"/>
      <c r="X57" s="302"/>
      <c r="Y57" s="305"/>
      <c r="Z57" s="306"/>
      <c r="AA57" s="307"/>
      <c r="AB57" s="307"/>
      <c r="AC57" s="306"/>
      <c r="AD57" s="307"/>
      <c r="AE57" s="307"/>
      <c r="AF57" s="306"/>
      <c r="AG57" s="307"/>
      <c r="AH57" s="307"/>
      <c r="AI57" s="308"/>
    </row>
    <row r="58" spans="1:35" ht="56.25" customHeight="1" outlineLevel="1" x14ac:dyDescent="0.2">
      <c r="A58" s="527"/>
      <c r="B58" s="596"/>
      <c r="C58" s="596"/>
      <c r="D58" s="643"/>
      <c r="E58" s="645"/>
      <c r="F58" s="645"/>
      <c r="G58" s="609"/>
      <c r="H58" s="287" t="s">
        <v>194</v>
      </c>
      <c r="I58" s="650"/>
      <c r="J58" s="276" t="s">
        <v>1352</v>
      </c>
      <c r="K58" s="288" t="s">
        <v>61</v>
      </c>
      <c r="L58" s="300">
        <v>44593</v>
      </c>
      <c r="M58" s="300">
        <v>44925</v>
      </c>
      <c r="N58" s="300">
        <v>44652</v>
      </c>
      <c r="O58" s="301">
        <f t="shared" si="0"/>
        <v>0.17771084337349397</v>
      </c>
      <c r="P58" s="301">
        <f t="shared" si="1"/>
        <v>0.17771084337349397</v>
      </c>
      <c r="Q58" s="302">
        <v>1</v>
      </c>
      <c r="R58" s="303">
        <v>0.25</v>
      </c>
      <c r="S58" s="303">
        <v>0.5</v>
      </c>
      <c r="T58" s="303">
        <v>0.75</v>
      </c>
      <c r="U58" s="303">
        <v>1</v>
      </c>
      <c r="V58" s="303"/>
      <c r="W58" s="383"/>
      <c r="X58" s="302"/>
      <c r="Y58" s="305"/>
      <c r="Z58" s="306"/>
      <c r="AA58" s="307"/>
      <c r="AB58" s="307"/>
      <c r="AC58" s="306"/>
      <c r="AD58" s="307"/>
      <c r="AE58" s="307"/>
      <c r="AF58" s="306"/>
      <c r="AG58" s="307"/>
      <c r="AH58" s="307"/>
      <c r="AI58" s="308"/>
    </row>
    <row r="59" spans="1:35" ht="112.5" customHeight="1" outlineLevel="1" x14ac:dyDescent="0.2">
      <c r="A59" s="527"/>
      <c r="B59" s="596"/>
      <c r="C59" s="596"/>
      <c r="D59" s="643"/>
      <c r="E59" s="645"/>
      <c r="F59" s="645"/>
      <c r="G59" s="609"/>
      <c r="H59" s="287" t="s">
        <v>195</v>
      </c>
      <c r="I59" s="650"/>
      <c r="J59" s="276" t="s">
        <v>1352</v>
      </c>
      <c r="K59" s="288" t="s">
        <v>61</v>
      </c>
      <c r="L59" s="300">
        <v>44593</v>
      </c>
      <c r="M59" s="300">
        <v>44925</v>
      </c>
      <c r="N59" s="300">
        <v>44652</v>
      </c>
      <c r="O59" s="301">
        <f t="shared" si="0"/>
        <v>0.17771084337349397</v>
      </c>
      <c r="P59" s="301">
        <f t="shared" si="1"/>
        <v>0.17771084337349397</v>
      </c>
      <c r="Q59" s="302">
        <v>1</v>
      </c>
      <c r="R59" s="303">
        <v>0.25</v>
      </c>
      <c r="S59" s="303">
        <v>0.5</v>
      </c>
      <c r="T59" s="303">
        <v>0.75</v>
      </c>
      <c r="U59" s="303">
        <v>1</v>
      </c>
      <c r="V59" s="303"/>
      <c r="W59" s="383"/>
      <c r="X59" s="302"/>
      <c r="Y59" s="305"/>
      <c r="Z59" s="306"/>
      <c r="AA59" s="307"/>
      <c r="AB59" s="307"/>
      <c r="AC59" s="306"/>
      <c r="AD59" s="307"/>
      <c r="AE59" s="307"/>
      <c r="AF59" s="306"/>
      <c r="AG59" s="307"/>
      <c r="AH59" s="307"/>
      <c r="AI59" s="308"/>
    </row>
    <row r="60" spans="1:35" ht="56.25" customHeight="1" outlineLevel="1" x14ac:dyDescent="0.2">
      <c r="A60" s="527"/>
      <c r="B60" s="597"/>
      <c r="C60" s="597"/>
      <c r="D60" s="643"/>
      <c r="E60" s="646"/>
      <c r="F60" s="646"/>
      <c r="G60" s="609"/>
      <c r="H60" s="287" t="s">
        <v>196</v>
      </c>
      <c r="I60" s="651"/>
      <c r="J60" s="276" t="s">
        <v>1352</v>
      </c>
      <c r="K60" s="288" t="s">
        <v>61</v>
      </c>
      <c r="L60" s="300">
        <v>44593</v>
      </c>
      <c r="M60" s="300">
        <v>44925</v>
      </c>
      <c r="N60" s="300">
        <v>44652</v>
      </c>
      <c r="O60" s="301">
        <f t="shared" si="0"/>
        <v>0.17771084337349397</v>
      </c>
      <c r="P60" s="301">
        <f t="shared" si="1"/>
        <v>0.17771084337349397</v>
      </c>
      <c r="Q60" s="302">
        <v>1</v>
      </c>
      <c r="R60" s="303">
        <v>0.25</v>
      </c>
      <c r="S60" s="303">
        <v>0.5</v>
      </c>
      <c r="T60" s="303">
        <v>0.75</v>
      </c>
      <c r="U60" s="303">
        <v>1</v>
      </c>
      <c r="V60" s="303"/>
      <c r="W60" s="383"/>
      <c r="X60" s="302"/>
      <c r="Y60" s="305"/>
      <c r="Z60" s="306"/>
      <c r="AA60" s="307"/>
      <c r="AB60" s="307"/>
      <c r="AC60" s="306"/>
      <c r="AD60" s="307"/>
      <c r="AE60" s="307"/>
      <c r="AF60" s="306"/>
      <c r="AG60" s="307"/>
      <c r="AH60" s="307"/>
      <c r="AI60" s="308"/>
    </row>
    <row r="61" spans="1:35" ht="59.25" customHeight="1" outlineLevel="1" x14ac:dyDescent="0.2">
      <c r="A61" s="527"/>
      <c r="B61" s="595" t="s">
        <v>197</v>
      </c>
      <c r="C61" s="595" t="s">
        <v>198</v>
      </c>
      <c r="D61" s="643"/>
      <c r="E61" s="644" t="s">
        <v>199</v>
      </c>
      <c r="F61" s="644" t="s">
        <v>200</v>
      </c>
      <c r="G61" s="609"/>
      <c r="H61" s="287" t="s">
        <v>201</v>
      </c>
      <c r="I61" s="649" t="s">
        <v>202</v>
      </c>
      <c r="J61" s="276" t="s">
        <v>1352</v>
      </c>
      <c r="K61" s="288" t="s">
        <v>61</v>
      </c>
      <c r="L61" s="300">
        <v>44593</v>
      </c>
      <c r="M61" s="300">
        <v>44925</v>
      </c>
      <c r="N61" s="300">
        <v>44652</v>
      </c>
      <c r="O61" s="301">
        <f t="shared" si="0"/>
        <v>0.17771084337349397</v>
      </c>
      <c r="P61" s="301">
        <f t="shared" si="1"/>
        <v>0.17771084337349397</v>
      </c>
      <c r="Q61" s="302">
        <v>1</v>
      </c>
      <c r="R61" s="303">
        <v>0.25</v>
      </c>
      <c r="S61" s="303">
        <v>0.5</v>
      </c>
      <c r="T61" s="303">
        <v>0.75</v>
      </c>
      <c r="U61" s="303">
        <v>1</v>
      </c>
      <c r="V61" s="303"/>
      <c r="W61" s="383"/>
      <c r="X61" s="302"/>
      <c r="Y61" s="305"/>
      <c r="Z61" s="306"/>
      <c r="AA61" s="307"/>
      <c r="AB61" s="307"/>
      <c r="AC61" s="306"/>
      <c r="AD61" s="307"/>
      <c r="AE61" s="307"/>
      <c r="AF61" s="306"/>
      <c r="AG61" s="307"/>
      <c r="AH61" s="307"/>
      <c r="AI61" s="308"/>
    </row>
    <row r="62" spans="1:35" ht="150" customHeight="1" outlineLevel="1" x14ac:dyDescent="0.2">
      <c r="A62" s="527"/>
      <c r="B62" s="596"/>
      <c r="C62" s="596"/>
      <c r="D62" s="643"/>
      <c r="E62" s="645"/>
      <c r="F62" s="645"/>
      <c r="G62" s="609"/>
      <c r="H62" s="287" t="s">
        <v>203</v>
      </c>
      <c r="I62" s="650"/>
      <c r="J62" s="276" t="s">
        <v>1352</v>
      </c>
      <c r="K62" s="288" t="s">
        <v>61</v>
      </c>
      <c r="L62" s="300">
        <v>44593</v>
      </c>
      <c r="M62" s="300">
        <v>44925</v>
      </c>
      <c r="N62" s="300">
        <v>44652</v>
      </c>
      <c r="O62" s="301">
        <f t="shared" si="0"/>
        <v>0.17771084337349397</v>
      </c>
      <c r="P62" s="301">
        <f t="shared" si="1"/>
        <v>0.17771084337349397</v>
      </c>
      <c r="Q62" s="302">
        <v>1</v>
      </c>
      <c r="R62" s="303">
        <v>0.25</v>
      </c>
      <c r="S62" s="303">
        <v>0.5</v>
      </c>
      <c r="T62" s="303">
        <v>0.75</v>
      </c>
      <c r="U62" s="303">
        <v>1</v>
      </c>
      <c r="V62" s="303"/>
      <c r="W62" s="383"/>
      <c r="X62" s="302"/>
      <c r="Y62" s="305"/>
      <c r="Z62" s="306"/>
      <c r="AA62" s="307"/>
      <c r="AB62" s="307"/>
      <c r="AC62" s="306"/>
      <c r="AD62" s="307"/>
      <c r="AE62" s="307"/>
      <c r="AF62" s="306"/>
      <c r="AG62" s="307"/>
      <c r="AH62" s="307"/>
      <c r="AI62" s="308"/>
    </row>
    <row r="63" spans="1:35" ht="206.25" customHeight="1" outlineLevel="1" x14ac:dyDescent="0.2">
      <c r="A63" s="527"/>
      <c r="B63" s="596"/>
      <c r="C63" s="596"/>
      <c r="D63" s="643"/>
      <c r="E63" s="645"/>
      <c r="F63" s="646"/>
      <c r="G63" s="609"/>
      <c r="H63" s="287" t="s">
        <v>204</v>
      </c>
      <c r="I63" s="650"/>
      <c r="J63" s="276" t="s">
        <v>1352</v>
      </c>
      <c r="K63" s="288" t="s">
        <v>61</v>
      </c>
      <c r="L63" s="300">
        <v>44593</v>
      </c>
      <c r="M63" s="300">
        <v>44925</v>
      </c>
      <c r="N63" s="300">
        <v>44652</v>
      </c>
      <c r="O63" s="301">
        <f t="shared" si="0"/>
        <v>0.17771084337349397</v>
      </c>
      <c r="P63" s="301">
        <f t="shared" si="1"/>
        <v>0.17771084337349397</v>
      </c>
      <c r="Q63" s="302">
        <v>1</v>
      </c>
      <c r="R63" s="303">
        <v>0.25</v>
      </c>
      <c r="S63" s="303">
        <v>0.5</v>
      </c>
      <c r="T63" s="303">
        <v>0.75</v>
      </c>
      <c r="U63" s="303">
        <v>1</v>
      </c>
      <c r="V63" s="303"/>
      <c r="W63" s="383"/>
      <c r="X63" s="302"/>
      <c r="Y63" s="305"/>
      <c r="Z63" s="306"/>
      <c r="AA63" s="307"/>
      <c r="AB63" s="307"/>
      <c r="AC63" s="306"/>
      <c r="AD63" s="307"/>
      <c r="AE63" s="307"/>
      <c r="AF63" s="306"/>
      <c r="AG63" s="307"/>
      <c r="AH63" s="307"/>
      <c r="AI63" s="308"/>
    </row>
    <row r="64" spans="1:35" ht="206.25" customHeight="1" outlineLevel="1" x14ac:dyDescent="0.2">
      <c r="A64" s="527"/>
      <c r="B64" s="597"/>
      <c r="C64" s="597"/>
      <c r="D64" s="643"/>
      <c r="E64" s="646"/>
      <c r="F64" s="393" t="s">
        <v>205</v>
      </c>
      <c r="G64" s="609"/>
      <c r="H64" s="287" t="s">
        <v>206</v>
      </c>
      <c r="I64" s="651"/>
      <c r="J64" s="276" t="s">
        <v>1352</v>
      </c>
      <c r="K64" s="288" t="s">
        <v>61</v>
      </c>
      <c r="L64" s="300">
        <v>44593</v>
      </c>
      <c r="M64" s="300">
        <v>44925</v>
      </c>
      <c r="N64" s="300">
        <v>44652</v>
      </c>
      <c r="O64" s="301">
        <f t="shared" si="0"/>
        <v>0.17771084337349397</v>
      </c>
      <c r="P64" s="301">
        <f t="shared" si="1"/>
        <v>0.17771084337349397</v>
      </c>
      <c r="Q64" s="302">
        <v>1</v>
      </c>
      <c r="R64" s="303">
        <v>0.25</v>
      </c>
      <c r="S64" s="303">
        <v>0.5</v>
      </c>
      <c r="T64" s="303">
        <v>0.75</v>
      </c>
      <c r="U64" s="303">
        <v>1</v>
      </c>
      <c r="V64" s="303"/>
      <c r="W64" s="383"/>
      <c r="X64" s="302"/>
      <c r="Y64" s="305"/>
      <c r="Z64" s="306"/>
      <c r="AA64" s="307"/>
      <c r="AB64" s="307"/>
      <c r="AC64" s="306"/>
      <c r="AD64" s="307"/>
      <c r="AE64" s="307"/>
      <c r="AF64" s="306"/>
      <c r="AG64" s="307"/>
      <c r="AH64" s="307"/>
      <c r="AI64" s="308"/>
    </row>
    <row r="65" spans="1:35" ht="59.25" customHeight="1" outlineLevel="1" x14ac:dyDescent="0.2">
      <c r="A65" s="527"/>
      <c r="B65" s="595" t="s">
        <v>207</v>
      </c>
      <c r="C65" s="595" t="s">
        <v>208</v>
      </c>
      <c r="D65" s="643"/>
      <c r="E65" s="644" t="s">
        <v>209</v>
      </c>
      <c r="F65" s="393" t="s">
        <v>210</v>
      </c>
      <c r="G65" s="609"/>
      <c r="H65" s="287" t="s">
        <v>211</v>
      </c>
      <c r="I65" s="649" t="s">
        <v>212</v>
      </c>
      <c r="J65" s="276" t="s">
        <v>1352</v>
      </c>
      <c r="K65" s="288" t="s">
        <v>61</v>
      </c>
      <c r="L65" s="300">
        <v>44593</v>
      </c>
      <c r="M65" s="300">
        <v>44925</v>
      </c>
      <c r="N65" s="300">
        <v>44652</v>
      </c>
      <c r="O65" s="301">
        <f t="shared" si="0"/>
        <v>0.17771084337349397</v>
      </c>
      <c r="P65" s="301">
        <f t="shared" si="1"/>
        <v>0.17771084337349397</v>
      </c>
      <c r="Q65" s="302">
        <v>1</v>
      </c>
      <c r="R65" s="303">
        <v>0.25</v>
      </c>
      <c r="S65" s="303">
        <v>0.5</v>
      </c>
      <c r="T65" s="303">
        <v>0.75</v>
      </c>
      <c r="U65" s="303">
        <v>1</v>
      </c>
      <c r="V65" s="303"/>
      <c r="W65" s="383"/>
      <c r="X65" s="302"/>
      <c r="Y65" s="305"/>
      <c r="Z65" s="306"/>
      <c r="AA65" s="307"/>
      <c r="AB65" s="307"/>
      <c r="AC65" s="306"/>
      <c r="AD65" s="307"/>
      <c r="AE65" s="307"/>
      <c r="AF65" s="306"/>
      <c r="AG65" s="307"/>
      <c r="AH65" s="307"/>
      <c r="AI65" s="308"/>
    </row>
    <row r="66" spans="1:35" ht="131.25" customHeight="1" outlineLevel="1" x14ac:dyDescent="0.2">
      <c r="A66" s="527"/>
      <c r="B66" s="596"/>
      <c r="C66" s="596"/>
      <c r="D66" s="643"/>
      <c r="E66" s="645"/>
      <c r="F66" s="393" t="s">
        <v>213</v>
      </c>
      <c r="G66" s="609"/>
      <c r="H66" s="287" t="s">
        <v>211</v>
      </c>
      <c r="I66" s="650"/>
      <c r="J66" s="276" t="s">
        <v>1352</v>
      </c>
      <c r="K66" s="288" t="s">
        <v>61</v>
      </c>
      <c r="L66" s="300">
        <v>44593</v>
      </c>
      <c r="M66" s="300">
        <v>44925</v>
      </c>
      <c r="N66" s="300">
        <v>44652</v>
      </c>
      <c r="O66" s="301">
        <f t="shared" si="0"/>
        <v>0.17771084337349397</v>
      </c>
      <c r="P66" s="301">
        <f t="shared" si="1"/>
        <v>0.17771084337349397</v>
      </c>
      <c r="Q66" s="302">
        <v>1</v>
      </c>
      <c r="R66" s="303">
        <v>0.25</v>
      </c>
      <c r="S66" s="303">
        <v>0.5</v>
      </c>
      <c r="T66" s="303">
        <v>0.75</v>
      </c>
      <c r="U66" s="303">
        <v>1</v>
      </c>
      <c r="V66" s="303"/>
      <c r="W66" s="383"/>
      <c r="X66" s="302"/>
      <c r="Y66" s="305"/>
      <c r="Z66" s="306"/>
      <c r="AA66" s="307"/>
      <c r="AB66" s="307"/>
      <c r="AC66" s="306"/>
      <c r="AD66" s="307"/>
      <c r="AE66" s="307"/>
      <c r="AF66" s="306"/>
      <c r="AG66" s="307"/>
      <c r="AH66" s="307"/>
      <c r="AI66" s="308"/>
    </row>
    <row r="67" spans="1:35" ht="131.25" customHeight="1" outlineLevel="1" x14ac:dyDescent="0.2">
      <c r="A67" s="527"/>
      <c r="B67" s="597"/>
      <c r="C67" s="597"/>
      <c r="D67" s="643"/>
      <c r="E67" s="646"/>
      <c r="F67" s="393" t="s">
        <v>214</v>
      </c>
      <c r="G67" s="610"/>
      <c r="H67" s="287" t="s">
        <v>211</v>
      </c>
      <c r="I67" s="651"/>
      <c r="J67" s="276" t="s">
        <v>1352</v>
      </c>
      <c r="K67" s="288" t="s">
        <v>61</v>
      </c>
      <c r="L67" s="300">
        <v>44593</v>
      </c>
      <c r="M67" s="300">
        <v>44925</v>
      </c>
      <c r="N67" s="300">
        <v>44652</v>
      </c>
      <c r="O67" s="301">
        <f t="shared" si="0"/>
        <v>0.17771084337349397</v>
      </c>
      <c r="P67" s="301">
        <f t="shared" si="1"/>
        <v>0.17771084337349397</v>
      </c>
      <c r="Q67" s="302">
        <v>1</v>
      </c>
      <c r="R67" s="303">
        <v>0.25</v>
      </c>
      <c r="S67" s="303">
        <v>0.5</v>
      </c>
      <c r="T67" s="303">
        <v>0.75</v>
      </c>
      <c r="U67" s="303">
        <v>1</v>
      </c>
      <c r="V67" s="303"/>
      <c r="W67" s="383"/>
      <c r="X67" s="302"/>
      <c r="Y67" s="305"/>
      <c r="Z67" s="306"/>
      <c r="AA67" s="307"/>
      <c r="AB67" s="307"/>
      <c r="AC67" s="306"/>
      <c r="AD67" s="307"/>
      <c r="AE67" s="307"/>
      <c r="AF67" s="306"/>
      <c r="AG67" s="307"/>
      <c r="AH67" s="307"/>
      <c r="AI67" s="308"/>
    </row>
    <row r="68" spans="1:35" ht="90" customHeight="1" outlineLevel="1" x14ac:dyDescent="0.2">
      <c r="A68" s="527"/>
      <c r="B68" s="432" t="s">
        <v>207</v>
      </c>
      <c r="C68" s="432" t="s">
        <v>215</v>
      </c>
      <c r="D68" s="616" t="s">
        <v>216</v>
      </c>
      <c r="E68" s="557" t="s">
        <v>217</v>
      </c>
      <c r="F68" s="557" t="s">
        <v>218</v>
      </c>
      <c r="G68" s="219" t="s">
        <v>219</v>
      </c>
      <c r="H68" s="6" t="s">
        <v>220</v>
      </c>
      <c r="I68" s="584" t="s">
        <v>221</v>
      </c>
      <c r="J68" s="288" t="s">
        <v>222</v>
      </c>
      <c r="K68" s="288" t="s">
        <v>61</v>
      </c>
      <c r="L68" s="300">
        <v>44593</v>
      </c>
      <c r="M68" s="300">
        <v>44925</v>
      </c>
      <c r="N68" s="300">
        <v>44652</v>
      </c>
      <c r="O68" s="301">
        <f t="shared" si="0"/>
        <v>0.17771084337349397</v>
      </c>
      <c r="P68" s="301">
        <f t="shared" si="1"/>
        <v>0.17771084337349397</v>
      </c>
      <c r="Q68" s="302">
        <v>0.8</v>
      </c>
      <c r="R68" s="303">
        <v>0.72</v>
      </c>
      <c r="S68" s="303">
        <v>0.74</v>
      </c>
      <c r="T68" s="303">
        <v>0.76</v>
      </c>
      <c r="U68" s="303">
        <v>0.8</v>
      </c>
      <c r="V68" s="303"/>
      <c r="W68" s="383"/>
      <c r="X68" s="302"/>
      <c r="Y68" s="305"/>
      <c r="Z68" s="306"/>
      <c r="AA68" s="307"/>
      <c r="AB68" s="307"/>
      <c r="AC68" s="306"/>
      <c r="AD68" s="307"/>
      <c r="AE68" s="307"/>
      <c r="AF68" s="306"/>
      <c r="AG68" s="307"/>
      <c r="AH68" s="307"/>
      <c r="AI68" s="308"/>
    </row>
    <row r="69" spans="1:35" ht="93.6" customHeight="1" outlineLevel="1" x14ac:dyDescent="0.2">
      <c r="A69" s="527"/>
      <c r="B69" s="433"/>
      <c r="C69" s="433"/>
      <c r="D69" s="617"/>
      <c r="E69" s="558"/>
      <c r="F69" s="558"/>
      <c r="G69" s="219" t="s">
        <v>223</v>
      </c>
      <c r="H69" s="7" t="s">
        <v>224</v>
      </c>
      <c r="I69" s="585"/>
      <c r="J69" s="288" t="s">
        <v>225</v>
      </c>
      <c r="K69" s="400">
        <v>5000000</v>
      </c>
      <c r="L69" s="300">
        <v>44593</v>
      </c>
      <c r="M69" s="300">
        <v>44925</v>
      </c>
      <c r="N69" s="300">
        <v>44652</v>
      </c>
      <c r="O69" s="301">
        <f t="shared" si="0"/>
        <v>0.17771084337349397</v>
      </c>
      <c r="P69" s="301">
        <f t="shared" si="1"/>
        <v>0.17771084337349397</v>
      </c>
      <c r="Q69" s="302">
        <v>1</v>
      </c>
      <c r="R69" s="303">
        <v>0.25</v>
      </c>
      <c r="S69" s="303">
        <v>0.5</v>
      </c>
      <c r="T69" s="303">
        <v>0.75</v>
      </c>
      <c r="U69" s="303">
        <v>1</v>
      </c>
      <c r="V69" s="303"/>
      <c r="W69" s="383"/>
      <c r="X69" s="302"/>
      <c r="Y69" s="305"/>
      <c r="Z69" s="306"/>
      <c r="AA69" s="307"/>
      <c r="AB69" s="307"/>
      <c r="AC69" s="306"/>
      <c r="AD69" s="307"/>
      <c r="AE69" s="307"/>
      <c r="AF69" s="306"/>
      <c r="AG69" s="307"/>
      <c r="AH69" s="307"/>
      <c r="AI69" s="308"/>
    </row>
    <row r="70" spans="1:35" ht="70.150000000000006" customHeight="1" outlineLevel="1" x14ac:dyDescent="0.2">
      <c r="A70" s="527"/>
      <c r="B70" s="433"/>
      <c r="C70" s="433"/>
      <c r="D70" s="617"/>
      <c r="E70" s="558"/>
      <c r="F70" s="558"/>
      <c r="G70" s="219" t="s">
        <v>226</v>
      </c>
      <c r="H70" s="6" t="s">
        <v>227</v>
      </c>
      <c r="I70" s="585"/>
      <c r="J70" s="288" t="s">
        <v>228</v>
      </c>
      <c r="K70" s="288" t="s">
        <v>61</v>
      </c>
      <c r="L70" s="300">
        <v>44593</v>
      </c>
      <c r="M70" s="300">
        <v>44925</v>
      </c>
      <c r="N70" s="300">
        <v>44652</v>
      </c>
      <c r="O70" s="301">
        <f t="shared" si="0"/>
        <v>0.17771084337349397</v>
      </c>
      <c r="P70" s="301">
        <f t="shared" si="1"/>
        <v>0.17771084337349397</v>
      </c>
      <c r="Q70" s="302">
        <v>1</v>
      </c>
      <c r="R70" s="303">
        <v>0.25</v>
      </c>
      <c r="S70" s="303">
        <v>0.5</v>
      </c>
      <c r="T70" s="303">
        <v>0.75</v>
      </c>
      <c r="U70" s="303">
        <v>1</v>
      </c>
      <c r="V70" s="303"/>
      <c r="W70" s="383"/>
      <c r="X70" s="302"/>
      <c r="Y70" s="305"/>
      <c r="Z70" s="306"/>
      <c r="AA70" s="307"/>
      <c r="AB70" s="307"/>
      <c r="AC70" s="306"/>
      <c r="AD70" s="307"/>
      <c r="AE70" s="307"/>
      <c r="AF70" s="306"/>
      <c r="AG70" s="307"/>
      <c r="AH70" s="307"/>
      <c r="AI70" s="308"/>
    </row>
    <row r="71" spans="1:35" ht="70.150000000000006" customHeight="1" outlineLevel="1" x14ac:dyDescent="0.2">
      <c r="A71" s="527"/>
      <c r="B71" s="433"/>
      <c r="C71" s="433"/>
      <c r="D71" s="617"/>
      <c r="E71" s="558"/>
      <c r="F71" s="558"/>
      <c r="G71" s="341" t="s">
        <v>229</v>
      </c>
      <c r="H71" s="6" t="s">
        <v>230</v>
      </c>
      <c r="I71" s="585"/>
      <c r="J71" s="288" t="s">
        <v>231</v>
      </c>
      <c r="K71" s="400">
        <v>600000</v>
      </c>
      <c r="L71" s="300">
        <v>44593</v>
      </c>
      <c r="M71" s="300">
        <v>44925</v>
      </c>
      <c r="N71" s="300">
        <v>44652</v>
      </c>
      <c r="O71" s="301">
        <f t="shared" si="0"/>
        <v>0.17771084337349397</v>
      </c>
      <c r="P71" s="301">
        <f t="shared" si="1"/>
        <v>0.17771084337349397</v>
      </c>
      <c r="Q71" s="302">
        <v>1</v>
      </c>
      <c r="R71" s="303">
        <v>0.25</v>
      </c>
      <c r="S71" s="303">
        <v>0.5</v>
      </c>
      <c r="T71" s="303">
        <v>0.75</v>
      </c>
      <c r="U71" s="303">
        <v>1</v>
      </c>
      <c r="V71" s="303"/>
      <c r="W71" s="383"/>
      <c r="X71" s="302"/>
      <c r="Y71" s="305"/>
      <c r="Z71" s="306"/>
      <c r="AA71" s="307"/>
      <c r="AB71" s="307"/>
      <c r="AC71" s="306"/>
      <c r="AD71" s="307"/>
      <c r="AE71" s="307"/>
      <c r="AF71" s="306"/>
      <c r="AG71" s="307"/>
      <c r="AH71" s="307"/>
      <c r="AI71" s="308"/>
    </row>
    <row r="72" spans="1:35" ht="70.150000000000006" customHeight="1" outlineLevel="1" x14ac:dyDescent="0.2">
      <c r="A72" s="527"/>
      <c r="B72" s="433"/>
      <c r="C72" s="433"/>
      <c r="D72" s="617"/>
      <c r="E72" s="558"/>
      <c r="F72" s="558"/>
      <c r="G72" s="341" t="s">
        <v>232</v>
      </c>
      <c r="H72" s="6" t="s">
        <v>233</v>
      </c>
      <c r="I72" s="585"/>
      <c r="J72" s="288" t="s">
        <v>234</v>
      </c>
      <c r="K72" s="400">
        <v>10000000</v>
      </c>
      <c r="L72" s="300">
        <v>44593</v>
      </c>
      <c r="M72" s="300">
        <v>44925</v>
      </c>
      <c r="N72" s="300">
        <v>44652</v>
      </c>
      <c r="O72" s="301">
        <f t="shared" si="0"/>
        <v>0.17771084337349397</v>
      </c>
      <c r="P72" s="301">
        <f t="shared" si="1"/>
        <v>0.17771084337349397</v>
      </c>
      <c r="Q72" s="302">
        <v>1</v>
      </c>
      <c r="R72" s="303">
        <v>0.25</v>
      </c>
      <c r="S72" s="303">
        <v>0.5</v>
      </c>
      <c r="T72" s="303">
        <v>0.75</v>
      </c>
      <c r="U72" s="303">
        <v>1</v>
      </c>
      <c r="V72" s="303"/>
      <c r="W72" s="383"/>
      <c r="X72" s="302"/>
      <c r="Y72" s="305"/>
      <c r="Z72" s="306"/>
      <c r="AA72" s="307"/>
      <c r="AB72" s="307"/>
      <c r="AC72" s="306"/>
      <c r="AD72" s="307"/>
      <c r="AE72" s="307"/>
      <c r="AF72" s="306"/>
      <c r="AG72" s="307"/>
      <c r="AH72" s="307"/>
      <c r="AI72" s="308"/>
    </row>
    <row r="73" spans="1:35" ht="70.150000000000006" customHeight="1" outlineLevel="1" x14ac:dyDescent="0.2">
      <c r="A73" s="527"/>
      <c r="B73" s="433"/>
      <c r="C73" s="433"/>
      <c r="D73" s="617"/>
      <c r="E73" s="558"/>
      <c r="F73" s="558"/>
      <c r="G73" s="652" t="s">
        <v>235</v>
      </c>
      <c r="H73" s="6" t="s">
        <v>236</v>
      </c>
      <c r="I73" s="585"/>
      <c r="J73" s="288" t="s">
        <v>237</v>
      </c>
      <c r="K73" s="400">
        <v>33000000</v>
      </c>
      <c r="L73" s="300">
        <v>44593</v>
      </c>
      <c r="M73" s="300">
        <v>44925</v>
      </c>
      <c r="N73" s="300">
        <v>44652</v>
      </c>
      <c r="O73" s="301">
        <f t="shared" si="0"/>
        <v>0.17771084337349397</v>
      </c>
      <c r="P73" s="301">
        <f t="shared" si="1"/>
        <v>0.17771084337349397</v>
      </c>
      <c r="Q73" s="302">
        <v>1</v>
      </c>
      <c r="R73" s="303">
        <v>0.25</v>
      </c>
      <c r="S73" s="303">
        <v>0.5</v>
      </c>
      <c r="T73" s="303">
        <v>0.75</v>
      </c>
      <c r="U73" s="303">
        <v>1</v>
      </c>
      <c r="V73" s="303"/>
      <c r="W73" s="383"/>
      <c r="X73" s="302"/>
      <c r="Y73" s="305"/>
      <c r="Z73" s="306"/>
      <c r="AA73" s="307"/>
      <c r="AB73" s="307"/>
      <c r="AC73" s="306"/>
      <c r="AD73" s="307"/>
      <c r="AE73" s="307"/>
      <c r="AF73" s="306"/>
      <c r="AG73" s="307"/>
      <c r="AH73" s="307"/>
      <c r="AI73" s="308"/>
    </row>
    <row r="74" spans="1:35" ht="70.150000000000006" customHeight="1" outlineLevel="1" x14ac:dyDescent="0.2">
      <c r="A74" s="527"/>
      <c r="B74" s="433"/>
      <c r="C74" s="433"/>
      <c r="D74" s="617"/>
      <c r="E74" s="558"/>
      <c r="F74" s="558"/>
      <c r="G74" s="653"/>
      <c r="H74" s="6" t="s">
        <v>238</v>
      </c>
      <c r="I74" s="585"/>
      <c r="J74" s="288" t="s">
        <v>237</v>
      </c>
      <c r="K74" s="400">
        <f>1800000*11</f>
        <v>19800000</v>
      </c>
      <c r="L74" s="300">
        <v>44593</v>
      </c>
      <c r="M74" s="300">
        <v>44925</v>
      </c>
      <c r="N74" s="300">
        <v>44652</v>
      </c>
      <c r="O74" s="301">
        <f t="shared" si="0"/>
        <v>0.17771084337349397</v>
      </c>
      <c r="P74" s="301">
        <f t="shared" si="1"/>
        <v>0.17771084337349397</v>
      </c>
      <c r="Q74" s="302">
        <v>1</v>
      </c>
      <c r="R74" s="303">
        <v>0.25</v>
      </c>
      <c r="S74" s="303">
        <v>0.5</v>
      </c>
      <c r="T74" s="303">
        <v>0.75</v>
      </c>
      <c r="U74" s="303">
        <v>1</v>
      </c>
      <c r="V74" s="303"/>
      <c r="W74" s="383"/>
      <c r="X74" s="302"/>
      <c r="Y74" s="305"/>
      <c r="Z74" s="306"/>
      <c r="AA74" s="307"/>
      <c r="AB74" s="307"/>
      <c r="AC74" s="306"/>
      <c r="AD74" s="307"/>
      <c r="AE74" s="307"/>
      <c r="AF74" s="306"/>
      <c r="AG74" s="307"/>
      <c r="AH74" s="307"/>
      <c r="AI74" s="308"/>
    </row>
    <row r="75" spans="1:35" ht="56.25" customHeight="1" outlineLevel="1" x14ac:dyDescent="0.2">
      <c r="A75" s="527"/>
      <c r="B75" s="433"/>
      <c r="C75" s="433"/>
      <c r="D75" s="617"/>
      <c r="E75" s="558"/>
      <c r="F75" s="558"/>
      <c r="G75" s="584" t="s">
        <v>239</v>
      </c>
      <c r="H75" s="6" t="s">
        <v>240</v>
      </c>
      <c r="I75" s="585"/>
      <c r="J75" s="288" t="s">
        <v>241</v>
      </c>
      <c r="K75" s="288" t="s">
        <v>116</v>
      </c>
      <c r="L75" s="300">
        <v>44593</v>
      </c>
      <c r="M75" s="300">
        <v>44925</v>
      </c>
      <c r="N75" s="300">
        <v>44652</v>
      </c>
      <c r="O75" s="301">
        <f t="shared" si="0"/>
        <v>0.17771084337349397</v>
      </c>
      <c r="P75" s="301">
        <f t="shared" si="1"/>
        <v>0.17771084337349397</v>
      </c>
      <c r="Q75" s="302">
        <v>1</v>
      </c>
      <c r="R75" s="303">
        <v>0.25</v>
      </c>
      <c r="S75" s="303">
        <v>0.5</v>
      </c>
      <c r="T75" s="303">
        <v>0.75</v>
      </c>
      <c r="U75" s="303">
        <v>1</v>
      </c>
      <c r="V75" s="303"/>
      <c r="W75" s="383"/>
      <c r="X75" s="302"/>
      <c r="Y75" s="305"/>
      <c r="Z75" s="306"/>
      <c r="AA75" s="307"/>
      <c r="AB75" s="307"/>
      <c r="AC75" s="306"/>
      <c r="AD75" s="307"/>
      <c r="AE75" s="307"/>
      <c r="AF75" s="306"/>
      <c r="AG75" s="307"/>
      <c r="AH75" s="307"/>
      <c r="AI75" s="308"/>
    </row>
    <row r="76" spans="1:35" ht="70.150000000000006" customHeight="1" outlineLevel="1" x14ac:dyDescent="0.2">
      <c r="A76" s="527"/>
      <c r="B76" s="433"/>
      <c r="C76" s="433"/>
      <c r="D76" s="617"/>
      <c r="E76" s="558"/>
      <c r="F76" s="558"/>
      <c r="G76" s="585"/>
      <c r="H76" s="6" t="s">
        <v>242</v>
      </c>
      <c r="I76" s="585"/>
      <c r="J76" s="288" t="s">
        <v>243</v>
      </c>
      <c r="K76" s="288" t="s">
        <v>116</v>
      </c>
      <c r="L76" s="300">
        <v>44593</v>
      </c>
      <c r="M76" s="300">
        <v>44925</v>
      </c>
      <c r="N76" s="300">
        <v>44652</v>
      </c>
      <c r="O76" s="301">
        <f t="shared" si="0"/>
        <v>0.17771084337349397</v>
      </c>
      <c r="P76" s="301">
        <f t="shared" si="1"/>
        <v>0.17771084337349397</v>
      </c>
      <c r="Q76" s="302">
        <v>1</v>
      </c>
      <c r="R76" s="303">
        <v>0.25</v>
      </c>
      <c r="S76" s="303">
        <v>0.5</v>
      </c>
      <c r="T76" s="303">
        <v>0.75</v>
      </c>
      <c r="U76" s="303">
        <v>1</v>
      </c>
      <c r="V76" s="303"/>
      <c r="W76" s="383"/>
      <c r="X76" s="302"/>
      <c r="Y76" s="305"/>
      <c r="Z76" s="306"/>
      <c r="AA76" s="307"/>
      <c r="AB76" s="307"/>
      <c r="AC76" s="306"/>
      <c r="AD76" s="307"/>
      <c r="AE76" s="307"/>
      <c r="AF76" s="306"/>
      <c r="AG76" s="307"/>
      <c r="AH76" s="307"/>
      <c r="AI76" s="308"/>
    </row>
    <row r="77" spans="1:35" ht="56.25" customHeight="1" outlineLevel="1" x14ac:dyDescent="0.2">
      <c r="A77" s="527"/>
      <c r="B77" s="433"/>
      <c r="C77" s="433"/>
      <c r="D77" s="617"/>
      <c r="E77" s="558"/>
      <c r="F77" s="558"/>
      <c r="G77" s="586"/>
      <c r="H77" s="6" t="s">
        <v>244</v>
      </c>
      <c r="I77" s="585"/>
      <c r="J77" s="288" t="s">
        <v>245</v>
      </c>
      <c r="K77" s="288" t="s">
        <v>116</v>
      </c>
      <c r="L77" s="300">
        <v>44593</v>
      </c>
      <c r="M77" s="300">
        <v>44925</v>
      </c>
      <c r="N77" s="300">
        <v>44652</v>
      </c>
      <c r="O77" s="301">
        <f t="shared" si="0"/>
        <v>0.17771084337349397</v>
      </c>
      <c r="P77" s="301">
        <f t="shared" si="1"/>
        <v>0.17771084337349397</v>
      </c>
      <c r="Q77" s="302">
        <v>1</v>
      </c>
      <c r="R77" s="303">
        <v>0.25</v>
      </c>
      <c r="S77" s="303">
        <v>0.5</v>
      </c>
      <c r="T77" s="303">
        <v>0.75</v>
      </c>
      <c r="U77" s="303">
        <v>1</v>
      </c>
      <c r="V77" s="303"/>
      <c r="W77" s="383"/>
      <c r="X77" s="302"/>
      <c r="Y77" s="305"/>
      <c r="Z77" s="306"/>
      <c r="AA77" s="307"/>
      <c r="AB77" s="307"/>
      <c r="AC77" s="306"/>
      <c r="AD77" s="307"/>
      <c r="AE77" s="307"/>
      <c r="AF77" s="306"/>
      <c r="AG77" s="307"/>
      <c r="AH77" s="307"/>
      <c r="AI77" s="308"/>
    </row>
    <row r="78" spans="1:35" ht="75" customHeight="1" outlineLevel="1" x14ac:dyDescent="0.2">
      <c r="A78" s="527"/>
      <c r="B78" s="433"/>
      <c r="C78" s="433"/>
      <c r="D78" s="617"/>
      <c r="E78" s="558"/>
      <c r="F78" s="558"/>
      <c r="G78" s="6" t="s">
        <v>246</v>
      </c>
      <c r="H78" s="6" t="s">
        <v>247</v>
      </c>
      <c r="I78" s="585"/>
      <c r="J78" s="310" t="s">
        <v>248</v>
      </c>
      <c r="K78" s="399">
        <v>2500000</v>
      </c>
      <c r="L78" s="300">
        <v>44593</v>
      </c>
      <c r="M78" s="300">
        <v>44925</v>
      </c>
      <c r="N78" s="300">
        <v>44652</v>
      </c>
      <c r="O78" s="301">
        <f t="shared" si="0"/>
        <v>0.17771084337349397</v>
      </c>
      <c r="P78" s="301">
        <f t="shared" si="1"/>
        <v>0.17771084337349397</v>
      </c>
      <c r="Q78" s="302">
        <v>1</v>
      </c>
      <c r="R78" s="303">
        <v>0.25</v>
      </c>
      <c r="S78" s="303">
        <v>0.5</v>
      </c>
      <c r="T78" s="303">
        <v>0.75</v>
      </c>
      <c r="U78" s="303">
        <v>1</v>
      </c>
      <c r="V78" s="303"/>
      <c r="W78" s="383"/>
      <c r="X78" s="302"/>
      <c r="Y78" s="305"/>
      <c r="Z78" s="306"/>
      <c r="AA78" s="307"/>
      <c r="AB78" s="307"/>
      <c r="AC78" s="306"/>
      <c r="AD78" s="307"/>
      <c r="AE78" s="307"/>
      <c r="AF78" s="306"/>
      <c r="AG78" s="307"/>
      <c r="AH78" s="307"/>
      <c r="AI78" s="308"/>
    </row>
    <row r="79" spans="1:35" ht="56.25" customHeight="1" outlineLevel="1" x14ac:dyDescent="0.2">
      <c r="A79" s="527"/>
      <c r="B79" s="433"/>
      <c r="C79" s="433"/>
      <c r="D79" s="617"/>
      <c r="E79" s="558"/>
      <c r="F79" s="558"/>
      <c r="G79" s="584" t="s">
        <v>249</v>
      </c>
      <c r="H79" s="6" t="s">
        <v>250</v>
      </c>
      <c r="I79" s="585"/>
      <c r="J79" s="288" t="s">
        <v>251</v>
      </c>
      <c r="K79" s="288" t="s">
        <v>61</v>
      </c>
      <c r="L79" s="300">
        <v>44593</v>
      </c>
      <c r="M79" s="300">
        <v>44925</v>
      </c>
      <c r="N79" s="300">
        <v>44652</v>
      </c>
      <c r="O79" s="301">
        <f t="shared" si="0"/>
        <v>0.17771084337349397</v>
      </c>
      <c r="P79" s="301">
        <f t="shared" si="1"/>
        <v>0.17771084337349397</v>
      </c>
      <c r="Q79" s="302">
        <v>1</v>
      </c>
      <c r="R79" s="303">
        <v>0.25</v>
      </c>
      <c r="S79" s="303">
        <v>0.5</v>
      </c>
      <c r="T79" s="303">
        <v>0.75</v>
      </c>
      <c r="U79" s="303">
        <v>1</v>
      </c>
      <c r="V79" s="303"/>
      <c r="W79" s="383"/>
      <c r="X79" s="302"/>
      <c r="Y79" s="305"/>
      <c r="Z79" s="306"/>
      <c r="AA79" s="307"/>
      <c r="AB79" s="307"/>
      <c r="AC79" s="306"/>
      <c r="AD79" s="307"/>
      <c r="AE79" s="307"/>
      <c r="AF79" s="306"/>
      <c r="AG79" s="307"/>
      <c r="AH79" s="307"/>
      <c r="AI79" s="308"/>
    </row>
    <row r="80" spans="1:35" ht="56.25" customHeight="1" outlineLevel="1" x14ac:dyDescent="0.2">
      <c r="A80" s="527"/>
      <c r="B80" s="433"/>
      <c r="C80" s="433"/>
      <c r="D80" s="617"/>
      <c r="E80" s="558"/>
      <c r="F80" s="558"/>
      <c r="G80" s="586"/>
      <c r="H80" s="6" t="s">
        <v>252</v>
      </c>
      <c r="I80" s="585"/>
      <c r="J80" s="288" t="s">
        <v>253</v>
      </c>
      <c r="K80" s="288" t="s">
        <v>61</v>
      </c>
      <c r="L80" s="300">
        <v>44593</v>
      </c>
      <c r="M80" s="300">
        <v>44925</v>
      </c>
      <c r="N80" s="300">
        <v>44652</v>
      </c>
      <c r="O80" s="301">
        <f t="shared" si="0"/>
        <v>0.17771084337349397</v>
      </c>
      <c r="P80" s="301">
        <f t="shared" si="1"/>
        <v>0.17771084337349397</v>
      </c>
      <c r="Q80" s="302">
        <v>1</v>
      </c>
      <c r="R80" s="303">
        <v>0.25</v>
      </c>
      <c r="S80" s="303">
        <v>0.5</v>
      </c>
      <c r="T80" s="303">
        <v>0.75</v>
      </c>
      <c r="U80" s="303">
        <v>1</v>
      </c>
      <c r="V80" s="303"/>
      <c r="W80" s="383"/>
      <c r="X80" s="302"/>
      <c r="Y80" s="305"/>
      <c r="Z80" s="306"/>
      <c r="AA80" s="307"/>
      <c r="AB80" s="307"/>
      <c r="AC80" s="306"/>
      <c r="AD80" s="307"/>
      <c r="AE80" s="307"/>
      <c r="AF80" s="306"/>
      <c r="AG80" s="307"/>
      <c r="AH80" s="307"/>
      <c r="AI80" s="308"/>
    </row>
    <row r="81" spans="1:35" ht="46.5" customHeight="1" outlineLevel="1" x14ac:dyDescent="0.2">
      <c r="A81" s="527"/>
      <c r="B81" s="433"/>
      <c r="C81" s="433"/>
      <c r="D81" s="617"/>
      <c r="E81" s="558"/>
      <c r="F81" s="558"/>
      <c r="G81" s="220" t="s">
        <v>254</v>
      </c>
      <c r="H81" s="6" t="s">
        <v>255</v>
      </c>
      <c r="I81" s="585"/>
      <c r="J81" s="505" t="s">
        <v>256</v>
      </c>
      <c r="K81" s="399">
        <v>10000000</v>
      </c>
      <c r="L81" s="300">
        <v>44593</v>
      </c>
      <c r="M81" s="300">
        <v>44925</v>
      </c>
      <c r="N81" s="300">
        <v>44652</v>
      </c>
      <c r="O81" s="301">
        <f t="shared" si="0"/>
        <v>0.17771084337349397</v>
      </c>
      <c r="P81" s="301">
        <f t="shared" si="1"/>
        <v>0.17771084337349397</v>
      </c>
      <c r="Q81" s="302">
        <v>1</v>
      </c>
      <c r="R81" s="303">
        <v>0.25</v>
      </c>
      <c r="S81" s="303">
        <v>0.5</v>
      </c>
      <c r="T81" s="303">
        <v>0.75</v>
      </c>
      <c r="U81" s="303">
        <v>1</v>
      </c>
      <c r="V81" s="303"/>
      <c r="W81" s="383"/>
      <c r="X81" s="302"/>
      <c r="Y81" s="305"/>
      <c r="Z81" s="306"/>
      <c r="AA81" s="307"/>
      <c r="AB81" s="307"/>
      <c r="AC81" s="306"/>
      <c r="AD81" s="307"/>
      <c r="AE81" s="307"/>
      <c r="AF81" s="306"/>
      <c r="AG81" s="307"/>
      <c r="AH81" s="307"/>
      <c r="AI81" s="308"/>
    </row>
    <row r="82" spans="1:35" ht="46.5" customHeight="1" outlineLevel="1" x14ac:dyDescent="0.2">
      <c r="A82" s="527"/>
      <c r="B82" s="433"/>
      <c r="C82" s="433"/>
      <c r="D82" s="617"/>
      <c r="E82" s="558"/>
      <c r="F82" s="558"/>
      <c r="G82" s="220" t="s">
        <v>257</v>
      </c>
      <c r="H82" s="6" t="s">
        <v>258</v>
      </c>
      <c r="I82" s="585"/>
      <c r="J82" s="507"/>
      <c r="K82" s="399">
        <v>10000000</v>
      </c>
      <c r="L82" s="300">
        <v>44593</v>
      </c>
      <c r="M82" s="300">
        <v>44925</v>
      </c>
      <c r="N82" s="300">
        <v>44652</v>
      </c>
      <c r="O82" s="301">
        <f t="shared" si="0"/>
        <v>0.17771084337349397</v>
      </c>
      <c r="P82" s="301">
        <f t="shared" si="1"/>
        <v>0.17771084337349397</v>
      </c>
      <c r="Q82" s="302">
        <v>1</v>
      </c>
      <c r="R82" s="303">
        <v>0.25</v>
      </c>
      <c r="S82" s="303">
        <v>0.5</v>
      </c>
      <c r="T82" s="303">
        <v>0.75</v>
      </c>
      <c r="U82" s="303">
        <v>1</v>
      </c>
      <c r="V82" s="303"/>
      <c r="W82" s="383"/>
      <c r="X82" s="302"/>
      <c r="Y82" s="305"/>
      <c r="Z82" s="306"/>
      <c r="AA82" s="307"/>
      <c r="AB82" s="307"/>
      <c r="AC82" s="306"/>
      <c r="AD82" s="307"/>
      <c r="AE82" s="307"/>
      <c r="AF82" s="306"/>
      <c r="AG82" s="307"/>
      <c r="AH82" s="307"/>
      <c r="AI82" s="308"/>
    </row>
    <row r="83" spans="1:35" ht="75" customHeight="1" outlineLevel="1" x14ac:dyDescent="0.2">
      <c r="A83" s="527"/>
      <c r="B83" s="433"/>
      <c r="C83" s="433"/>
      <c r="D83" s="617"/>
      <c r="E83" s="558"/>
      <c r="F83" s="558"/>
      <c r="G83" s="6" t="s">
        <v>259</v>
      </c>
      <c r="H83" s="6" t="s">
        <v>260</v>
      </c>
      <c r="I83" s="585"/>
      <c r="J83" s="276" t="s">
        <v>261</v>
      </c>
      <c r="K83" s="399">
        <v>22000000</v>
      </c>
      <c r="L83" s="300">
        <v>44593</v>
      </c>
      <c r="M83" s="300">
        <v>44925</v>
      </c>
      <c r="N83" s="300">
        <v>44652</v>
      </c>
      <c r="O83" s="301">
        <f t="shared" si="0"/>
        <v>0.17771084337349397</v>
      </c>
      <c r="P83" s="301">
        <f t="shared" si="1"/>
        <v>0.17771084337349397</v>
      </c>
      <c r="Q83" s="302">
        <v>1</v>
      </c>
      <c r="R83" s="303">
        <v>0.25</v>
      </c>
      <c r="S83" s="303">
        <v>0.5</v>
      </c>
      <c r="T83" s="303">
        <v>0.75</v>
      </c>
      <c r="U83" s="303">
        <v>1</v>
      </c>
      <c r="V83" s="303"/>
      <c r="W83" s="383"/>
      <c r="X83" s="302"/>
      <c r="Y83" s="305"/>
      <c r="Z83" s="306"/>
      <c r="AA83" s="307"/>
      <c r="AB83" s="307"/>
      <c r="AC83" s="306"/>
      <c r="AD83" s="307"/>
      <c r="AE83" s="307"/>
      <c r="AF83" s="306"/>
      <c r="AG83" s="307"/>
      <c r="AH83" s="307"/>
      <c r="AI83" s="308"/>
    </row>
    <row r="84" spans="1:35" ht="75" customHeight="1" outlineLevel="1" x14ac:dyDescent="0.2">
      <c r="A84" s="527"/>
      <c r="B84" s="433"/>
      <c r="C84" s="433"/>
      <c r="D84" s="617"/>
      <c r="E84" s="558"/>
      <c r="F84" s="558"/>
      <c r="G84" s="6" t="s">
        <v>262</v>
      </c>
      <c r="H84" s="7" t="s">
        <v>263</v>
      </c>
      <c r="I84" s="585"/>
      <c r="J84" s="345" t="s">
        <v>264</v>
      </c>
      <c r="K84" s="399">
        <v>10000000</v>
      </c>
      <c r="L84" s="300">
        <v>44593</v>
      </c>
      <c r="M84" s="300">
        <v>44925</v>
      </c>
      <c r="N84" s="300">
        <v>44652</v>
      </c>
      <c r="O84" s="301">
        <f t="shared" si="0"/>
        <v>0.17771084337349397</v>
      </c>
      <c r="P84" s="301">
        <f t="shared" si="1"/>
        <v>0.17771084337349397</v>
      </c>
      <c r="Q84" s="302">
        <v>1</v>
      </c>
      <c r="R84" s="303">
        <v>0.25</v>
      </c>
      <c r="S84" s="303">
        <v>0.5</v>
      </c>
      <c r="T84" s="303">
        <v>0.75</v>
      </c>
      <c r="U84" s="303">
        <v>1</v>
      </c>
      <c r="V84" s="303"/>
      <c r="W84" s="383"/>
      <c r="X84" s="302"/>
      <c r="Y84" s="305"/>
      <c r="Z84" s="306"/>
      <c r="AA84" s="307"/>
      <c r="AB84" s="307"/>
      <c r="AC84" s="306"/>
      <c r="AD84" s="307"/>
      <c r="AE84" s="307"/>
      <c r="AF84" s="306"/>
      <c r="AG84" s="307"/>
      <c r="AH84" s="307"/>
      <c r="AI84" s="308"/>
    </row>
    <row r="85" spans="1:35" ht="56.25" customHeight="1" outlineLevel="1" x14ac:dyDescent="0.2">
      <c r="A85" s="527"/>
      <c r="B85" s="433"/>
      <c r="C85" s="433"/>
      <c r="D85" s="617"/>
      <c r="E85" s="558"/>
      <c r="F85" s="558"/>
      <c r="G85" s="6" t="s">
        <v>265</v>
      </c>
      <c r="H85" s="6" t="s">
        <v>266</v>
      </c>
      <c r="I85" s="585"/>
      <c r="J85" s="345" t="s">
        <v>267</v>
      </c>
      <c r="K85" s="288" t="s">
        <v>61</v>
      </c>
      <c r="L85" s="300">
        <v>44593</v>
      </c>
      <c r="M85" s="300">
        <v>44925</v>
      </c>
      <c r="N85" s="300">
        <v>44652</v>
      </c>
      <c r="O85" s="301">
        <f t="shared" si="0"/>
        <v>0.17771084337349397</v>
      </c>
      <c r="P85" s="301">
        <f t="shared" si="1"/>
        <v>0.17771084337349397</v>
      </c>
      <c r="Q85" s="302">
        <v>1</v>
      </c>
      <c r="R85" s="303">
        <v>0.25</v>
      </c>
      <c r="S85" s="303">
        <v>0.5</v>
      </c>
      <c r="T85" s="303">
        <v>0.75</v>
      </c>
      <c r="U85" s="303">
        <v>1</v>
      </c>
      <c r="V85" s="303"/>
      <c r="W85" s="383"/>
      <c r="X85" s="302"/>
      <c r="Y85" s="305"/>
      <c r="Z85" s="306"/>
      <c r="AA85" s="307"/>
      <c r="AB85" s="307"/>
      <c r="AC85" s="306"/>
      <c r="AD85" s="307"/>
      <c r="AE85" s="307"/>
      <c r="AF85" s="306"/>
      <c r="AG85" s="307"/>
      <c r="AH85" s="307"/>
      <c r="AI85" s="308"/>
    </row>
    <row r="86" spans="1:35" ht="56.25" customHeight="1" outlineLevel="1" x14ac:dyDescent="0.2">
      <c r="A86" s="527"/>
      <c r="B86" s="433"/>
      <c r="C86" s="433"/>
      <c r="D86" s="617"/>
      <c r="E86" s="559"/>
      <c r="F86" s="559"/>
      <c r="G86" s="6" t="s">
        <v>268</v>
      </c>
      <c r="H86" s="6" t="s">
        <v>269</v>
      </c>
      <c r="I86" s="586"/>
      <c r="J86" s="345" t="s">
        <v>270</v>
      </c>
      <c r="K86" s="399">
        <v>12000000</v>
      </c>
      <c r="L86" s="300">
        <v>44593</v>
      </c>
      <c r="M86" s="300">
        <v>44925</v>
      </c>
      <c r="N86" s="300">
        <v>44652</v>
      </c>
      <c r="O86" s="301">
        <f t="shared" si="0"/>
        <v>0.17771084337349397</v>
      </c>
      <c r="P86" s="301">
        <f t="shared" si="1"/>
        <v>0.17771084337349397</v>
      </c>
      <c r="Q86" s="302">
        <v>1</v>
      </c>
      <c r="R86" s="303">
        <v>0.25</v>
      </c>
      <c r="S86" s="303">
        <v>0.5</v>
      </c>
      <c r="T86" s="303">
        <v>0.75</v>
      </c>
      <c r="U86" s="303">
        <v>1</v>
      </c>
      <c r="V86" s="303"/>
      <c r="W86" s="383"/>
      <c r="X86" s="302"/>
      <c r="Y86" s="305"/>
      <c r="Z86" s="306"/>
      <c r="AA86" s="307"/>
      <c r="AB86" s="307"/>
      <c r="AC86" s="306"/>
      <c r="AD86" s="307"/>
      <c r="AE86" s="307"/>
      <c r="AF86" s="306"/>
      <c r="AG86" s="307"/>
      <c r="AH86" s="307"/>
      <c r="AI86" s="308"/>
    </row>
    <row r="87" spans="1:35" ht="56.25" customHeight="1" outlineLevel="1" x14ac:dyDescent="0.2">
      <c r="A87" s="527"/>
      <c r="B87" s="433"/>
      <c r="C87" s="433"/>
      <c r="D87" s="617"/>
      <c r="E87" s="557" t="s">
        <v>271</v>
      </c>
      <c r="F87" s="557" t="s">
        <v>272</v>
      </c>
      <c r="G87" s="220" t="s">
        <v>273</v>
      </c>
      <c r="H87" s="6" t="s">
        <v>274</v>
      </c>
      <c r="I87" s="584" t="s">
        <v>275</v>
      </c>
      <c r="J87" s="276" t="s">
        <v>261</v>
      </c>
      <c r="K87" s="288" t="s">
        <v>61</v>
      </c>
      <c r="L87" s="300">
        <v>44593</v>
      </c>
      <c r="M87" s="300">
        <v>44925</v>
      </c>
      <c r="N87" s="300">
        <v>44652</v>
      </c>
      <c r="O87" s="301">
        <f t="shared" si="0"/>
        <v>0.17771084337349397</v>
      </c>
      <c r="P87" s="301">
        <f t="shared" si="1"/>
        <v>0.17771084337349397</v>
      </c>
      <c r="Q87" s="302">
        <v>0.9</v>
      </c>
      <c r="R87" s="303">
        <v>0.86</v>
      </c>
      <c r="S87" s="303">
        <v>0.87</v>
      </c>
      <c r="T87" s="303">
        <v>0.88</v>
      </c>
      <c r="U87" s="303">
        <v>0.9</v>
      </c>
      <c r="V87" s="303"/>
      <c r="W87" s="383"/>
      <c r="X87" s="302"/>
      <c r="Y87" s="305"/>
      <c r="Z87" s="306"/>
      <c r="AA87" s="307"/>
      <c r="AB87" s="307"/>
      <c r="AC87" s="306"/>
      <c r="AD87" s="307"/>
      <c r="AE87" s="307"/>
      <c r="AF87" s="306"/>
      <c r="AG87" s="307"/>
      <c r="AH87" s="307"/>
      <c r="AI87" s="308"/>
    </row>
    <row r="88" spans="1:35" ht="75" customHeight="1" outlineLevel="1" x14ac:dyDescent="0.2">
      <c r="A88" s="527"/>
      <c r="B88" s="433"/>
      <c r="C88" s="433"/>
      <c r="D88" s="617"/>
      <c r="E88" s="558"/>
      <c r="F88" s="558"/>
      <c r="G88" s="220" t="s">
        <v>276</v>
      </c>
      <c r="H88" s="6" t="s">
        <v>277</v>
      </c>
      <c r="I88" s="585"/>
      <c r="J88" s="276" t="s">
        <v>278</v>
      </c>
      <c r="K88" s="399">
        <f>(6*1670000)+2340000+930000+2820021</f>
        <v>16110021</v>
      </c>
      <c r="L88" s="300">
        <v>44593</v>
      </c>
      <c r="M88" s="300">
        <v>44925</v>
      </c>
      <c r="N88" s="300">
        <v>44652</v>
      </c>
      <c r="O88" s="301">
        <f t="shared" si="0"/>
        <v>0.17771084337349397</v>
      </c>
      <c r="P88" s="301">
        <f t="shared" si="1"/>
        <v>0.17771084337349397</v>
      </c>
      <c r="Q88" s="302">
        <v>1</v>
      </c>
      <c r="R88" s="303">
        <v>0.25</v>
      </c>
      <c r="S88" s="303">
        <v>0.5</v>
      </c>
      <c r="T88" s="303">
        <v>0.75</v>
      </c>
      <c r="U88" s="303">
        <v>1</v>
      </c>
      <c r="V88" s="303"/>
      <c r="W88" s="383"/>
      <c r="X88" s="302"/>
      <c r="Y88" s="305"/>
      <c r="Z88" s="306"/>
      <c r="AA88" s="307"/>
      <c r="AB88" s="307"/>
      <c r="AC88" s="306"/>
      <c r="AD88" s="307"/>
      <c r="AE88" s="307"/>
      <c r="AF88" s="306"/>
      <c r="AG88" s="307"/>
      <c r="AH88" s="307"/>
      <c r="AI88" s="308"/>
    </row>
    <row r="89" spans="1:35" ht="46.5" customHeight="1" outlineLevel="1" x14ac:dyDescent="0.2">
      <c r="A89" s="527"/>
      <c r="B89" s="433"/>
      <c r="C89" s="433"/>
      <c r="D89" s="617"/>
      <c r="E89" s="558"/>
      <c r="F89" s="558"/>
      <c r="G89" s="220" t="s">
        <v>279</v>
      </c>
      <c r="H89" s="7" t="s">
        <v>280</v>
      </c>
      <c r="I89" s="585"/>
      <c r="J89" s="276" t="s">
        <v>281</v>
      </c>
      <c r="K89" s="288" t="s">
        <v>61</v>
      </c>
      <c r="L89" s="300">
        <v>44593</v>
      </c>
      <c r="M89" s="300">
        <v>44925</v>
      </c>
      <c r="N89" s="300">
        <v>44652</v>
      </c>
      <c r="O89" s="301">
        <f t="shared" si="0"/>
        <v>0.17771084337349397</v>
      </c>
      <c r="P89" s="301">
        <f t="shared" si="1"/>
        <v>0.17771084337349397</v>
      </c>
      <c r="Q89" s="302">
        <v>1</v>
      </c>
      <c r="R89" s="303">
        <v>0.25</v>
      </c>
      <c r="S89" s="303">
        <v>0.5</v>
      </c>
      <c r="T89" s="303">
        <v>0.75</v>
      </c>
      <c r="U89" s="303">
        <v>1</v>
      </c>
      <c r="V89" s="303"/>
      <c r="W89" s="383"/>
      <c r="X89" s="302"/>
      <c r="Y89" s="305"/>
      <c r="Z89" s="306"/>
      <c r="AA89" s="307"/>
      <c r="AB89" s="307"/>
      <c r="AC89" s="306"/>
      <c r="AD89" s="307"/>
      <c r="AE89" s="307"/>
      <c r="AF89" s="306"/>
      <c r="AG89" s="307"/>
      <c r="AH89" s="307"/>
      <c r="AI89" s="308"/>
    </row>
    <row r="90" spans="1:35" ht="56.25" customHeight="1" outlineLevel="1" x14ac:dyDescent="0.2">
      <c r="A90" s="527"/>
      <c r="B90" s="433"/>
      <c r="C90" s="433"/>
      <c r="D90" s="617"/>
      <c r="E90" s="558"/>
      <c r="F90" s="558"/>
      <c r="G90" s="6" t="s">
        <v>282</v>
      </c>
      <c r="H90" s="6" t="s">
        <v>283</v>
      </c>
      <c r="I90" s="585"/>
      <c r="J90" s="276" t="s">
        <v>284</v>
      </c>
      <c r="K90" s="288" t="s">
        <v>61</v>
      </c>
      <c r="L90" s="300">
        <v>44593</v>
      </c>
      <c r="M90" s="300">
        <v>44925</v>
      </c>
      <c r="N90" s="300">
        <v>44652</v>
      </c>
      <c r="O90" s="301">
        <f t="shared" si="0"/>
        <v>0.17771084337349397</v>
      </c>
      <c r="P90" s="301">
        <f t="shared" si="1"/>
        <v>0.17771084337349397</v>
      </c>
      <c r="Q90" s="302">
        <v>1</v>
      </c>
      <c r="R90" s="303">
        <v>0.25</v>
      </c>
      <c r="S90" s="303">
        <v>0.5</v>
      </c>
      <c r="T90" s="303">
        <v>0.75</v>
      </c>
      <c r="U90" s="303">
        <v>1</v>
      </c>
      <c r="V90" s="303"/>
      <c r="W90" s="383"/>
      <c r="X90" s="302"/>
      <c r="Y90" s="305"/>
      <c r="Z90" s="306"/>
      <c r="AA90" s="307"/>
      <c r="AB90" s="307"/>
      <c r="AC90" s="306"/>
      <c r="AD90" s="307"/>
      <c r="AE90" s="307"/>
      <c r="AF90" s="306"/>
      <c r="AG90" s="307"/>
      <c r="AH90" s="307"/>
      <c r="AI90" s="308"/>
    </row>
    <row r="91" spans="1:35" ht="75" customHeight="1" outlineLevel="1" x14ac:dyDescent="0.2">
      <c r="A91" s="527"/>
      <c r="B91" s="433"/>
      <c r="C91" s="433"/>
      <c r="D91" s="617"/>
      <c r="E91" s="558"/>
      <c r="F91" s="558"/>
      <c r="G91" s="6" t="s">
        <v>285</v>
      </c>
      <c r="H91" s="7" t="s">
        <v>286</v>
      </c>
      <c r="I91" s="585"/>
      <c r="J91" s="276" t="s">
        <v>287</v>
      </c>
      <c r="K91" s="401">
        <v>15000000</v>
      </c>
      <c r="L91" s="300">
        <v>44593</v>
      </c>
      <c r="M91" s="300">
        <v>44925</v>
      </c>
      <c r="N91" s="300">
        <v>44652</v>
      </c>
      <c r="O91" s="301">
        <f t="shared" si="0"/>
        <v>0.17771084337349397</v>
      </c>
      <c r="P91" s="301">
        <f t="shared" si="1"/>
        <v>0.17771084337349397</v>
      </c>
      <c r="Q91" s="302">
        <v>1</v>
      </c>
      <c r="R91" s="303">
        <v>0.25</v>
      </c>
      <c r="S91" s="303">
        <v>0.5</v>
      </c>
      <c r="T91" s="303">
        <v>0.75</v>
      </c>
      <c r="U91" s="303">
        <v>1</v>
      </c>
      <c r="V91" s="303"/>
      <c r="W91" s="383"/>
      <c r="X91" s="302"/>
      <c r="Y91" s="305"/>
      <c r="Z91" s="306"/>
      <c r="AA91" s="307"/>
      <c r="AB91" s="307"/>
      <c r="AC91" s="306"/>
      <c r="AD91" s="307"/>
      <c r="AE91" s="307"/>
      <c r="AF91" s="306"/>
      <c r="AG91" s="307"/>
      <c r="AH91" s="307"/>
      <c r="AI91" s="308"/>
    </row>
    <row r="92" spans="1:35" ht="46.5" customHeight="1" outlineLevel="1" x14ac:dyDescent="0.2">
      <c r="A92" s="527"/>
      <c r="B92" s="433"/>
      <c r="C92" s="433"/>
      <c r="D92" s="617"/>
      <c r="E92" s="558"/>
      <c r="F92" s="558"/>
      <c r="G92" s="220" t="s">
        <v>288</v>
      </c>
      <c r="H92" s="7" t="s">
        <v>289</v>
      </c>
      <c r="I92" s="585"/>
      <c r="J92" s="276" t="s">
        <v>284</v>
      </c>
      <c r="K92" s="288" t="s">
        <v>61</v>
      </c>
      <c r="L92" s="300">
        <v>44593</v>
      </c>
      <c r="M92" s="300">
        <v>44925</v>
      </c>
      <c r="N92" s="300">
        <v>44652</v>
      </c>
      <c r="O92" s="301">
        <f t="shared" si="0"/>
        <v>0.17771084337349397</v>
      </c>
      <c r="P92" s="301">
        <f t="shared" si="1"/>
        <v>0.17771084337349397</v>
      </c>
      <c r="Q92" s="302">
        <v>1</v>
      </c>
      <c r="R92" s="303">
        <v>0.25</v>
      </c>
      <c r="S92" s="303">
        <v>0.5</v>
      </c>
      <c r="T92" s="303">
        <v>0.75</v>
      </c>
      <c r="U92" s="303">
        <v>1</v>
      </c>
      <c r="V92" s="303"/>
      <c r="W92" s="383"/>
      <c r="X92" s="302"/>
      <c r="Y92" s="305"/>
      <c r="Z92" s="306"/>
      <c r="AA92" s="307"/>
      <c r="AB92" s="307"/>
      <c r="AC92" s="306"/>
      <c r="AD92" s="307"/>
      <c r="AE92" s="307"/>
      <c r="AF92" s="306"/>
      <c r="AG92" s="307"/>
      <c r="AH92" s="307"/>
      <c r="AI92" s="308"/>
    </row>
    <row r="93" spans="1:35" ht="93.75" customHeight="1" outlineLevel="1" x14ac:dyDescent="0.2">
      <c r="A93" s="527"/>
      <c r="B93" s="433"/>
      <c r="C93" s="433"/>
      <c r="D93" s="617"/>
      <c r="E93" s="558"/>
      <c r="F93" s="558"/>
      <c r="G93" s="220" t="s">
        <v>290</v>
      </c>
      <c r="H93" s="7" t="s">
        <v>291</v>
      </c>
      <c r="I93" s="585"/>
      <c r="J93" s="310" t="s">
        <v>292</v>
      </c>
      <c r="K93" s="401">
        <v>6000000</v>
      </c>
      <c r="L93" s="300">
        <v>44593</v>
      </c>
      <c r="M93" s="300">
        <v>44925</v>
      </c>
      <c r="N93" s="300">
        <v>44652</v>
      </c>
      <c r="O93" s="301">
        <f t="shared" si="0"/>
        <v>0.17771084337349397</v>
      </c>
      <c r="P93" s="301">
        <f t="shared" si="1"/>
        <v>0.17771084337349397</v>
      </c>
      <c r="Q93" s="302">
        <v>1</v>
      </c>
      <c r="R93" s="303">
        <v>0.25</v>
      </c>
      <c r="S93" s="303">
        <v>0.5</v>
      </c>
      <c r="T93" s="303">
        <v>0.75</v>
      </c>
      <c r="U93" s="303">
        <v>1</v>
      </c>
      <c r="V93" s="303"/>
      <c r="W93" s="383"/>
      <c r="X93" s="302"/>
      <c r="Y93" s="305"/>
      <c r="Z93" s="306"/>
      <c r="AA93" s="307"/>
      <c r="AB93" s="307"/>
      <c r="AC93" s="306"/>
      <c r="AD93" s="307"/>
      <c r="AE93" s="307"/>
      <c r="AF93" s="306"/>
      <c r="AG93" s="307"/>
      <c r="AH93" s="307"/>
      <c r="AI93" s="308"/>
    </row>
    <row r="94" spans="1:35" ht="86.25" customHeight="1" outlineLevel="1" x14ac:dyDescent="0.2">
      <c r="A94" s="527"/>
      <c r="B94" s="433"/>
      <c r="C94" s="433"/>
      <c r="D94" s="617"/>
      <c r="E94" s="558"/>
      <c r="F94" s="559"/>
      <c r="G94" s="220" t="s">
        <v>279</v>
      </c>
      <c r="H94" s="7" t="s">
        <v>293</v>
      </c>
      <c r="I94" s="586"/>
      <c r="J94" s="276" t="s">
        <v>294</v>
      </c>
      <c r="K94" s="288" t="s">
        <v>61</v>
      </c>
      <c r="L94" s="300">
        <v>44593</v>
      </c>
      <c r="M94" s="300">
        <v>44925</v>
      </c>
      <c r="N94" s="300">
        <v>44652</v>
      </c>
      <c r="O94" s="301">
        <f t="shared" si="0"/>
        <v>0.17771084337349397</v>
      </c>
      <c r="P94" s="301">
        <f t="shared" si="1"/>
        <v>0.17771084337349397</v>
      </c>
      <c r="Q94" s="302">
        <v>1</v>
      </c>
      <c r="R94" s="303">
        <v>0.25</v>
      </c>
      <c r="S94" s="303">
        <v>0.5</v>
      </c>
      <c r="T94" s="303">
        <v>0.75</v>
      </c>
      <c r="U94" s="303">
        <v>1</v>
      </c>
      <c r="V94" s="303"/>
      <c r="W94" s="383"/>
      <c r="X94" s="302"/>
      <c r="Y94" s="305"/>
      <c r="Z94" s="306"/>
      <c r="AA94" s="307"/>
      <c r="AB94" s="307"/>
      <c r="AC94" s="306"/>
      <c r="AD94" s="307"/>
      <c r="AE94" s="307"/>
      <c r="AF94" s="306"/>
      <c r="AG94" s="307"/>
      <c r="AH94" s="307"/>
      <c r="AI94" s="308"/>
    </row>
    <row r="95" spans="1:35" ht="75" customHeight="1" outlineLevel="1" x14ac:dyDescent="0.2">
      <c r="A95" s="527"/>
      <c r="B95" s="433"/>
      <c r="C95" s="433"/>
      <c r="D95" s="617"/>
      <c r="E95" s="558"/>
      <c r="F95" s="557" t="s">
        <v>295</v>
      </c>
      <c r="G95" s="6" t="s">
        <v>296</v>
      </c>
      <c r="H95" s="7" t="s">
        <v>297</v>
      </c>
      <c r="I95" s="584" t="s">
        <v>298</v>
      </c>
      <c r="J95" s="276" t="s">
        <v>261</v>
      </c>
      <c r="K95" s="288" t="s">
        <v>61</v>
      </c>
      <c r="L95" s="300">
        <v>44593</v>
      </c>
      <c r="M95" s="300">
        <v>44925</v>
      </c>
      <c r="N95" s="300">
        <v>44652</v>
      </c>
      <c r="O95" s="301">
        <f t="shared" si="0"/>
        <v>0.17771084337349397</v>
      </c>
      <c r="P95" s="301">
        <f t="shared" si="1"/>
        <v>0.17771084337349397</v>
      </c>
      <c r="Q95" s="302">
        <v>0.05</v>
      </c>
      <c r="R95" s="303">
        <v>0.03</v>
      </c>
      <c r="S95" s="303" t="s">
        <v>299</v>
      </c>
      <c r="T95" s="303">
        <v>0.04</v>
      </c>
      <c r="U95" s="303">
        <v>0.05</v>
      </c>
      <c r="V95" s="303"/>
      <c r="W95" s="383"/>
      <c r="X95" s="302"/>
      <c r="Y95" s="305"/>
      <c r="Z95" s="306"/>
      <c r="AA95" s="307"/>
      <c r="AB95" s="307"/>
      <c r="AC95" s="306"/>
      <c r="AD95" s="307"/>
      <c r="AE95" s="307"/>
      <c r="AF95" s="306"/>
      <c r="AG95" s="307"/>
      <c r="AH95" s="307"/>
      <c r="AI95" s="308"/>
    </row>
    <row r="96" spans="1:35" ht="112.5" customHeight="1" outlineLevel="1" x14ac:dyDescent="0.2">
      <c r="A96" s="527"/>
      <c r="B96" s="433"/>
      <c r="C96" s="433"/>
      <c r="D96" s="617"/>
      <c r="E96" s="558"/>
      <c r="F96" s="558"/>
      <c r="G96" s="6" t="s">
        <v>300</v>
      </c>
      <c r="H96" s="7" t="s">
        <v>301</v>
      </c>
      <c r="I96" s="585"/>
      <c r="J96" s="276" t="s">
        <v>287</v>
      </c>
      <c r="K96" s="401">
        <v>30000000</v>
      </c>
      <c r="L96" s="300">
        <v>44593</v>
      </c>
      <c r="M96" s="300">
        <v>44925</v>
      </c>
      <c r="N96" s="300">
        <v>44652</v>
      </c>
      <c r="O96" s="301">
        <f t="shared" si="0"/>
        <v>0.17771084337349397</v>
      </c>
      <c r="P96" s="301">
        <f t="shared" si="1"/>
        <v>0.17771084337349397</v>
      </c>
      <c r="Q96" s="302">
        <v>1</v>
      </c>
      <c r="R96" s="303">
        <v>0.25</v>
      </c>
      <c r="S96" s="303">
        <v>0.5</v>
      </c>
      <c r="T96" s="303">
        <v>0.75</v>
      </c>
      <c r="U96" s="303">
        <v>1</v>
      </c>
      <c r="V96" s="303"/>
      <c r="W96" s="383"/>
      <c r="X96" s="302"/>
      <c r="Y96" s="305"/>
      <c r="Z96" s="306"/>
      <c r="AA96" s="307"/>
      <c r="AB96" s="307"/>
      <c r="AC96" s="306"/>
      <c r="AD96" s="307"/>
      <c r="AE96" s="307"/>
      <c r="AF96" s="306"/>
      <c r="AG96" s="307"/>
      <c r="AH96" s="307"/>
      <c r="AI96" s="308"/>
    </row>
    <row r="97" spans="1:35" ht="31.5" customHeight="1" outlineLevel="1" x14ac:dyDescent="0.2">
      <c r="A97" s="580"/>
      <c r="B97" s="433"/>
      <c r="C97" s="433"/>
      <c r="D97" s="617"/>
      <c r="E97" s="558"/>
      <c r="F97" s="559"/>
      <c r="G97" s="359" t="s">
        <v>302</v>
      </c>
      <c r="H97" s="7" t="s">
        <v>303</v>
      </c>
      <c r="I97" s="586"/>
      <c r="J97" s="276" t="s">
        <v>304</v>
      </c>
      <c r="K97" s="402" t="s">
        <v>61</v>
      </c>
      <c r="L97" s="300">
        <v>44593</v>
      </c>
      <c r="M97" s="300">
        <v>44925</v>
      </c>
      <c r="N97" s="300">
        <v>44652</v>
      </c>
      <c r="O97" s="301">
        <f t="shared" si="0"/>
        <v>0.17771084337349397</v>
      </c>
      <c r="P97" s="301">
        <f t="shared" si="1"/>
        <v>0.17771084337349397</v>
      </c>
      <c r="Q97" s="302">
        <v>1</v>
      </c>
      <c r="R97" s="303">
        <v>0.25</v>
      </c>
      <c r="S97" s="303">
        <v>0.5</v>
      </c>
      <c r="T97" s="303">
        <v>0.75</v>
      </c>
      <c r="U97" s="303">
        <v>1</v>
      </c>
      <c r="V97" s="303"/>
      <c r="W97" s="383"/>
      <c r="X97" s="302"/>
      <c r="Y97" s="305"/>
      <c r="Z97" s="306"/>
      <c r="AA97" s="307"/>
      <c r="AB97" s="307"/>
      <c r="AC97" s="306"/>
      <c r="AD97" s="307"/>
      <c r="AE97" s="307"/>
      <c r="AF97" s="306"/>
      <c r="AG97" s="307"/>
      <c r="AH97" s="307"/>
      <c r="AI97" s="308"/>
    </row>
    <row r="98" spans="1:35" ht="33.75" customHeight="1" outlineLevel="1" x14ac:dyDescent="0.2">
      <c r="A98" s="580"/>
      <c r="B98" s="434"/>
      <c r="C98" s="434"/>
      <c r="D98" s="618"/>
      <c r="E98" s="559"/>
      <c r="F98" s="394" t="s">
        <v>305</v>
      </c>
      <c r="G98" s="359" t="s">
        <v>302</v>
      </c>
      <c r="H98" s="7" t="s">
        <v>306</v>
      </c>
      <c r="I98" s="6" t="s">
        <v>307</v>
      </c>
      <c r="J98" s="276" t="s">
        <v>308</v>
      </c>
      <c r="K98" s="402" t="s">
        <v>61</v>
      </c>
      <c r="L98" s="300">
        <v>44593</v>
      </c>
      <c r="M98" s="300">
        <v>44925</v>
      </c>
      <c r="N98" s="300">
        <v>44652</v>
      </c>
      <c r="O98" s="301">
        <f t="shared" si="0"/>
        <v>0.17771084337349397</v>
      </c>
      <c r="P98" s="301">
        <f t="shared" si="1"/>
        <v>0.17771084337349397</v>
      </c>
      <c r="Q98" s="302">
        <v>0.4</v>
      </c>
      <c r="R98" s="303">
        <v>0.25</v>
      </c>
      <c r="S98" s="303">
        <v>0.3</v>
      </c>
      <c r="T98" s="303">
        <v>0.35</v>
      </c>
      <c r="U98" s="303">
        <v>0.4</v>
      </c>
      <c r="V98" s="303"/>
      <c r="W98" s="383"/>
      <c r="X98" s="302"/>
      <c r="Y98" s="305"/>
      <c r="Z98" s="306"/>
      <c r="AA98" s="307"/>
      <c r="AB98" s="307"/>
      <c r="AC98" s="306"/>
      <c r="AD98" s="307"/>
      <c r="AE98" s="307"/>
      <c r="AF98" s="306"/>
      <c r="AG98" s="307"/>
      <c r="AH98" s="307"/>
      <c r="AI98" s="308"/>
    </row>
    <row r="99" spans="1:35" ht="59.25" customHeight="1" outlineLevel="1" x14ac:dyDescent="0.2">
      <c r="A99" s="580"/>
      <c r="B99" s="498" t="s">
        <v>52</v>
      </c>
      <c r="C99" s="498" t="s">
        <v>53</v>
      </c>
      <c r="D99" s="481" t="s">
        <v>309</v>
      </c>
      <c r="E99" s="510" t="s">
        <v>55</v>
      </c>
      <c r="F99" s="510" t="s">
        <v>310</v>
      </c>
      <c r="G99" s="467" t="s">
        <v>311</v>
      </c>
      <c r="H99" s="343" t="s">
        <v>312</v>
      </c>
      <c r="I99" s="467" t="s">
        <v>313</v>
      </c>
      <c r="J99" s="276" t="s">
        <v>314</v>
      </c>
      <c r="K99" s="288" t="s">
        <v>61</v>
      </c>
      <c r="L99" s="300">
        <v>44593</v>
      </c>
      <c r="M99" s="300">
        <v>44925</v>
      </c>
      <c r="N99" s="300">
        <v>44652</v>
      </c>
      <c r="O99" s="301">
        <f t="shared" si="0"/>
        <v>0.17771084337349397</v>
      </c>
      <c r="P99" s="301">
        <f t="shared" si="1"/>
        <v>0.17771084337349397</v>
      </c>
      <c r="Q99" s="302">
        <v>7.0000000000000007E-2</v>
      </c>
      <c r="R99" s="303">
        <v>0.06</v>
      </c>
      <c r="S99" s="303">
        <v>0.06</v>
      </c>
      <c r="T99" s="303">
        <v>7.0000000000000007E-2</v>
      </c>
      <c r="U99" s="303">
        <v>7.0000000000000007E-2</v>
      </c>
      <c r="V99" s="303"/>
      <c r="W99" s="383"/>
      <c r="X99" s="302"/>
      <c r="Y99" s="305"/>
      <c r="Z99" s="306"/>
      <c r="AA99" s="307"/>
      <c r="AB99" s="307"/>
      <c r="AC99" s="306"/>
      <c r="AD99" s="307"/>
      <c r="AE99" s="307"/>
      <c r="AF99" s="306"/>
      <c r="AG99" s="307"/>
      <c r="AH99" s="307"/>
      <c r="AI99" s="308"/>
    </row>
    <row r="100" spans="1:35" ht="59.25" customHeight="1" outlineLevel="1" x14ac:dyDescent="0.2">
      <c r="A100" s="580"/>
      <c r="B100" s="498"/>
      <c r="C100" s="498"/>
      <c r="D100" s="482"/>
      <c r="E100" s="511"/>
      <c r="F100" s="511"/>
      <c r="G100" s="468"/>
      <c r="H100" s="343" t="s">
        <v>315</v>
      </c>
      <c r="I100" s="468"/>
      <c r="J100" s="276" t="s">
        <v>316</v>
      </c>
      <c r="K100" s="288" t="s">
        <v>61</v>
      </c>
      <c r="L100" s="300">
        <v>44593</v>
      </c>
      <c r="M100" s="300">
        <v>44925</v>
      </c>
      <c r="N100" s="300">
        <v>44652</v>
      </c>
      <c r="O100" s="301">
        <f t="shared" si="0"/>
        <v>0.17771084337349397</v>
      </c>
      <c r="P100" s="301">
        <f t="shared" si="1"/>
        <v>0.17771084337349397</v>
      </c>
      <c r="Q100" s="302">
        <v>1</v>
      </c>
      <c r="R100" s="303">
        <v>0.25</v>
      </c>
      <c r="S100" s="303">
        <v>0.5</v>
      </c>
      <c r="T100" s="303">
        <v>0.75</v>
      </c>
      <c r="U100" s="303">
        <v>1</v>
      </c>
      <c r="V100" s="303"/>
      <c r="W100" s="383"/>
      <c r="X100" s="302"/>
      <c r="Y100" s="305"/>
      <c r="Z100" s="306"/>
      <c r="AA100" s="307"/>
      <c r="AB100" s="307"/>
      <c r="AC100" s="306"/>
      <c r="AD100" s="307"/>
      <c r="AE100" s="307"/>
      <c r="AF100" s="306"/>
      <c r="AG100" s="307"/>
      <c r="AH100" s="307"/>
      <c r="AI100" s="308"/>
    </row>
    <row r="101" spans="1:35" ht="59.25" customHeight="1" outlineLevel="1" x14ac:dyDescent="0.2">
      <c r="A101" s="580"/>
      <c r="B101" s="498"/>
      <c r="C101" s="498"/>
      <c r="D101" s="482"/>
      <c r="E101" s="511"/>
      <c r="F101" s="511"/>
      <c r="G101" s="469"/>
      <c r="H101" s="343" t="s">
        <v>317</v>
      </c>
      <c r="I101" s="468"/>
      <c r="J101" s="276" t="s">
        <v>318</v>
      </c>
      <c r="K101" s="288" t="s">
        <v>61</v>
      </c>
      <c r="L101" s="300">
        <v>44593</v>
      </c>
      <c r="M101" s="300">
        <v>44925</v>
      </c>
      <c r="N101" s="300">
        <v>44652</v>
      </c>
      <c r="O101" s="301">
        <f t="shared" si="0"/>
        <v>0.17771084337349397</v>
      </c>
      <c r="P101" s="301">
        <f t="shared" si="1"/>
        <v>0.17771084337349397</v>
      </c>
      <c r="Q101" s="302">
        <v>1</v>
      </c>
      <c r="R101" s="303">
        <v>0.25</v>
      </c>
      <c r="S101" s="303">
        <v>0.5</v>
      </c>
      <c r="T101" s="303">
        <v>0.75</v>
      </c>
      <c r="U101" s="303">
        <v>1</v>
      </c>
      <c r="V101" s="303"/>
      <c r="W101" s="383"/>
      <c r="X101" s="302"/>
      <c r="Y101" s="305"/>
      <c r="Z101" s="306"/>
      <c r="AA101" s="307"/>
      <c r="AB101" s="307"/>
      <c r="AC101" s="306"/>
      <c r="AD101" s="307"/>
      <c r="AE101" s="307"/>
      <c r="AF101" s="306"/>
      <c r="AG101" s="307"/>
      <c r="AH101" s="307"/>
      <c r="AI101" s="308"/>
    </row>
    <row r="102" spans="1:35" ht="59.25" customHeight="1" outlineLevel="1" x14ac:dyDescent="0.2">
      <c r="A102" s="580"/>
      <c r="B102" s="498"/>
      <c r="C102" s="498"/>
      <c r="D102" s="482"/>
      <c r="E102" s="528"/>
      <c r="F102" s="528"/>
      <c r="G102" s="343" t="s">
        <v>319</v>
      </c>
      <c r="H102" s="343" t="s">
        <v>320</v>
      </c>
      <c r="I102" s="469"/>
      <c r="J102" s="276" t="s">
        <v>321</v>
      </c>
      <c r="K102" s="288" t="s">
        <v>61</v>
      </c>
      <c r="L102" s="300">
        <v>44593</v>
      </c>
      <c r="M102" s="300">
        <v>44925</v>
      </c>
      <c r="N102" s="300">
        <v>44652</v>
      </c>
      <c r="O102" s="301">
        <f t="shared" si="0"/>
        <v>0.17771084337349397</v>
      </c>
      <c r="P102" s="301">
        <f t="shared" si="1"/>
        <v>0.17771084337349397</v>
      </c>
      <c r="Q102" s="302">
        <v>1</v>
      </c>
      <c r="R102" s="303">
        <v>0.25</v>
      </c>
      <c r="S102" s="303">
        <v>0.5</v>
      </c>
      <c r="T102" s="303">
        <v>0.75</v>
      </c>
      <c r="U102" s="303">
        <v>1</v>
      </c>
      <c r="V102" s="303"/>
      <c r="W102" s="383"/>
      <c r="X102" s="302"/>
      <c r="Y102" s="305"/>
      <c r="Z102" s="306"/>
      <c r="AA102" s="307"/>
      <c r="AB102" s="307"/>
      <c r="AC102" s="306"/>
      <c r="AD102" s="307"/>
      <c r="AE102" s="307"/>
      <c r="AF102" s="306"/>
      <c r="AG102" s="307"/>
      <c r="AH102" s="307"/>
      <c r="AI102" s="308"/>
    </row>
    <row r="103" spans="1:35" ht="59.25" customHeight="1" outlineLevel="1" x14ac:dyDescent="0.2">
      <c r="A103" s="580"/>
      <c r="B103" s="498"/>
      <c r="C103" s="498" t="s">
        <v>106</v>
      </c>
      <c r="D103" s="482"/>
      <c r="E103" s="654" t="s">
        <v>322</v>
      </c>
      <c r="F103" s="654" t="s">
        <v>323</v>
      </c>
      <c r="G103" s="343" t="s">
        <v>324</v>
      </c>
      <c r="H103" s="343" t="s">
        <v>325</v>
      </c>
      <c r="I103" s="467" t="s">
        <v>326</v>
      </c>
      <c r="J103" s="276" t="s">
        <v>327</v>
      </c>
      <c r="K103" s="288" t="s">
        <v>61</v>
      </c>
      <c r="L103" s="300">
        <v>44593</v>
      </c>
      <c r="M103" s="300">
        <v>44925</v>
      </c>
      <c r="N103" s="300">
        <v>44652</v>
      </c>
      <c r="O103" s="301">
        <f t="shared" si="0"/>
        <v>0.17771084337349397</v>
      </c>
      <c r="P103" s="301">
        <f t="shared" si="1"/>
        <v>0.17771084337349397</v>
      </c>
      <c r="Q103" s="302">
        <v>0.5</v>
      </c>
      <c r="R103" s="303">
        <v>0.32</v>
      </c>
      <c r="S103" s="303">
        <v>0.35</v>
      </c>
      <c r="T103" s="303">
        <v>0.42</v>
      </c>
      <c r="U103" s="303">
        <v>0.5</v>
      </c>
      <c r="V103" s="303"/>
      <c r="W103" s="383"/>
      <c r="X103" s="302"/>
      <c r="Y103" s="305"/>
      <c r="Z103" s="306"/>
      <c r="AA103" s="307"/>
      <c r="AB103" s="307"/>
      <c r="AC103" s="306"/>
      <c r="AD103" s="307"/>
      <c r="AE103" s="307"/>
      <c r="AF103" s="306"/>
      <c r="AG103" s="307"/>
      <c r="AH103" s="307"/>
      <c r="AI103" s="308"/>
    </row>
    <row r="104" spans="1:35" ht="73.5" customHeight="1" outlineLevel="1" x14ac:dyDescent="0.2">
      <c r="A104" s="580"/>
      <c r="B104" s="498"/>
      <c r="C104" s="498"/>
      <c r="D104" s="482"/>
      <c r="E104" s="654"/>
      <c r="F104" s="654"/>
      <c r="G104" s="467" t="s">
        <v>185</v>
      </c>
      <c r="H104" s="343" t="s">
        <v>328</v>
      </c>
      <c r="I104" s="468"/>
      <c r="J104" s="276" t="s">
        <v>329</v>
      </c>
      <c r="K104" s="288" t="s">
        <v>61</v>
      </c>
      <c r="L104" s="300">
        <v>44593</v>
      </c>
      <c r="M104" s="300">
        <v>44925</v>
      </c>
      <c r="N104" s="300">
        <v>44652</v>
      </c>
      <c r="O104" s="301">
        <f t="shared" si="0"/>
        <v>0.17771084337349397</v>
      </c>
      <c r="P104" s="301">
        <f t="shared" si="1"/>
        <v>0.17771084337349397</v>
      </c>
      <c r="Q104" s="302">
        <v>1</v>
      </c>
      <c r="R104" s="303">
        <v>0.25</v>
      </c>
      <c r="S104" s="303">
        <v>0.5</v>
      </c>
      <c r="T104" s="303">
        <v>0.75</v>
      </c>
      <c r="U104" s="303">
        <v>1</v>
      </c>
      <c r="V104" s="303"/>
      <c r="W104" s="383"/>
      <c r="X104" s="302"/>
      <c r="Y104" s="305"/>
      <c r="Z104" s="306"/>
      <c r="AA104" s="307"/>
      <c r="AB104" s="307"/>
      <c r="AC104" s="306"/>
      <c r="AD104" s="307"/>
      <c r="AE104" s="307"/>
      <c r="AF104" s="306"/>
      <c r="AG104" s="307"/>
      <c r="AH104" s="307"/>
      <c r="AI104" s="308"/>
    </row>
    <row r="105" spans="1:35" ht="73.5" customHeight="1" outlineLevel="1" x14ac:dyDescent="0.2">
      <c r="A105" s="364"/>
      <c r="B105" s="498"/>
      <c r="C105" s="498"/>
      <c r="D105" s="483"/>
      <c r="E105" s="654"/>
      <c r="F105" s="654"/>
      <c r="G105" s="469"/>
      <c r="H105" s="343" t="s">
        <v>330</v>
      </c>
      <c r="I105" s="469"/>
      <c r="J105" s="276" t="s">
        <v>331</v>
      </c>
      <c r="K105" s="288" t="s">
        <v>61</v>
      </c>
      <c r="L105" s="300">
        <v>44593</v>
      </c>
      <c r="M105" s="300">
        <v>44925</v>
      </c>
      <c r="N105" s="300">
        <v>44652</v>
      </c>
      <c r="O105" s="301">
        <f t="shared" ref="O105:O168" si="2">+(+_xlfn.DAYS(L105,N105))/(+_xlfn.DAYS(L105,M105))</f>
        <v>0.17771084337349397</v>
      </c>
      <c r="P105" s="301">
        <f t="shared" si="1"/>
        <v>0.17771084337349397</v>
      </c>
      <c r="Q105" s="302">
        <v>1</v>
      </c>
      <c r="R105" s="303">
        <v>0.25</v>
      </c>
      <c r="S105" s="303">
        <v>0.5</v>
      </c>
      <c r="T105" s="303">
        <v>0.75</v>
      </c>
      <c r="U105" s="303">
        <v>1</v>
      </c>
      <c r="V105" s="303"/>
      <c r="W105" s="383"/>
      <c r="X105" s="302"/>
      <c r="Y105" s="305"/>
      <c r="Z105" s="306"/>
      <c r="AA105" s="307"/>
      <c r="AB105" s="307"/>
      <c r="AC105" s="306"/>
      <c r="AD105" s="307"/>
      <c r="AE105" s="307"/>
      <c r="AF105" s="306"/>
      <c r="AG105" s="307"/>
      <c r="AH105" s="307"/>
      <c r="AI105" s="308"/>
    </row>
    <row r="106" spans="1:35" ht="96" customHeight="1" x14ac:dyDescent="0.2">
      <c r="A106" s="560" t="s">
        <v>13</v>
      </c>
      <c r="B106" s="561"/>
      <c r="C106" s="561"/>
      <c r="D106" s="561"/>
      <c r="E106" s="561"/>
      <c r="F106" s="561"/>
      <c r="G106" s="561"/>
      <c r="H106" s="561"/>
      <c r="I106" s="561"/>
      <c r="J106" s="561"/>
      <c r="K106" s="561"/>
      <c r="L106" s="561"/>
      <c r="M106" s="562"/>
      <c r="N106" s="392">
        <v>44652</v>
      </c>
      <c r="O106" s="301" t="e">
        <f t="shared" si="2"/>
        <v>#DIV/0!</v>
      </c>
      <c r="P106" s="301" t="e">
        <f t="shared" si="1"/>
        <v>#DIV/0!</v>
      </c>
      <c r="Q106" s="302">
        <v>1</v>
      </c>
      <c r="R106" s="572"/>
      <c r="S106" s="573"/>
      <c r="T106" s="573"/>
      <c r="U106" s="574"/>
      <c r="V106" s="358"/>
      <c r="W106" s="383"/>
      <c r="X106" s="302"/>
      <c r="Y106" s="305"/>
      <c r="Z106" s="306"/>
      <c r="AA106" s="307"/>
      <c r="AB106" s="307"/>
      <c r="AC106" s="306"/>
      <c r="AD106" s="307"/>
      <c r="AE106" s="307"/>
      <c r="AF106" s="306"/>
      <c r="AG106" s="307"/>
      <c r="AH106" s="307"/>
      <c r="AI106" s="308"/>
    </row>
    <row r="107" spans="1:35" ht="189.75" customHeight="1" outlineLevel="1" x14ac:dyDescent="0.2">
      <c r="A107" s="563" t="s">
        <v>332</v>
      </c>
      <c r="B107" s="581" t="s">
        <v>333</v>
      </c>
      <c r="C107" s="581" t="s">
        <v>1356</v>
      </c>
      <c r="D107" s="606" t="s">
        <v>334</v>
      </c>
      <c r="E107" s="620" t="s">
        <v>335</v>
      </c>
      <c r="F107" s="620" t="s">
        <v>336</v>
      </c>
      <c r="G107" s="435" t="s">
        <v>337</v>
      </c>
      <c r="H107" s="10" t="s">
        <v>338</v>
      </c>
      <c r="I107" s="435" t="s">
        <v>339</v>
      </c>
      <c r="J107" s="12" t="s">
        <v>340</v>
      </c>
      <c r="K107" s="288" t="s">
        <v>116</v>
      </c>
      <c r="L107" s="300">
        <v>44593</v>
      </c>
      <c r="M107" s="300">
        <v>44925</v>
      </c>
      <c r="N107" s="300">
        <v>44652</v>
      </c>
      <c r="O107" s="301">
        <f t="shared" si="2"/>
        <v>0.17771084337349397</v>
      </c>
      <c r="P107" s="301">
        <f t="shared" si="1"/>
        <v>0.17771084337349397</v>
      </c>
      <c r="Q107" s="302">
        <v>1</v>
      </c>
      <c r="R107" s="303">
        <v>0.25</v>
      </c>
      <c r="S107" s="303">
        <v>0.5</v>
      </c>
      <c r="T107" s="303">
        <v>0.75</v>
      </c>
      <c r="U107" s="303">
        <v>1</v>
      </c>
      <c r="V107" s="303"/>
      <c r="W107" s="383"/>
      <c r="X107" s="302"/>
      <c r="Y107" s="305"/>
      <c r="Z107" s="306"/>
      <c r="AA107" s="307"/>
      <c r="AB107" s="307"/>
      <c r="AC107" s="306"/>
      <c r="AD107" s="307"/>
      <c r="AE107" s="307"/>
      <c r="AF107" s="306"/>
      <c r="AG107" s="307"/>
      <c r="AH107" s="307"/>
      <c r="AI107" s="308"/>
    </row>
    <row r="108" spans="1:35" ht="206.25" customHeight="1" outlineLevel="1" x14ac:dyDescent="0.2">
      <c r="A108" s="564"/>
      <c r="B108" s="582"/>
      <c r="C108" s="582"/>
      <c r="D108" s="611"/>
      <c r="E108" s="621"/>
      <c r="F108" s="621"/>
      <c r="G108" s="436"/>
      <c r="H108" s="10" t="s">
        <v>341</v>
      </c>
      <c r="I108" s="436"/>
      <c r="J108" s="12" t="s">
        <v>340</v>
      </c>
      <c r="K108" s="288" t="s">
        <v>116</v>
      </c>
      <c r="L108" s="300">
        <v>44593</v>
      </c>
      <c r="M108" s="300">
        <v>44925</v>
      </c>
      <c r="N108" s="300">
        <v>44652</v>
      </c>
      <c r="O108" s="301">
        <f t="shared" si="2"/>
        <v>0.17771084337349397</v>
      </c>
      <c r="P108" s="301">
        <f t="shared" si="1"/>
        <v>0.17771084337349397</v>
      </c>
      <c r="Q108" s="302">
        <v>1</v>
      </c>
      <c r="R108" s="303">
        <v>0.25</v>
      </c>
      <c r="S108" s="303">
        <v>0.5</v>
      </c>
      <c r="T108" s="303">
        <v>0.75</v>
      </c>
      <c r="U108" s="303">
        <v>1</v>
      </c>
      <c r="V108" s="303"/>
      <c r="W108" s="383"/>
      <c r="X108" s="302"/>
      <c r="Y108" s="305"/>
      <c r="Z108" s="306"/>
      <c r="AA108" s="307"/>
      <c r="AB108" s="307"/>
      <c r="AC108" s="306"/>
      <c r="AD108" s="307"/>
      <c r="AE108" s="307"/>
      <c r="AF108" s="306"/>
      <c r="AG108" s="307"/>
      <c r="AH108" s="307"/>
      <c r="AI108" s="308"/>
    </row>
    <row r="109" spans="1:35" ht="43.15" customHeight="1" outlineLevel="1" x14ac:dyDescent="0.2">
      <c r="A109" s="564"/>
      <c r="B109" s="582"/>
      <c r="C109" s="582"/>
      <c r="D109" s="611"/>
      <c r="E109" s="621"/>
      <c r="F109" s="621"/>
      <c r="G109" s="436"/>
      <c r="H109" s="10" t="s">
        <v>342</v>
      </c>
      <c r="I109" s="436"/>
      <c r="J109" s="12" t="s">
        <v>340</v>
      </c>
      <c r="K109" s="288" t="s">
        <v>116</v>
      </c>
      <c r="L109" s="300">
        <v>44593</v>
      </c>
      <c r="M109" s="300">
        <v>44925</v>
      </c>
      <c r="N109" s="300">
        <v>44652</v>
      </c>
      <c r="O109" s="301">
        <f t="shared" si="2"/>
        <v>0.17771084337349397</v>
      </c>
      <c r="P109" s="301">
        <f t="shared" si="1"/>
        <v>0.17771084337349397</v>
      </c>
      <c r="Q109" s="302">
        <v>1</v>
      </c>
      <c r="R109" s="303">
        <v>0.25</v>
      </c>
      <c r="S109" s="303">
        <v>0.5</v>
      </c>
      <c r="T109" s="303">
        <v>0.75</v>
      </c>
      <c r="U109" s="303">
        <v>1</v>
      </c>
      <c r="V109" s="303"/>
      <c r="W109" s="383"/>
      <c r="X109" s="302"/>
      <c r="Y109" s="305"/>
      <c r="Z109" s="306"/>
      <c r="AA109" s="307"/>
      <c r="AB109" s="307"/>
      <c r="AC109" s="306"/>
      <c r="AD109" s="307"/>
      <c r="AE109" s="307"/>
      <c r="AF109" s="306"/>
      <c r="AG109" s="307"/>
      <c r="AH109" s="307"/>
      <c r="AI109" s="308"/>
    </row>
    <row r="110" spans="1:35" ht="206.25" customHeight="1" outlineLevel="1" x14ac:dyDescent="0.2">
      <c r="A110" s="564"/>
      <c r="B110" s="582"/>
      <c r="C110" s="582"/>
      <c r="D110" s="611"/>
      <c r="E110" s="621"/>
      <c r="F110" s="621"/>
      <c r="G110" s="436"/>
      <c r="H110" s="10" t="s">
        <v>343</v>
      </c>
      <c r="I110" s="436"/>
      <c r="J110" s="12" t="s">
        <v>340</v>
      </c>
      <c r="K110" s="288" t="s">
        <v>116</v>
      </c>
      <c r="L110" s="300">
        <v>44593</v>
      </c>
      <c r="M110" s="300">
        <v>44925</v>
      </c>
      <c r="N110" s="300">
        <v>44652</v>
      </c>
      <c r="O110" s="301">
        <f t="shared" si="2"/>
        <v>0.17771084337349397</v>
      </c>
      <c r="P110" s="301">
        <f t="shared" si="1"/>
        <v>0.17771084337349397</v>
      </c>
      <c r="Q110" s="302">
        <v>1</v>
      </c>
      <c r="R110" s="303">
        <v>0.25</v>
      </c>
      <c r="S110" s="303">
        <v>0.5</v>
      </c>
      <c r="T110" s="303">
        <v>0.75</v>
      </c>
      <c r="U110" s="303">
        <v>1</v>
      </c>
      <c r="V110" s="303"/>
      <c r="W110" s="383"/>
      <c r="X110" s="302"/>
      <c r="Y110" s="305"/>
      <c r="Z110" s="306"/>
      <c r="AA110" s="307"/>
      <c r="AB110" s="307"/>
      <c r="AC110" s="306"/>
      <c r="AD110" s="307"/>
      <c r="AE110" s="307"/>
      <c r="AF110" s="306"/>
      <c r="AG110" s="307"/>
      <c r="AH110" s="307"/>
      <c r="AI110" s="308"/>
    </row>
    <row r="111" spans="1:35" ht="93.75" customHeight="1" outlineLevel="1" x14ac:dyDescent="0.2">
      <c r="A111" s="564"/>
      <c r="B111" s="582"/>
      <c r="C111" s="582"/>
      <c r="D111" s="611"/>
      <c r="E111" s="621"/>
      <c r="F111" s="621"/>
      <c r="G111" s="436"/>
      <c r="H111" s="10" t="s">
        <v>344</v>
      </c>
      <c r="I111" s="436"/>
      <c r="J111" s="12" t="s">
        <v>340</v>
      </c>
      <c r="K111" s="288" t="s">
        <v>116</v>
      </c>
      <c r="L111" s="300">
        <v>44593</v>
      </c>
      <c r="M111" s="300">
        <v>44925</v>
      </c>
      <c r="N111" s="300">
        <v>44652</v>
      </c>
      <c r="O111" s="301">
        <f t="shared" si="2"/>
        <v>0.17771084337349397</v>
      </c>
      <c r="P111" s="301">
        <f t="shared" si="1"/>
        <v>0.17771084337349397</v>
      </c>
      <c r="Q111" s="302">
        <v>1</v>
      </c>
      <c r="R111" s="303">
        <v>0.25</v>
      </c>
      <c r="S111" s="303">
        <v>0.5</v>
      </c>
      <c r="T111" s="303">
        <v>0.75</v>
      </c>
      <c r="U111" s="303">
        <v>1</v>
      </c>
      <c r="V111" s="303"/>
      <c r="W111" s="383"/>
      <c r="X111" s="302"/>
      <c r="Y111" s="305"/>
      <c r="Z111" s="306"/>
      <c r="AA111" s="307"/>
      <c r="AB111" s="307"/>
      <c r="AC111" s="306"/>
      <c r="AD111" s="307"/>
      <c r="AE111" s="307"/>
      <c r="AF111" s="306"/>
      <c r="AG111" s="307"/>
      <c r="AH111" s="307"/>
      <c r="AI111" s="308"/>
    </row>
    <row r="112" spans="1:35" ht="56.25" customHeight="1" outlineLevel="1" x14ac:dyDescent="0.2">
      <c r="A112" s="564"/>
      <c r="B112" s="582"/>
      <c r="C112" s="582"/>
      <c r="D112" s="611"/>
      <c r="E112" s="621"/>
      <c r="F112" s="621"/>
      <c r="G112" s="436"/>
      <c r="H112" s="10" t="s">
        <v>345</v>
      </c>
      <c r="I112" s="436"/>
      <c r="J112" s="12" t="s">
        <v>340</v>
      </c>
      <c r="K112" s="288" t="s">
        <v>116</v>
      </c>
      <c r="L112" s="300">
        <v>44593</v>
      </c>
      <c r="M112" s="300">
        <v>44925</v>
      </c>
      <c r="N112" s="300">
        <v>44652</v>
      </c>
      <c r="O112" s="301">
        <f t="shared" si="2"/>
        <v>0.17771084337349397</v>
      </c>
      <c r="P112" s="301">
        <f t="shared" si="1"/>
        <v>0.17771084337349397</v>
      </c>
      <c r="Q112" s="302">
        <v>1</v>
      </c>
      <c r="R112" s="303">
        <v>0.25</v>
      </c>
      <c r="S112" s="303">
        <v>0.5</v>
      </c>
      <c r="T112" s="303">
        <v>0.75</v>
      </c>
      <c r="U112" s="303">
        <v>1</v>
      </c>
      <c r="V112" s="303"/>
      <c r="W112" s="383"/>
      <c r="X112" s="302"/>
      <c r="Y112" s="305"/>
      <c r="Z112" s="306"/>
      <c r="AA112" s="307"/>
      <c r="AB112" s="307"/>
      <c r="AC112" s="306"/>
      <c r="AD112" s="307"/>
      <c r="AE112" s="307"/>
      <c r="AF112" s="306"/>
      <c r="AG112" s="307"/>
      <c r="AH112" s="307"/>
      <c r="AI112" s="308"/>
    </row>
    <row r="113" spans="1:35" ht="56.25" customHeight="1" outlineLevel="1" x14ac:dyDescent="0.2">
      <c r="A113" s="564"/>
      <c r="B113" s="582"/>
      <c r="C113" s="582"/>
      <c r="D113" s="611"/>
      <c r="E113" s="621"/>
      <c r="F113" s="621"/>
      <c r="G113" s="436"/>
      <c r="H113" s="10" t="s">
        <v>346</v>
      </c>
      <c r="I113" s="436"/>
      <c r="J113" s="12" t="s">
        <v>340</v>
      </c>
      <c r="K113" s="288" t="s">
        <v>116</v>
      </c>
      <c r="L113" s="300">
        <v>44593</v>
      </c>
      <c r="M113" s="300">
        <v>44925</v>
      </c>
      <c r="N113" s="300">
        <v>44652</v>
      </c>
      <c r="O113" s="301">
        <f t="shared" si="2"/>
        <v>0.17771084337349397</v>
      </c>
      <c r="P113" s="301">
        <f t="shared" si="1"/>
        <v>0.17771084337349397</v>
      </c>
      <c r="Q113" s="302">
        <v>1</v>
      </c>
      <c r="R113" s="303">
        <v>0.25</v>
      </c>
      <c r="S113" s="303">
        <v>0.5</v>
      </c>
      <c r="T113" s="303">
        <v>0.75</v>
      </c>
      <c r="U113" s="303">
        <v>1</v>
      </c>
      <c r="V113" s="303"/>
      <c r="W113" s="383"/>
      <c r="X113" s="302"/>
      <c r="Y113" s="305"/>
      <c r="Z113" s="306"/>
      <c r="AA113" s="307"/>
      <c r="AB113" s="307"/>
      <c r="AC113" s="306"/>
      <c r="AD113" s="307"/>
      <c r="AE113" s="307"/>
      <c r="AF113" s="306"/>
      <c r="AG113" s="307"/>
      <c r="AH113" s="307"/>
      <c r="AI113" s="308"/>
    </row>
    <row r="114" spans="1:35" ht="93.75" customHeight="1" outlineLevel="1" x14ac:dyDescent="0.2">
      <c r="A114" s="564"/>
      <c r="B114" s="582"/>
      <c r="C114" s="582"/>
      <c r="D114" s="611"/>
      <c r="E114" s="621"/>
      <c r="F114" s="621"/>
      <c r="G114" s="436"/>
      <c r="H114" s="10" t="s">
        <v>347</v>
      </c>
      <c r="I114" s="436"/>
      <c r="J114" s="12" t="s">
        <v>340</v>
      </c>
      <c r="K114" s="288" t="s">
        <v>116</v>
      </c>
      <c r="L114" s="300">
        <v>44593</v>
      </c>
      <c r="M114" s="300">
        <v>44925</v>
      </c>
      <c r="N114" s="300">
        <v>44652</v>
      </c>
      <c r="O114" s="301">
        <f t="shared" si="2"/>
        <v>0.17771084337349397</v>
      </c>
      <c r="P114" s="301">
        <f t="shared" si="1"/>
        <v>0.17771084337349397</v>
      </c>
      <c r="Q114" s="302">
        <v>1</v>
      </c>
      <c r="R114" s="303">
        <v>0.25</v>
      </c>
      <c r="S114" s="303">
        <v>0.5</v>
      </c>
      <c r="T114" s="303">
        <v>0.75</v>
      </c>
      <c r="U114" s="303">
        <v>1</v>
      </c>
      <c r="V114" s="303"/>
      <c r="W114" s="383"/>
      <c r="X114" s="302"/>
      <c r="Y114" s="305"/>
      <c r="Z114" s="306"/>
      <c r="AA114" s="307"/>
      <c r="AB114" s="307"/>
      <c r="AC114" s="306"/>
      <c r="AD114" s="307"/>
      <c r="AE114" s="307"/>
      <c r="AF114" s="306"/>
      <c r="AG114" s="307"/>
      <c r="AH114" s="307"/>
      <c r="AI114" s="308"/>
    </row>
    <row r="115" spans="1:35" ht="56.25" customHeight="1" outlineLevel="1" x14ac:dyDescent="0.2">
      <c r="A115" s="564"/>
      <c r="B115" s="582"/>
      <c r="C115" s="582"/>
      <c r="D115" s="611"/>
      <c r="E115" s="621"/>
      <c r="F115" s="621"/>
      <c r="G115" s="436"/>
      <c r="H115" s="10" t="s">
        <v>348</v>
      </c>
      <c r="I115" s="436"/>
      <c r="J115" s="12" t="s">
        <v>340</v>
      </c>
      <c r="K115" s="288" t="s">
        <v>116</v>
      </c>
      <c r="L115" s="300">
        <v>44593</v>
      </c>
      <c r="M115" s="300">
        <v>44925</v>
      </c>
      <c r="N115" s="300">
        <v>44652</v>
      </c>
      <c r="O115" s="301">
        <f t="shared" si="2"/>
        <v>0.17771084337349397</v>
      </c>
      <c r="P115" s="301">
        <f t="shared" si="1"/>
        <v>0.17771084337349397</v>
      </c>
      <c r="Q115" s="302">
        <v>1</v>
      </c>
      <c r="R115" s="303">
        <v>0.25</v>
      </c>
      <c r="S115" s="303">
        <v>0.5</v>
      </c>
      <c r="T115" s="303">
        <v>0.75</v>
      </c>
      <c r="U115" s="303">
        <v>1</v>
      </c>
      <c r="V115" s="303"/>
      <c r="W115" s="383"/>
      <c r="X115" s="302"/>
      <c r="Y115" s="305"/>
      <c r="Z115" s="306"/>
      <c r="AA115" s="307"/>
      <c r="AB115" s="307"/>
      <c r="AC115" s="306"/>
      <c r="AD115" s="307"/>
      <c r="AE115" s="307"/>
      <c r="AF115" s="306"/>
      <c r="AG115" s="307"/>
      <c r="AH115" s="307"/>
      <c r="AI115" s="308"/>
    </row>
    <row r="116" spans="1:35" ht="75" customHeight="1" outlineLevel="1" x14ac:dyDescent="0.2">
      <c r="A116" s="564"/>
      <c r="B116" s="582"/>
      <c r="C116" s="582"/>
      <c r="D116" s="611"/>
      <c r="E116" s="621"/>
      <c r="F116" s="621"/>
      <c r="G116" s="436"/>
      <c r="H116" s="10" t="s">
        <v>349</v>
      </c>
      <c r="I116" s="436"/>
      <c r="J116" s="12" t="s">
        <v>340</v>
      </c>
      <c r="K116" s="288" t="s">
        <v>116</v>
      </c>
      <c r="L116" s="300">
        <v>44593</v>
      </c>
      <c r="M116" s="300">
        <v>44925</v>
      </c>
      <c r="N116" s="300">
        <v>44652</v>
      </c>
      <c r="O116" s="301">
        <f t="shared" si="2"/>
        <v>0.17771084337349397</v>
      </c>
      <c r="P116" s="301">
        <f t="shared" si="1"/>
        <v>0.17771084337349397</v>
      </c>
      <c r="Q116" s="302">
        <v>1</v>
      </c>
      <c r="R116" s="303">
        <v>0.25</v>
      </c>
      <c r="S116" s="303">
        <v>0.5</v>
      </c>
      <c r="T116" s="303">
        <v>0.75</v>
      </c>
      <c r="U116" s="303">
        <v>1</v>
      </c>
      <c r="V116" s="303"/>
      <c r="W116" s="383"/>
      <c r="X116" s="302"/>
      <c r="Y116" s="305"/>
      <c r="Z116" s="306"/>
      <c r="AA116" s="307"/>
      <c r="AB116" s="307"/>
      <c r="AC116" s="306"/>
      <c r="AD116" s="307"/>
      <c r="AE116" s="307"/>
      <c r="AF116" s="306"/>
      <c r="AG116" s="307"/>
      <c r="AH116" s="307"/>
      <c r="AI116" s="308"/>
    </row>
    <row r="117" spans="1:35" ht="75" customHeight="1" outlineLevel="1" x14ac:dyDescent="0.2">
      <c r="A117" s="564"/>
      <c r="B117" s="582"/>
      <c r="C117" s="582"/>
      <c r="D117" s="611"/>
      <c r="E117" s="621"/>
      <c r="F117" s="621"/>
      <c r="G117" s="436"/>
      <c r="H117" s="10" t="s">
        <v>350</v>
      </c>
      <c r="I117" s="436"/>
      <c r="J117" s="12" t="s">
        <v>340</v>
      </c>
      <c r="K117" s="288" t="s">
        <v>116</v>
      </c>
      <c r="L117" s="300">
        <v>44593</v>
      </c>
      <c r="M117" s="300">
        <v>44925</v>
      </c>
      <c r="N117" s="300">
        <v>44652</v>
      </c>
      <c r="O117" s="301">
        <f t="shared" si="2"/>
        <v>0.17771084337349397</v>
      </c>
      <c r="P117" s="301">
        <f t="shared" si="1"/>
        <v>0.17771084337349397</v>
      </c>
      <c r="Q117" s="302">
        <v>1</v>
      </c>
      <c r="R117" s="303">
        <v>0.25</v>
      </c>
      <c r="S117" s="303">
        <v>0.5</v>
      </c>
      <c r="T117" s="303">
        <v>0.75</v>
      </c>
      <c r="U117" s="303">
        <v>1</v>
      </c>
      <c r="V117" s="303"/>
      <c r="W117" s="383"/>
      <c r="X117" s="302"/>
      <c r="Y117" s="305"/>
      <c r="Z117" s="306"/>
      <c r="AA117" s="307"/>
      <c r="AB117" s="307"/>
      <c r="AC117" s="306"/>
      <c r="AD117" s="307"/>
      <c r="AE117" s="307"/>
      <c r="AF117" s="306"/>
      <c r="AG117" s="307"/>
      <c r="AH117" s="307"/>
      <c r="AI117" s="308"/>
    </row>
    <row r="118" spans="1:35" ht="93.75" customHeight="1" outlineLevel="1" x14ac:dyDescent="0.2">
      <c r="A118" s="564"/>
      <c r="B118" s="582"/>
      <c r="C118" s="582"/>
      <c r="D118" s="611"/>
      <c r="E118" s="621"/>
      <c r="F118" s="621"/>
      <c r="G118" s="436"/>
      <c r="H118" s="10" t="s">
        <v>351</v>
      </c>
      <c r="I118" s="436"/>
      <c r="J118" s="12" t="s">
        <v>340</v>
      </c>
      <c r="K118" s="288" t="s">
        <v>116</v>
      </c>
      <c r="L118" s="300">
        <v>44593</v>
      </c>
      <c r="M118" s="300">
        <v>44925</v>
      </c>
      <c r="N118" s="300">
        <v>44652</v>
      </c>
      <c r="O118" s="301">
        <f t="shared" si="2"/>
        <v>0.17771084337349397</v>
      </c>
      <c r="P118" s="301">
        <f t="shared" si="1"/>
        <v>0.17771084337349397</v>
      </c>
      <c r="Q118" s="302">
        <v>1</v>
      </c>
      <c r="R118" s="303">
        <v>0.25</v>
      </c>
      <c r="S118" s="303">
        <v>0.5</v>
      </c>
      <c r="T118" s="303">
        <v>0.75</v>
      </c>
      <c r="U118" s="303">
        <v>1</v>
      </c>
      <c r="V118" s="303"/>
      <c r="W118" s="383"/>
      <c r="X118" s="302"/>
      <c r="Y118" s="305"/>
      <c r="Z118" s="306"/>
      <c r="AA118" s="307"/>
      <c r="AB118" s="307"/>
      <c r="AC118" s="306"/>
      <c r="AD118" s="307"/>
      <c r="AE118" s="307"/>
      <c r="AF118" s="306"/>
      <c r="AG118" s="307"/>
      <c r="AH118" s="307"/>
      <c r="AI118" s="308"/>
    </row>
    <row r="119" spans="1:35" ht="56.25" customHeight="1" outlineLevel="1" x14ac:dyDescent="0.2">
      <c r="A119" s="564"/>
      <c r="B119" s="582"/>
      <c r="C119" s="582"/>
      <c r="D119" s="611"/>
      <c r="E119" s="621"/>
      <c r="F119" s="621"/>
      <c r="G119" s="436"/>
      <c r="H119" s="10" t="s">
        <v>352</v>
      </c>
      <c r="I119" s="436"/>
      <c r="J119" s="12" t="s">
        <v>340</v>
      </c>
      <c r="K119" s="288" t="s">
        <v>116</v>
      </c>
      <c r="L119" s="300">
        <v>44593</v>
      </c>
      <c r="M119" s="300">
        <v>44925</v>
      </c>
      <c r="N119" s="300">
        <v>44652</v>
      </c>
      <c r="O119" s="301">
        <f t="shared" si="2"/>
        <v>0.17771084337349397</v>
      </c>
      <c r="P119" s="301">
        <f t="shared" si="1"/>
        <v>0.17771084337349397</v>
      </c>
      <c r="Q119" s="302">
        <v>1</v>
      </c>
      <c r="R119" s="303">
        <v>0.25</v>
      </c>
      <c r="S119" s="303">
        <v>0.5</v>
      </c>
      <c r="T119" s="303">
        <v>0.75</v>
      </c>
      <c r="U119" s="303">
        <v>1</v>
      </c>
      <c r="V119" s="303"/>
      <c r="W119" s="383"/>
      <c r="X119" s="302"/>
      <c r="Y119" s="305"/>
      <c r="Z119" s="306"/>
      <c r="AA119" s="307"/>
      <c r="AB119" s="307"/>
      <c r="AC119" s="306"/>
      <c r="AD119" s="307"/>
      <c r="AE119" s="307"/>
      <c r="AF119" s="306"/>
      <c r="AG119" s="307"/>
      <c r="AH119" s="307"/>
      <c r="AI119" s="308"/>
    </row>
    <row r="120" spans="1:35" ht="56.25" customHeight="1" outlineLevel="1" x14ac:dyDescent="0.2">
      <c r="A120" s="564"/>
      <c r="B120" s="582"/>
      <c r="C120" s="582"/>
      <c r="D120" s="611"/>
      <c r="E120" s="621"/>
      <c r="F120" s="621"/>
      <c r="G120" s="436"/>
      <c r="H120" s="10" t="s">
        <v>353</v>
      </c>
      <c r="I120" s="436"/>
      <c r="J120" s="12" t="s">
        <v>340</v>
      </c>
      <c r="K120" s="288" t="s">
        <v>116</v>
      </c>
      <c r="L120" s="300">
        <v>44593</v>
      </c>
      <c r="M120" s="300">
        <v>44925</v>
      </c>
      <c r="N120" s="300">
        <v>44652</v>
      </c>
      <c r="O120" s="301">
        <f t="shared" si="2"/>
        <v>0.17771084337349397</v>
      </c>
      <c r="P120" s="301">
        <f t="shared" si="1"/>
        <v>0.17771084337349397</v>
      </c>
      <c r="Q120" s="302">
        <v>1</v>
      </c>
      <c r="R120" s="303">
        <v>0.25</v>
      </c>
      <c r="S120" s="303">
        <v>0.5</v>
      </c>
      <c r="T120" s="303">
        <v>0.75</v>
      </c>
      <c r="U120" s="303">
        <v>1</v>
      </c>
      <c r="V120" s="303"/>
      <c r="W120" s="383"/>
      <c r="X120" s="302"/>
      <c r="Y120" s="305"/>
      <c r="Z120" s="306"/>
      <c r="AA120" s="307"/>
      <c r="AB120" s="307"/>
      <c r="AC120" s="306"/>
      <c r="AD120" s="307"/>
      <c r="AE120" s="307"/>
      <c r="AF120" s="306"/>
      <c r="AG120" s="307"/>
      <c r="AH120" s="307"/>
      <c r="AI120" s="308"/>
    </row>
    <row r="121" spans="1:35" ht="56.25" customHeight="1" outlineLevel="1" x14ac:dyDescent="0.2">
      <c r="A121" s="564"/>
      <c r="B121" s="582"/>
      <c r="C121" s="582"/>
      <c r="D121" s="611"/>
      <c r="E121" s="621"/>
      <c r="F121" s="621"/>
      <c r="G121" s="436"/>
      <c r="H121" s="10" t="s">
        <v>354</v>
      </c>
      <c r="I121" s="436"/>
      <c r="J121" s="12" t="s">
        <v>340</v>
      </c>
      <c r="K121" s="288" t="s">
        <v>116</v>
      </c>
      <c r="L121" s="300">
        <v>44593</v>
      </c>
      <c r="M121" s="300">
        <v>44925</v>
      </c>
      <c r="N121" s="300">
        <v>44652</v>
      </c>
      <c r="O121" s="301">
        <f t="shared" si="2"/>
        <v>0.17771084337349397</v>
      </c>
      <c r="P121" s="301">
        <f t="shared" si="1"/>
        <v>0.17771084337349397</v>
      </c>
      <c r="Q121" s="302">
        <v>1</v>
      </c>
      <c r="R121" s="303">
        <v>0.25</v>
      </c>
      <c r="S121" s="303">
        <v>0.5</v>
      </c>
      <c r="T121" s="303">
        <v>0.75</v>
      </c>
      <c r="U121" s="303">
        <v>1</v>
      </c>
      <c r="V121" s="303"/>
      <c r="W121" s="383"/>
      <c r="X121" s="302"/>
      <c r="Y121" s="305"/>
      <c r="Z121" s="306"/>
      <c r="AA121" s="307"/>
      <c r="AB121" s="307"/>
      <c r="AC121" s="306"/>
      <c r="AD121" s="307"/>
      <c r="AE121" s="307"/>
      <c r="AF121" s="306"/>
      <c r="AG121" s="307"/>
      <c r="AH121" s="307"/>
      <c r="AI121" s="308"/>
    </row>
    <row r="122" spans="1:35" ht="56.25" customHeight="1" outlineLevel="1" x14ac:dyDescent="0.2">
      <c r="A122" s="564"/>
      <c r="B122" s="582"/>
      <c r="C122" s="582"/>
      <c r="D122" s="611"/>
      <c r="E122" s="621"/>
      <c r="F122" s="621"/>
      <c r="G122" s="436"/>
      <c r="H122" s="10" t="s">
        <v>355</v>
      </c>
      <c r="I122" s="436"/>
      <c r="J122" s="12" t="s">
        <v>340</v>
      </c>
      <c r="K122" s="288" t="s">
        <v>116</v>
      </c>
      <c r="L122" s="300">
        <v>44593</v>
      </c>
      <c r="M122" s="300">
        <v>44925</v>
      </c>
      <c r="N122" s="300">
        <v>44652</v>
      </c>
      <c r="O122" s="301">
        <f t="shared" si="2"/>
        <v>0.17771084337349397</v>
      </c>
      <c r="P122" s="301">
        <f t="shared" si="1"/>
        <v>0.17771084337349397</v>
      </c>
      <c r="Q122" s="302">
        <v>1</v>
      </c>
      <c r="R122" s="303">
        <v>0.25</v>
      </c>
      <c r="S122" s="303">
        <v>0.5</v>
      </c>
      <c r="T122" s="303">
        <v>0.75</v>
      </c>
      <c r="U122" s="303">
        <v>1</v>
      </c>
      <c r="V122" s="303"/>
      <c r="W122" s="383"/>
      <c r="X122" s="302"/>
      <c r="Y122" s="305"/>
      <c r="Z122" s="306"/>
      <c r="AA122" s="307"/>
      <c r="AB122" s="307"/>
      <c r="AC122" s="306"/>
      <c r="AD122" s="307"/>
      <c r="AE122" s="307"/>
      <c r="AF122" s="306"/>
      <c r="AG122" s="307"/>
      <c r="AH122" s="307"/>
      <c r="AI122" s="308"/>
    </row>
    <row r="123" spans="1:35" ht="75" customHeight="1" outlineLevel="1" x14ac:dyDescent="0.2">
      <c r="A123" s="564"/>
      <c r="B123" s="582"/>
      <c r="C123" s="582"/>
      <c r="D123" s="611"/>
      <c r="E123" s="621"/>
      <c r="F123" s="621"/>
      <c r="G123" s="436"/>
      <c r="H123" s="289" t="s">
        <v>356</v>
      </c>
      <c r="I123" s="436"/>
      <c r="J123" s="12" t="s">
        <v>340</v>
      </c>
      <c r="K123" s="288" t="s">
        <v>116</v>
      </c>
      <c r="L123" s="300">
        <v>44593</v>
      </c>
      <c r="M123" s="300">
        <v>44925</v>
      </c>
      <c r="N123" s="300">
        <v>44652</v>
      </c>
      <c r="O123" s="301">
        <f t="shared" si="2"/>
        <v>0.17771084337349397</v>
      </c>
      <c r="P123" s="301">
        <f t="shared" si="1"/>
        <v>0.17771084337349397</v>
      </c>
      <c r="Q123" s="302">
        <v>1</v>
      </c>
      <c r="R123" s="303">
        <v>0.25</v>
      </c>
      <c r="S123" s="303">
        <v>0.5</v>
      </c>
      <c r="T123" s="303">
        <v>0.75</v>
      </c>
      <c r="U123" s="303">
        <v>1</v>
      </c>
      <c r="V123" s="303"/>
      <c r="W123" s="383"/>
      <c r="X123" s="302"/>
      <c r="Y123" s="305"/>
      <c r="Z123" s="306"/>
      <c r="AA123" s="307"/>
      <c r="AB123" s="307"/>
      <c r="AC123" s="306"/>
      <c r="AD123" s="307"/>
      <c r="AE123" s="307"/>
      <c r="AF123" s="306"/>
      <c r="AG123" s="307"/>
      <c r="AH123" s="307"/>
      <c r="AI123" s="308"/>
    </row>
    <row r="124" spans="1:35" ht="56.25" customHeight="1" outlineLevel="1" x14ac:dyDescent="0.2">
      <c r="A124" s="564"/>
      <c r="B124" s="582"/>
      <c r="C124" s="582"/>
      <c r="D124" s="611"/>
      <c r="E124" s="621"/>
      <c r="F124" s="621"/>
      <c r="G124" s="436"/>
      <c r="H124" s="289" t="s">
        <v>365</v>
      </c>
      <c r="I124" s="436"/>
      <c r="J124" s="12" t="s">
        <v>340</v>
      </c>
      <c r="K124" s="288" t="s">
        <v>116</v>
      </c>
      <c r="L124" s="300">
        <v>44593</v>
      </c>
      <c r="M124" s="300">
        <v>44925</v>
      </c>
      <c r="N124" s="300">
        <v>44652</v>
      </c>
      <c r="O124" s="301">
        <f t="shared" ref="O124:O131" si="3">+(+_xlfn.DAYS(L124,N124))/(+_xlfn.DAYS(L124,M124))</f>
        <v>0.17771084337349397</v>
      </c>
      <c r="P124" s="301">
        <f t="shared" ref="P124:P131" si="4">+IF(O124&gt;=100,100,IF(O124&lt;=0,0,O124))</f>
        <v>0.17771084337349397</v>
      </c>
      <c r="Q124" s="302">
        <v>1</v>
      </c>
      <c r="R124" s="303">
        <v>0.25</v>
      </c>
      <c r="S124" s="303">
        <v>0.5</v>
      </c>
      <c r="T124" s="303">
        <v>0.75</v>
      </c>
      <c r="U124" s="303">
        <v>1</v>
      </c>
      <c r="V124" s="303"/>
      <c r="W124" s="383"/>
      <c r="X124" s="302"/>
      <c r="Y124" s="305"/>
      <c r="Z124" s="306"/>
      <c r="AA124" s="307"/>
      <c r="AB124" s="307"/>
      <c r="AC124" s="306"/>
      <c r="AD124" s="307"/>
      <c r="AE124" s="307"/>
      <c r="AF124" s="306"/>
      <c r="AG124" s="307"/>
      <c r="AH124" s="307"/>
      <c r="AI124" s="308"/>
    </row>
    <row r="125" spans="1:35" ht="75" customHeight="1" outlineLevel="1" x14ac:dyDescent="0.2">
      <c r="A125" s="564"/>
      <c r="B125" s="582"/>
      <c r="C125" s="582"/>
      <c r="D125" s="611"/>
      <c r="E125" s="621"/>
      <c r="F125" s="621"/>
      <c r="G125" s="436"/>
      <c r="H125" s="289" t="s">
        <v>366</v>
      </c>
      <c r="I125" s="436"/>
      <c r="J125" s="12" t="s">
        <v>340</v>
      </c>
      <c r="K125" s="288" t="s">
        <v>116</v>
      </c>
      <c r="L125" s="300">
        <v>44593</v>
      </c>
      <c r="M125" s="300">
        <v>44925</v>
      </c>
      <c r="N125" s="300">
        <v>44652</v>
      </c>
      <c r="O125" s="301">
        <f t="shared" si="3"/>
        <v>0.17771084337349397</v>
      </c>
      <c r="P125" s="301">
        <f t="shared" si="4"/>
        <v>0.17771084337349397</v>
      </c>
      <c r="Q125" s="302">
        <v>1</v>
      </c>
      <c r="R125" s="303">
        <v>0.25</v>
      </c>
      <c r="S125" s="303">
        <v>0.5</v>
      </c>
      <c r="T125" s="303">
        <v>0.75</v>
      </c>
      <c r="U125" s="303">
        <v>1</v>
      </c>
      <c r="V125" s="303"/>
      <c r="W125" s="383"/>
      <c r="X125" s="302"/>
      <c r="Y125" s="305"/>
      <c r="Z125" s="306"/>
      <c r="AA125" s="307"/>
      <c r="AB125" s="307"/>
      <c r="AC125" s="306"/>
      <c r="AD125" s="307"/>
      <c r="AE125" s="307"/>
      <c r="AF125" s="306"/>
      <c r="AG125" s="307"/>
      <c r="AH125" s="307"/>
      <c r="AI125" s="308"/>
    </row>
    <row r="126" spans="1:35" ht="75" customHeight="1" outlineLevel="1" x14ac:dyDescent="0.2">
      <c r="A126" s="564"/>
      <c r="B126" s="582"/>
      <c r="C126" s="582"/>
      <c r="D126" s="611"/>
      <c r="E126" s="621"/>
      <c r="F126" s="621"/>
      <c r="G126" s="436"/>
      <c r="H126" s="289" t="s">
        <v>367</v>
      </c>
      <c r="I126" s="436"/>
      <c r="J126" s="12" t="s">
        <v>340</v>
      </c>
      <c r="K126" s="288" t="s">
        <v>116</v>
      </c>
      <c r="L126" s="300">
        <v>44593</v>
      </c>
      <c r="M126" s="300">
        <v>44925</v>
      </c>
      <c r="N126" s="300">
        <v>44652</v>
      </c>
      <c r="O126" s="301">
        <f t="shared" si="3"/>
        <v>0.17771084337349397</v>
      </c>
      <c r="P126" s="301">
        <f t="shared" si="4"/>
        <v>0.17771084337349397</v>
      </c>
      <c r="Q126" s="302">
        <v>1</v>
      </c>
      <c r="R126" s="303">
        <v>0.25</v>
      </c>
      <c r="S126" s="303">
        <v>0.5</v>
      </c>
      <c r="T126" s="303">
        <v>0.75</v>
      </c>
      <c r="U126" s="303">
        <v>1</v>
      </c>
      <c r="V126" s="303"/>
      <c r="W126" s="383"/>
      <c r="X126" s="302"/>
      <c r="Y126" s="305"/>
      <c r="Z126" s="306"/>
      <c r="AA126" s="307"/>
      <c r="AB126" s="307"/>
      <c r="AC126" s="306"/>
      <c r="AD126" s="307"/>
      <c r="AE126" s="307"/>
      <c r="AF126" s="306"/>
      <c r="AG126" s="307"/>
      <c r="AH126" s="307"/>
      <c r="AI126" s="308"/>
    </row>
    <row r="127" spans="1:35" ht="56.25" customHeight="1" outlineLevel="1" x14ac:dyDescent="0.2">
      <c r="A127" s="564"/>
      <c r="B127" s="582"/>
      <c r="C127" s="582"/>
      <c r="D127" s="611"/>
      <c r="E127" s="621"/>
      <c r="F127" s="621"/>
      <c r="G127" s="436"/>
      <c r="H127" s="289" t="s">
        <v>368</v>
      </c>
      <c r="I127" s="436"/>
      <c r="J127" s="288" t="s">
        <v>369</v>
      </c>
      <c r="K127" s="288" t="s">
        <v>116</v>
      </c>
      <c r="L127" s="300">
        <v>44593</v>
      </c>
      <c r="M127" s="300">
        <v>44925</v>
      </c>
      <c r="N127" s="300">
        <v>44652</v>
      </c>
      <c r="O127" s="301">
        <f t="shared" si="3"/>
        <v>0.17771084337349397</v>
      </c>
      <c r="P127" s="301">
        <f t="shared" si="4"/>
        <v>0.17771084337349397</v>
      </c>
      <c r="Q127" s="302">
        <v>1</v>
      </c>
      <c r="R127" s="303">
        <v>0.25</v>
      </c>
      <c r="S127" s="303">
        <v>0.5</v>
      </c>
      <c r="T127" s="303">
        <v>0.75</v>
      </c>
      <c r="U127" s="303">
        <v>1</v>
      </c>
      <c r="V127" s="303"/>
      <c r="W127" s="383"/>
      <c r="X127" s="302"/>
      <c r="Y127" s="305"/>
      <c r="Z127" s="306"/>
      <c r="AA127" s="307"/>
      <c r="AB127" s="307"/>
      <c r="AC127" s="306"/>
      <c r="AD127" s="307"/>
      <c r="AE127" s="307"/>
      <c r="AF127" s="306"/>
      <c r="AG127" s="307"/>
      <c r="AH127" s="307"/>
      <c r="AI127" s="308"/>
    </row>
    <row r="128" spans="1:35" ht="46.5" customHeight="1" outlineLevel="1" x14ac:dyDescent="0.2">
      <c r="A128" s="564"/>
      <c r="B128" s="582"/>
      <c r="C128" s="582"/>
      <c r="D128" s="611"/>
      <c r="E128" s="621"/>
      <c r="F128" s="621"/>
      <c r="G128" s="436"/>
      <c r="H128" s="289" t="s">
        <v>370</v>
      </c>
      <c r="I128" s="436"/>
      <c r="J128" s="288" t="s">
        <v>371</v>
      </c>
      <c r="K128" s="288" t="s">
        <v>116</v>
      </c>
      <c r="L128" s="300">
        <v>44593</v>
      </c>
      <c r="M128" s="300">
        <v>44925</v>
      </c>
      <c r="N128" s="300">
        <v>44652</v>
      </c>
      <c r="O128" s="301">
        <f t="shared" si="3"/>
        <v>0.17771084337349397</v>
      </c>
      <c r="P128" s="301">
        <f t="shared" si="4"/>
        <v>0.17771084337349397</v>
      </c>
      <c r="Q128" s="302">
        <v>1</v>
      </c>
      <c r="R128" s="303">
        <v>0.25</v>
      </c>
      <c r="S128" s="303">
        <v>0.5</v>
      </c>
      <c r="T128" s="303">
        <v>0.75</v>
      </c>
      <c r="U128" s="303">
        <v>1</v>
      </c>
      <c r="V128" s="303"/>
      <c r="W128" s="383"/>
      <c r="X128" s="302"/>
      <c r="Y128" s="305"/>
      <c r="Z128" s="306"/>
      <c r="AA128" s="307"/>
      <c r="AB128" s="307"/>
      <c r="AC128" s="306"/>
      <c r="AD128" s="307"/>
      <c r="AE128" s="307"/>
      <c r="AF128" s="306"/>
      <c r="AG128" s="307"/>
      <c r="AH128" s="307"/>
      <c r="AI128" s="308"/>
    </row>
    <row r="129" spans="1:35" ht="75" customHeight="1" outlineLevel="1" x14ac:dyDescent="0.2">
      <c r="A129" s="564"/>
      <c r="B129" s="582"/>
      <c r="C129" s="582"/>
      <c r="D129" s="611"/>
      <c r="E129" s="621"/>
      <c r="F129" s="621"/>
      <c r="G129" s="436"/>
      <c r="H129" s="289" t="s">
        <v>372</v>
      </c>
      <c r="I129" s="436"/>
      <c r="J129" s="288" t="s">
        <v>369</v>
      </c>
      <c r="K129" s="288" t="s">
        <v>116</v>
      </c>
      <c r="L129" s="300">
        <v>44593</v>
      </c>
      <c r="M129" s="300">
        <v>44925</v>
      </c>
      <c r="N129" s="300">
        <v>44652</v>
      </c>
      <c r="O129" s="301">
        <f t="shared" si="3"/>
        <v>0.17771084337349397</v>
      </c>
      <c r="P129" s="301">
        <f t="shared" si="4"/>
        <v>0.17771084337349397</v>
      </c>
      <c r="Q129" s="302">
        <v>1</v>
      </c>
      <c r="R129" s="303">
        <v>0.25</v>
      </c>
      <c r="S129" s="303">
        <v>0.5</v>
      </c>
      <c r="T129" s="303">
        <v>0.75</v>
      </c>
      <c r="U129" s="303">
        <v>1</v>
      </c>
      <c r="V129" s="303"/>
      <c r="W129" s="383"/>
      <c r="X129" s="302"/>
      <c r="Y129" s="305"/>
      <c r="Z129" s="306"/>
      <c r="AA129" s="307"/>
      <c r="AB129" s="307"/>
      <c r="AC129" s="306"/>
      <c r="AD129" s="307"/>
      <c r="AE129" s="307"/>
      <c r="AF129" s="306"/>
      <c r="AG129" s="307"/>
      <c r="AH129" s="307"/>
      <c r="AI129" s="308"/>
    </row>
    <row r="130" spans="1:35" ht="46.5" customHeight="1" outlineLevel="1" x14ac:dyDescent="0.2">
      <c r="A130" s="564"/>
      <c r="B130" s="582"/>
      <c r="C130" s="582"/>
      <c r="D130" s="611"/>
      <c r="E130" s="621"/>
      <c r="F130" s="621"/>
      <c r="G130" s="436"/>
      <c r="H130" s="289" t="s">
        <v>373</v>
      </c>
      <c r="I130" s="436"/>
      <c r="J130" s="288" t="s">
        <v>231</v>
      </c>
      <c r="K130" s="288" t="s">
        <v>116</v>
      </c>
      <c r="L130" s="300">
        <v>44593</v>
      </c>
      <c r="M130" s="300">
        <v>44925</v>
      </c>
      <c r="N130" s="300">
        <v>44652</v>
      </c>
      <c r="O130" s="301">
        <f t="shared" si="3"/>
        <v>0.17771084337349397</v>
      </c>
      <c r="P130" s="301">
        <f t="shared" si="4"/>
        <v>0.17771084337349397</v>
      </c>
      <c r="Q130" s="302">
        <v>1</v>
      </c>
      <c r="R130" s="303">
        <v>0.25</v>
      </c>
      <c r="S130" s="303">
        <v>0.5</v>
      </c>
      <c r="T130" s="303">
        <v>0.75</v>
      </c>
      <c r="U130" s="303">
        <v>1</v>
      </c>
      <c r="V130" s="303"/>
      <c r="W130" s="383"/>
      <c r="X130" s="302"/>
      <c r="Y130" s="305"/>
      <c r="Z130" s="306"/>
      <c r="AA130" s="307"/>
      <c r="AB130" s="307"/>
      <c r="AC130" s="306"/>
      <c r="AD130" s="307"/>
      <c r="AE130" s="307"/>
      <c r="AF130" s="306"/>
      <c r="AG130" s="307"/>
      <c r="AH130" s="307"/>
      <c r="AI130" s="308"/>
    </row>
    <row r="131" spans="1:35" ht="75.75" customHeight="1" outlineLevel="1" thickBot="1" x14ac:dyDescent="0.25">
      <c r="A131" s="564"/>
      <c r="B131" s="648"/>
      <c r="C131" s="648"/>
      <c r="D131" s="611"/>
      <c r="E131" s="622"/>
      <c r="F131" s="622"/>
      <c r="G131" s="436"/>
      <c r="H131" s="290" t="s">
        <v>374</v>
      </c>
      <c r="I131" s="436"/>
      <c r="J131" s="288" t="s">
        <v>340</v>
      </c>
      <c r="K131" s="288" t="s">
        <v>116</v>
      </c>
      <c r="L131" s="300">
        <v>44593</v>
      </c>
      <c r="M131" s="300">
        <v>44925</v>
      </c>
      <c r="N131" s="300">
        <v>44652</v>
      </c>
      <c r="O131" s="301">
        <f t="shared" si="3"/>
        <v>0.17771084337349397</v>
      </c>
      <c r="P131" s="301">
        <f t="shared" si="4"/>
        <v>0.17771084337349397</v>
      </c>
      <c r="Q131" s="302">
        <v>1</v>
      </c>
      <c r="R131" s="303">
        <v>0.25</v>
      </c>
      <c r="S131" s="303">
        <v>0.5</v>
      </c>
      <c r="T131" s="303">
        <v>0.75</v>
      </c>
      <c r="U131" s="303">
        <v>1</v>
      </c>
      <c r="V131" s="303"/>
      <c r="W131" s="383"/>
      <c r="X131" s="302"/>
      <c r="Y131" s="305"/>
      <c r="Z131" s="306"/>
      <c r="AA131" s="307"/>
      <c r="AB131" s="307"/>
      <c r="AC131" s="306"/>
      <c r="AD131" s="307"/>
      <c r="AE131" s="307"/>
      <c r="AF131" s="306"/>
      <c r="AG131" s="307"/>
      <c r="AH131" s="307"/>
      <c r="AI131" s="308"/>
    </row>
    <row r="132" spans="1:35" ht="75" customHeight="1" outlineLevel="1" x14ac:dyDescent="0.2">
      <c r="A132" s="564"/>
      <c r="B132" s="581" t="s">
        <v>357</v>
      </c>
      <c r="C132" s="581" t="s">
        <v>358</v>
      </c>
      <c r="D132" s="611"/>
      <c r="E132" s="620" t="s">
        <v>359</v>
      </c>
      <c r="F132" s="620" t="s">
        <v>360</v>
      </c>
      <c r="G132" s="436"/>
      <c r="H132" s="289" t="s">
        <v>361</v>
      </c>
      <c r="I132" s="436"/>
      <c r="J132" s="12" t="s">
        <v>340</v>
      </c>
      <c r="K132" s="288" t="s">
        <v>116</v>
      </c>
      <c r="L132" s="300">
        <v>44593</v>
      </c>
      <c r="M132" s="300">
        <v>44925</v>
      </c>
      <c r="N132" s="300">
        <v>44652</v>
      </c>
      <c r="O132" s="301">
        <f t="shared" si="2"/>
        <v>0.17771084337349397</v>
      </c>
      <c r="P132" s="301">
        <f t="shared" si="1"/>
        <v>0.17771084337349397</v>
      </c>
      <c r="Q132" s="302">
        <v>1</v>
      </c>
      <c r="R132" s="303">
        <v>0.25</v>
      </c>
      <c r="S132" s="303">
        <v>0.5</v>
      </c>
      <c r="T132" s="303">
        <v>0.75</v>
      </c>
      <c r="U132" s="303">
        <v>1</v>
      </c>
      <c r="V132" s="303"/>
      <c r="W132" s="383"/>
      <c r="X132" s="302"/>
      <c r="Y132" s="305"/>
      <c r="Z132" s="306"/>
      <c r="AA132" s="307"/>
      <c r="AB132" s="307"/>
      <c r="AC132" s="306"/>
      <c r="AD132" s="307"/>
      <c r="AE132" s="307"/>
      <c r="AF132" s="306"/>
      <c r="AG132" s="307"/>
      <c r="AH132" s="307"/>
      <c r="AI132" s="308"/>
    </row>
    <row r="133" spans="1:35" ht="93.75" customHeight="1" outlineLevel="1" x14ac:dyDescent="0.2">
      <c r="A133" s="564"/>
      <c r="B133" s="582"/>
      <c r="C133" s="582"/>
      <c r="D133" s="611"/>
      <c r="E133" s="621"/>
      <c r="F133" s="621"/>
      <c r="G133" s="436"/>
      <c r="H133" s="289" t="s">
        <v>362</v>
      </c>
      <c r="I133" s="436"/>
      <c r="J133" s="12" t="s">
        <v>363</v>
      </c>
      <c r="K133" s="288" t="s">
        <v>116</v>
      </c>
      <c r="L133" s="300">
        <v>44593</v>
      </c>
      <c r="M133" s="300">
        <v>44925</v>
      </c>
      <c r="N133" s="300">
        <v>44652</v>
      </c>
      <c r="O133" s="301">
        <f t="shared" si="2"/>
        <v>0.17771084337349397</v>
      </c>
      <c r="P133" s="301">
        <f t="shared" si="1"/>
        <v>0.17771084337349397</v>
      </c>
      <c r="Q133" s="302">
        <v>1</v>
      </c>
      <c r="R133" s="303">
        <v>0.25</v>
      </c>
      <c r="S133" s="303">
        <v>0.5</v>
      </c>
      <c r="T133" s="303">
        <v>0.75</v>
      </c>
      <c r="U133" s="303">
        <v>1</v>
      </c>
      <c r="V133" s="303"/>
      <c r="W133" s="383"/>
      <c r="X133" s="302"/>
      <c r="Y133" s="305"/>
      <c r="Z133" s="306"/>
      <c r="AA133" s="307"/>
      <c r="AB133" s="307"/>
      <c r="AC133" s="306"/>
      <c r="AD133" s="307"/>
      <c r="AE133" s="307"/>
      <c r="AF133" s="306"/>
      <c r="AG133" s="307"/>
      <c r="AH133" s="307"/>
      <c r="AI133" s="308"/>
    </row>
    <row r="134" spans="1:35" ht="56.25" customHeight="1" outlineLevel="1" x14ac:dyDescent="0.2">
      <c r="A134" s="564"/>
      <c r="B134" s="583"/>
      <c r="C134" s="583"/>
      <c r="D134" s="611"/>
      <c r="E134" s="622"/>
      <c r="F134" s="622"/>
      <c r="G134" s="436"/>
      <c r="H134" s="289" t="s">
        <v>364</v>
      </c>
      <c r="I134" s="436"/>
      <c r="J134" s="12" t="s">
        <v>340</v>
      </c>
      <c r="K134" s="288" t="s">
        <v>116</v>
      </c>
      <c r="L134" s="300">
        <v>44593</v>
      </c>
      <c r="M134" s="300">
        <v>44925</v>
      </c>
      <c r="N134" s="300">
        <v>44652</v>
      </c>
      <c r="O134" s="301">
        <f t="shared" si="2"/>
        <v>0.17771084337349397</v>
      </c>
      <c r="P134" s="301">
        <f t="shared" si="1"/>
        <v>0.17771084337349397</v>
      </c>
      <c r="Q134" s="302">
        <v>1</v>
      </c>
      <c r="R134" s="303">
        <v>0.25</v>
      </c>
      <c r="S134" s="303">
        <v>0.5</v>
      </c>
      <c r="T134" s="303">
        <v>0.75</v>
      </c>
      <c r="U134" s="303">
        <v>1</v>
      </c>
      <c r="V134" s="303"/>
      <c r="W134" s="383"/>
      <c r="X134" s="302"/>
      <c r="Y134" s="305"/>
      <c r="Z134" s="306"/>
      <c r="AA134" s="307"/>
      <c r="AB134" s="307"/>
      <c r="AC134" s="306"/>
      <c r="AD134" s="307"/>
      <c r="AE134" s="307"/>
      <c r="AF134" s="306"/>
      <c r="AG134" s="307"/>
      <c r="AH134" s="307"/>
      <c r="AI134" s="308"/>
    </row>
    <row r="135" spans="1:35" ht="60" customHeight="1" outlineLevel="1" x14ac:dyDescent="0.2">
      <c r="A135" s="564"/>
      <c r="B135" s="496" t="s">
        <v>333</v>
      </c>
      <c r="C135" s="496" t="s">
        <v>375</v>
      </c>
      <c r="D135" s="481" t="s">
        <v>4</v>
      </c>
      <c r="E135" s="612" t="s">
        <v>376</v>
      </c>
      <c r="F135" s="363" t="s">
        <v>377</v>
      </c>
      <c r="G135" s="343" t="s">
        <v>378</v>
      </c>
      <c r="H135" s="343" t="s">
        <v>379</v>
      </c>
      <c r="I135" s="343" t="s">
        <v>380</v>
      </c>
      <c r="J135" s="276" t="s">
        <v>381</v>
      </c>
      <c r="K135" s="288" t="s">
        <v>116</v>
      </c>
      <c r="L135" s="300">
        <v>44593</v>
      </c>
      <c r="M135" s="300">
        <v>44925</v>
      </c>
      <c r="N135" s="300">
        <v>44652</v>
      </c>
      <c r="O135" s="301">
        <f t="shared" si="2"/>
        <v>0.17771084337349397</v>
      </c>
      <c r="P135" s="301">
        <f t="shared" si="1"/>
        <v>0.17771084337349397</v>
      </c>
      <c r="Q135" s="302">
        <v>0.65</v>
      </c>
      <c r="R135" s="303">
        <v>0.54</v>
      </c>
      <c r="S135" s="303">
        <v>0.57999999999999996</v>
      </c>
      <c r="T135" s="303">
        <v>0.62</v>
      </c>
      <c r="U135" s="303">
        <v>0.65</v>
      </c>
      <c r="V135" s="303"/>
      <c r="W135" s="383"/>
      <c r="X135" s="302"/>
      <c r="Y135" s="305"/>
      <c r="Z135" s="306"/>
      <c r="AA135" s="307"/>
      <c r="AB135" s="307"/>
      <c r="AC135" s="306"/>
      <c r="AD135" s="307"/>
      <c r="AE135" s="307"/>
      <c r="AF135" s="306"/>
      <c r="AG135" s="307"/>
      <c r="AH135" s="307"/>
      <c r="AI135" s="308"/>
    </row>
    <row r="136" spans="1:35" ht="168.75" customHeight="1" outlineLevel="1" x14ac:dyDescent="0.2">
      <c r="A136" s="564"/>
      <c r="B136" s="496"/>
      <c r="C136" s="496"/>
      <c r="D136" s="482"/>
      <c r="E136" s="612"/>
      <c r="F136" s="493" t="s">
        <v>382</v>
      </c>
      <c r="G136" s="467" t="s">
        <v>378</v>
      </c>
      <c r="H136" s="467" t="s">
        <v>383</v>
      </c>
      <c r="I136" s="343" t="s">
        <v>384</v>
      </c>
      <c r="J136" s="276" t="s">
        <v>385</v>
      </c>
      <c r="K136" s="403">
        <v>90000000</v>
      </c>
      <c r="L136" s="300">
        <v>44593</v>
      </c>
      <c r="M136" s="300">
        <v>44925</v>
      </c>
      <c r="N136" s="300">
        <v>44652</v>
      </c>
      <c r="O136" s="301">
        <f t="shared" si="2"/>
        <v>0.17771084337349397</v>
      </c>
      <c r="P136" s="301">
        <f t="shared" si="1"/>
        <v>0.17771084337349397</v>
      </c>
      <c r="Q136" s="302">
        <v>0.8</v>
      </c>
      <c r="R136" s="303">
        <v>0.72</v>
      </c>
      <c r="S136" s="303">
        <v>0.75</v>
      </c>
      <c r="T136" s="303">
        <v>0.78</v>
      </c>
      <c r="U136" s="303">
        <v>0.8</v>
      </c>
      <c r="V136" s="303"/>
      <c r="W136" s="383"/>
      <c r="X136" s="302"/>
      <c r="Y136" s="305"/>
      <c r="Z136" s="306"/>
      <c r="AA136" s="307"/>
      <c r="AB136" s="307"/>
      <c r="AC136" s="306"/>
      <c r="AD136" s="307"/>
      <c r="AE136" s="307"/>
      <c r="AF136" s="306"/>
      <c r="AG136" s="307"/>
      <c r="AH136" s="307"/>
      <c r="AI136" s="308"/>
    </row>
    <row r="137" spans="1:35" ht="168.75" customHeight="1" outlineLevel="1" x14ac:dyDescent="0.2">
      <c r="A137" s="564"/>
      <c r="B137" s="496"/>
      <c r="C137" s="496"/>
      <c r="D137" s="482"/>
      <c r="E137" s="612"/>
      <c r="F137" s="495"/>
      <c r="G137" s="469"/>
      <c r="H137" s="469"/>
      <c r="I137" s="343" t="s">
        <v>386</v>
      </c>
      <c r="J137" s="276" t="s">
        <v>387</v>
      </c>
      <c r="K137" s="404" t="s">
        <v>61</v>
      </c>
      <c r="L137" s="300">
        <v>44593</v>
      </c>
      <c r="M137" s="300">
        <v>44925</v>
      </c>
      <c r="N137" s="300">
        <v>44652</v>
      </c>
      <c r="O137" s="301">
        <f t="shared" si="2"/>
        <v>0.17771084337349397</v>
      </c>
      <c r="P137" s="301">
        <f t="shared" ref="P137" si="5">+IF(O137&gt;=100,100,IF(O137&lt;=0,0,O137))</f>
        <v>0.17771084337349397</v>
      </c>
      <c r="Q137" s="302">
        <v>0.75</v>
      </c>
      <c r="R137" s="303">
        <v>63</v>
      </c>
      <c r="S137" s="303">
        <v>0.67</v>
      </c>
      <c r="T137" s="303">
        <v>0.71</v>
      </c>
      <c r="U137" s="303">
        <v>0.75</v>
      </c>
      <c r="V137" s="303"/>
      <c r="W137" s="383"/>
      <c r="X137" s="302"/>
      <c r="Y137" s="305"/>
      <c r="Z137" s="306"/>
      <c r="AA137" s="307"/>
      <c r="AB137" s="307"/>
      <c r="AC137" s="306"/>
      <c r="AD137" s="307"/>
      <c r="AE137" s="307"/>
      <c r="AF137" s="306"/>
      <c r="AG137" s="307"/>
      <c r="AH137" s="307"/>
      <c r="AI137" s="308"/>
    </row>
    <row r="138" spans="1:35" ht="70.150000000000006" customHeight="1" outlineLevel="1" x14ac:dyDescent="0.2">
      <c r="A138" s="564"/>
      <c r="B138" s="496"/>
      <c r="C138" s="496"/>
      <c r="D138" s="482"/>
      <c r="E138" s="612"/>
      <c r="F138" s="493" t="s">
        <v>388</v>
      </c>
      <c r="G138" s="467" t="s">
        <v>378</v>
      </c>
      <c r="H138" s="467" t="s">
        <v>389</v>
      </c>
      <c r="I138" s="343" t="s">
        <v>390</v>
      </c>
      <c r="J138" s="276" t="s">
        <v>391</v>
      </c>
      <c r="K138" s="404" t="s">
        <v>61</v>
      </c>
      <c r="L138" s="300">
        <v>44593</v>
      </c>
      <c r="M138" s="300">
        <v>44925</v>
      </c>
      <c r="N138" s="300">
        <v>44652</v>
      </c>
      <c r="O138" s="301">
        <f t="shared" si="2"/>
        <v>0.17771084337349397</v>
      </c>
      <c r="P138" s="301">
        <f t="shared" si="1"/>
        <v>0.17771084337349397</v>
      </c>
      <c r="Q138" s="302">
        <v>1</v>
      </c>
      <c r="R138" s="303">
        <v>0.92</v>
      </c>
      <c r="S138" s="303">
        <v>0.95</v>
      </c>
      <c r="T138" s="303">
        <v>0.98</v>
      </c>
      <c r="U138" s="303">
        <v>1</v>
      </c>
      <c r="V138" s="303"/>
      <c r="W138" s="383"/>
      <c r="X138" s="302"/>
      <c r="Y138" s="305"/>
      <c r="Z138" s="306"/>
      <c r="AA138" s="307"/>
      <c r="AB138" s="307"/>
      <c r="AC138" s="306"/>
      <c r="AD138" s="307"/>
      <c r="AE138" s="307"/>
      <c r="AF138" s="306"/>
      <c r="AG138" s="307"/>
      <c r="AH138" s="307"/>
      <c r="AI138" s="308"/>
    </row>
    <row r="139" spans="1:35" ht="70.150000000000006" customHeight="1" outlineLevel="1" x14ac:dyDescent="0.2">
      <c r="A139" s="564"/>
      <c r="B139" s="496"/>
      <c r="C139" s="496"/>
      <c r="D139" s="482"/>
      <c r="E139" s="612"/>
      <c r="F139" s="495"/>
      <c r="G139" s="469"/>
      <c r="H139" s="469"/>
      <c r="I139" s="337" t="s">
        <v>392</v>
      </c>
      <c r="J139" s="276" t="s">
        <v>391</v>
      </c>
      <c r="K139" s="404" t="s">
        <v>61</v>
      </c>
      <c r="L139" s="300">
        <v>44593</v>
      </c>
      <c r="M139" s="300">
        <v>44925</v>
      </c>
      <c r="N139" s="300">
        <v>44652</v>
      </c>
      <c r="O139" s="301">
        <f t="shared" si="2"/>
        <v>0.17771084337349397</v>
      </c>
      <c r="P139" s="301">
        <f t="shared" ref="P139" si="6">+IF(O139&gt;=100,100,IF(O139&lt;=0,0,O139))</f>
        <v>0.17771084337349397</v>
      </c>
      <c r="Q139" s="302">
        <v>0.5</v>
      </c>
      <c r="R139" s="303">
        <v>0.31</v>
      </c>
      <c r="S139" s="303">
        <v>0.37</v>
      </c>
      <c r="T139" s="303">
        <v>0.44</v>
      </c>
      <c r="U139" s="303">
        <v>0.5</v>
      </c>
      <c r="V139" s="303"/>
      <c r="W139" s="383"/>
      <c r="X139" s="302"/>
      <c r="Y139" s="305"/>
      <c r="Z139" s="306"/>
      <c r="AA139" s="307"/>
      <c r="AB139" s="307"/>
      <c r="AC139" s="306"/>
      <c r="AD139" s="307"/>
      <c r="AE139" s="307"/>
      <c r="AF139" s="306"/>
      <c r="AG139" s="307"/>
      <c r="AH139" s="307"/>
      <c r="AI139" s="308"/>
    </row>
    <row r="140" spans="1:35" ht="56.25" customHeight="1" outlineLevel="1" x14ac:dyDescent="0.2">
      <c r="A140" s="564"/>
      <c r="B140" s="496"/>
      <c r="C140" s="496"/>
      <c r="D140" s="482"/>
      <c r="E140" s="612"/>
      <c r="F140" s="493" t="s">
        <v>393</v>
      </c>
      <c r="G140" s="343" t="s">
        <v>378</v>
      </c>
      <c r="H140" s="343" t="s">
        <v>394</v>
      </c>
      <c r="I140" s="467" t="s">
        <v>395</v>
      </c>
      <c r="J140" s="276" t="s">
        <v>391</v>
      </c>
      <c r="K140" s="404" t="s">
        <v>61</v>
      </c>
      <c r="L140" s="300">
        <v>44593</v>
      </c>
      <c r="M140" s="300">
        <v>44925</v>
      </c>
      <c r="N140" s="300">
        <v>44652</v>
      </c>
      <c r="O140" s="301">
        <f t="shared" si="2"/>
        <v>0.17771084337349397</v>
      </c>
      <c r="P140" s="301">
        <f t="shared" si="1"/>
        <v>0.17771084337349397</v>
      </c>
      <c r="Q140" s="302">
        <v>1</v>
      </c>
      <c r="R140" s="303">
        <v>0.65</v>
      </c>
      <c r="S140" s="303">
        <v>0.75</v>
      </c>
      <c r="T140" s="303">
        <v>0.85</v>
      </c>
      <c r="U140" s="303">
        <v>1</v>
      </c>
      <c r="V140" s="303"/>
      <c r="W140" s="383"/>
      <c r="X140" s="302"/>
      <c r="Y140" s="305"/>
      <c r="Z140" s="306"/>
      <c r="AA140" s="307"/>
      <c r="AB140" s="307"/>
      <c r="AC140" s="306"/>
      <c r="AD140" s="307"/>
      <c r="AE140" s="307"/>
      <c r="AF140" s="306"/>
      <c r="AG140" s="307"/>
      <c r="AH140" s="307"/>
      <c r="AI140" s="308"/>
    </row>
    <row r="141" spans="1:35" ht="93.6" customHeight="1" outlineLevel="1" x14ac:dyDescent="0.2">
      <c r="A141" s="564"/>
      <c r="B141" s="496"/>
      <c r="C141" s="496"/>
      <c r="D141" s="482"/>
      <c r="E141" s="612"/>
      <c r="F141" s="495"/>
      <c r="G141" s="343" t="s">
        <v>378</v>
      </c>
      <c r="H141" s="343" t="s">
        <v>396</v>
      </c>
      <c r="I141" s="469"/>
      <c r="J141" s="276" t="s">
        <v>397</v>
      </c>
      <c r="K141" s="404" t="s">
        <v>61</v>
      </c>
      <c r="L141" s="300">
        <v>44593</v>
      </c>
      <c r="M141" s="300">
        <v>44925</v>
      </c>
      <c r="N141" s="300">
        <v>44652</v>
      </c>
      <c r="O141" s="301">
        <f t="shared" si="2"/>
        <v>0.17771084337349397</v>
      </c>
      <c r="P141" s="301">
        <f t="shared" si="1"/>
        <v>0.17771084337349397</v>
      </c>
      <c r="Q141" s="302">
        <v>1</v>
      </c>
      <c r="R141" s="303">
        <v>0.25</v>
      </c>
      <c r="S141" s="303">
        <v>0.5</v>
      </c>
      <c r="T141" s="303">
        <v>0.75</v>
      </c>
      <c r="U141" s="303">
        <v>1</v>
      </c>
      <c r="V141" s="303"/>
      <c r="W141" s="383"/>
      <c r="X141" s="302"/>
      <c r="Y141" s="305"/>
      <c r="Z141" s="306"/>
      <c r="AA141" s="307"/>
      <c r="AB141" s="307"/>
      <c r="AC141" s="306"/>
      <c r="AD141" s="307"/>
      <c r="AE141" s="307"/>
      <c r="AF141" s="306"/>
      <c r="AG141" s="307"/>
      <c r="AH141" s="307"/>
      <c r="AI141" s="308"/>
    </row>
    <row r="142" spans="1:35" ht="93.75" customHeight="1" outlineLevel="1" x14ac:dyDescent="0.2">
      <c r="A142" s="564"/>
      <c r="B142" s="496"/>
      <c r="C142" s="496"/>
      <c r="D142" s="482"/>
      <c r="E142" s="612"/>
      <c r="F142" s="363" t="s">
        <v>398</v>
      </c>
      <c r="G142" s="343" t="s">
        <v>378</v>
      </c>
      <c r="H142" s="343" t="s">
        <v>387</v>
      </c>
      <c r="I142" s="343" t="s">
        <v>399</v>
      </c>
      <c r="J142" s="276" t="s">
        <v>116</v>
      </c>
      <c r="K142" s="403" t="s">
        <v>61</v>
      </c>
      <c r="L142" s="300">
        <v>44593</v>
      </c>
      <c r="M142" s="300">
        <v>44925</v>
      </c>
      <c r="N142" s="300">
        <v>44652</v>
      </c>
      <c r="O142" s="301">
        <f t="shared" si="2"/>
        <v>0.17771084337349397</v>
      </c>
      <c r="P142" s="301">
        <f t="shared" si="1"/>
        <v>0.17771084337349397</v>
      </c>
      <c r="Q142" s="302">
        <v>0.5</v>
      </c>
      <c r="R142" s="303">
        <v>0.25</v>
      </c>
      <c r="S142" s="303">
        <v>0.33</v>
      </c>
      <c r="T142" s="303">
        <v>0.43</v>
      </c>
      <c r="U142" s="303">
        <v>0.5</v>
      </c>
      <c r="V142" s="303"/>
      <c r="W142" s="383"/>
      <c r="X142" s="302"/>
      <c r="Y142" s="305"/>
      <c r="Z142" s="306"/>
      <c r="AA142" s="307"/>
      <c r="AB142" s="307"/>
      <c r="AC142" s="306"/>
      <c r="AD142" s="307"/>
      <c r="AE142" s="307"/>
      <c r="AF142" s="306"/>
      <c r="AG142" s="307"/>
      <c r="AH142" s="307"/>
      <c r="AI142" s="308"/>
    </row>
    <row r="143" spans="1:35" ht="75" customHeight="1" outlineLevel="1" x14ac:dyDescent="0.2">
      <c r="A143" s="564"/>
      <c r="B143" s="496" t="s">
        <v>400</v>
      </c>
      <c r="C143" s="496" t="s">
        <v>401</v>
      </c>
      <c r="D143" s="482"/>
      <c r="E143" s="493" t="s">
        <v>402</v>
      </c>
      <c r="F143" s="493" t="s">
        <v>403</v>
      </c>
      <c r="G143" s="343" t="s">
        <v>378</v>
      </c>
      <c r="H143" s="291" t="s">
        <v>404</v>
      </c>
      <c r="I143" s="467" t="s">
        <v>221</v>
      </c>
      <c r="J143" s="276" t="s">
        <v>385</v>
      </c>
      <c r="K143" s="403">
        <v>35000000</v>
      </c>
      <c r="L143" s="300">
        <v>44593</v>
      </c>
      <c r="M143" s="300">
        <v>44925</v>
      </c>
      <c r="N143" s="300">
        <v>44652</v>
      </c>
      <c r="O143" s="301">
        <f t="shared" si="2"/>
        <v>0.17771084337349397</v>
      </c>
      <c r="P143" s="301">
        <f t="shared" si="1"/>
        <v>0.17771084337349397</v>
      </c>
      <c r="Q143" s="302">
        <v>1</v>
      </c>
      <c r="R143" s="303">
        <v>0.25</v>
      </c>
      <c r="S143" s="303">
        <v>0.5</v>
      </c>
      <c r="T143" s="303">
        <v>0.75</v>
      </c>
      <c r="U143" s="303">
        <v>1</v>
      </c>
      <c r="V143" s="303"/>
      <c r="W143" s="383"/>
      <c r="X143" s="302"/>
      <c r="Y143" s="305"/>
      <c r="Z143" s="306"/>
      <c r="AA143" s="307"/>
      <c r="AB143" s="307"/>
      <c r="AC143" s="306"/>
      <c r="AD143" s="307"/>
      <c r="AE143" s="307"/>
      <c r="AF143" s="306"/>
      <c r="AG143" s="307"/>
      <c r="AH143" s="307"/>
      <c r="AI143" s="308"/>
    </row>
    <row r="144" spans="1:35" ht="60" customHeight="1" outlineLevel="1" x14ac:dyDescent="0.2">
      <c r="A144" s="564"/>
      <c r="B144" s="496"/>
      <c r="C144" s="496"/>
      <c r="D144" s="482"/>
      <c r="E144" s="494"/>
      <c r="F144" s="494"/>
      <c r="G144" s="343" t="s">
        <v>378</v>
      </c>
      <c r="H144" s="343" t="s">
        <v>405</v>
      </c>
      <c r="I144" s="468"/>
      <c r="J144" s="276" t="s">
        <v>406</v>
      </c>
      <c r="K144" s="403">
        <v>54000000</v>
      </c>
      <c r="L144" s="300">
        <v>44593</v>
      </c>
      <c r="M144" s="300">
        <v>44925</v>
      </c>
      <c r="N144" s="300">
        <v>44652</v>
      </c>
      <c r="O144" s="301">
        <f t="shared" si="2"/>
        <v>0.17771084337349397</v>
      </c>
      <c r="P144" s="301">
        <f t="shared" si="1"/>
        <v>0.17771084337349397</v>
      </c>
      <c r="Q144" s="302">
        <v>1</v>
      </c>
      <c r="R144" s="303">
        <v>0.25</v>
      </c>
      <c r="S144" s="303">
        <v>0.5</v>
      </c>
      <c r="T144" s="303">
        <v>0.75</v>
      </c>
      <c r="U144" s="303">
        <v>1</v>
      </c>
      <c r="V144" s="303"/>
      <c r="W144" s="383"/>
      <c r="X144" s="302"/>
      <c r="Y144" s="305"/>
      <c r="Z144" s="306"/>
      <c r="AA144" s="307"/>
      <c r="AB144" s="307"/>
      <c r="AC144" s="306"/>
      <c r="AD144" s="307"/>
      <c r="AE144" s="307"/>
      <c r="AF144" s="306"/>
      <c r="AG144" s="307"/>
      <c r="AH144" s="307"/>
      <c r="AI144" s="308"/>
    </row>
    <row r="145" spans="1:35" ht="70.150000000000006" customHeight="1" outlineLevel="1" x14ac:dyDescent="0.2">
      <c r="A145" s="564"/>
      <c r="B145" s="496"/>
      <c r="C145" s="496"/>
      <c r="D145" s="482"/>
      <c r="E145" s="495"/>
      <c r="F145" s="495"/>
      <c r="G145" s="343" t="s">
        <v>378</v>
      </c>
      <c r="H145" s="343" t="s">
        <v>407</v>
      </c>
      <c r="I145" s="469"/>
      <c r="J145" s="276" t="s">
        <v>406</v>
      </c>
      <c r="K145" s="403">
        <v>20000000</v>
      </c>
      <c r="L145" s="300">
        <v>44593</v>
      </c>
      <c r="M145" s="300">
        <v>44925</v>
      </c>
      <c r="N145" s="300">
        <v>44652</v>
      </c>
      <c r="O145" s="301">
        <f t="shared" si="2"/>
        <v>0.17771084337349397</v>
      </c>
      <c r="P145" s="301">
        <f t="shared" si="1"/>
        <v>0.17771084337349397</v>
      </c>
      <c r="Q145" s="302">
        <v>1</v>
      </c>
      <c r="R145" s="303">
        <v>0.25</v>
      </c>
      <c r="S145" s="303">
        <v>0.5</v>
      </c>
      <c r="T145" s="303">
        <v>0.75</v>
      </c>
      <c r="U145" s="303">
        <v>1</v>
      </c>
      <c r="V145" s="303"/>
      <c r="W145" s="383"/>
      <c r="X145" s="302"/>
      <c r="Y145" s="305"/>
      <c r="Z145" s="306"/>
      <c r="AA145" s="307"/>
      <c r="AB145" s="307"/>
      <c r="AC145" s="306"/>
      <c r="AD145" s="307"/>
      <c r="AE145" s="307"/>
      <c r="AF145" s="306"/>
      <c r="AG145" s="307"/>
      <c r="AH145" s="307"/>
      <c r="AI145" s="308"/>
    </row>
    <row r="146" spans="1:35" ht="60" customHeight="1" outlineLevel="1" x14ac:dyDescent="0.2">
      <c r="A146" s="564"/>
      <c r="B146" s="496"/>
      <c r="C146" s="496"/>
      <c r="D146" s="482"/>
      <c r="E146" s="493" t="s">
        <v>408</v>
      </c>
      <c r="F146" s="493" t="s">
        <v>409</v>
      </c>
      <c r="G146" s="343" t="s">
        <v>378</v>
      </c>
      <c r="H146" s="343" t="s">
        <v>410</v>
      </c>
      <c r="I146" s="467" t="s">
        <v>411</v>
      </c>
      <c r="J146" s="276" t="s">
        <v>412</v>
      </c>
      <c r="K146" s="310" t="s">
        <v>61</v>
      </c>
      <c r="L146" s="300">
        <v>44593</v>
      </c>
      <c r="M146" s="300">
        <v>44925</v>
      </c>
      <c r="N146" s="300">
        <v>44652</v>
      </c>
      <c r="O146" s="301">
        <f t="shared" si="2"/>
        <v>0.17771084337349397</v>
      </c>
      <c r="P146" s="301">
        <f t="shared" si="1"/>
        <v>0.17771084337349397</v>
      </c>
      <c r="Q146" s="302">
        <v>1</v>
      </c>
      <c r="R146" s="303">
        <v>0.25</v>
      </c>
      <c r="S146" s="303">
        <v>0.5</v>
      </c>
      <c r="T146" s="303">
        <v>0.75</v>
      </c>
      <c r="U146" s="303">
        <v>1</v>
      </c>
      <c r="V146" s="303"/>
      <c r="W146" s="383"/>
      <c r="X146" s="302"/>
      <c r="Y146" s="305"/>
      <c r="Z146" s="306"/>
      <c r="AA146" s="307"/>
      <c r="AB146" s="307"/>
      <c r="AC146" s="306"/>
      <c r="AD146" s="307"/>
      <c r="AE146" s="307"/>
      <c r="AF146" s="306"/>
      <c r="AG146" s="307"/>
      <c r="AH146" s="307"/>
      <c r="AI146" s="308"/>
    </row>
    <row r="147" spans="1:35" ht="108" customHeight="1" outlineLevel="1" x14ac:dyDescent="0.2">
      <c r="A147" s="564"/>
      <c r="B147" s="496"/>
      <c r="C147" s="496"/>
      <c r="D147" s="482"/>
      <c r="E147" s="495"/>
      <c r="F147" s="495"/>
      <c r="G147" s="343" t="s">
        <v>378</v>
      </c>
      <c r="H147" s="343" t="s">
        <v>413</v>
      </c>
      <c r="I147" s="469"/>
      <c r="J147" s="276" t="s">
        <v>414</v>
      </c>
      <c r="K147" s="310" t="s">
        <v>61</v>
      </c>
      <c r="L147" s="300">
        <v>44593</v>
      </c>
      <c r="M147" s="300">
        <v>44925</v>
      </c>
      <c r="N147" s="300">
        <v>44652</v>
      </c>
      <c r="O147" s="301">
        <f t="shared" si="2"/>
        <v>0.17771084337349397</v>
      </c>
      <c r="P147" s="301">
        <f t="shared" si="1"/>
        <v>0.17771084337349397</v>
      </c>
      <c r="Q147" s="302">
        <v>1</v>
      </c>
      <c r="R147" s="303">
        <v>0.25</v>
      </c>
      <c r="S147" s="303">
        <v>0.5</v>
      </c>
      <c r="T147" s="303">
        <v>0.75</v>
      </c>
      <c r="U147" s="303">
        <v>1</v>
      </c>
      <c r="V147" s="303"/>
      <c r="W147" s="383"/>
      <c r="X147" s="302"/>
      <c r="Y147" s="305"/>
      <c r="Z147" s="306"/>
      <c r="AA147" s="307"/>
      <c r="AB147" s="307"/>
      <c r="AC147" s="306"/>
      <c r="AD147" s="307"/>
      <c r="AE147" s="307"/>
      <c r="AF147" s="306"/>
      <c r="AG147" s="307"/>
      <c r="AH147" s="307"/>
      <c r="AI147" s="308"/>
    </row>
    <row r="148" spans="1:35" ht="59.25" customHeight="1" outlineLevel="1" x14ac:dyDescent="0.2">
      <c r="A148" s="564"/>
      <c r="B148" s="496"/>
      <c r="C148" s="496"/>
      <c r="D148" s="482"/>
      <c r="E148" s="493" t="s">
        <v>415</v>
      </c>
      <c r="F148" s="493" t="s">
        <v>416</v>
      </c>
      <c r="G148" s="343" t="s">
        <v>378</v>
      </c>
      <c r="H148" s="343" t="s">
        <v>417</v>
      </c>
      <c r="I148" s="343" t="s">
        <v>418</v>
      </c>
      <c r="J148" s="276" t="s">
        <v>378</v>
      </c>
      <c r="K148" s="288" t="s">
        <v>116</v>
      </c>
      <c r="L148" s="300">
        <v>44593</v>
      </c>
      <c r="M148" s="300">
        <v>44925</v>
      </c>
      <c r="N148" s="300">
        <v>44652</v>
      </c>
      <c r="O148" s="301">
        <f t="shared" si="2"/>
        <v>0.17771084337349397</v>
      </c>
      <c r="P148" s="301">
        <f t="shared" si="1"/>
        <v>0.17771084337349397</v>
      </c>
      <c r="Q148" s="302">
        <v>0.95</v>
      </c>
      <c r="R148" s="303">
        <v>0.92</v>
      </c>
      <c r="S148" s="303">
        <v>0.93</v>
      </c>
      <c r="T148" s="303">
        <v>0.94</v>
      </c>
      <c r="U148" s="303">
        <v>0.95</v>
      </c>
      <c r="V148" s="303"/>
      <c r="W148" s="383"/>
      <c r="X148" s="302"/>
      <c r="Y148" s="305"/>
      <c r="Z148" s="306"/>
      <c r="AA148" s="307"/>
      <c r="AB148" s="307"/>
      <c r="AC148" s="306"/>
      <c r="AD148" s="307"/>
      <c r="AE148" s="307"/>
      <c r="AF148" s="306"/>
      <c r="AG148" s="307"/>
      <c r="AH148" s="307"/>
      <c r="AI148" s="308"/>
    </row>
    <row r="149" spans="1:35" ht="112.5" customHeight="1" outlineLevel="1" x14ac:dyDescent="0.2">
      <c r="A149" s="564"/>
      <c r="B149" s="496"/>
      <c r="C149" s="496"/>
      <c r="D149" s="482"/>
      <c r="E149" s="494"/>
      <c r="F149" s="494"/>
      <c r="G149" s="343" t="s">
        <v>378</v>
      </c>
      <c r="H149" s="291" t="s">
        <v>419</v>
      </c>
      <c r="I149" s="343" t="s">
        <v>420</v>
      </c>
      <c r="J149" s="276" t="s">
        <v>378</v>
      </c>
      <c r="K149" s="403">
        <v>55000000</v>
      </c>
      <c r="L149" s="300">
        <v>44593</v>
      </c>
      <c r="M149" s="300">
        <v>44925</v>
      </c>
      <c r="N149" s="300">
        <v>44652</v>
      </c>
      <c r="O149" s="301">
        <f t="shared" si="2"/>
        <v>0.17771084337349397</v>
      </c>
      <c r="P149" s="301">
        <f t="shared" si="1"/>
        <v>0.17771084337349397</v>
      </c>
      <c r="Q149" s="302">
        <v>0.2</v>
      </c>
      <c r="R149" s="303">
        <v>0.12</v>
      </c>
      <c r="S149" s="303">
        <v>0.14000000000000001</v>
      </c>
      <c r="T149" s="303">
        <v>0.18</v>
      </c>
      <c r="U149" s="303">
        <v>0.2</v>
      </c>
      <c r="V149" s="303"/>
      <c r="W149" s="383"/>
      <c r="X149" s="302"/>
      <c r="Y149" s="305"/>
      <c r="Z149" s="306"/>
      <c r="AA149" s="307"/>
      <c r="AB149" s="307"/>
      <c r="AC149" s="306"/>
      <c r="AD149" s="307"/>
      <c r="AE149" s="307"/>
      <c r="AF149" s="306"/>
      <c r="AG149" s="307"/>
      <c r="AH149" s="307"/>
      <c r="AI149" s="308"/>
    </row>
    <row r="150" spans="1:35" ht="168.75" customHeight="1" outlineLevel="1" x14ac:dyDescent="0.2">
      <c r="A150" s="564"/>
      <c r="B150" s="496"/>
      <c r="C150" s="496"/>
      <c r="D150" s="482"/>
      <c r="E150" s="495"/>
      <c r="F150" s="495"/>
      <c r="G150" s="343" t="s">
        <v>378</v>
      </c>
      <c r="H150" s="291" t="s">
        <v>421</v>
      </c>
      <c r="I150" s="343" t="s">
        <v>116</v>
      </c>
      <c r="J150" s="276" t="s">
        <v>378</v>
      </c>
      <c r="K150" s="403">
        <v>50000000</v>
      </c>
      <c r="L150" s="300">
        <v>44593</v>
      </c>
      <c r="M150" s="300">
        <v>44925</v>
      </c>
      <c r="N150" s="300">
        <v>44652</v>
      </c>
      <c r="O150" s="301">
        <f t="shared" si="2"/>
        <v>0.17771084337349397</v>
      </c>
      <c r="P150" s="301">
        <f t="shared" si="1"/>
        <v>0.17771084337349397</v>
      </c>
      <c r="Q150" s="302">
        <v>1</v>
      </c>
      <c r="R150" s="303">
        <v>0.25</v>
      </c>
      <c r="S150" s="303">
        <v>0.5</v>
      </c>
      <c r="T150" s="303">
        <v>0.75</v>
      </c>
      <c r="U150" s="303">
        <v>1</v>
      </c>
      <c r="V150" s="303"/>
      <c r="W150" s="383"/>
      <c r="X150" s="302"/>
      <c r="Y150" s="305"/>
      <c r="Z150" s="306"/>
      <c r="AA150" s="307"/>
      <c r="AB150" s="307"/>
      <c r="AC150" s="306"/>
      <c r="AD150" s="307"/>
      <c r="AE150" s="307"/>
      <c r="AF150" s="306"/>
      <c r="AG150" s="307"/>
      <c r="AH150" s="307"/>
      <c r="AI150" s="308"/>
    </row>
    <row r="151" spans="1:35" ht="112.5" customHeight="1" outlineLevel="1" x14ac:dyDescent="0.2">
      <c r="A151" s="564"/>
      <c r="B151" s="496"/>
      <c r="C151" s="496"/>
      <c r="D151" s="482"/>
      <c r="E151" s="493" t="s">
        <v>422</v>
      </c>
      <c r="F151" s="493" t="s">
        <v>423</v>
      </c>
      <c r="G151" s="343" t="s">
        <v>378</v>
      </c>
      <c r="H151" s="343" t="s">
        <v>424</v>
      </c>
      <c r="I151" s="467" t="s">
        <v>425</v>
      </c>
      <c r="J151" s="276" t="s">
        <v>426</v>
      </c>
      <c r="K151" s="294" t="s">
        <v>116</v>
      </c>
      <c r="L151" s="300">
        <v>44593</v>
      </c>
      <c r="M151" s="300">
        <v>44925</v>
      </c>
      <c r="N151" s="300">
        <v>44652</v>
      </c>
      <c r="O151" s="301">
        <f t="shared" si="2"/>
        <v>0.17771084337349397</v>
      </c>
      <c r="P151" s="301">
        <f t="shared" si="1"/>
        <v>0.17771084337349397</v>
      </c>
      <c r="Q151" s="302">
        <v>0.24</v>
      </c>
      <c r="R151" s="303">
        <v>0.15</v>
      </c>
      <c r="S151" s="303">
        <v>0.19</v>
      </c>
      <c r="T151" s="303">
        <v>0.21</v>
      </c>
      <c r="U151" s="303">
        <v>0.24</v>
      </c>
      <c r="V151" s="303"/>
      <c r="W151" s="383"/>
      <c r="X151" s="302"/>
      <c r="Y151" s="305"/>
      <c r="Z151" s="306"/>
      <c r="AA151" s="307"/>
      <c r="AB151" s="307"/>
      <c r="AC151" s="306"/>
      <c r="AD151" s="307"/>
      <c r="AE151" s="307"/>
      <c r="AF151" s="306"/>
      <c r="AG151" s="307"/>
      <c r="AH151" s="307"/>
      <c r="AI151" s="308"/>
    </row>
    <row r="152" spans="1:35" ht="93.75" customHeight="1" outlineLevel="1" x14ac:dyDescent="0.2">
      <c r="A152" s="564"/>
      <c r="B152" s="496"/>
      <c r="C152" s="496"/>
      <c r="D152" s="482"/>
      <c r="E152" s="494"/>
      <c r="F152" s="494"/>
      <c r="G152" s="343" t="s">
        <v>378</v>
      </c>
      <c r="H152" s="343" t="s">
        <v>427</v>
      </c>
      <c r="I152" s="468"/>
      <c r="J152" s="276" t="s">
        <v>426</v>
      </c>
      <c r="K152" s="294" t="s">
        <v>116</v>
      </c>
      <c r="L152" s="300">
        <v>44593</v>
      </c>
      <c r="M152" s="300">
        <v>44925</v>
      </c>
      <c r="N152" s="300">
        <v>44652</v>
      </c>
      <c r="O152" s="301">
        <f t="shared" si="2"/>
        <v>0.17771084337349397</v>
      </c>
      <c r="P152" s="301">
        <f t="shared" si="1"/>
        <v>0.17771084337349397</v>
      </c>
      <c r="Q152" s="302">
        <v>1</v>
      </c>
      <c r="R152" s="303">
        <v>0.25</v>
      </c>
      <c r="S152" s="303">
        <v>0.5</v>
      </c>
      <c r="T152" s="303">
        <v>0.75</v>
      </c>
      <c r="U152" s="303">
        <v>1</v>
      </c>
      <c r="V152" s="303"/>
      <c r="W152" s="383"/>
      <c r="X152" s="302"/>
      <c r="Y152" s="305"/>
      <c r="Z152" s="306"/>
      <c r="AA152" s="307"/>
      <c r="AB152" s="307"/>
      <c r="AC152" s="306"/>
      <c r="AD152" s="307"/>
      <c r="AE152" s="307"/>
      <c r="AF152" s="306"/>
      <c r="AG152" s="307"/>
      <c r="AH152" s="307"/>
      <c r="AI152" s="308"/>
    </row>
    <row r="153" spans="1:35" ht="75" customHeight="1" outlineLevel="1" x14ac:dyDescent="0.2">
      <c r="A153" s="564"/>
      <c r="B153" s="496"/>
      <c r="C153" s="496"/>
      <c r="D153" s="482"/>
      <c r="E153" s="494"/>
      <c r="F153" s="494"/>
      <c r="G153" s="343" t="s">
        <v>378</v>
      </c>
      <c r="H153" s="343" t="s">
        <v>428</v>
      </c>
      <c r="I153" s="468"/>
      <c r="J153" s="276" t="s">
        <v>426</v>
      </c>
      <c r="K153" s="294" t="s">
        <v>116</v>
      </c>
      <c r="L153" s="300">
        <v>44593</v>
      </c>
      <c r="M153" s="300">
        <v>44925</v>
      </c>
      <c r="N153" s="300">
        <v>44652</v>
      </c>
      <c r="O153" s="301">
        <f t="shared" si="2"/>
        <v>0.17771084337349397</v>
      </c>
      <c r="P153" s="301">
        <f t="shared" si="1"/>
        <v>0.17771084337349397</v>
      </c>
      <c r="Q153" s="302">
        <v>1</v>
      </c>
      <c r="R153" s="303">
        <v>0.25</v>
      </c>
      <c r="S153" s="303">
        <v>0.5</v>
      </c>
      <c r="T153" s="303">
        <v>0.75</v>
      </c>
      <c r="U153" s="303">
        <v>1</v>
      </c>
      <c r="V153" s="303"/>
      <c r="W153" s="383"/>
      <c r="X153" s="302"/>
      <c r="Y153" s="305"/>
      <c r="Z153" s="306"/>
      <c r="AA153" s="307"/>
      <c r="AB153" s="307"/>
      <c r="AC153" s="306"/>
      <c r="AD153" s="307"/>
      <c r="AE153" s="307"/>
      <c r="AF153" s="306"/>
      <c r="AG153" s="307"/>
      <c r="AH153" s="307"/>
      <c r="AI153" s="308"/>
    </row>
    <row r="154" spans="1:35" ht="100.9" customHeight="1" outlineLevel="1" x14ac:dyDescent="0.2">
      <c r="A154" s="564"/>
      <c r="B154" s="496"/>
      <c r="C154" s="496"/>
      <c r="D154" s="482"/>
      <c r="E154" s="494"/>
      <c r="F154" s="494"/>
      <c r="G154" s="343" t="s">
        <v>378</v>
      </c>
      <c r="H154" s="343" t="s">
        <v>429</v>
      </c>
      <c r="I154" s="468"/>
      <c r="J154" s="276" t="s">
        <v>426</v>
      </c>
      <c r="K154" s="294" t="s">
        <v>116</v>
      </c>
      <c r="L154" s="300">
        <v>44593</v>
      </c>
      <c r="M154" s="300">
        <v>44925</v>
      </c>
      <c r="N154" s="300">
        <v>44652</v>
      </c>
      <c r="O154" s="301">
        <f t="shared" si="2"/>
        <v>0.17771084337349397</v>
      </c>
      <c r="P154" s="301">
        <f t="shared" si="1"/>
        <v>0.17771084337349397</v>
      </c>
      <c r="Q154" s="302">
        <v>1</v>
      </c>
      <c r="R154" s="303">
        <v>0.25</v>
      </c>
      <c r="S154" s="303">
        <v>0.5</v>
      </c>
      <c r="T154" s="303">
        <v>0.75</v>
      </c>
      <c r="U154" s="303">
        <v>1</v>
      </c>
      <c r="V154" s="303"/>
      <c r="W154" s="383"/>
      <c r="X154" s="302"/>
      <c r="Y154" s="305"/>
      <c r="Z154" s="306"/>
      <c r="AA154" s="307"/>
      <c r="AB154" s="307"/>
      <c r="AC154" s="306"/>
      <c r="AD154" s="307"/>
      <c r="AE154" s="307"/>
      <c r="AF154" s="306"/>
      <c r="AG154" s="307"/>
      <c r="AH154" s="307"/>
      <c r="AI154" s="308"/>
    </row>
    <row r="155" spans="1:35" ht="70.150000000000006" customHeight="1" outlineLevel="1" x14ac:dyDescent="0.2">
      <c r="A155" s="564"/>
      <c r="B155" s="496"/>
      <c r="C155" s="496"/>
      <c r="D155" s="482"/>
      <c r="E155" s="494"/>
      <c r="F155" s="494"/>
      <c r="G155" s="343" t="s">
        <v>378</v>
      </c>
      <c r="H155" s="343" t="s">
        <v>430</v>
      </c>
      <c r="I155" s="468"/>
      <c r="J155" s="276" t="s">
        <v>426</v>
      </c>
      <c r="K155" s="403">
        <v>35000000</v>
      </c>
      <c r="L155" s="300">
        <v>44593</v>
      </c>
      <c r="M155" s="300">
        <v>44925</v>
      </c>
      <c r="N155" s="300">
        <v>44652</v>
      </c>
      <c r="O155" s="301">
        <f t="shared" si="2"/>
        <v>0.17771084337349397</v>
      </c>
      <c r="P155" s="301">
        <f t="shared" ref="P155:P204" si="7">+IF(O155&gt;=100,100,IF(O155&lt;=0,0,O155))</f>
        <v>0.17771084337349397</v>
      </c>
      <c r="Q155" s="302">
        <v>1</v>
      </c>
      <c r="R155" s="303">
        <v>0.25</v>
      </c>
      <c r="S155" s="303">
        <v>0.5</v>
      </c>
      <c r="T155" s="303">
        <v>0.75</v>
      </c>
      <c r="U155" s="303">
        <v>1</v>
      </c>
      <c r="V155" s="303"/>
      <c r="W155" s="383"/>
      <c r="X155" s="302"/>
      <c r="Y155" s="305"/>
      <c r="Z155" s="306"/>
      <c r="AA155" s="307"/>
      <c r="AB155" s="307"/>
      <c r="AC155" s="306"/>
      <c r="AD155" s="307"/>
      <c r="AE155" s="307"/>
      <c r="AF155" s="306"/>
      <c r="AG155" s="307"/>
      <c r="AH155" s="307"/>
      <c r="AI155" s="308"/>
    </row>
    <row r="156" spans="1:35" ht="60" customHeight="1" outlineLevel="1" x14ac:dyDescent="0.2">
      <c r="A156" s="564"/>
      <c r="B156" s="496"/>
      <c r="C156" s="496"/>
      <c r="D156" s="482"/>
      <c r="E156" s="494"/>
      <c r="F156" s="494"/>
      <c r="G156" s="343" t="s">
        <v>378</v>
      </c>
      <c r="H156" s="291" t="s">
        <v>431</v>
      </c>
      <c r="I156" s="468"/>
      <c r="J156" s="276" t="s">
        <v>378</v>
      </c>
      <c r="K156" s="403">
        <v>200000000</v>
      </c>
      <c r="L156" s="300">
        <v>44593</v>
      </c>
      <c r="M156" s="300">
        <v>44925</v>
      </c>
      <c r="N156" s="300">
        <v>44652</v>
      </c>
      <c r="O156" s="301">
        <f t="shared" si="2"/>
        <v>0.17771084337349397</v>
      </c>
      <c r="P156" s="301">
        <f t="shared" si="7"/>
        <v>0.17771084337349397</v>
      </c>
      <c r="Q156" s="302">
        <v>1</v>
      </c>
      <c r="R156" s="303">
        <v>0.25</v>
      </c>
      <c r="S156" s="303">
        <v>0.5</v>
      </c>
      <c r="T156" s="303">
        <v>0.75</v>
      </c>
      <c r="U156" s="303">
        <v>1</v>
      </c>
      <c r="V156" s="303"/>
      <c r="W156" s="383"/>
      <c r="X156" s="302"/>
      <c r="Y156" s="305"/>
      <c r="Z156" s="306"/>
      <c r="AA156" s="307"/>
      <c r="AB156" s="307"/>
      <c r="AC156" s="306"/>
      <c r="AD156" s="307"/>
      <c r="AE156" s="307"/>
      <c r="AF156" s="306"/>
      <c r="AG156" s="307"/>
      <c r="AH156" s="307"/>
      <c r="AI156" s="308"/>
    </row>
    <row r="157" spans="1:35" ht="108" customHeight="1" outlineLevel="1" x14ac:dyDescent="0.2">
      <c r="A157" s="564"/>
      <c r="B157" s="496"/>
      <c r="C157" s="496"/>
      <c r="D157" s="482"/>
      <c r="E157" s="494"/>
      <c r="F157" s="494"/>
      <c r="G157" s="343" t="s">
        <v>378</v>
      </c>
      <c r="H157" s="291" t="s">
        <v>432</v>
      </c>
      <c r="I157" s="468"/>
      <c r="J157" s="276" t="s">
        <v>378</v>
      </c>
      <c r="K157" s="403">
        <v>20000000</v>
      </c>
      <c r="L157" s="300">
        <v>44593</v>
      </c>
      <c r="M157" s="300">
        <v>44925</v>
      </c>
      <c r="N157" s="300">
        <v>44652</v>
      </c>
      <c r="O157" s="301">
        <f t="shared" si="2"/>
        <v>0.17771084337349397</v>
      </c>
      <c r="P157" s="301">
        <f t="shared" si="7"/>
        <v>0.17771084337349397</v>
      </c>
      <c r="Q157" s="302">
        <v>1</v>
      </c>
      <c r="R157" s="303">
        <v>0.25</v>
      </c>
      <c r="S157" s="303">
        <v>0.5</v>
      </c>
      <c r="T157" s="303">
        <v>0.75</v>
      </c>
      <c r="U157" s="303">
        <v>1</v>
      </c>
      <c r="V157" s="303"/>
      <c r="W157" s="383"/>
      <c r="X157" s="302"/>
      <c r="Y157" s="305"/>
      <c r="Z157" s="306"/>
      <c r="AA157" s="307"/>
      <c r="AB157" s="307"/>
      <c r="AC157" s="306"/>
      <c r="AD157" s="307"/>
      <c r="AE157" s="307"/>
      <c r="AF157" s="306"/>
      <c r="AG157" s="307"/>
      <c r="AH157" s="307"/>
      <c r="AI157" s="308"/>
    </row>
    <row r="158" spans="1:35" ht="150" customHeight="1" outlineLevel="1" x14ac:dyDescent="0.2">
      <c r="A158" s="564"/>
      <c r="B158" s="496"/>
      <c r="C158" s="496"/>
      <c r="D158" s="482"/>
      <c r="E158" s="494"/>
      <c r="F158" s="494"/>
      <c r="G158" s="343" t="s">
        <v>378</v>
      </c>
      <c r="H158" s="291" t="s">
        <v>433</v>
      </c>
      <c r="I158" s="468"/>
      <c r="J158" s="276" t="s">
        <v>378</v>
      </c>
      <c r="K158" s="403">
        <v>25000000</v>
      </c>
      <c r="L158" s="300">
        <v>44593</v>
      </c>
      <c r="M158" s="300">
        <v>44925</v>
      </c>
      <c r="N158" s="300">
        <v>44652</v>
      </c>
      <c r="O158" s="301">
        <f t="shared" si="2"/>
        <v>0.17771084337349397</v>
      </c>
      <c r="P158" s="301">
        <f t="shared" si="7"/>
        <v>0.17771084337349397</v>
      </c>
      <c r="Q158" s="302">
        <v>1</v>
      </c>
      <c r="R158" s="303">
        <v>0.25</v>
      </c>
      <c r="S158" s="303">
        <v>0.5</v>
      </c>
      <c r="T158" s="303">
        <v>0.75</v>
      </c>
      <c r="U158" s="303">
        <v>1</v>
      </c>
      <c r="V158" s="303"/>
      <c r="W158" s="383"/>
      <c r="X158" s="302"/>
      <c r="Y158" s="305"/>
      <c r="Z158" s="306"/>
      <c r="AA158" s="307"/>
      <c r="AB158" s="307"/>
      <c r="AC158" s="306"/>
      <c r="AD158" s="307"/>
      <c r="AE158" s="307"/>
      <c r="AF158" s="306"/>
      <c r="AG158" s="307"/>
      <c r="AH158" s="307"/>
      <c r="AI158" s="308"/>
    </row>
    <row r="159" spans="1:35" ht="108" customHeight="1" outlineLevel="1" x14ac:dyDescent="0.2">
      <c r="A159" s="564"/>
      <c r="B159" s="496"/>
      <c r="C159" s="496"/>
      <c r="D159" s="482"/>
      <c r="E159" s="494"/>
      <c r="F159" s="494"/>
      <c r="G159" s="343" t="s">
        <v>378</v>
      </c>
      <c r="H159" s="343" t="s">
        <v>434</v>
      </c>
      <c r="I159" s="468"/>
      <c r="J159" s="276" t="s">
        <v>435</v>
      </c>
      <c r="K159" s="403">
        <v>730000000</v>
      </c>
      <c r="L159" s="300">
        <v>44593</v>
      </c>
      <c r="M159" s="300">
        <v>44925</v>
      </c>
      <c r="N159" s="300">
        <v>44652</v>
      </c>
      <c r="O159" s="301">
        <f t="shared" si="2"/>
        <v>0.17771084337349397</v>
      </c>
      <c r="P159" s="301">
        <f t="shared" si="7"/>
        <v>0.17771084337349397</v>
      </c>
      <c r="Q159" s="302">
        <v>1</v>
      </c>
      <c r="R159" s="303">
        <v>0.25</v>
      </c>
      <c r="S159" s="303">
        <v>0.5</v>
      </c>
      <c r="T159" s="303">
        <v>0.75</v>
      </c>
      <c r="U159" s="303">
        <v>1</v>
      </c>
      <c r="V159" s="303"/>
      <c r="W159" s="383"/>
      <c r="X159" s="302"/>
      <c r="Y159" s="305"/>
      <c r="Z159" s="306"/>
      <c r="AA159" s="307"/>
      <c r="AB159" s="307"/>
      <c r="AC159" s="306"/>
      <c r="AD159" s="307"/>
      <c r="AE159" s="307"/>
      <c r="AF159" s="306"/>
      <c r="AG159" s="307"/>
      <c r="AH159" s="307"/>
      <c r="AI159" s="308"/>
    </row>
    <row r="160" spans="1:35" ht="131.25" customHeight="1" outlineLevel="1" x14ac:dyDescent="0.2">
      <c r="A160" s="564"/>
      <c r="B160" s="496"/>
      <c r="C160" s="496"/>
      <c r="D160" s="482"/>
      <c r="E160" s="494"/>
      <c r="F160" s="494"/>
      <c r="G160" s="343" t="s">
        <v>378</v>
      </c>
      <c r="H160" s="343" t="s">
        <v>436</v>
      </c>
      <c r="I160" s="468"/>
      <c r="J160" s="276" t="s">
        <v>437</v>
      </c>
      <c r="K160" s="403">
        <v>73000000</v>
      </c>
      <c r="L160" s="300">
        <v>44593</v>
      </c>
      <c r="M160" s="300">
        <v>44925</v>
      </c>
      <c r="N160" s="300">
        <v>44652</v>
      </c>
      <c r="O160" s="301">
        <f t="shared" si="2"/>
        <v>0.17771084337349397</v>
      </c>
      <c r="P160" s="301">
        <f t="shared" si="7"/>
        <v>0.17771084337349397</v>
      </c>
      <c r="Q160" s="302">
        <v>1</v>
      </c>
      <c r="R160" s="303">
        <v>0.25</v>
      </c>
      <c r="S160" s="303">
        <v>0.5</v>
      </c>
      <c r="T160" s="303">
        <v>0.75</v>
      </c>
      <c r="U160" s="303">
        <v>1</v>
      </c>
      <c r="V160" s="303"/>
      <c r="W160" s="383"/>
      <c r="X160" s="302"/>
      <c r="Y160" s="305"/>
      <c r="Z160" s="306"/>
      <c r="AA160" s="307"/>
      <c r="AB160" s="307"/>
      <c r="AC160" s="306"/>
      <c r="AD160" s="307"/>
      <c r="AE160" s="307"/>
      <c r="AF160" s="306"/>
      <c r="AG160" s="307"/>
      <c r="AH160" s="307"/>
      <c r="AI160" s="308"/>
    </row>
    <row r="161" spans="1:35" ht="96" customHeight="1" outlineLevel="1" x14ac:dyDescent="0.2">
      <c r="A161" s="564"/>
      <c r="B161" s="496"/>
      <c r="C161" s="496"/>
      <c r="D161" s="482"/>
      <c r="E161" s="494"/>
      <c r="F161" s="494"/>
      <c r="G161" s="343" t="s">
        <v>378</v>
      </c>
      <c r="H161" s="343" t="s">
        <v>438</v>
      </c>
      <c r="I161" s="468"/>
      <c r="J161" s="276" t="s">
        <v>163</v>
      </c>
      <c r="K161" s="403">
        <v>600000000</v>
      </c>
      <c r="L161" s="300">
        <v>44593</v>
      </c>
      <c r="M161" s="300">
        <v>44925</v>
      </c>
      <c r="N161" s="300">
        <v>44652</v>
      </c>
      <c r="O161" s="301">
        <f t="shared" si="2"/>
        <v>0.17771084337349397</v>
      </c>
      <c r="P161" s="301">
        <f t="shared" si="7"/>
        <v>0.17771084337349397</v>
      </c>
      <c r="Q161" s="302">
        <v>1</v>
      </c>
      <c r="R161" s="303">
        <v>0.25</v>
      </c>
      <c r="S161" s="303">
        <v>0.5</v>
      </c>
      <c r="T161" s="303">
        <v>0.75</v>
      </c>
      <c r="U161" s="303">
        <v>1</v>
      </c>
      <c r="V161" s="303"/>
      <c r="W161" s="383"/>
      <c r="X161" s="302"/>
      <c r="Y161" s="305"/>
      <c r="Z161" s="306"/>
      <c r="AA161" s="307"/>
      <c r="AB161" s="307"/>
      <c r="AC161" s="306"/>
      <c r="AD161" s="307"/>
      <c r="AE161" s="307"/>
      <c r="AF161" s="306"/>
      <c r="AG161" s="307"/>
      <c r="AH161" s="307"/>
      <c r="AI161" s="308"/>
    </row>
    <row r="162" spans="1:35" ht="96.75" customHeight="1" outlineLevel="1" x14ac:dyDescent="0.2">
      <c r="A162" s="564"/>
      <c r="B162" s="496"/>
      <c r="C162" s="496"/>
      <c r="D162" s="482"/>
      <c r="E162" s="494"/>
      <c r="F162" s="494"/>
      <c r="G162" s="343" t="s">
        <v>378</v>
      </c>
      <c r="H162" s="343" t="s">
        <v>439</v>
      </c>
      <c r="I162" s="468"/>
      <c r="J162" s="276" t="s">
        <v>163</v>
      </c>
      <c r="K162" s="403">
        <v>60000000</v>
      </c>
      <c r="L162" s="300">
        <v>44593</v>
      </c>
      <c r="M162" s="300">
        <v>44925</v>
      </c>
      <c r="N162" s="300">
        <v>44652</v>
      </c>
      <c r="O162" s="301">
        <f t="shared" si="2"/>
        <v>0.17771084337349397</v>
      </c>
      <c r="P162" s="301">
        <f t="shared" si="7"/>
        <v>0.17771084337349397</v>
      </c>
      <c r="Q162" s="302">
        <v>1</v>
      </c>
      <c r="R162" s="303">
        <v>0.25</v>
      </c>
      <c r="S162" s="303">
        <v>0.5</v>
      </c>
      <c r="T162" s="303">
        <v>0.75</v>
      </c>
      <c r="U162" s="303">
        <v>1</v>
      </c>
      <c r="V162" s="303"/>
      <c r="W162" s="383"/>
      <c r="X162" s="302"/>
      <c r="Y162" s="305"/>
      <c r="Z162" s="306"/>
      <c r="AA162" s="307"/>
      <c r="AB162" s="307"/>
      <c r="AC162" s="306"/>
      <c r="AD162" s="307"/>
      <c r="AE162" s="307"/>
      <c r="AF162" s="306"/>
      <c r="AG162" s="307"/>
      <c r="AH162" s="307"/>
      <c r="AI162" s="308"/>
    </row>
    <row r="163" spans="1:35" ht="93.75" customHeight="1" outlineLevel="1" x14ac:dyDescent="0.2">
      <c r="A163" s="564"/>
      <c r="B163" s="496"/>
      <c r="C163" s="496"/>
      <c r="D163" s="482"/>
      <c r="E163" s="494"/>
      <c r="F163" s="494"/>
      <c r="G163" s="343" t="s">
        <v>378</v>
      </c>
      <c r="H163" s="343" t="s">
        <v>440</v>
      </c>
      <c r="I163" s="468"/>
      <c r="J163" s="276" t="s">
        <v>231</v>
      </c>
      <c r="K163" s="403">
        <v>300000000</v>
      </c>
      <c r="L163" s="300">
        <v>44593</v>
      </c>
      <c r="M163" s="300">
        <v>44925</v>
      </c>
      <c r="N163" s="300">
        <v>44652</v>
      </c>
      <c r="O163" s="301">
        <f t="shared" si="2"/>
        <v>0.17771084337349397</v>
      </c>
      <c r="P163" s="301">
        <f t="shared" si="7"/>
        <v>0.17771084337349397</v>
      </c>
      <c r="Q163" s="302">
        <v>1</v>
      </c>
      <c r="R163" s="303">
        <v>0.25</v>
      </c>
      <c r="S163" s="303">
        <v>0.5</v>
      </c>
      <c r="T163" s="303">
        <v>0.75</v>
      </c>
      <c r="U163" s="303">
        <v>1</v>
      </c>
      <c r="V163" s="303"/>
      <c r="W163" s="383"/>
      <c r="X163" s="302"/>
      <c r="Y163" s="305"/>
      <c r="Z163" s="306"/>
      <c r="AA163" s="307"/>
      <c r="AB163" s="307"/>
      <c r="AC163" s="306"/>
      <c r="AD163" s="307"/>
      <c r="AE163" s="307"/>
      <c r="AF163" s="306"/>
      <c r="AG163" s="307"/>
      <c r="AH163" s="307"/>
      <c r="AI163" s="308"/>
    </row>
    <row r="164" spans="1:35" ht="187.5" customHeight="1" outlineLevel="1" x14ac:dyDescent="0.2">
      <c r="A164" s="564"/>
      <c r="B164" s="496"/>
      <c r="C164" s="496"/>
      <c r="D164" s="482"/>
      <c r="E164" s="494"/>
      <c r="F164" s="494"/>
      <c r="G164" s="343" t="s">
        <v>378</v>
      </c>
      <c r="H164" s="343" t="s">
        <v>441</v>
      </c>
      <c r="I164" s="468"/>
      <c r="J164" s="276" t="s">
        <v>378</v>
      </c>
      <c r="K164" s="403" t="s">
        <v>61</v>
      </c>
      <c r="L164" s="300">
        <v>44593</v>
      </c>
      <c r="M164" s="300">
        <v>44925</v>
      </c>
      <c r="N164" s="300">
        <v>44652</v>
      </c>
      <c r="O164" s="301">
        <f t="shared" si="2"/>
        <v>0.17771084337349397</v>
      </c>
      <c r="P164" s="301">
        <f t="shared" si="7"/>
        <v>0.17771084337349397</v>
      </c>
      <c r="Q164" s="302">
        <v>1</v>
      </c>
      <c r="R164" s="303">
        <v>0.25</v>
      </c>
      <c r="S164" s="303">
        <v>0.5</v>
      </c>
      <c r="T164" s="303">
        <v>0.75</v>
      </c>
      <c r="U164" s="303">
        <v>1</v>
      </c>
      <c r="V164" s="303"/>
      <c r="W164" s="383"/>
      <c r="X164" s="302"/>
      <c r="Y164" s="305"/>
      <c r="Z164" s="306"/>
      <c r="AA164" s="307"/>
      <c r="AB164" s="307"/>
      <c r="AC164" s="306"/>
      <c r="AD164" s="307"/>
      <c r="AE164" s="307"/>
      <c r="AF164" s="306"/>
      <c r="AG164" s="307"/>
      <c r="AH164" s="307"/>
      <c r="AI164" s="308"/>
    </row>
    <row r="165" spans="1:35" ht="225" customHeight="1" outlineLevel="1" x14ac:dyDescent="0.2">
      <c r="A165" s="564"/>
      <c r="B165" s="496"/>
      <c r="C165" s="496"/>
      <c r="D165" s="482"/>
      <c r="E165" s="494"/>
      <c r="F165" s="494"/>
      <c r="G165" s="343" t="s">
        <v>378</v>
      </c>
      <c r="H165" s="343" t="s">
        <v>442</v>
      </c>
      <c r="I165" s="468"/>
      <c r="J165" s="276" t="s">
        <v>385</v>
      </c>
      <c r="K165" s="403">
        <v>500000000</v>
      </c>
      <c r="L165" s="300">
        <v>44593</v>
      </c>
      <c r="M165" s="300">
        <v>44925</v>
      </c>
      <c r="N165" s="300">
        <v>44652</v>
      </c>
      <c r="O165" s="301">
        <f t="shared" si="2"/>
        <v>0.17771084337349397</v>
      </c>
      <c r="P165" s="301">
        <f t="shared" si="7"/>
        <v>0.17771084337349397</v>
      </c>
      <c r="Q165" s="302">
        <v>1</v>
      </c>
      <c r="R165" s="303">
        <v>0.25</v>
      </c>
      <c r="S165" s="303">
        <v>0.5</v>
      </c>
      <c r="T165" s="303">
        <v>0.75</v>
      </c>
      <c r="U165" s="303">
        <v>1</v>
      </c>
      <c r="V165" s="303"/>
      <c r="W165" s="383"/>
      <c r="X165" s="302"/>
      <c r="Y165" s="305"/>
      <c r="Z165" s="306"/>
      <c r="AA165" s="307"/>
      <c r="AB165" s="307"/>
      <c r="AC165" s="306"/>
      <c r="AD165" s="307"/>
      <c r="AE165" s="307"/>
      <c r="AF165" s="306"/>
      <c r="AG165" s="307"/>
      <c r="AH165" s="307"/>
      <c r="AI165" s="308"/>
    </row>
    <row r="166" spans="1:35" ht="243.75" customHeight="1" outlineLevel="1" x14ac:dyDescent="0.2">
      <c r="A166" s="564"/>
      <c r="B166" s="496"/>
      <c r="C166" s="496"/>
      <c r="D166" s="482"/>
      <c r="E166" s="494"/>
      <c r="F166" s="495"/>
      <c r="G166" s="343" t="s">
        <v>378</v>
      </c>
      <c r="H166" s="343" t="s">
        <v>443</v>
      </c>
      <c r="I166" s="469"/>
      <c r="J166" s="276" t="s">
        <v>385</v>
      </c>
      <c r="K166" s="403">
        <v>100000000</v>
      </c>
      <c r="L166" s="300">
        <v>44593</v>
      </c>
      <c r="M166" s="300">
        <v>44925</v>
      </c>
      <c r="N166" s="300">
        <v>44652</v>
      </c>
      <c r="O166" s="301">
        <f t="shared" si="2"/>
        <v>0.17771084337349397</v>
      </c>
      <c r="P166" s="301">
        <f t="shared" si="7"/>
        <v>0.17771084337349397</v>
      </c>
      <c r="Q166" s="302">
        <v>1</v>
      </c>
      <c r="R166" s="303">
        <v>0.25</v>
      </c>
      <c r="S166" s="303">
        <v>0.5</v>
      </c>
      <c r="T166" s="303">
        <v>0.75</v>
      </c>
      <c r="U166" s="303">
        <v>1</v>
      </c>
      <c r="V166" s="303"/>
      <c r="W166" s="383"/>
      <c r="X166" s="302"/>
      <c r="Y166" s="305"/>
      <c r="Z166" s="306"/>
      <c r="AA166" s="307"/>
      <c r="AB166" s="307"/>
      <c r="AC166" s="306"/>
      <c r="AD166" s="307"/>
      <c r="AE166" s="307"/>
      <c r="AF166" s="306"/>
      <c r="AG166" s="307"/>
      <c r="AH166" s="307"/>
      <c r="AI166" s="308"/>
    </row>
    <row r="167" spans="1:35" ht="100.9" customHeight="1" outlineLevel="1" x14ac:dyDescent="0.2">
      <c r="A167" s="564"/>
      <c r="B167" s="496"/>
      <c r="C167" s="496"/>
      <c r="D167" s="482"/>
      <c r="E167" s="494"/>
      <c r="F167" s="493" t="s">
        <v>444</v>
      </c>
      <c r="G167" s="343" t="s">
        <v>378</v>
      </c>
      <c r="H167" s="343" t="s">
        <v>445</v>
      </c>
      <c r="I167" s="467" t="s">
        <v>446</v>
      </c>
      <c r="J167" s="276" t="s">
        <v>447</v>
      </c>
      <c r="K167" s="403" t="s">
        <v>61</v>
      </c>
      <c r="L167" s="300">
        <v>44593</v>
      </c>
      <c r="M167" s="300">
        <v>44925</v>
      </c>
      <c r="N167" s="300">
        <v>44652</v>
      </c>
      <c r="O167" s="301">
        <f t="shared" si="2"/>
        <v>0.17771084337349397</v>
      </c>
      <c r="P167" s="301">
        <f t="shared" si="7"/>
        <v>0.17771084337349397</v>
      </c>
      <c r="Q167" s="302">
        <v>0.04</v>
      </c>
      <c r="R167" s="303">
        <v>0.25</v>
      </c>
      <c r="S167" s="303">
        <v>0.5</v>
      </c>
      <c r="T167" s="303">
        <v>0.75</v>
      </c>
      <c r="U167" s="303">
        <v>1</v>
      </c>
      <c r="V167" s="303"/>
      <c r="W167" s="383"/>
      <c r="X167" s="302"/>
      <c r="Y167" s="305"/>
      <c r="Z167" s="306"/>
      <c r="AA167" s="307"/>
      <c r="AB167" s="307"/>
      <c r="AC167" s="306"/>
      <c r="AD167" s="307"/>
      <c r="AE167" s="307"/>
      <c r="AF167" s="306"/>
      <c r="AG167" s="307"/>
      <c r="AH167" s="307"/>
      <c r="AI167" s="308"/>
    </row>
    <row r="168" spans="1:35" ht="70.150000000000006" customHeight="1" outlineLevel="1" x14ac:dyDescent="0.2">
      <c r="A168" s="564"/>
      <c r="B168" s="496"/>
      <c r="C168" s="496"/>
      <c r="D168" s="482"/>
      <c r="E168" s="494"/>
      <c r="F168" s="494"/>
      <c r="G168" s="343" t="s">
        <v>378</v>
      </c>
      <c r="H168" s="343" t="s">
        <v>448</v>
      </c>
      <c r="I168" s="468"/>
      <c r="J168" s="276" t="s">
        <v>385</v>
      </c>
      <c r="K168" s="403">
        <v>200000000</v>
      </c>
      <c r="L168" s="300">
        <v>44593</v>
      </c>
      <c r="M168" s="300">
        <v>44925</v>
      </c>
      <c r="N168" s="300">
        <v>44652</v>
      </c>
      <c r="O168" s="301">
        <f t="shared" si="2"/>
        <v>0.17771084337349397</v>
      </c>
      <c r="P168" s="301">
        <f t="shared" si="7"/>
        <v>0.17771084337349397</v>
      </c>
      <c r="Q168" s="302">
        <v>1</v>
      </c>
      <c r="R168" s="303" t="s">
        <v>449</v>
      </c>
      <c r="S168" s="303">
        <v>0.03</v>
      </c>
      <c r="T168" s="303" t="s">
        <v>299</v>
      </c>
      <c r="U168" s="303">
        <v>0.04</v>
      </c>
      <c r="V168" s="303"/>
      <c r="W168" s="383"/>
      <c r="X168" s="302"/>
      <c r="Y168" s="305"/>
      <c r="Z168" s="306"/>
      <c r="AA168" s="307"/>
      <c r="AB168" s="307"/>
      <c r="AC168" s="306"/>
      <c r="AD168" s="307"/>
      <c r="AE168" s="307"/>
      <c r="AF168" s="306"/>
      <c r="AG168" s="307"/>
      <c r="AH168" s="307"/>
      <c r="AI168" s="308"/>
    </row>
    <row r="169" spans="1:35" ht="75" customHeight="1" outlineLevel="1" x14ac:dyDescent="0.2">
      <c r="A169" s="564"/>
      <c r="B169" s="496"/>
      <c r="C169" s="496"/>
      <c r="D169" s="482"/>
      <c r="E169" s="494"/>
      <c r="F169" s="495"/>
      <c r="G169" s="343" t="s">
        <v>378</v>
      </c>
      <c r="H169" s="343" t="s">
        <v>450</v>
      </c>
      <c r="I169" s="469"/>
      <c r="J169" s="276" t="s">
        <v>385</v>
      </c>
      <c r="K169" s="403">
        <v>20000000</v>
      </c>
      <c r="L169" s="300">
        <v>44593</v>
      </c>
      <c r="M169" s="300">
        <v>44925</v>
      </c>
      <c r="N169" s="300">
        <v>44652</v>
      </c>
      <c r="O169" s="301">
        <f t="shared" ref="O169:O232" si="8">+(+_xlfn.DAYS(L169,N169))/(+_xlfn.DAYS(L169,M169))</f>
        <v>0.17771084337349397</v>
      </c>
      <c r="P169" s="301">
        <f t="shared" si="7"/>
        <v>0.17771084337349397</v>
      </c>
      <c r="Q169" s="302">
        <v>1</v>
      </c>
      <c r="R169" s="303">
        <v>0.25</v>
      </c>
      <c r="S169" s="303">
        <v>0.5</v>
      </c>
      <c r="T169" s="303">
        <v>0.75</v>
      </c>
      <c r="U169" s="303">
        <v>1</v>
      </c>
      <c r="V169" s="303"/>
      <c r="W169" s="383"/>
      <c r="X169" s="302"/>
      <c r="Y169" s="305"/>
      <c r="Z169" s="306"/>
      <c r="AA169" s="307"/>
      <c r="AB169" s="307"/>
      <c r="AC169" s="306"/>
      <c r="AD169" s="307"/>
      <c r="AE169" s="307"/>
      <c r="AF169" s="306"/>
      <c r="AG169" s="307"/>
      <c r="AH169" s="307"/>
      <c r="AI169" s="308"/>
    </row>
    <row r="170" spans="1:35" ht="93.6" customHeight="1" outlineLevel="1" x14ac:dyDescent="0.2">
      <c r="A170" s="564"/>
      <c r="B170" s="496"/>
      <c r="C170" s="496"/>
      <c r="D170" s="482"/>
      <c r="E170" s="494"/>
      <c r="F170" s="363" t="s">
        <v>451</v>
      </c>
      <c r="G170" s="343" t="s">
        <v>378</v>
      </c>
      <c r="H170" s="343" t="s">
        <v>452</v>
      </c>
      <c r="I170" s="343" t="s">
        <v>453</v>
      </c>
      <c r="J170" s="276" t="s">
        <v>378</v>
      </c>
      <c r="K170" s="403" t="s">
        <v>61</v>
      </c>
      <c r="L170" s="300">
        <v>44593</v>
      </c>
      <c r="M170" s="300">
        <v>44925</v>
      </c>
      <c r="N170" s="300">
        <v>44652</v>
      </c>
      <c r="O170" s="301">
        <f t="shared" si="8"/>
        <v>0.17771084337349397</v>
      </c>
      <c r="P170" s="301">
        <f t="shared" si="7"/>
        <v>0.17771084337349397</v>
      </c>
      <c r="Q170" s="302">
        <v>0.7</v>
      </c>
      <c r="R170" s="303">
        <v>0.55000000000000004</v>
      </c>
      <c r="S170" s="303">
        <v>0.6</v>
      </c>
      <c r="T170" s="303">
        <v>0.65</v>
      </c>
      <c r="U170" s="303">
        <v>0.7</v>
      </c>
      <c r="V170" s="303"/>
      <c r="W170" s="383"/>
      <c r="X170" s="302"/>
      <c r="Y170" s="305"/>
      <c r="Z170" s="306"/>
      <c r="AA170" s="307"/>
      <c r="AB170" s="307"/>
      <c r="AC170" s="306"/>
      <c r="AD170" s="307"/>
      <c r="AE170" s="307"/>
      <c r="AF170" s="306"/>
      <c r="AG170" s="307"/>
      <c r="AH170" s="307"/>
      <c r="AI170" s="308"/>
    </row>
    <row r="171" spans="1:35" ht="75" customHeight="1" outlineLevel="1" x14ac:dyDescent="0.2">
      <c r="A171" s="564"/>
      <c r="B171" s="496"/>
      <c r="C171" s="496"/>
      <c r="D171" s="482"/>
      <c r="E171" s="494"/>
      <c r="F171" s="363" t="s">
        <v>454</v>
      </c>
      <c r="G171" s="343" t="s">
        <v>378</v>
      </c>
      <c r="H171" s="343" t="s">
        <v>455</v>
      </c>
      <c r="I171" s="343" t="s">
        <v>456</v>
      </c>
      <c r="J171" s="276" t="s">
        <v>397</v>
      </c>
      <c r="K171" s="403" t="s">
        <v>61</v>
      </c>
      <c r="L171" s="300">
        <v>44593</v>
      </c>
      <c r="M171" s="300">
        <v>44925</v>
      </c>
      <c r="N171" s="300">
        <v>44652</v>
      </c>
      <c r="O171" s="301">
        <f t="shared" si="8"/>
        <v>0.17771084337349397</v>
      </c>
      <c r="P171" s="301">
        <f t="shared" si="7"/>
        <v>0.17771084337349397</v>
      </c>
      <c r="Q171" s="302">
        <v>0.75</v>
      </c>
      <c r="R171" s="303">
        <v>0.55000000000000004</v>
      </c>
      <c r="S171" s="303">
        <v>0.65</v>
      </c>
      <c r="T171" s="303">
        <v>0.7</v>
      </c>
      <c r="U171" s="303">
        <v>0.75</v>
      </c>
      <c r="V171" s="303"/>
      <c r="W171" s="383"/>
      <c r="X171" s="302"/>
      <c r="Y171" s="305"/>
      <c r="Z171" s="306"/>
      <c r="AA171" s="307"/>
      <c r="AB171" s="307"/>
      <c r="AC171" s="306"/>
      <c r="AD171" s="307"/>
      <c r="AE171" s="307"/>
      <c r="AF171" s="306"/>
      <c r="AG171" s="307"/>
      <c r="AH171" s="307"/>
      <c r="AI171" s="308"/>
    </row>
    <row r="172" spans="1:35" ht="135" customHeight="1" outlineLevel="1" x14ac:dyDescent="0.2">
      <c r="A172" s="564"/>
      <c r="B172" s="496"/>
      <c r="C172" s="496"/>
      <c r="D172" s="482"/>
      <c r="E172" s="494"/>
      <c r="F172" s="493" t="s">
        <v>457</v>
      </c>
      <c r="G172" s="467" t="s">
        <v>378</v>
      </c>
      <c r="H172" s="467" t="s">
        <v>458</v>
      </c>
      <c r="I172" s="343" t="s">
        <v>459</v>
      </c>
      <c r="J172" s="505" t="s">
        <v>460</v>
      </c>
      <c r="K172" s="403">
        <v>50000000</v>
      </c>
      <c r="L172" s="300">
        <v>44593</v>
      </c>
      <c r="M172" s="300">
        <v>44925</v>
      </c>
      <c r="N172" s="300">
        <v>44652</v>
      </c>
      <c r="O172" s="301">
        <f t="shared" si="8"/>
        <v>0.17771084337349397</v>
      </c>
      <c r="P172" s="301">
        <f t="shared" si="7"/>
        <v>0.17771084337349397</v>
      </c>
      <c r="Q172" s="302">
        <v>1</v>
      </c>
      <c r="R172" s="303">
        <v>0.7</v>
      </c>
      <c r="S172" s="303">
        <v>0.8</v>
      </c>
      <c r="T172" s="303">
        <v>0.9</v>
      </c>
      <c r="U172" s="303">
        <v>1</v>
      </c>
      <c r="V172" s="303"/>
      <c r="W172" s="383"/>
      <c r="X172" s="302"/>
      <c r="Y172" s="305"/>
      <c r="Z172" s="306"/>
      <c r="AA172" s="307"/>
      <c r="AB172" s="307"/>
      <c r="AC172" s="306"/>
      <c r="AD172" s="307"/>
      <c r="AE172" s="307"/>
      <c r="AF172" s="306"/>
      <c r="AG172" s="307"/>
      <c r="AH172" s="307"/>
      <c r="AI172" s="308"/>
    </row>
    <row r="173" spans="1:35" ht="75" customHeight="1" outlineLevel="1" x14ac:dyDescent="0.2">
      <c r="A173" s="564"/>
      <c r="B173" s="496"/>
      <c r="C173" s="496"/>
      <c r="D173" s="482"/>
      <c r="E173" s="494"/>
      <c r="F173" s="495"/>
      <c r="G173" s="469"/>
      <c r="H173" s="469"/>
      <c r="I173" s="337" t="s">
        <v>461</v>
      </c>
      <c r="J173" s="507"/>
      <c r="K173" s="403" t="s">
        <v>116</v>
      </c>
      <c r="L173" s="300">
        <v>44593</v>
      </c>
      <c r="M173" s="300">
        <v>44925</v>
      </c>
      <c r="N173" s="300">
        <v>44652</v>
      </c>
      <c r="O173" s="301">
        <f t="shared" si="8"/>
        <v>0.17771084337349397</v>
      </c>
      <c r="P173" s="301">
        <f t="shared" ref="P173" si="9">+IF(O173&gt;=100,100,IF(O173&lt;=0,0,O173))</f>
        <v>0.17771084337349397</v>
      </c>
      <c r="Q173" s="302">
        <v>0.3</v>
      </c>
      <c r="R173" s="303">
        <v>0.15</v>
      </c>
      <c r="S173" s="303">
        <v>0.2</v>
      </c>
      <c r="T173" s="303">
        <v>0.25</v>
      </c>
      <c r="U173" s="303">
        <v>0.3</v>
      </c>
      <c r="V173" s="303"/>
      <c r="W173" s="383"/>
      <c r="X173" s="302"/>
      <c r="Y173" s="305"/>
      <c r="Z173" s="306"/>
      <c r="AA173" s="307"/>
      <c r="AB173" s="307"/>
      <c r="AC173" s="306"/>
      <c r="AD173" s="307"/>
      <c r="AE173" s="307"/>
      <c r="AF173" s="306"/>
      <c r="AG173" s="307"/>
      <c r="AH173" s="307"/>
      <c r="AI173" s="308"/>
    </row>
    <row r="174" spans="1:35" ht="60" customHeight="1" outlineLevel="1" x14ac:dyDescent="0.2">
      <c r="A174" s="564"/>
      <c r="B174" s="496"/>
      <c r="C174" s="496"/>
      <c r="D174" s="482"/>
      <c r="E174" s="494"/>
      <c r="F174" s="493" t="s">
        <v>462</v>
      </c>
      <c r="G174" s="343" t="s">
        <v>378</v>
      </c>
      <c r="H174" s="343" t="s">
        <v>463</v>
      </c>
      <c r="I174" s="467" t="s">
        <v>464</v>
      </c>
      <c r="J174" s="276" t="s">
        <v>378</v>
      </c>
      <c r="K174" s="403" t="s">
        <v>61</v>
      </c>
      <c r="L174" s="300">
        <v>44593</v>
      </c>
      <c r="M174" s="300">
        <v>44925</v>
      </c>
      <c r="N174" s="300">
        <v>44652</v>
      </c>
      <c r="O174" s="301">
        <f t="shared" si="8"/>
        <v>0.17771084337349397</v>
      </c>
      <c r="P174" s="301">
        <f t="shared" si="7"/>
        <v>0.17771084337349397</v>
      </c>
      <c r="Q174" s="302">
        <v>0.6</v>
      </c>
      <c r="R174" s="303">
        <v>0.45</v>
      </c>
      <c r="S174" s="303">
        <v>0.5</v>
      </c>
      <c r="T174" s="303">
        <v>0.55000000000000004</v>
      </c>
      <c r="U174" s="303">
        <v>0.6</v>
      </c>
      <c r="V174" s="303"/>
      <c r="W174" s="383"/>
      <c r="X174" s="302"/>
      <c r="Y174" s="305"/>
      <c r="Z174" s="306"/>
      <c r="AA174" s="307"/>
      <c r="AB174" s="307"/>
      <c r="AC174" s="306"/>
      <c r="AD174" s="307"/>
      <c r="AE174" s="307"/>
      <c r="AF174" s="306"/>
      <c r="AG174" s="307"/>
      <c r="AH174" s="307"/>
      <c r="AI174" s="308"/>
    </row>
    <row r="175" spans="1:35" ht="70.150000000000006" customHeight="1" outlineLevel="1" x14ac:dyDescent="0.2">
      <c r="A175" s="564"/>
      <c r="B175" s="496"/>
      <c r="C175" s="496"/>
      <c r="D175" s="482"/>
      <c r="E175" s="494"/>
      <c r="F175" s="495"/>
      <c r="G175" s="343" t="s">
        <v>378</v>
      </c>
      <c r="H175" s="343" t="s">
        <v>465</v>
      </c>
      <c r="I175" s="469"/>
      <c r="J175" s="276" t="s">
        <v>466</v>
      </c>
      <c r="K175" s="403">
        <v>90000000</v>
      </c>
      <c r="L175" s="300">
        <v>44593</v>
      </c>
      <c r="M175" s="300">
        <v>44925</v>
      </c>
      <c r="N175" s="300">
        <v>44652</v>
      </c>
      <c r="O175" s="301">
        <f t="shared" si="8"/>
        <v>0.17771084337349397</v>
      </c>
      <c r="P175" s="301">
        <f t="shared" si="7"/>
        <v>0.17771084337349397</v>
      </c>
      <c r="Q175" s="302">
        <v>1</v>
      </c>
      <c r="R175" s="303">
        <v>0.25</v>
      </c>
      <c r="S175" s="303">
        <v>0.5</v>
      </c>
      <c r="T175" s="303">
        <v>0.75</v>
      </c>
      <c r="U175" s="303">
        <v>1</v>
      </c>
      <c r="V175" s="303"/>
      <c r="W175" s="383"/>
      <c r="X175" s="302"/>
      <c r="Y175" s="305"/>
      <c r="Z175" s="306"/>
      <c r="AA175" s="307"/>
      <c r="AB175" s="307"/>
      <c r="AC175" s="306"/>
      <c r="AD175" s="307"/>
      <c r="AE175" s="307"/>
      <c r="AF175" s="306"/>
      <c r="AG175" s="307"/>
      <c r="AH175" s="307"/>
      <c r="AI175" s="308"/>
    </row>
    <row r="176" spans="1:35" ht="60" customHeight="1" outlineLevel="1" x14ac:dyDescent="0.2">
      <c r="A176" s="564"/>
      <c r="B176" s="496"/>
      <c r="C176" s="496"/>
      <c r="D176" s="482"/>
      <c r="E176" s="494"/>
      <c r="F176" s="493" t="s">
        <v>467</v>
      </c>
      <c r="G176" s="343" t="s">
        <v>378</v>
      </c>
      <c r="H176" s="343" t="s">
        <v>468</v>
      </c>
      <c r="I176" s="467" t="s">
        <v>469</v>
      </c>
      <c r="J176" s="276" t="s">
        <v>470</v>
      </c>
      <c r="K176" s="403">
        <v>4000000</v>
      </c>
      <c r="L176" s="300">
        <v>44593</v>
      </c>
      <c r="M176" s="300">
        <v>44925</v>
      </c>
      <c r="N176" s="300">
        <v>44652</v>
      </c>
      <c r="O176" s="301">
        <f t="shared" si="8"/>
        <v>0.17771084337349397</v>
      </c>
      <c r="P176" s="301">
        <f t="shared" si="7"/>
        <v>0.17771084337349397</v>
      </c>
      <c r="Q176" s="302">
        <v>0.6</v>
      </c>
      <c r="R176" s="303">
        <v>0.45</v>
      </c>
      <c r="S176" s="303">
        <v>0.5</v>
      </c>
      <c r="T176" s="303">
        <v>0.55000000000000004</v>
      </c>
      <c r="U176" s="303">
        <v>0.6</v>
      </c>
      <c r="V176" s="303"/>
      <c r="W176" s="383"/>
      <c r="X176" s="302"/>
      <c r="Y176" s="305"/>
      <c r="Z176" s="306"/>
      <c r="AA176" s="307"/>
      <c r="AB176" s="307"/>
      <c r="AC176" s="306"/>
      <c r="AD176" s="307"/>
      <c r="AE176" s="307"/>
      <c r="AF176" s="306"/>
      <c r="AG176" s="307"/>
      <c r="AH176" s="307"/>
      <c r="AI176" s="308"/>
    </row>
    <row r="177" spans="1:35" ht="108" customHeight="1" outlineLevel="1" x14ac:dyDescent="0.2">
      <c r="A177" s="564"/>
      <c r="B177" s="496"/>
      <c r="C177" s="496"/>
      <c r="D177" s="482"/>
      <c r="E177" s="494"/>
      <c r="F177" s="494"/>
      <c r="G177" s="343" t="s">
        <v>378</v>
      </c>
      <c r="H177" s="343" t="s">
        <v>471</v>
      </c>
      <c r="I177" s="468"/>
      <c r="J177" s="276" t="s">
        <v>470</v>
      </c>
      <c r="K177" s="403" t="s">
        <v>61</v>
      </c>
      <c r="L177" s="300">
        <v>44593</v>
      </c>
      <c r="M177" s="300">
        <v>44925</v>
      </c>
      <c r="N177" s="300">
        <v>44652</v>
      </c>
      <c r="O177" s="301">
        <f t="shared" si="8"/>
        <v>0.17771084337349397</v>
      </c>
      <c r="P177" s="301">
        <f t="shared" si="7"/>
        <v>0.17771084337349397</v>
      </c>
      <c r="Q177" s="302">
        <v>1</v>
      </c>
      <c r="R177" s="303">
        <v>0.25</v>
      </c>
      <c r="S177" s="303">
        <v>0.5</v>
      </c>
      <c r="T177" s="303">
        <v>0.75</v>
      </c>
      <c r="U177" s="303">
        <v>1</v>
      </c>
      <c r="V177" s="303"/>
      <c r="W177" s="383"/>
      <c r="X177" s="302"/>
      <c r="Y177" s="305"/>
      <c r="Z177" s="306"/>
      <c r="AA177" s="307"/>
      <c r="AB177" s="307"/>
      <c r="AC177" s="306"/>
      <c r="AD177" s="307"/>
      <c r="AE177" s="307"/>
      <c r="AF177" s="306"/>
      <c r="AG177" s="307"/>
      <c r="AH177" s="307"/>
      <c r="AI177" s="308"/>
    </row>
    <row r="178" spans="1:35" ht="108" customHeight="1" outlineLevel="1" x14ac:dyDescent="0.2">
      <c r="A178" s="564"/>
      <c r="B178" s="496"/>
      <c r="C178" s="496"/>
      <c r="D178" s="482"/>
      <c r="E178" s="495"/>
      <c r="F178" s="495"/>
      <c r="G178" s="343" t="s">
        <v>378</v>
      </c>
      <c r="H178" s="291" t="s">
        <v>472</v>
      </c>
      <c r="I178" s="469"/>
      <c r="J178" s="276" t="s">
        <v>378</v>
      </c>
      <c r="K178" s="403">
        <v>220000000</v>
      </c>
      <c r="L178" s="300">
        <v>44593</v>
      </c>
      <c r="M178" s="300">
        <v>44925</v>
      </c>
      <c r="N178" s="300">
        <v>44652</v>
      </c>
      <c r="O178" s="301">
        <f t="shared" si="8"/>
        <v>0.17771084337349397</v>
      </c>
      <c r="P178" s="301">
        <f t="shared" si="7"/>
        <v>0.17771084337349397</v>
      </c>
      <c r="Q178" s="302">
        <v>1</v>
      </c>
      <c r="R178" s="303">
        <v>0.25</v>
      </c>
      <c r="S178" s="303">
        <v>0.5</v>
      </c>
      <c r="T178" s="303">
        <v>0.75</v>
      </c>
      <c r="U178" s="303">
        <v>1</v>
      </c>
      <c r="V178" s="303"/>
      <c r="W178" s="383"/>
      <c r="X178" s="302"/>
      <c r="Y178" s="305"/>
      <c r="Z178" s="306"/>
      <c r="AA178" s="307"/>
      <c r="AB178" s="307"/>
      <c r="AC178" s="306"/>
      <c r="AD178" s="307"/>
      <c r="AE178" s="307"/>
      <c r="AF178" s="306"/>
      <c r="AG178" s="307"/>
      <c r="AH178" s="307"/>
      <c r="AI178" s="308"/>
    </row>
    <row r="179" spans="1:35" ht="147" customHeight="1" outlineLevel="1" x14ac:dyDescent="0.2">
      <c r="A179" s="564"/>
      <c r="B179" s="432" t="s">
        <v>52</v>
      </c>
      <c r="C179" s="432" t="s">
        <v>473</v>
      </c>
      <c r="D179" s="655" t="s">
        <v>474</v>
      </c>
      <c r="E179" s="555" t="s">
        <v>475</v>
      </c>
      <c r="F179" s="555" t="s">
        <v>476</v>
      </c>
      <c r="G179" s="623" t="s">
        <v>477</v>
      </c>
      <c r="H179" s="15" t="s">
        <v>478</v>
      </c>
      <c r="I179" s="623" t="s">
        <v>479</v>
      </c>
      <c r="J179" s="276" t="s">
        <v>163</v>
      </c>
      <c r="K179" s="288" t="s">
        <v>116</v>
      </c>
      <c r="L179" s="300">
        <v>44593</v>
      </c>
      <c r="M179" s="300">
        <v>44925</v>
      </c>
      <c r="N179" s="300">
        <v>44652</v>
      </c>
      <c r="O179" s="301">
        <f t="shared" si="8"/>
        <v>0.17771084337349397</v>
      </c>
      <c r="P179" s="301">
        <f t="shared" si="7"/>
        <v>0.17771084337349397</v>
      </c>
      <c r="Q179" s="302">
        <v>1</v>
      </c>
      <c r="R179" s="303">
        <v>0.25</v>
      </c>
      <c r="S179" s="303">
        <v>0.5</v>
      </c>
      <c r="T179" s="303">
        <v>0.75</v>
      </c>
      <c r="U179" s="303">
        <v>1</v>
      </c>
      <c r="V179" s="303"/>
      <c r="W179" s="383"/>
      <c r="X179" s="302"/>
      <c r="Y179" s="305"/>
      <c r="Z179" s="306"/>
      <c r="AA179" s="307"/>
      <c r="AB179" s="307"/>
      <c r="AC179" s="306"/>
      <c r="AD179" s="307"/>
      <c r="AE179" s="307"/>
      <c r="AF179" s="306"/>
      <c r="AG179" s="307"/>
      <c r="AH179" s="307"/>
      <c r="AI179" s="308"/>
    </row>
    <row r="180" spans="1:35" ht="46.5" customHeight="1" outlineLevel="1" x14ac:dyDescent="0.2">
      <c r="A180" s="564"/>
      <c r="B180" s="433"/>
      <c r="C180" s="433"/>
      <c r="D180" s="656"/>
      <c r="E180" s="556"/>
      <c r="F180" s="556"/>
      <c r="G180" s="625"/>
      <c r="H180" s="15" t="s">
        <v>480</v>
      </c>
      <c r="I180" s="624"/>
      <c r="J180" s="276" t="s">
        <v>481</v>
      </c>
      <c r="K180" s="288" t="s">
        <v>61</v>
      </c>
      <c r="L180" s="300">
        <v>44593</v>
      </c>
      <c r="M180" s="300">
        <v>44925</v>
      </c>
      <c r="N180" s="300">
        <v>44652</v>
      </c>
      <c r="O180" s="301">
        <f t="shared" si="8"/>
        <v>0.17771084337349397</v>
      </c>
      <c r="P180" s="301">
        <f t="shared" ref="P180:P181" si="10">+IF(O180&gt;=100,100,IF(O180&lt;=0,0,O180))</f>
        <v>0.17771084337349397</v>
      </c>
      <c r="Q180" s="302">
        <v>1</v>
      </c>
      <c r="R180" s="303">
        <v>0.25</v>
      </c>
      <c r="S180" s="303">
        <v>0.5</v>
      </c>
      <c r="T180" s="303">
        <v>0.75</v>
      </c>
      <c r="U180" s="303">
        <v>1</v>
      </c>
      <c r="V180" s="303"/>
      <c r="W180" s="383"/>
      <c r="X180" s="302"/>
      <c r="Y180" s="305"/>
      <c r="Z180" s="306"/>
      <c r="AA180" s="307"/>
      <c r="AB180" s="307"/>
      <c r="AC180" s="306"/>
      <c r="AD180" s="307"/>
      <c r="AE180" s="307"/>
      <c r="AF180" s="306"/>
      <c r="AG180" s="307"/>
      <c r="AH180" s="307"/>
      <c r="AI180" s="308"/>
    </row>
    <row r="181" spans="1:35" ht="46.5" customHeight="1" outlineLevel="1" x14ac:dyDescent="0.2">
      <c r="A181" s="564"/>
      <c r="B181" s="434"/>
      <c r="C181" s="434"/>
      <c r="D181" s="657"/>
      <c r="E181" s="626"/>
      <c r="F181" s="626"/>
      <c r="G181" s="15" t="s">
        <v>276</v>
      </c>
      <c r="H181" s="15" t="s">
        <v>482</v>
      </c>
      <c r="I181" s="625"/>
      <c r="J181" s="310" t="s">
        <v>483</v>
      </c>
      <c r="K181" s="288" t="s">
        <v>61</v>
      </c>
      <c r="L181" s="300">
        <v>44593</v>
      </c>
      <c r="M181" s="300">
        <v>44925</v>
      </c>
      <c r="N181" s="300">
        <v>44652</v>
      </c>
      <c r="O181" s="301">
        <f t="shared" si="8"/>
        <v>0.17771084337349397</v>
      </c>
      <c r="P181" s="301">
        <f t="shared" si="10"/>
        <v>0.17771084337349397</v>
      </c>
      <c r="Q181" s="302">
        <v>1</v>
      </c>
      <c r="R181" s="303">
        <v>0.25</v>
      </c>
      <c r="S181" s="303">
        <v>0.5</v>
      </c>
      <c r="T181" s="303">
        <v>0.75</v>
      </c>
      <c r="U181" s="303">
        <v>1</v>
      </c>
      <c r="V181" s="303"/>
      <c r="W181" s="383"/>
      <c r="X181" s="302"/>
      <c r="Y181" s="305"/>
      <c r="Z181" s="306"/>
      <c r="AA181" s="307"/>
      <c r="AB181" s="307"/>
      <c r="AC181" s="306"/>
      <c r="AD181" s="307"/>
      <c r="AE181" s="307"/>
      <c r="AF181" s="306"/>
      <c r="AG181" s="307"/>
      <c r="AH181" s="307"/>
      <c r="AI181" s="308"/>
    </row>
    <row r="182" spans="1:35" ht="90" customHeight="1" outlineLevel="1" x14ac:dyDescent="0.2">
      <c r="A182" s="564"/>
      <c r="B182" s="271" t="s">
        <v>52</v>
      </c>
      <c r="C182" s="346" t="s">
        <v>503</v>
      </c>
      <c r="D182" s="340" t="s">
        <v>484</v>
      </c>
      <c r="E182" s="13" t="s">
        <v>485</v>
      </c>
      <c r="F182" s="13" t="s">
        <v>486</v>
      </c>
      <c r="G182" s="14" t="s">
        <v>171</v>
      </c>
      <c r="H182" s="14" t="s">
        <v>487</v>
      </c>
      <c r="I182" s="14" t="s">
        <v>488</v>
      </c>
      <c r="J182" s="288" t="s">
        <v>116</v>
      </c>
      <c r="K182" s="288" t="s">
        <v>116</v>
      </c>
      <c r="L182" s="300">
        <v>44593</v>
      </c>
      <c r="M182" s="300">
        <v>44925</v>
      </c>
      <c r="N182" s="300">
        <v>44652</v>
      </c>
      <c r="O182" s="301">
        <f t="shared" si="8"/>
        <v>0.17771084337349397</v>
      </c>
      <c r="P182" s="301">
        <f t="shared" si="7"/>
        <v>0.17771084337349397</v>
      </c>
      <c r="Q182" s="302">
        <v>0.4</v>
      </c>
      <c r="R182" s="303">
        <v>0.25</v>
      </c>
      <c r="S182" s="303">
        <v>0.3</v>
      </c>
      <c r="T182" s="303">
        <v>0.35</v>
      </c>
      <c r="U182" s="303">
        <v>0.4</v>
      </c>
      <c r="V182" s="303"/>
      <c r="W182" s="383"/>
      <c r="X182" s="302"/>
      <c r="Y182" s="305"/>
      <c r="Z182" s="303"/>
      <c r="AA182" s="307"/>
      <c r="AB182" s="307"/>
      <c r="AC182" s="306"/>
      <c r="AD182" s="307"/>
      <c r="AE182" s="307"/>
      <c r="AF182" s="306"/>
      <c r="AG182" s="307"/>
      <c r="AH182" s="307"/>
      <c r="AI182" s="308"/>
    </row>
    <row r="183" spans="1:35" ht="59.25" customHeight="1" outlineLevel="1" x14ac:dyDescent="0.2">
      <c r="A183" s="564"/>
      <c r="B183" s="432" t="s">
        <v>52</v>
      </c>
      <c r="C183" s="432" t="s">
        <v>106</v>
      </c>
      <c r="D183" s="476" t="s">
        <v>489</v>
      </c>
      <c r="E183" s="566" t="s">
        <v>490</v>
      </c>
      <c r="F183" s="566" t="s">
        <v>491</v>
      </c>
      <c r="G183" s="569" t="s">
        <v>492</v>
      </c>
      <c r="H183" s="360" t="s">
        <v>493</v>
      </c>
      <c r="I183" s="569" t="s">
        <v>494</v>
      </c>
      <c r="J183" s="288" t="s">
        <v>163</v>
      </c>
      <c r="K183" s="288" t="s">
        <v>116</v>
      </c>
      <c r="L183" s="300">
        <v>44593</v>
      </c>
      <c r="M183" s="300">
        <v>44925</v>
      </c>
      <c r="N183" s="300">
        <v>44652</v>
      </c>
      <c r="O183" s="301">
        <f t="shared" si="8"/>
        <v>0.17771084337349397</v>
      </c>
      <c r="P183" s="301">
        <f t="shared" si="7"/>
        <v>0.17771084337349397</v>
      </c>
      <c r="Q183" s="302">
        <v>0.09</v>
      </c>
      <c r="R183" s="303">
        <v>0.06</v>
      </c>
      <c r="S183" s="303">
        <v>7.0000000000000007E-2</v>
      </c>
      <c r="T183" s="303">
        <v>0.08</v>
      </c>
      <c r="U183" s="303">
        <v>0.09</v>
      </c>
      <c r="V183" s="303"/>
      <c r="W183" s="383"/>
      <c r="X183" s="302"/>
      <c r="Y183" s="305"/>
      <c r="Z183" s="306"/>
      <c r="AA183" s="307"/>
      <c r="AB183" s="307"/>
      <c r="AC183" s="306"/>
      <c r="AD183" s="307"/>
      <c r="AE183" s="307"/>
      <c r="AF183" s="306"/>
      <c r="AG183" s="307"/>
      <c r="AH183" s="307"/>
      <c r="AI183" s="308"/>
    </row>
    <row r="184" spans="1:35" ht="93.75" customHeight="1" outlineLevel="1" x14ac:dyDescent="0.2">
      <c r="A184" s="564"/>
      <c r="B184" s="433"/>
      <c r="C184" s="433"/>
      <c r="D184" s="477"/>
      <c r="E184" s="567"/>
      <c r="F184" s="567"/>
      <c r="G184" s="570"/>
      <c r="H184" s="292" t="s">
        <v>495</v>
      </c>
      <c r="I184" s="570"/>
      <c r="J184" s="288" t="s">
        <v>496</v>
      </c>
      <c r="K184" s="288" t="s">
        <v>116</v>
      </c>
      <c r="L184" s="300">
        <v>44593</v>
      </c>
      <c r="M184" s="300">
        <v>44925</v>
      </c>
      <c r="N184" s="300">
        <v>44652</v>
      </c>
      <c r="O184" s="301">
        <f t="shared" si="8"/>
        <v>0.17771084337349397</v>
      </c>
      <c r="P184" s="301">
        <f t="shared" si="7"/>
        <v>0.17771084337349397</v>
      </c>
      <c r="Q184" s="302">
        <v>1</v>
      </c>
      <c r="R184" s="303">
        <v>0.25</v>
      </c>
      <c r="S184" s="303">
        <v>0.5</v>
      </c>
      <c r="T184" s="303">
        <v>0.75</v>
      </c>
      <c r="U184" s="303">
        <v>1</v>
      </c>
      <c r="V184" s="303"/>
      <c r="W184" s="383"/>
      <c r="X184" s="302"/>
      <c r="Y184" s="305"/>
      <c r="Z184" s="306"/>
      <c r="AA184" s="307"/>
      <c r="AB184" s="307"/>
      <c r="AC184" s="306"/>
      <c r="AD184" s="307"/>
      <c r="AE184" s="307"/>
      <c r="AF184" s="306"/>
      <c r="AG184" s="307"/>
      <c r="AH184" s="307"/>
      <c r="AI184" s="308"/>
    </row>
    <row r="185" spans="1:35" ht="112.5" customHeight="1" outlineLevel="1" x14ac:dyDescent="0.2">
      <c r="A185" s="564"/>
      <c r="B185" s="433"/>
      <c r="C185" s="433"/>
      <c r="D185" s="477"/>
      <c r="E185" s="567"/>
      <c r="F185" s="567"/>
      <c r="G185" s="570"/>
      <c r="H185" s="293" t="s">
        <v>497</v>
      </c>
      <c r="I185" s="570"/>
      <c r="J185" s="288" t="s">
        <v>498</v>
      </c>
      <c r="K185" s="288" t="s">
        <v>116</v>
      </c>
      <c r="L185" s="300">
        <v>44593</v>
      </c>
      <c r="M185" s="300">
        <v>44925</v>
      </c>
      <c r="N185" s="300">
        <v>44652</v>
      </c>
      <c r="O185" s="301">
        <f t="shared" si="8"/>
        <v>0.17771084337349397</v>
      </c>
      <c r="P185" s="301">
        <f t="shared" si="7"/>
        <v>0.17771084337349397</v>
      </c>
      <c r="Q185" s="302">
        <v>1</v>
      </c>
      <c r="R185" s="303">
        <v>0.25</v>
      </c>
      <c r="S185" s="303">
        <v>0.5</v>
      </c>
      <c r="T185" s="303">
        <v>0.75</v>
      </c>
      <c r="U185" s="303">
        <v>1</v>
      </c>
      <c r="V185" s="303"/>
      <c r="W185" s="383"/>
      <c r="X185" s="302"/>
      <c r="Y185" s="305"/>
      <c r="Z185" s="306"/>
      <c r="AA185" s="307"/>
      <c r="AB185" s="307"/>
      <c r="AC185" s="306"/>
      <c r="AD185" s="307"/>
      <c r="AE185" s="307"/>
      <c r="AF185" s="306"/>
      <c r="AG185" s="307"/>
      <c r="AH185" s="307"/>
      <c r="AI185" s="308"/>
    </row>
    <row r="186" spans="1:35" ht="46.5" customHeight="1" outlineLevel="1" x14ac:dyDescent="0.2">
      <c r="A186" s="564"/>
      <c r="B186" s="433"/>
      <c r="C186" s="433"/>
      <c r="D186" s="477"/>
      <c r="E186" s="567"/>
      <c r="F186" s="567"/>
      <c r="G186" s="570"/>
      <c r="H186" s="293" t="s">
        <v>499</v>
      </c>
      <c r="I186" s="570"/>
      <c r="J186" s="288" t="s">
        <v>500</v>
      </c>
      <c r="K186" s="288" t="s">
        <v>116</v>
      </c>
      <c r="L186" s="300">
        <v>44593</v>
      </c>
      <c r="M186" s="300">
        <v>44925</v>
      </c>
      <c r="N186" s="300">
        <v>44652</v>
      </c>
      <c r="O186" s="301">
        <f t="shared" si="8"/>
        <v>0.17771084337349397</v>
      </c>
      <c r="P186" s="301">
        <f t="shared" si="7"/>
        <v>0.17771084337349397</v>
      </c>
      <c r="Q186" s="302">
        <v>1</v>
      </c>
      <c r="R186" s="303">
        <v>0.25</v>
      </c>
      <c r="S186" s="303">
        <v>0.5</v>
      </c>
      <c r="T186" s="303">
        <v>0.75</v>
      </c>
      <c r="U186" s="303">
        <v>1</v>
      </c>
      <c r="V186" s="303"/>
      <c r="W186" s="383"/>
      <c r="X186" s="302"/>
      <c r="Y186" s="305"/>
      <c r="Z186" s="306"/>
      <c r="AA186" s="307"/>
      <c r="AB186" s="307"/>
      <c r="AC186" s="306"/>
      <c r="AD186" s="307"/>
      <c r="AE186" s="307"/>
      <c r="AF186" s="306"/>
      <c r="AG186" s="307"/>
      <c r="AH186" s="307"/>
      <c r="AI186" s="308"/>
    </row>
    <row r="187" spans="1:35" ht="75" customHeight="1" outlineLevel="1" x14ac:dyDescent="0.2">
      <c r="A187" s="564"/>
      <c r="B187" s="434"/>
      <c r="C187" s="434"/>
      <c r="D187" s="478"/>
      <c r="E187" s="568"/>
      <c r="F187" s="568"/>
      <c r="G187" s="571"/>
      <c r="H187" s="293" t="s">
        <v>501</v>
      </c>
      <c r="I187" s="571"/>
      <c r="J187" s="288" t="s">
        <v>502</v>
      </c>
      <c r="K187" s="288" t="s">
        <v>116</v>
      </c>
      <c r="L187" s="300">
        <v>44593</v>
      </c>
      <c r="M187" s="300">
        <v>44925</v>
      </c>
      <c r="N187" s="300">
        <v>44652</v>
      </c>
      <c r="O187" s="301">
        <f t="shared" si="8"/>
        <v>0.17771084337349397</v>
      </c>
      <c r="P187" s="301">
        <f t="shared" si="7"/>
        <v>0.17771084337349397</v>
      </c>
      <c r="Q187" s="302">
        <v>1</v>
      </c>
      <c r="R187" s="303">
        <v>0.25</v>
      </c>
      <c r="S187" s="303">
        <v>0.5</v>
      </c>
      <c r="T187" s="303">
        <v>0.75</v>
      </c>
      <c r="U187" s="303">
        <v>1</v>
      </c>
      <c r="V187" s="303"/>
      <c r="W187" s="383"/>
      <c r="X187" s="302"/>
      <c r="Y187" s="305"/>
      <c r="Z187" s="306"/>
      <c r="AA187" s="307"/>
      <c r="AB187" s="307"/>
      <c r="AC187" s="306"/>
      <c r="AD187" s="307"/>
      <c r="AE187" s="307"/>
      <c r="AF187" s="306"/>
      <c r="AG187" s="307"/>
      <c r="AH187" s="307"/>
      <c r="AI187" s="308"/>
    </row>
    <row r="188" spans="1:35" ht="168.75" customHeight="1" outlineLevel="1" x14ac:dyDescent="0.2">
      <c r="A188" s="564"/>
      <c r="B188" s="432" t="s">
        <v>52</v>
      </c>
      <c r="C188" s="346" t="s">
        <v>503</v>
      </c>
      <c r="D188" s="481" t="s">
        <v>504</v>
      </c>
      <c r="E188" s="342" t="s">
        <v>55</v>
      </c>
      <c r="F188" s="4" t="s">
        <v>56</v>
      </c>
      <c r="G188" s="5" t="s">
        <v>505</v>
      </c>
      <c r="H188" s="5" t="s">
        <v>506</v>
      </c>
      <c r="I188" s="5" t="s">
        <v>59</v>
      </c>
      <c r="J188" s="288" t="s">
        <v>507</v>
      </c>
      <c r="K188" s="288" t="s">
        <v>61</v>
      </c>
      <c r="L188" s="300">
        <v>44593</v>
      </c>
      <c r="M188" s="300">
        <v>44925</v>
      </c>
      <c r="N188" s="300">
        <v>44652</v>
      </c>
      <c r="O188" s="301">
        <f t="shared" si="8"/>
        <v>0.17771084337349397</v>
      </c>
      <c r="P188" s="301">
        <f t="shared" si="7"/>
        <v>0.17771084337349397</v>
      </c>
      <c r="Q188" s="302">
        <v>1</v>
      </c>
      <c r="R188" s="303">
        <v>0.25</v>
      </c>
      <c r="S188" s="303">
        <v>0.5</v>
      </c>
      <c r="T188" s="303">
        <v>0.75</v>
      </c>
      <c r="U188" s="303">
        <v>1</v>
      </c>
      <c r="V188" s="303"/>
      <c r="W188" s="383"/>
      <c r="X188" s="302"/>
      <c r="Y188" s="305"/>
      <c r="Z188" s="306"/>
      <c r="AA188" s="307"/>
      <c r="AB188" s="307"/>
      <c r="AC188" s="306"/>
      <c r="AD188" s="307"/>
      <c r="AE188" s="307"/>
      <c r="AF188" s="306"/>
      <c r="AG188" s="307"/>
      <c r="AH188" s="307"/>
      <c r="AI188" s="308"/>
    </row>
    <row r="189" spans="1:35" ht="281.25" customHeight="1" outlineLevel="1" x14ac:dyDescent="0.2">
      <c r="A189" s="564"/>
      <c r="B189" s="434"/>
      <c r="C189" s="348" t="s">
        <v>106</v>
      </c>
      <c r="D189" s="483"/>
      <c r="E189" s="338" t="s">
        <v>490</v>
      </c>
      <c r="F189" s="334" t="s">
        <v>323</v>
      </c>
      <c r="G189" s="335" t="s">
        <v>508</v>
      </c>
      <c r="H189" s="5" t="s">
        <v>509</v>
      </c>
      <c r="I189" s="335" t="s">
        <v>326</v>
      </c>
      <c r="J189" s="288" t="s">
        <v>510</v>
      </c>
      <c r="K189" s="288" t="s">
        <v>61</v>
      </c>
      <c r="L189" s="300">
        <v>44593</v>
      </c>
      <c r="M189" s="300">
        <v>44925</v>
      </c>
      <c r="N189" s="300">
        <v>44652</v>
      </c>
      <c r="O189" s="301">
        <f t="shared" si="8"/>
        <v>0.17771084337349397</v>
      </c>
      <c r="P189" s="301">
        <f t="shared" si="7"/>
        <v>0.17771084337349397</v>
      </c>
      <c r="Q189" s="302">
        <v>1</v>
      </c>
      <c r="R189" s="303">
        <v>0.25</v>
      </c>
      <c r="S189" s="303">
        <v>0.5</v>
      </c>
      <c r="T189" s="303">
        <v>0.75</v>
      </c>
      <c r="U189" s="303">
        <v>1</v>
      </c>
      <c r="V189" s="303"/>
      <c r="W189" s="383"/>
      <c r="X189" s="302"/>
      <c r="Y189" s="305"/>
      <c r="Z189" s="306"/>
      <c r="AA189" s="307"/>
      <c r="AB189" s="307"/>
      <c r="AC189" s="306"/>
      <c r="AD189" s="307"/>
      <c r="AE189" s="307"/>
      <c r="AF189" s="306"/>
      <c r="AG189" s="307"/>
      <c r="AH189" s="307"/>
      <c r="AI189" s="308"/>
    </row>
    <row r="190" spans="1:35" ht="112.5" customHeight="1" outlineLevel="1" x14ac:dyDescent="0.2">
      <c r="A190" s="564"/>
      <c r="B190" s="432" t="s">
        <v>52</v>
      </c>
      <c r="C190" s="432" t="s">
        <v>511</v>
      </c>
      <c r="D190" s="509" t="s">
        <v>5</v>
      </c>
      <c r="E190" s="577" t="s">
        <v>138</v>
      </c>
      <c r="F190" s="378" t="s">
        <v>512</v>
      </c>
      <c r="G190" s="267" t="s">
        <v>152</v>
      </c>
      <c r="H190" s="267" t="s">
        <v>513</v>
      </c>
      <c r="I190" s="267" t="s">
        <v>514</v>
      </c>
      <c r="J190" s="288" t="s">
        <v>515</v>
      </c>
      <c r="K190" s="288" t="s">
        <v>61</v>
      </c>
      <c r="L190" s="300">
        <v>44593</v>
      </c>
      <c r="M190" s="300">
        <v>44925</v>
      </c>
      <c r="N190" s="300">
        <v>44652</v>
      </c>
      <c r="O190" s="301">
        <f t="shared" si="8"/>
        <v>0.17771084337349397</v>
      </c>
      <c r="P190" s="301">
        <f t="shared" si="7"/>
        <v>0.17771084337349397</v>
      </c>
      <c r="Q190" s="312">
        <v>7.0000000000000001E-3</v>
      </c>
      <c r="R190" s="313">
        <v>5.0000000000000001E-3</v>
      </c>
      <c r="S190" s="313">
        <v>6.0000000000000001E-3</v>
      </c>
      <c r="T190" s="313">
        <v>6.0000000000000001E-3</v>
      </c>
      <c r="U190" s="313">
        <v>7.0000000000000001E-3</v>
      </c>
      <c r="V190" s="303"/>
      <c r="W190" s="383"/>
      <c r="X190" s="302"/>
      <c r="Y190" s="305"/>
      <c r="Z190" s="306"/>
      <c r="AA190" s="307"/>
      <c r="AB190" s="307"/>
      <c r="AC190" s="306"/>
      <c r="AD190" s="307"/>
      <c r="AE190" s="307"/>
      <c r="AF190" s="306"/>
      <c r="AG190" s="307"/>
      <c r="AH190" s="307"/>
      <c r="AI190" s="308"/>
    </row>
    <row r="191" spans="1:35" ht="75" customHeight="1" outlineLevel="1" x14ac:dyDescent="0.2">
      <c r="A191" s="564"/>
      <c r="B191" s="433"/>
      <c r="C191" s="433"/>
      <c r="D191" s="509"/>
      <c r="E191" s="578"/>
      <c r="F191" s="577" t="s">
        <v>516</v>
      </c>
      <c r="G191" s="490" t="s">
        <v>152</v>
      </c>
      <c r="H191" s="267" t="s">
        <v>517</v>
      </c>
      <c r="I191" s="490" t="s">
        <v>518</v>
      </c>
      <c r="J191" s="288" t="s">
        <v>519</v>
      </c>
      <c r="K191" s="288" t="s">
        <v>61</v>
      </c>
      <c r="L191" s="300">
        <v>44593</v>
      </c>
      <c r="M191" s="300">
        <v>44925</v>
      </c>
      <c r="N191" s="300">
        <v>44652</v>
      </c>
      <c r="O191" s="301">
        <f t="shared" si="8"/>
        <v>0.17771084337349397</v>
      </c>
      <c r="P191" s="301"/>
      <c r="Q191" s="312">
        <v>7.4999999999999997E-2</v>
      </c>
      <c r="R191" s="313">
        <v>7.4999999999999997E-2</v>
      </c>
      <c r="S191" s="313">
        <v>7.4999999999999997E-2</v>
      </c>
      <c r="T191" s="313">
        <v>7.4999999999999997E-2</v>
      </c>
      <c r="U191" s="313">
        <v>7.4999999999999997E-2</v>
      </c>
      <c r="V191" s="303"/>
      <c r="W191" s="383"/>
      <c r="X191" s="302"/>
      <c r="Y191" s="305"/>
      <c r="Z191" s="306"/>
      <c r="AA191" s="307"/>
      <c r="AB191" s="307"/>
      <c r="AC191" s="306"/>
      <c r="AD191" s="307"/>
      <c r="AE191" s="307"/>
      <c r="AF191" s="306"/>
      <c r="AG191" s="307"/>
      <c r="AH191" s="307"/>
      <c r="AI191" s="308"/>
    </row>
    <row r="192" spans="1:35" ht="90" customHeight="1" outlineLevel="1" x14ac:dyDescent="0.2">
      <c r="A192" s="564"/>
      <c r="B192" s="433"/>
      <c r="C192" s="433"/>
      <c r="D192" s="509"/>
      <c r="E192" s="578"/>
      <c r="F192" s="578"/>
      <c r="G192" s="627"/>
      <c r="H192" s="267" t="s">
        <v>520</v>
      </c>
      <c r="I192" s="627"/>
      <c r="J192" s="288" t="s">
        <v>521</v>
      </c>
      <c r="K192" s="288" t="s">
        <v>61</v>
      </c>
      <c r="L192" s="300">
        <v>44593</v>
      </c>
      <c r="M192" s="300">
        <v>44925</v>
      </c>
      <c r="N192" s="300">
        <v>44652</v>
      </c>
      <c r="O192" s="301">
        <f t="shared" si="8"/>
        <v>0.17771084337349397</v>
      </c>
      <c r="P192" s="314"/>
      <c r="Q192" s="302">
        <v>1</v>
      </c>
      <c r="R192" s="303">
        <v>0.25</v>
      </c>
      <c r="S192" s="303">
        <v>0.5</v>
      </c>
      <c r="T192" s="303">
        <v>0.75</v>
      </c>
      <c r="U192" s="303">
        <v>1</v>
      </c>
      <c r="V192" s="303"/>
      <c r="W192" s="383"/>
      <c r="X192" s="302"/>
      <c r="Y192" s="305"/>
      <c r="Z192" s="306"/>
      <c r="AA192" s="307"/>
      <c r="AB192" s="307"/>
      <c r="AC192" s="306"/>
      <c r="AD192" s="307"/>
      <c r="AE192" s="307"/>
      <c r="AF192" s="306"/>
      <c r="AG192" s="307"/>
      <c r="AH192" s="307"/>
      <c r="AI192" s="308"/>
    </row>
    <row r="193" spans="1:35" ht="90" customHeight="1" outlineLevel="1" x14ac:dyDescent="0.2">
      <c r="A193" s="564"/>
      <c r="B193" s="434"/>
      <c r="C193" s="434"/>
      <c r="D193" s="509"/>
      <c r="E193" s="579"/>
      <c r="F193" s="579"/>
      <c r="G193" s="491"/>
      <c r="H193" s="267" t="s">
        <v>522</v>
      </c>
      <c r="I193" s="491"/>
      <c r="J193" s="288" t="s">
        <v>523</v>
      </c>
      <c r="K193" s="288" t="s">
        <v>61</v>
      </c>
      <c r="L193" s="300">
        <v>44593</v>
      </c>
      <c r="M193" s="300">
        <v>44925</v>
      </c>
      <c r="N193" s="300">
        <v>44652</v>
      </c>
      <c r="O193" s="301">
        <f t="shared" si="8"/>
        <v>0.17771084337349397</v>
      </c>
      <c r="P193" s="301">
        <f t="shared" si="7"/>
        <v>0.17771084337349397</v>
      </c>
      <c r="Q193" s="302">
        <v>1</v>
      </c>
      <c r="R193" s="303">
        <v>0.25</v>
      </c>
      <c r="S193" s="303">
        <v>0.5</v>
      </c>
      <c r="T193" s="303">
        <v>0.75</v>
      </c>
      <c r="U193" s="303">
        <v>1</v>
      </c>
      <c r="V193" s="303"/>
      <c r="W193" s="383"/>
      <c r="X193" s="302"/>
      <c r="Y193" s="305"/>
      <c r="Z193" s="306"/>
      <c r="AA193" s="307"/>
      <c r="AB193" s="307"/>
      <c r="AC193" s="306"/>
      <c r="AD193" s="307"/>
      <c r="AE193" s="307"/>
      <c r="AF193" s="306"/>
      <c r="AG193" s="307"/>
      <c r="AH193" s="307"/>
      <c r="AI193" s="308"/>
    </row>
    <row r="194" spans="1:35" ht="90" customHeight="1" outlineLevel="1" x14ac:dyDescent="0.2">
      <c r="A194" s="564"/>
      <c r="B194" s="432" t="s">
        <v>52</v>
      </c>
      <c r="C194" s="432" t="s">
        <v>524</v>
      </c>
      <c r="D194" s="509"/>
      <c r="E194" s="492" t="s">
        <v>525</v>
      </c>
      <c r="F194" s="376" t="s">
        <v>526</v>
      </c>
      <c r="G194" s="267" t="s">
        <v>527</v>
      </c>
      <c r="H194" s="267" t="s">
        <v>528</v>
      </c>
      <c r="I194" s="267" t="s">
        <v>518</v>
      </c>
      <c r="J194" s="12" t="s">
        <v>529</v>
      </c>
      <c r="K194" s="288" t="s">
        <v>61</v>
      </c>
      <c r="L194" s="300">
        <v>44593</v>
      </c>
      <c r="M194" s="300">
        <v>44925</v>
      </c>
      <c r="N194" s="300">
        <v>44652</v>
      </c>
      <c r="O194" s="301">
        <f t="shared" si="8"/>
        <v>0.17771084337349397</v>
      </c>
      <c r="P194" s="301">
        <f t="shared" si="7"/>
        <v>0.17771084337349397</v>
      </c>
      <c r="Q194" s="302">
        <v>1</v>
      </c>
      <c r="R194" s="303">
        <v>1</v>
      </c>
      <c r="S194" s="303">
        <v>1</v>
      </c>
      <c r="T194" s="303">
        <v>1</v>
      </c>
      <c r="U194" s="303">
        <v>1</v>
      </c>
      <c r="V194" s="303"/>
      <c r="W194" s="383"/>
      <c r="X194" s="302"/>
      <c r="Y194" s="305"/>
      <c r="Z194" s="306"/>
      <c r="AA194" s="307"/>
      <c r="AB194" s="307"/>
      <c r="AC194" s="306"/>
      <c r="AD194" s="307"/>
      <c r="AE194" s="307"/>
      <c r="AF194" s="306"/>
      <c r="AG194" s="307"/>
      <c r="AH194" s="307"/>
      <c r="AI194" s="308"/>
    </row>
    <row r="195" spans="1:35" ht="90" customHeight="1" outlineLevel="1" x14ac:dyDescent="0.2">
      <c r="A195" s="564"/>
      <c r="B195" s="433"/>
      <c r="C195" s="433"/>
      <c r="D195" s="509"/>
      <c r="E195" s="492"/>
      <c r="F195" s="378" t="s">
        <v>530</v>
      </c>
      <c r="G195" s="490" t="s">
        <v>527</v>
      </c>
      <c r="H195" s="353" t="s">
        <v>531</v>
      </c>
      <c r="I195" s="353" t="s">
        <v>532</v>
      </c>
      <c r="J195" s="288" t="s">
        <v>470</v>
      </c>
      <c r="K195" s="288" t="s">
        <v>61</v>
      </c>
      <c r="L195" s="300">
        <v>44593</v>
      </c>
      <c r="M195" s="300">
        <v>44925</v>
      </c>
      <c r="N195" s="300">
        <v>44652</v>
      </c>
      <c r="O195" s="301">
        <f t="shared" si="8"/>
        <v>0.17771084337349397</v>
      </c>
      <c r="P195" s="301">
        <f t="shared" si="7"/>
        <v>0.17771084337349397</v>
      </c>
      <c r="Q195" s="302">
        <v>1</v>
      </c>
      <c r="R195" s="303">
        <v>1</v>
      </c>
      <c r="S195" s="303">
        <v>1</v>
      </c>
      <c r="T195" s="303">
        <v>1</v>
      </c>
      <c r="U195" s="303">
        <v>1</v>
      </c>
      <c r="V195" s="303"/>
      <c r="W195" s="383"/>
      <c r="X195" s="302"/>
      <c r="Y195" s="305"/>
      <c r="Z195" s="306"/>
      <c r="AA195" s="307"/>
      <c r="AB195" s="307"/>
      <c r="AC195" s="306"/>
      <c r="AD195" s="307"/>
      <c r="AE195" s="307"/>
      <c r="AF195" s="306"/>
      <c r="AG195" s="307"/>
      <c r="AH195" s="307"/>
      <c r="AI195" s="308"/>
    </row>
    <row r="196" spans="1:35" ht="90" customHeight="1" outlineLevel="1" x14ac:dyDescent="0.2">
      <c r="A196" s="564"/>
      <c r="B196" s="433"/>
      <c r="C196" s="433"/>
      <c r="D196" s="509"/>
      <c r="E196" s="492"/>
      <c r="F196" s="378" t="s">
        <v>533</v>
      </c>
      <c r="G196" s="491"/>
      <c r="H196" s="267" t="s">
        <v>534</v>
      </c>
      <c r="I196" s="267" t="s">
        <v>535</v>
      </c>
      <c r="J196" s="288" t="s">
        <v>536</v>
      </c>
      <c r="K196" s="288" t="s">
        <v>61</v>
      </c>
      <c r="L196" s="300">
        <v>44593</v>
      </c>
      <c r="M196" s="300">
        <v>44925</v>
      </c>
      <c r="N196" s="300">
        <v>44652</v>
      </c>
      <c r="O196" s="301">
        <f t="shared" si="8"/>
        <v>0.17771084337349397</v>
      </c>
      <c r="P196" s="301">
        <f t="shared" si="7"/>
        <v>0.17771084337349397</v>
      </c>
      <c r="Q196" s="302">
        <v>1</v>
      </c>
      <c r="R196" s="303">
        <v>1</v>
      </c>
      <c r="S196" s="303">
        <v>1</v>
      </c>
      <c r="T196" s="303">
        <v>1</v>
      </c>
      <c r="U196" s="303">
        <v>1</v>
      </c>
      <c r="V196" s="303"/>
      <c r="W196" s="383"/>
      <c r="X196" s="302"/>
      <c r="Y196" s="305"/>
      <c r="Z196" s="306"/>
      <c r="AA196" s="307"/>
      <c r="AB196" s="307"/>
      <c r="AC196" s="306"/>
      <c r="AD196" s="307"/>
      <c r="AE196" s="307"/>
      <c r="AF196" s="306"/>
      <c r="AG196" s="307"/>
      <c r="AH196" s="307"/>
      <c r="AI196" s="308"/>
    </row>
    <row r="197" spans="1:35" ht="90" customHeight="1" outlineLevel="1" x14ac:dyDescent="0.2">
      <c r="A197" s="564"/>
      <c r="B197" s="434"/>
      <c r="C197" s="434"/>
      <c r="D197" s="509"/>
      <c r="E197" s="377" t="s">
        <v>537</v>
      </c>
      <c r="F197" s="376" t="s">
        <v>538</v>
      </c>
      <c r="G197" s="352" t="s">
        <v>268</v>
      </c>
      <c r="H197" s="267" t="s">
        <v>539</v>
      </c>
      <c r="I197" s="351" t="s">
        <v>540</v>
      </c>
      <c r="J197" s="288" t="s">
        <v>541</v>
      </c>
      <c r="K197" s="288" t="s">
        <v>61</v>
      </c>
      <c r="L197" s="300">
        <v>44593</v>
      </c>
      <c r="M197" s="300">
        <v>44925</v>
      </c>
      <c r="N197" s="300">
        <v>44652</v>
      </c>
      <c r="O197" s="301">
        <f t="shared" si="8"/>
        <v>0.17771084337349397</v>
      </c>
      <c r="P197" s="301">
        <f t="shared" ref="P197" si="11">+IF(O197&gt;=100,100,IF(O197&lt;=0,0,O197))</f>
        <v>0.17771084337349397</v>
      </c>
      <c r="Q197" s="302">
        <v>0.6</v>
      </c>
      <c r="R197" s="303">
        <v>0.45</v>
      </c>
      <c r="S197" s="303">
        <v>0.5</v>
      </c>
      <c r="T197" s="303">
        <v>0.55000000000000004</v>
      </c>
      <c r="U197" s="303">
        <v>0.6</v>
      </c>
      <c r="V197" s="303"/>
      <c r="W197" s="383"/>
      <c r="X197" s="302"/>
      <c r="Y197" s="305"/>
      <c r="Z197" s="306"/>
      <c r="AA197" s="307"/>
      <c r="AB197" s="307"/>
      <c r="AC197" s="306"/>
      <c r="AD197" s="307"/>
      <c r="AE197" s="307"/>
      <c r="AF197" s="306"/>
      <c r="AG197" s="307"/>
      <c r="AH197" s="307"/>
      <c r="AI197" s="308"/>
    </row>
    <row r="198" spans="1:35" ht="93.75" customHeight="1" outlineLevel="1" x14ac:dyDescent="0.2">
      <c r="A198" s="564"/>
      <c r="B198" s="432" t="s">
        <v>52</v>
      </c>
      <c r="C198" s="432" t="s">
        <v>542</v>
      </c>
      <c r="D198" s="509"/>
      <c r="E198" s="464" t="s">
        <v>98</v>
      </c>
      <c r="F198" s="464" t="s">
        <v>543</v>
      </c>
      <c r="G198" s="487" t="s">
        <v>544</v>
      </c>
      <c r="H198" s="11" t="s">
        <v>545</v>
      </c>
      <c r="I198" s="487" t="s">
        <v>518</v>
      </c>
      <c r="J198" s="288" t="s">
        <v>546</v>
      </c>
      <c r="K198" s="405">
        <v>35002816</v>
      </c>
      <c r="L198" s="300">
        <v>44593</v>
      </c>
      <c r="M198" s="300">
        <v>44925</v>
      </c>
      <c r="N198" s="300">
        <v>44652</v>
      </c>
      <c r="O198" s="301">
        <f t="shared" si="8"/>
        <v>0.17771084337349397</v>
      </c>
      <c r="P198" s="301">
        <f t="shared" si="7"/>
        <v>0.17771084337349397</v>
      </c>
      <c r="Q198" s="302">
        <v>1</v>
      </c>
      <c r="R198" s="303">
        <v>0.25</v>
      </c>
      <c r="S198" s="303">
        <v>0.5</v>
      </c>
      <c r="T198" s="303">
        <v>0.75</v>
      </c>
      <c r="U198" s="303">
        <v>1</v>
      </c>
      <c r="V198" s="303"/>
      <c r="W198" s="383"/>
      <c r="X198" s="302"/>
      <c r="Y198" s="305"/>
      <c r="Z198" s="306"/>
      <c r="AA198" s="307"/>
      <c r="AB198" s="307"/>
      <c r="AC198" s="306"/>
      <c r="AD198" s="307"/>
      <c r="AE198" s="307"/>
      <c r="AF198" s="306"/>
      <c r="AG198" s="307"/>
      <c r="AH198" s="307"/>
      <c r="AI198" s="308"/>
    </row>
    <row r="199" spans="1:35" ht="75" customHeight="1" outlineLevel="1" x14ac:dyDescent="0.2">
      <c r="A199" s="564"/>
      <c r="B199" s="433"/>
      <c r="C199" s="433"/>
      <c r="D199" s="509"/>
      <c r="E199" s="465"/>
      <c r="F199" s="465"/>
      <c r="G199" s="488"/>
      <c r="H199" s="11" t="s">
        <v>547</v>
      </c>
      <c r="I199" s="488"/>
      <c r="J199" s="288" t="s">
        <v>548</v>
      </c>
      <c r="K199" s="405">
        <v>6000000</v>
      </c>
      <c r="L199" s="300">
        <v>44593</v>
      </c>
      <c r="M199" s="300">
        <v>44925</v>
      </c>
      <c r="N199" s="300">
        <v>44652</v>
      </c>
      <c r="O199" s="301">
        <f t="shared" si="8"/>
        <v>0.17771084337349397</v>
      </c>
      <c r="P199" s="301">
        <f t="shared" si="7"/>
        <v>0.17771084337349397</v>
      </c>
      <c r="Q199" s="302">
        <v>1</v>
      </c>
      <c r="R199" s="303">
        <v>0.25</v>
      </c>
      <c r="S199" s="303">
        <v>0.5</v>
      </c>
      <c r="T199" s="303">
        <v>0.75</v>
      </c>
      <c r="U199" s="303">
        <v>1</v>
      </c>
      <c r="V199" s="303"/>
      <c r="W199" s="383"/>
      <c r="X199" s="302"/>
      <c r="Y199" s="305"/>
      <c r="Z199" s="306"/>
      <c r="AA199" s="307"/>
      <c r="AB199" s="307"/>
      <c r="AC199" s="306"/>
      <c r="AD199" s="307"/>
      <c r="AE199" s="307"/>
      <c r="AF199" s="306"/>
      <c r="AG199" s="307"/>
      <c r="AH199" s="307"/>
      <c r="AI199" s="308"/>
    </row>
    <row r="200" spans="1:35" ht="75" customHeight="1" outlineLevel="1" x14ac:dyDescent="0.2">
      <c r="A200" s="564"/>
      <c r="B200" s="433"/>
      <c r="C200" s="433"/>
      <c r="D200" s="509"/>
      <c r="E200" s="465"/>
      <c r="F200" s="465"/>
      <c r="G200" s="489"/>
      <c r="H200" s="11" t="s">
        <v>549</v>
      </c>
      <c r="I200" s="488"/>
      <c r="J200" s="288" t="s">
        <v>550</v>
      </c>
      <c r="K200" s="405">
        <v>13751760</v>
      </c>
      <c r="L200" s="300">
        <v>44593</v>
      </c>
      <c r="M200" s="300">
        <v>44925</v>
      </c>
      <c r="N200" s="300">
        <v>44652</v>
      </c>
      <c r="O200" s="301">
        <f t="shared" si="8"/>
        <v>0.17771084337349397</v>
      </c>
      <c r="P200" s="301">
        <f t="shared" si="7"/>
        <v>0.17771084337349397</v>
      </c>
      <c r="Q200" s="302">
        <v>1</v>
      </c>
      <c r="R200" s="303">
        <v>0.25</v>
      </c>
      <c r="S200" s="303">
        <v>0.5</v>
      </c>
      <c r="T200" s="303">
        <v>0.75</v>
      </c>
      <c r="U200" s="303">
        <v>1</v>
      </c>
      <c r="V200" s="303"/>
      <c r="W200" s="383"/>
      <c r="X200" s="302"/>
      <c r="Y200" s="305"/>
      <c r="Z200" s="306"/>
      <c r="AA200" s="307"/>
      <c r="AB200" s="307"/>
      <c r="AC200" s="306"/>
      <c r="AD200" s="307"/>
      <c r="AE200" s="307"/>
      <c r="AF200" s="306"/>
      <c r="AG200" s="307"/>
      <c r="AH200" s="307"/>
      <c r="AI200" s="308"/>
    </row>
    <row r="201" spans="1:35" ht="46.5" customHeight="1" outlineLevel="1" x14ac:dyDescent="0.2">
      <c r="A201" s="564"/>
      <c r="B201" s="433"/>
      <c r="C201" s="433"/>
      <c r="D201" s="509"/>
      <c r="E201" s="465"/>
      <c r="F201" s="465"/>
      <c r="G201" s="366" t="s">
        <v>551</v>
      </c>
      <c r="H201" s="11" t="s">
        <v>552</v>
      </c>
      <c r="I201" s="488"/>
      <c r="J201" s="288" t="s">
        <v>553</v>
      </c>
      <c r="K201" s="405">
        <v>916700</v>
      </c>
      <c r="L201" s="300">
        <v>44593</v>
      </c>
      <c r="M201" s="300">
        <v>44925</v>
      </c>
      <c r="N201" s="300">
        <v>44652</v>
      </c>
      <c r="O201" s="301">
        <f t="shared" si="8"/>
        <v>0.17771084337349397</v>
      </c>
      <c r="P201" s="301">
        <f t="shared" si="7"/>
        <v>0.17771084337349397</v>
      </c>
      <c r="Q201" s="302">
        <v>1</v>
      </c>
      <c r="R201" s="303">
        <v>0.25</v>
      </c>
      <c r="S201" s="303">
        <v>0.5</v>
      </c>
      <c r="T201" s="303">
        <v>0.75</v>
      </c>
      <c r="U201" s="303">
        <v>1</v>
      </c>
      <c r="V201" s="303"/>
      <c r="W201" s="383"/>
      <c r="X201" s="302"/>
      <c r="Y201" s="305"/>
      <c r="Z201" s="306"/>
      <c r="AA201" s="307"/>
      <c r="AB201" s="307"/>
      <c r="AC201" s="306"/>
      <c r="AD201" s="307"/>
      <c r="AE201" s="307"/>
      <c r="AF201" s="306"/>
      <c r="AG201" s="307"/>
      <c r="AH201" s="307"/>
      <c r="AI201" s="308"/>
    </row>
    <row r="202" spans="1:35" ht="72" customHeight="1" outlineLevel="1" x14ac:dyDescent="0.2">
      <c r="A202" s="564"/>
      <c r="B202" s="433"/>
      <c r="C202" s="433"/>
      <c r="D202" s="509"/>
      <c r="E202" s="465"/>
      <c r="F202" s="465"/>
      <c r="G202" s="367"/>
      <c r="H202" s="11" t="s">
        <v>554</v>
      </c>
      <c r="I202" s="488"/>
      <c r="J202" s="288" t="s">
        <v>555</v>
      </c>
      <c r="K202" s="405">
        <v>1145000</v>
      </c>
      <c r="L202" s="300">
        <v>44593</v>
      </c>
      <c r="M202" s="300">
        <v>44925</v>
      </c>
      <c r="N202" s="300">
        <v>44652</v>
      </c>
      <c r="O202" s="301">
        <f t="shared" si="8"/>
        <v>0.17771084337349397</v>
      </c>
      <c r="P202" s="301">
        <f t="shared" si="7"/>
        <v>0.17771084337349397</v>
      </c>
      <c r="Q202" s="302">
        <v>1</v>
      </c>
      <c r="R202" s="303">
        <v>0.25</v>
      </c>
      <c r="S202" s="303">
        <v>0.5</v>
      </c>
      <c r="T202" s="303">
        <v>0.75</v>
      </c>
      <c r="U202" s="303">
        <v>1</v>
      </c>
      <c r="V202" s="303"/>
      <c r="W202" s="383"/>
      <c r="X202" s="302"/>
      <c r="Y202" s="305"/>
      <c r="Z202" s="306"/>
      <c r="AA202" s="307"/>
      <c r="AB202" s="307"/>
      <c r="AC202" s="306"/>
      <c r="AD202" s="307"/>
      <c r="AE202" s="307"/>
      <c r="AF202" s="306"/>
      <c r="AG202" s="307"/>
      <c r="AH202" s="307"/>
      <c r="AI202" s="308"/>
    </row>
    <row r="203" spans="1:35" ht="72" customHeight="1" outlineLevel="1" x14ac:dyDescent="0.2">
      <c r="A203" s="564"/>
      <c r="B203" s="433"/>
      <c r="C203" s="433"/>
      <c r="D203" s="509"/>
      <c r="E203" s="465"/>
      <c r="F203" s="465"/>
      <c r="G203" s="367"/>
      <c r="H203" s="11" t="s">
        <v>556</v>
      </c>
      <c r="I203" s="488"/>
      <c r="J203" s="288" t="s">
        <v>557</v>
      </c>
      <c r="K203" s="405">
        <v>7167800</v>
      </c>
      <c r="L203" s="300">
        <v>44593</v>
      </c>
      <c r="M203" s="300">
        <v>44925</v>
      </c>
      <c r="N203" s="300">
        <v>44652</v>
      </c>
      <c r="O203" s="301">
        <f t="shared" si="8"/>
        <v>0.17771084337349397</v>
      </c>
      <c r="P203" s="301">
        <f t="shared" si="7"/>
        <v>0.17771084337349397</v>
      </c>
      <c r="Q203" s="302">
        <v>1</v>
      </c>
      <c r="R203" s="303">
        <v>0.25</v>
      </c>
      <c r="S203" s="303">
        <v>0.5</v>
      </c>
      <c r="T203" s="303">
        <v>0.75</v>
      </c>
      <c r="U203" s="303">
        <v>1</v>
      </c>
      <c r="V203" s="303"/>
      <c r="W203" s="383"/>
      <c r="X203" s="302"/>
      <c r="Y203" s="305"/>
      <c r="Z203" s="306"/>
      <c r="AA203" s="307"/>
      <c r="AB203" s="307"/>
      <c r="AC203" s="306"/>
      <c r="AD203" s="307"/>
      <c r="AE203" s="307"/>
      <c r="AF203" s="306"/>
      <c r="AG203" s="307"/>
      <c r="AH203" s="307"/>
      <c r="AI203" s="308"/>
    </row>
    <row r="204" spans="1:35" ht="72" customHeight="1" outlineLevel="1" x14ac:dyDescent="0.2">
      <c r="A204" s="564"/>
      <c r="B204" s="433"/>
      <c r="C204" s="433"/>
      <c r="D204" s="509"/>
      <c r="E204" s="465"/>
      <c r="F204" s="465"/>
      <c r="G204" s="367"/>
      <c r="H204" s="11" t="s">
        <v>558</v>
      </c>
      <c r="I204" s="488"/>
      <c r="J204" s="288" t="s">
        <v>559</v>
      </c>
      <c r="K204" s="405">
        <v>8795000</v>
      </c>
      <c r="L204" s="300">
        <v>44593</v>
      </c>
      <c r="M204" s="300">
        <v>44925</v>
      </c>
      <c r="N204" s="300">
        <v>44652</v>
      </c>
      <c r="O204" s="301">
        <f t="shared" si="8"/>
        <v>0.17771084337349397</v>
      </c>
      <c r="P204" s="301">
        <f t="shared" si="7"/>
        <v>0.17771084337349397</v>
      </c>
      <c r="Q204" s="302">
        <v>1</v>
      </c>
      <c r="R204" s="303">
        <v>0.25</v>
      </c>
      <c r="S204" s="303">
        <v>0.5</v>
      </c>
      <c r="T204" s="303">
        <v>0.75</v>
      </c>
      <c r="U204" s="303">
        <v>1</v>
      </c>
      <c r="V204" s="303"/>
      <c r="W204" s="383"/>
      <c r="X204" s="302"/>
      <c r="Y204" s="305"/>
      <c r="Z204" s="306"/>
      <c r="AA204" s="307"/>
      <c r="AB204" s="307"/>
      <c r="AC204" s="306"/>
      <c r="AD204" s="307"/>
      <c r="AE204" s="307"/>
      <c r="AF204" s="306"/>
      <c r="AG204" s="307"/>
      <c r="AH204" s="307"/>
      <c r="AI204" s="308"/>
    </row>
    <row r="205" spans="1:35" ht="75" customHeight="1" outlineLevel="1" x14ac:dyDescent="0.2">
      <c r="A205" s="564"/>
      <c r="B205" s="433"/>
      <c r="C205" s="433"/>
      <c r="D205" s="509"/>
      <c r="E205" s="465"/>
      <c r="F205" s="465"/>
      <c r="G205" s="367"/>
      <c r="H205" s="11" t="s">
        <v>560</v>
      </c>
      <c r="I205" s="488"/>
      <c r="J205" s="288" t="s">
        <v>561</v>
      </c>
      <c r="K205" s="405">
        <v>8937900</v>
      </c>
      <c r="L205" s="300">
        <v>44593</v>
      </c>
      <c r="M205" s="300">
        <v>44925</v>
      </c>
      <c r="N205" s="300">
        <v>44652</v>
      </c>
      <c r="O205" s="301">
        <f t="shared" si="8"/>
        <v>0.17771084337349397</v>
      </c>
      <c r="P205" s="301">
        <f t="shared" ref="P205:P251" si="12">+IF(O205&gt;=100,100,IF(O205&lt;=0,0,O205))</f>
        <v>0.17771084337349397</v>
      </c>
      <c r="Q205" s="302">
        <v>1</v>
      </c>
      <c r="R205" s="303">
        <v>0.25</v>
      </c>
      <c r="S205" s="303">
        <v>0.5</v>
      </c>
      <c r="T205" s="303">
        <v>0.75</v>
      </c>
      <c r="U205" s="303">
        <v>1</v>
      </c>
      <c r="V205" s="303"/>
      <c r="W205" s="383"/>
      <c r="X205" s="302"/>
      <c r="Y205" s="305"/>
      <c r="Z205" s="306"/>
      <c r="AA205" s="307"/>
      <c r="AB205" s="307"/>
      <c r="AC205" s="306"/>
      <c r="AD205" s="307"/>
      <c r="AE205" s="307"/>
      <c r="AF205" s="306"/>
      <c r="AG205" s="307"/>
      <c r="AH205" s="307"/>
      <c r="AI205" s="308"/>
    </row>
    <row r="206" spans="1:35" ht="46.5" customHeight="1" outlineLevel="1" x14ac:dyDescent="0.2">
      <c r="A206" s="564"/>
      <c r="B206" s="433"/>
      <c r="C206" s="433"/>
      <c r="D206" s="509"/>
      <c r="E206" s="465"/>
      <c r="F206" s="465"/>
      <c r="G206" s="367"/>
      <c r="H206" s="11" t="s">
        <v>562</v>
      </c>
      <c r="I206" s="488"/>
      <c r="J206" s="288" t="s">
        <v>563</v>
      </c>
      <c r="K206" s="405">
        <v>6000000</v>
      </c>
      <c r="L206" s="300">
        <v>44593</v>
      </c>
      <c r="M206" s="300">
        <v>44925</v>
      </c>
      <c r="N206" s="300">
        <v>44652</v>
      </c>
      <c r="O206" s="301">
        <f t="shared" si="8"/>
        <v>0.17771084337349397</v>
      </c>
      <c r="P206" s="301">
        <f t="shared" si="12"/>
        <v>0.17771084337349397</v>
      </c>
      <c r="Q206" s="302">
        <v>1</v>
      </c>
      <c r="R206" s="303">
        <v>0.25</v>
      </c>
      <c r="S206" s="303">
        <v>0.5</v>
      </c>
      <c r="T206" s="303">
        <v>0.75</v>
      </c>
      <c r="U206" s="303">
        <v>1</v>
      </c>
      <c r="V206" s="303"/>
      <c r="W206" s="383"/>
      <c r="X206" s="302"/>
      <c r="Y206" s="305"/>
      <c r="Z206" s="306"/>
      <c r="AA206" s="307"/>
      <c r="AB206" s="307"/>
      <c r="AC206" s="306"/>
      <c r="AD206" s="307"/>
      <c r="AE206" s="307"/>
      <c r="AF206" s="306"/>
      <c r="AG206" s="307"/>
      <c r="AH206" s="307"/>
      <c r="AI206" s="308"/>
    </row>
    <row r="207" spans="1:35" ht="56.25" customHeight="1" outlineLevel="1" x14ac:dyDescent="0.2">
      <c r="A207" s="564"/>
      <c r="B207" s="433"/>
      <c r="C207" s="433"/>
      <c r="D207" s="509"/>
      <c r="E207" s="465"/>
      <c r="F207" s="465"/>
      <c r="G207" s="367"/>
      <c r="H207" s="11" t="s">
        <v>564</v>
      </c>
      <c r="I207" s="488"/>
      <c r="J207" s="288" t="s">
        <v>279</v>
      </c>
      <c r="K207" s="405">
        <v>550000</v>
      </c>
      <c r="L207" s="300">
        <v>44593</v>
      </c>
      <c r="M207" s="300">
        <v>44925</v>
      </c>
      <c r="N207" s="300">
        <v>44652</v>
      </c>
      <c r="O207" s="301">
        <f t="shared" si="8"/>
        <v>0.17771084337349397</v>
      </c>
      <c r="P207" s="301">
        <f t="shared" si="12"/>
        <v>0.17771084337349397</v>
      </c>
      <c r="Q207" s="302">
        <v>1</v>
      </c>
      <c r="R207" s="303">
        <v>0.25</v>
      </c>
      <c r="S207" s="303">
        <v>0.5</v>
      </c>
      <c r="T207" s="303">
        <v>0.75</v>
      </c>
      <c r="U207" s="303">
        <v>1</v>
      </c>
      <c r="V207" s="303"/>
      <c r="W207" s="383"/>
      <c r="X207" s="302"/>
      <c r="Y207" s="305"/>
      <c r="Z207" s="306"/>
      <c r="AA207" s="307"/>
      <c r="AB207" s="307"/>
      <c r="AC207" s="306"/>
      <c r="AD207" s="307"/>
      <c r="AE207" s="307"/>
      <c r="AF207" s="306"/>
      <c r="AG207" s="307"/>
      <c r="AH207" s="307"/>
      <c r="AI207" s="308"/>
    </row>
    <row r="208" spans="1:35" ht="75" customHeight="1" outlineLevel="1" x14ac:dyDescent="0.2">
      <c r="A208" s="564"/>
      <c r="B208" s="433"/>
      <c r="C208" s="433"/>
      <c r="D208" s="509"/>
      <c r="E208" s="465"/>
      <c r="F208" s="465"/>
      <c r="G208" s="367"/>
      <c r="H208" s="11" t="s">
        <v>565</v>
      </c>
      <c r="I208" s="488"/>
      <c r="J208" s="288" t="s">
        <v>553</v>
      </c>
      <c r="K208" s="405">
        <v>401390</v>
      </c>
      <c r="L208" s="300">
        <v>44593</v>
      </c>
      <c r="M208" s="300">
        <v>44925</v>
      </c>
      <c r="N208" s="300">
        <v>44652</v>
      </c>
      <c r="O208" s="301">
        <f t="shared" si="8"/>
        <v>0.17771084337349397</v>
      </c>
      <c r="P208" s="301">
        <f t="shared" si="12"/>
        <v>0.17771084337349397</v>
      </c>
      <c r="Q208" s="302">
        <v>1</v>
      </c>
      <c r="R208" s="303">
        <v>0.25</v>
      </c>
      <c r="S208" s="303">
        <v>0.5</v>
      </c>
      <c r="T208" s="303">
        <v>0.75</v>
      </c>
      <c r="U208" s="303">
        <v>1</v>
      </c>
      <c r="V208" s="303"/>
      <c r="W208" s="383"/>
      <c r="X208" s="302"/>
      <c r="Y208" s="305"/>
      <c r="Z208" s="306"/>
      <c r="AA208" s="307"/>
      <c r="AB208" s="307"/>
      <c r="AC208" s="306"/>
      <c r="AD208" s="307"/>
      <c r="AE208" s="307"/>
      <c r="AF208" s="306"/>
      <c r="AG208" s="307"/>
      <c r="AH208" s="307"/>
      <c r="AI208" s="308"/>
    </row>
    <row r="209" spans="1:35" ht="93.75" customHeight="1" outlineLevel="1" x14ac:dyDescent="0.2">
      <c r="A209" s="564"/>
      <c r="B209" s="433"/>
      <c r="C209" s="433"/>
      <c r="D209" s="509"/>
      <c r="E209" s="465"/>
      <c r="F209" s="465"/>
      <c r="G209" s="367"/>
      <c r="H209" s="11" t="s">
        <v>566</v>
      </c>
      <c r="I209" s="488"/>
      <c r="J209" s="288" t="s">
        <v>567</v>
      </c>
      <c r="K209" s="405">
        <v>3667136</v>
      </c>
      <c r="L209" s="300">
        <v>44593</v>
      </c>
      <c r="M209" s="300">
        <v>44925</v>
      </c>
      <c r="N209" s="300">
        <v>44652</v>
      </c>
      <c r="O209" s="301">
        <f t="shared" si="8"/>
        <v>0.17771084337349397</v>
      </c>
      <c r="P209" s="301">
        <f t="shared" si="12"/>
        <v>0.17771084337349397</v>
      </c>
      <c r="Q209" s="302">
        <v>1</v>
      </c>
      <c r="R209" s="303">
        <v>0.25</v>
      </c>
      <c r="S209" s="303">
        <v>0.5</v>
      </c>
      <c r="T209" s="303">
        <v>0.75</v>
      </c>
      <c r="U209" s="303">
        <v>1</v>
      </c>
      <c r="V209" s="303"/>
      <c r="W209" s="383"/>
      <c r="X209" s="302"/>
      <c r="Y209" s="305"/>
      <c r="Z209" s="306"/>
      <c r="AA209" s="307"/>
      <c r="AB209" s="307"/>
      <c r="AC209" s="306"/>
      <c r="AD209" s="307"/>
      <c r="AE209" s="307"/>
      <c r="AF209" s="306"/>
      <c r="AG209" s="307"/>
      <c r="AH209" s="307"/>
      <c r="AI209" s="308"/>
    </row>
    <row r="210" spans="1:35" ht="56.25" customHeight="1" outlineLevel="1" x14ac:dyDescent="0.2">
      <c r="A210" s="564"/>
      <c r="B210" s="433"/>
      <c r="C210" s="433"/>
      <c r="D210" s="509"/>
      <c r="E210" s="465"/>
      <c r="F210" s="465"/>
      <c r="G210" s="367"/>
      <c r="H210" s="11" t="s">
        <v>568</v>
      </c>
      <c r="I210" s="488"/>
      <c r="J210" s="288" t="s">
        <v>569</v>
      </c>
      <c r="K210" s="405">
        <v>25000000</v>
      </c>
      <c r="L210" s="300">
        <v>44593</v>
      </c>
      <c r="M210" s="300">
        <v>44925</v>
      </c>
      <c r="N210" s="300">
        <v>44652</v>
      </c>
      <c r="O210" s="301">
        <f t="shared" si="8"/>
        <v>0.17771084337349397</v>
      </c>
      <c r="P210" s="301">
        <f t="shared" si="12"/>
        <v>0.17771084337349397</v>
      </c>
      <c r="Q210" s="302">
        <v>1</v>
      </c>
      <c r="R210" s="303">
        <v>0.25</v>
      </c>
      <c r="S210" s="303">
        <v>0.5</v>
      </c>
      <c r="T210" s="303">
        <v>0.75</v>
      </c>
      <c r="U210" s="303">
        <v>1</v>
      </c>
      <c r="V210" s="303"/>
      <c r="W210" s="383"/>
      <c r="X210" s="302"/>
      <c r="Y210" s="305"/>
      <c r="Z210" s="306"/>
      <c r="AA210" s="307"/>
      <c r="AB210" s="307"/>
      <c r="AC210" s="306"/>
      <c r="AD210" s="307"/>
      <c r="AE210" s="307"/>
      <c r="AF210" s="306"/>
      <c r="AG210" s="307"/>
      <c r="AH210" s="307"/>
      <c r="AI210" s="308"/>
    </row>
    <row r="211" spans="1:35" ht="56.25" customHeight="1" outlineLevel="1" x14ac:dyDescent="0.2">
      <c r="A211" s="564"/>
      <c r="B211" s="434"/>
      <c r="C211" s="434"/>
      <c r="D211" s="509"/>
      <c r="E211" s="466"/>
      <c r="F211" s="466"/>
      <c r="G211" s="368"/>
      <c r="H211" s="11" t="s">
        <v>570</v>
      </c>
      <c r="I211" s="489"/>
      <c r="J211" s="288" t="s">
        <v>571</v>
      </c>
      <c r="K211" s="405">
        <v>4200000</v>
      </c>
      <c r="L211" s="300">
        <v>44593</v>
      </c>
      <c r="M211" s="300">
        <v>44925</v>
      </c>
      <c r="N211" s="300">
        <v>44652</v>
      </c>
      <c r="O211" s="301">
        <f t="shared" si="8"/>
        <v>0.17771084337349397</v>
      </c>
      <c r="P211" s="301">
        <f t="shared" si="12"/>
        <v>0.17771084337349397</v>
      </c>
      <c r="Q211" s="302">
        <v>1</v>
      </c>
      <c r="R211" s="303">
        <v>0.25</v>
      </c>
      <c r="S211" s="303">
        <v>0.5</v>
      </c>
      <c r="T211" s="303">
        <v>0.75</v>
      </c>
      <c r="U211" s="303">
        <v>1</v>
      </c>
      <c r="V211" s="303"/>
      <c r="W211" s="383"/>
      <c r="X211" s="302"/>
      <c r="Y211" s="305"/>
      <c r="Z211" s="306"/>
      <c r="AA211" s="307"/>
      <c r="AB211" s="307"/>
      <c r="AC211" s="306"/>
      <c r="AD211" s="307"/>
      <c r="AE211" s="307"/>
      <c r="AF211" s="306"/>
      <c r="AG211" s="307"/>
      <c r="AH211" s="307"/>
      <c r="AI211" s="308"/>
    </row>
    <row r="212" spans="1:35" ht="131.25" customHeight="1" outlineLevel="1" x14ac:dyDescent="0.2">
      <c r="A212" s="564"/>
      <c r="B212" s="432" t="s">
        <v>572</v>
      </c>
      <c r="C212" s="432" t="s">
        <v>573</v>
      </c>
      <c r="D212" s="509"/>
      <c r="E212" s="464" t="s">
        <v>574</v>
      </c>
      <c r="F212" s="464" t="s">
        <v>575</v>
      </c>
      <c r="G212" s="487" t="s">
        <v>576</v>
      </c>
      <c r="H212" s="11" t="s">
        <v>577</v>
      </c>
      <c r="I212" s="487" t="s">
        <v>578</v>
      </c>
      <c r="J212" s="288" t="s">
        <v>579</v>
      </c>
      <c r="K212" s="405">
        <v>7500000</v>
      </c>
      <c r="L212" s="300">
        <v>44593</v>
      </c>
      <c r="M212" s="300">
        <v>44925</v>
      </c>
      <c r="N212" s="300">
        <v>44652</v>
      </c>
      <c r="O212" s="301">
        <f t="shared" si="8"/>
        <v>0.17771084337349397</v>
      </c>
      <c r="P212" s="301">
        <f t="shared" si="12"/>
        <v>0.17771084337349397</v>
      </c>
      <c r="Q212" s="302">
        <v>1</v>
      </c>
      <c r="R212" s="303">
        <v>0.25</v>
      </c>
      <c r="S212" s="303">
        <v>0.5</v>
      </c>
      <c r="T212" s="303">
        <v>0.75</v>
      </c>
      <c r="U212" s="303">
        <v>1</v>
      </c>
      <c r="V212" s="303"/>
      <c r="W212" s="383"/>
      <c r="X212" s="302"/>
      <c r="Y212" s="305"/>
      <c r="Z212" s="306"/>
      <c r="AA212" s="307"/>
      <c r="AB212" s="307"/>
      <c r="AC212" s="306"/>
      <c r="AD212" s="307"/>
      <c r="AE212" s="307"/>
      <c r="AF212" s="306"/>
      <c r="AG212" s="307"/>
      <c r="AH212" s="307"/>
      <c r="AI212" s="308"/>
    </row>
    <row r="213" spans="1:35" ht="46.5" customHeight="1" outlineLevel="1" x14ac:dyDescent="0.2">
      <c r="A213" s="564"/>
      <c r="B213" s="433"/>
      <c r="C213" s="433"/>
      <c r="D213" s="509"/>
      <c r="E213" s="465"/>
      <c r="F213" s="465"/>
      <c r="G213" s="488"/>
      <c r="H213" s="11" t="s">
        <v>580</v>
      </c>
      <c r="I213" s="488"/>
      <c r="J213" s="288" t="s">
        <v>581</v>
      </c>
      <c r="K213" s="405">
        <v>10256910</v>
      </c>
      <c r="L213" s="300">
        <v>44593</v>
      </c>
      <c r="M213" s="300">
        <v>44925</v>
      </c>
      <c r="N213" s="300">
        <v>44652</v>
      </c>
      <c r="O213" s="301">
        <f t="shared" si="8"/>
        <v>0.17771084337349397</v>
      </c>
      <c r="P213" s="301">
        <f t="shared" si="12"/>
        <v>0.17771084337349397</v>
      </c>
      <c r="Q213" s="302">
        <v>1</v>
      </c>
      <c r="R213" s="303">
        <v>0.25</v>
      </c>
      <c r="S213" s="303">
        <v>0.5</v>
      </c>
      <c r="T213" s="303">
        <v>0.75</v>
      </c>
      <c r="U213" s="303">
        <v>1</v>
      </c>
      <c r="V213" s="303"/>
      <c r="W213" s="383"/>
      <c r="X213" s="302"/>
      <c r="Y213" s="305"/>
      <c r="Z213" s="306"/>
      <c r="AA213" s="307"/>
      <c r="AB213" s="307"/>
      <c r="AC213" s="306"/>
      <c r="AD213" s="307"/>
      <c r="AE213" s="307"/>
      <c r="AF213" s="306"/>
      <c r="AG213" s="307"/>
      <c r="AH213" s="307"/>
      <c r="AI213" s="308"/>
    </row>
    <row r="214" spans="1:35" ht="56.25" customHeight="1" outlineLevel="1" x14ac:dyDescent="0.2">
      <c r="A214" s="564"/>
      <c r="B214" s="433"/>
      <c r="C214" s="433"/>
      <c r="D214" s="509"/>
      <c r="E214" s="465"/>
      <c r="F214" s="465"/>
      <c r="G214" s="488"/>
      <c r="H214" s="11" t="s">
        <v>582</v>
      </c>
      <c r="I214" s="488"/>
      <c r="J214" s="288" t="s">
        <v>583</v>
      </c>
      <c r="K214" s="405">
        <v>1188000</v>
      </c>
      <c r="L214" s="300">
        <v>44593</v>
      </c>
      <c r="M214" s="300">
        <v>44925</v>
      </c>
      <c r="N214" s="300">
        <v>44652</v>
      </c>
      <c r="O214" s="301">
        <f t="shared" si="8"/>
        <v>0.17771084337349397</v>
      </c>
      <c r="P214" s="301">
        <f t="shared" si="12"/>
        <v>0.17771084337349397</v>
      </c>
      <c r="Q214" s="302">
        <v>1</v>
      </c>
      <c r="R214" s="303">
        <v>0.25</v>
      </c>
      <c r="S214" s="303">
        <v>0.5</v>
      </c>
      <c r="T214" s="303">
        <v>0.75</v>
      </c>
      <c r="U214" s="303">
        <v>1</v>
      </c>
      <c r="V214" s="303"/>
      <c r="W214" s="383"/>
      <c r="X214" s="302"/>
      <c r="Y214" s="305"/>
      <c r="Z214" s="306"/>
      <c r="AA214" s="307"/>
      <c r="AB214" s="307"/>
      <c r="AC214" s="306"/>
      <c r="AD214" s="307"/>
      <c r="AE214" s="307"/>
      <c r="AF214" s="306"/>
      <c r="AG214" s="307"/>
      <c r="AH214" s="307"/>
      <c r="AI214" s="308"/>
    </row>
    <row r="215" spans="1:35" ht="112.5" customHeight="1" outlineLevel="1" x14ac:dyDescent="0.2">
      <c r="A215" s="564"/>
      <c r="B215" s="433"/>
      <c r="C215" s="433"/>
      <c r="D215" s="509"/>
      <c r="E215" s="465"/>
      <c r="F215" s="465"/>
      <c r="G215" s="488"/>
      <c r="H215" s="11" t="s">
        <v>584</v>
      </c>
      <c r="I215" s="488"/>
      <c r="J215" s="288" t="s">
        <v>585</v>
      </c>
      <c r="K215" s="405">
        <v>30200000</v>
      </c>
      <c r="L215" s="300">
        <v>44593</v>
      </c>
      <c r="M215" s="300">
        <v>44925</v>
      </c>
      <c r="N215" s="300">
        <v>44652</v>
      </c>
      <c r="O215" s="301">
        <f t="shared" si="8"/>
        <v>0.17771084337349397</v>
      </c>
      <c r="P215" s="301">
        <f t="shared" si="12"/>
        <v>0.17771084337349397</v>
      </c>
      <c r="Q215" s="302">
        <v>1</v>
      </c>
      <c r="R215" s="303">
        <v>0.25</v>
      </c>
      <c r="S215" s="303">
        <v>0.5</v>
      </c>
      <c r="T215" s="303">
        <v>0.75</v>
      </c>
      <c r="U215" s="303">
        <v>1</v>
      </c>
      <c r="V215" s="303"/>
      <c r="W215" s="383"/>
      <c r="X215" s="302"/>
      <c r="Y215" s="305"/>
      <c r="Z215" s="306"/>
      <c r="AA215" s="307"/>
      <c r="AB215" s="307"/>
      <c r="AC215" s="306"/>
      <c r="AD215" s="307"/>
      <c r="AE215" s="307"/>
      <c r="AF215" s="306"/>
      <c r="AG215" s="307"/>
      <c r="AH215" s="307"/>
      <c r="AI215" s="308"/>
    </row>
    <row r="216" spans="1:35" ht="56.25" customHeight="1" outlineLevel="1" x14ac:dyDescent="0.2">
      <c r="A216" s="564"/>
      <c r="B216" s="433"/>
      <c r="C216" s="433"/>
      <c r="D216" s="509"/>
      <c r="E216" s="465"/>
      <c r="F216" s="465"/>
      <c r="G216" s="488"/>
      <c r="H216" s="11" t="s">
        <v>586</v>
      </c>
      <c r="I216" s="488"/>
      <c r="J216" s="288" t="s">
        <v>587</v>
      </c>
      <c r="K216" s="405">
        <v>94870000</v>
      </c>
      <c r="L216" s="300">
        <v>44593</v>
      </c>
      <c r="M216" s="300">
        <v>44925</v>
      </c>
      <c r="N216" s="300">
        <v>44652</v>
      </c>
      <c r="O216" s="301">
        <f t="shared" si="8"/>
        <v>0.17771084337349397</v>
      </c>
      <c r="P216" s="301">
        <f t="shared" si="12"/>
        <v>0.17771084337349397</v>
      </c>
      <c r="Q216" s="302">
        <v>1</v>
      </c>
      <c r="R216" s="303">
        <v>0.25</v>
      </c>
      <c r="S216" s="303">
        <v>0.5</v>
      </c>
      <c r="T216" s="303">
        <v>0.75</v>
      </c>
      <c r="U216" s="303">
        <v>1</v>
      </c>
      <c r="V216" s="303"/>
      <c r="W216" s="383"/>
      <c r="X216" s="302"/>
      <c r="Y216" s="305"/>
      <c r="Z216" s="306"/>
      <c r="AA216" s="307"/>
      <c r="AB216" s="307"/>
      <c r="AC216" s="306"/>
      <c r="AD216" s="307"/>
      <c r="AE216" s="307"/>
      <c r="AF216" s="306"/>
      <c r="AG216" s="307"/>
      <c r="AH216" s="307"/>
      <c r="AI216" s="308"/>
    </row>
    <row r="217" spans="1:35" ht="56.25" customHeight="1" outlineLevel="1" x14ac:dyDescent="0.2">
      <c r="A217" s="564"/>
      <c r="B217" s="433"/>
      <c r="C217" s="433"/>
      <c r="D217" s="509"/>
      <c r="E217" s="465"/>
      <c r="F217" s="465"/>
      <c r="G217" s="488"/>
      <c r="H217" s="11" t="s">
        <v>588</v>
      </c>
      <c r="I217" s="488"/>
      <c r="J217" s="288" t="s">
        <v>589</v>
      </c>
      <c r="K217" s="405">
        <v>14896000</v>
      </c>
      <c r="L217" s="300">
        <v>44593</v>
      </c>
      <c r="M217" s="300">
        <v>44925</v>
      </c>
      <c r="N217" s="300">
        <v>44652</v>
      </c>
      <c r="O217" s="301">
        <f t="shared" si="8"/>
        <v>0.17771084337349397</v>
      </c>
      <c r="P217" s="301">
        <f t="shared" si="12"/>
        <v>0.17771084337349397</v>
      </c>
      <c r="Q217" s="302">
        <v>1</v>
      </c>
      <c r="R217" s="303">
        <v>0.25</v>
      </c>
      <c r="S217" s="303">
        <v>0.5</v>
      </c>
      <c r="T217" s="303">
        <v>0.75</v>
      </c>
      <c r="U217" s="303">
        <v>1</v>
      </c>
      <c r="V217" s="303"/>
      <c r="W217" s="383"/>
      <c r="X217" s="302"/>
      <c r="Y217" s="305"/>
      <c r="Z217" s="306"/>
      <c r="AA217" s="307"/>
      <c r="AB217" s="307"/>
      <c r="AC217" s="306"/>
      <c r="AD217" s="307"/>
      <c r="AE217" s="307"/>
      <c r="AF217" s="306"/>
      <c r="AG217" s="307"/>
      <c r="AH217" s="307"/>
      <c r="AI217" s="308"/>
    </row>
    <row r="218" spans="1:35" ht="56.25" customHeight="1" outlineLevel="1" x14ac:dyDescent="0.2">
      <c r="A218" s="564"/>
      <c r="B218" s="433"/>
      <c r="C218" s="433"/>
      <c r="D218" s="509"/>
      <c r="E218" s="465"/>
      <c r="F218" s="465"/>
      <c r="G218" s="488"/>
      <c r="H218" s="11" t="s">
        <v>590</v>
      </c>
      <c r="I218" s="488"/>
      <c r="J218" s="288" t="s">
        <v>591</v>
      </c>
      <c r="K218" s="405">
        <v>45786000</v>
      </c>
      <c r="L218" s="300">
        <v>44593</v>
      </c>
      <c r="M218" s="300">
        <v>44925</v>
      </c>
      <c r="N218" s="300">
        <v>44652</v>
      </c>
      <c r="O218" s="301">
        <f t="shared" si="8"/>
        <v>0.17771084337349397</v>
      </c>
      <c r="P218" s="301">
        <f t="shared" si="12"/>
        <v>0.17771084337349397</v>
      </c>
      <c r="Q218" s="302">
        <v>1</v>
      </c>
      <c r="R218" s="303">
        <v>0.25</v>
      </c>
      <c r="S218" s="303">
        <v>0.5</v>
      </c>
      <c r="T218" s="303">
        <v>0.75</v>
      </c>
      <c r="U218" s="303">
        <v>1</v>
      </c>
      <c r="V218" s="303"/>
      <c r="W218" s="383"/>
      <c r="X218" s="302"/>
      <c r="Y218" s="305"/>
      <c r="Z218" s="306"/>
      <c r="AA218" s="307"/>
      <c r="AB218" s="307"/>
      <c r="AC218" s="306"/>
      <c r="AD218" s="307"/>
      <c r="AE218" s="307"/>
      <c r="AF218" s="306"/>
      <c r="AG218" s="307"/>
      <c r="AH218" s="307"/>
      <c r="AI218" s="308"/>
    </row>
    <row r="219" spans="1:35" ht="46.5" customHeight="1" outlineLevel="1" x14ac:dyDescent="0.2">
      <c r="A219" s="564"/>
      <c r="B219" s="433"/>
      <c r="C219" s="433"/>
      <c r="D219" s="509"/>
      <c r="E219" s="465"/>
      <c r="F219" s="465"/>
      <c r="G219" s="488"/>
      <c r="H219" s="11" t="s">
        <v>592</v>
      </c>
      <c r="I219" s="488"/>
      <c r="J219" s="288" t="s">
        <v>593</v>
      </c>
      <c r="K219" s="405">
        <v>5729900</v>
      </c>
      <c r="L219" s="300">
        <v>44593</v>
      </c>
      <c r="M219" s="300">
        <v>44925</v>
      </c>
      <c r="N219" s="300">
        <v>44652</v>
      </c>
      <c r="O219" s="301">
        <f t="shared" si="8"/>
        <v>0.17771084337349397</v>
      </c>
      <c r="P219" s="301">
        <f t="shared" si="12"/>
        <v>0.17771084337349397</v>
      </c>
      <c r="Q219" s="302">
        <v>1</v>
      </c>
      <c r="R219" s="303">
        <v>0.25</v>
      </c>
      <c r="S219" s="303">
        <v>0.5</v>
      </c>
      <c r="T219" s="303">
        <v>0.75</v>
      </c>
      <c r="U219" s="303">
        <v>1</v>
      </c>
      <c r="V219" s="303"/>
      <c r="W219" s="383"/>
      <c r="X219" s="302"/>
      <c r="Y219" s="305"/>
      <c r="Z219" s="306"/>
      <c r="AA219" s="307"/>
      <c r="AB219" s="307"/>
      <c r="AC219" s="306"/>
      <c r="AD219" s="307"/>
      <c r="AE219" s="307"/>
      <c r="AF219" s="306"/>
      <c r="AG219" s="307"/>
      <c r="AH219" s="307"/>
      <c r="AI219" s="308"/>
    </row>
    <row r="220" spans="1:35" ht="46.5" customHeight="1" outlineLevel="1" x14ac:dyDescent="0.2">
      <c r="A220" s="564"/>
      <c r="B220" s="434"/>
      <c r="C220" s="434"/>
      <c r="D220" s="523"/>
      <c r="E220" s="466"/>
      <c r="F220" s="466"/>
      <c r="G220" s="489"/>
      <c r="H220" s="11" t="s">
        <v>594</v>
      </c>
      <c r="I220" s="489"/>
      <c r="J220" s="288" t="s">
        <v>595</v>
      </c>
      <c r="K220" s="405">
        <v>1146000</v>
      </c>
      <c r="L220" s="300">
        <v>44593</v>
      </c>
      <c r="M220" s="300">
        <v>44925</v>
      </c>
      <c r="N220" s="300">
        <v>44652</v>
      </c>
      <c r="O220" s="301">
        <f t="shared" si="8"/>
        <v>0.17771084337349397</v>
      </c>
      <c r="P220" s="301">
        <f t="shared" si="12"/>
        <v>0.17771084337349397</v>
      </c>
      <c r="Q220" s="302">
        <v>1</v>
      </c>
      <c r="R220" s="303">
        <v>0.25</v>
      </c>
      <c r="S220" s="303">
        <v>0.5</v>
      </c>
      <c r="T220" s="303">
        <v>0.75</v>
      </c>
      <c r="U220" s="303">
        <v>1</v>
      </c>
      <c r="V220" s="303"/>
      <c r="W220" s="383"/>
      <c r="X220" s="302"/>
      <c r="Y220" s="305"/>
      <c r="Z220" s="306"/>
      <c r="AA220" s="307"/>
      <c r="AB220" s="307"/>
      <c r="AC220" s="306"/>
      <c r="AD220" s="307"/>
      <c r="AE220" s="307"/>
      <c r="AF220" s="306"/>
      <c r="AG220" s="307"/>
      <c r="AH220" s="307"/>
      <c r="AI220" s="308"/>
    </row>
    <row r="221" spans="1:35" ht="59.25" customHeight="1" outlineLevel="1" x14ac:dyDescent="0.2">
      <c r="A221" s="564"/>
      <c r="B221" s="498" t="s">
        <v>52</v>
      </c>
      <c r="C221" s="498" t="s">
        <v>596</v>
      </c>
      <c r="D221" s="565" t="s">
        <v>2</v>
      </c>
      <c r="E221" s="628" t="s">
        <v>597</v>
      </c>
      <c r="F221" s="628" t="s">
        <v>598</v>
      </c>
      <c r="G221" s="354" t="s">
        <v>378</v>
      </c>
      <c r="H221" s="354" t="s">
        <v>599</v>
      </c>
      <c r="I221" s="545" t="s">
        <v>600</v>
      </c>
      <c r="J221" s="294" t="s">
        <v>163</v>
      </c>
      <c r="K221" s="399">
        <v>366000000</v>
      </c>
      <c r="L221" s="300">
        <v>44593</v>
      </c>
      <c r="M221" s="300">
        <v>44925</v>
      </c>
      <c r="N221" s="300">
        <v>44652</v>
      </c>
      <c r="O221" s="301">
        <f t="shared" si="8"/>
        <v>0.17771084337349397</v>
      </c>
      <c r="P221" s="301">
        <f t="shared" si="12"/>
        <v>0.17771084337349397</v>
      </c>
      <c r="Q221" s="302">
        <v>1</v>
      </c>
      <c r="R221" s="303">
        <v>0.25</v>
      </c>
      <c r="S221" s="303">
        <v>0.5</v>
      </c>
      <c r="T221" s="303">
        <v>0.75</v>
      </c>
      <c r="U221" s="303">
        <v>1</v>
      </c>
      <c r="V221" s="303"/>
      <c r="W221" s="383"/>
      <c r="X221" s="302"/>
      <c r="Y221" s="305"/>
      <c r="Z221" s="306"/>
      <c r="AA221" s="307"/>
      <c r="AB221" s="307"/>
      <c r="AC221" s="306"/>
      <c r="AD221" s="307"/>
      <c r="AE221" s="307"/>
      <c r="AF221" s="306"/>
      <c r="AG221" s="307"/>
      <c r="AH221" s="307"/>
      <c r="AI221" s="308"/>
    </row>
    <row r="222" spans="1:35" ht="72" customHeight="1" outlineLevel="1" x14ac:dyDescent="0.2">
      <c r="A222" s="564"/>
      <c r="B222" s="498"/>
      <c r="C222" s="498"/>
      <c r="D222" s="565"/>
      <c r="E222" s="629"/>
      <c r="F222" s="629"/>
      <c r="G222" s="354" t="s">
        <v>378</v>
      </c>
      <c r="H222" s="354" t="s">
        <v>601</v>
      </c>
      <c r="I222" s="546"/>
      <c r="J222" s="288" t="s">
        <v>602</v>
      </c>
      <c r="K222" s="399">
        <v>16000000</v>
      </c>
      <c r="L222" s="300">
        <v>44593</v>
      </c>
      <c r="M222" s="300">
        <v>44925</v>
      </c>
      <c r="N222" s="300">
        <v>44652</v>
      </c>
      <c r="O222" s="301">
        <f t="shared" si="8"/>
        <v>0.17771084337349397</v>
      </c>
      <c r="P222" s="301">
        <f t="shared" si="12"/>
        <v>0.17771084337349397</v>
      </c>
      <c r="Q222" s="302">
        <v>1</v>
      </c>
      <c r="R222" s="303">
        <v>0.25</v>
      </c>
      <c r="S222" s="303">
        <v>0.5</v>
      </c>
      <c r="T222" s="303">
        <v>0.75</v>
      </c>
      <c r="U222" s="303">
        <v>1</v>
      </c>
      <c r="V222" s="303"/>
      <c r="W222" s="383"/>
      <c r="X222" s="302"/>
      <c r="Y222" s="305"/>
      <c r="Z222" s="306"/>
      <c r="AA222" s="307"/>
      <c r="AB222" s="307"/>
      <c r="AC222" s="306"/>
      <c r="AD222" s="307"/>
      <c r="AE222" s="307"/>
      <c r="AF222" s="306"/>
      <c r="AG222" s="307"/>
      <c r="AH222" s="307"/>
      <c r="AI222" s="308"/>
    </row>
    <row r="223" spans="1:35" ht="56.25" customHeight="1" outlineLevel="1" x14ac:dyDescent="0.2">
      <c r="A223" s="564"/>
      <c r="B223" s="498"/>
      <c r="C223" s="498"/>
      <c r="D223" s="565"/>
      <c r="E223" s="629"/>
      <c r="F223" s="629"/>
      <c r="G223" s="354" t="s">
        <v>378</v>
      </c>
      <c r="H223" s="354" t="s">
        <v>603</v>
      </c>
      <c r="I223" s="546"/>
      <c r="J223" s="288" t="s">
        <v>602</v>
      </c>
      <c r="K223" s="399">
        <v>19000000</v>
      </c>
      <c r="L223" s="300">
        <v>44593</v>
      </c>
      <c r="M223" s="300">
        <v>44925</v>
      </c>
      <c r="N223" s="300">
        <v>44652</v>
      </c>
      <c r="O223" s="301">
        <f t="shared" si="8"/>
        <v>0.17771084337349397</v>
      </c>
      <c r="P223" s="301">
        <f t="shared" si="12"/>
        <v>0.17771084337349397</v>
      </c>
      <c r="Q223" s="302">
        <v>1</v>
      </c>
      <c r="R223" s="303">
        <v>0.25</v>
      </c>
      <c r="S223" s="303">
        <v>0.5</v>
      </c>
      <c r="T223" s="303">
        <v>0.75</v>
      </c>
      <c r="U223" s="303">
        <v>1</v>
      </c>
      <c r="V223" s="303"/>
      <c r="W223" s="383"/>
      <c r="X223" s="302"/>
      <c r="Y223" s="305"/>
      <c r="Z223" s="306"/>
      <c r="AA223" s="307"/>
      <c r="AB223" s="307"/>
      <c r="AC223" s="306"/>
      <c r="AD223" s="307"/>
      <c r="AE223" s="307"/>
      <c r="AF223" s="306"/>
      <c r="AG223" s="307"/>
      <c r="AH223" s="307"/>
      <c r="AI223" s="308"/>
    </row>
    <row r="224" spans="1:35" ht="56.25" customHeight="1" outlineLevel="1" x14ac:dyDescent="0.2">
      <c r="A224" s="564"/>
      <c r="B224" s="498"/>
      <c r="C224" s="498"/>
      <c r="D224" s="565"/>
      <c r="E224" s="629"/>
      <c r="F224" s="629"/>
      <c r="G224" s="354" t="s">
        <v>378</v>
      </c>
      <c r="H224" s="354" t="s">
        <v>604</v>
      </c>
      <c r="I224" s="546"/>
      <c r="J224" s="288" t="s">
        <v>602</v>
      </c>
      <c r="K224" s="399">
        <v>19000000</v>
      </c>
      <c r="L224" s="300">
        <v>44593</v>
      </c>
      <c r="M224" s="300">
        <v>44925</v>
      </c>
      <c r="N224" s="300">
        <v>44652</v>
      </c>
      <c r="O224" s="301">
        <f t="shared" si="8"/>
        <v>0.17771084337349397</v>
      </c>
      <c r="P224" s="301">
        <f t="shared" si="12"/>
        <v>0.17771084337349397</v>
      </c>
      <c r="Q224" s="302">
        <v>1</v>
      </c>
      <c r="R224" s="303">
        <v>0.25</v>
      </c>
      <c r="S224" s="303">
        <v>0.5</v>
      </c>
      <c r="T224" s="303">
        <v>0.75</v>
      </c>
      <c r="U224" s="303">
        <v>1</v>
      </c>
      <c r="V224" s="303"/>
      <c r="W224" s="383"/>
      <c r="X224" s="302"/>
      <c r="Y224" s="305"/>
      <c r="Z224" s="306"/>
      <c r="AA224" s="307"/>
      <c r="AB224" s="307"/>
      <c r="AC224" s="306"/>
      <c r="AD224" s="307"/>
      <c r="AE224" s="307"/>
      <c r="AF224" s="306"/>
      <c r="AG224" s="307"/>
      <c r="AH224" s="307"/>
      <c r="AI224" s="308"/>
    </row>
    <row r="225" spans="1:35" ht="46.5" customHeight="1" outlineLevel="1" x14ac:dyDescent="0.2">
      <c r="A225" s="564"/>
      <c r="B225" s="498"/>
      <c r="C225" s="498"/>
      <c r="D225" s="565"/>
      <c r="E225" s="629"/>
      <c r="F225" s="629"/>
      <c r="G225" s="354" t="s">
        <v>378</v>
      </c>
      <c r="H225" s="354" t="s">
        <v>605</v>
      </c>
      <c r="I225" s="546"/>
      <c r="J225" s="288" t="s">
        <v>602</v>
      </c>
      <c r="K225" s="399">
        <v>21000000</v>
      </c>
      <c r="L225" s="300">
        <v>44593</v>
      </c>
      <c r="M225" s="300">
        <v>44925</v>
      </c>
      <c r="N225" s="300">
        <v>44652</v>
      </c>
      <c r="O225" s="301">
        <f t="shared" si="8"/>
        <v>0.17771084337349397</v>
      </c>
      <c r="P225" s="301">
        <f t="shared" si="12"/>
        <v>0.17771084337349397</v>
      </c>
      <c r="Q225" s="302">
        <v>1</v>
      </c>
      <c r="R225" s="303">
        <v>0.25</v>
      </c>
      <c r="S225" s="303">
        <v>0.5</v>
      </c>
      <c r="T225" s="303">
        <v>0.75</v>
      </c>
      <c r="U225" s="303">
        <v>1</v>
      </c>
      <c r="V225" s="303"/>
      <c r="W225" s="383"/>
      <c r="X225" s="302"/>
      <c r="Y225" s="305"/>
      <c r="Z225" s="306"/>
      <c r="AA225" s="307"/>
      <c r="AB225" s="307"/>
      <c r="AC225" s="306"/>
      <c r="AD225" s="307"/>
      <c r="AE225" s="307"/>
      <c r="AF225" s="306"/>
      <c r="AG225" s="307"/>
      <c r="AH225" s="307"/>
      <c r="AI225" s="308"/>
    </row>
    <row r="226" spans="1:35" ht="46.5" customHeight="1" outlineLevel="1" x14ac:dyDescent="0.2">
      <c r="A226" s="564"/>
      <c r="B226" s="498"/>
      <c r="C226" s="498"/>
      <c r="D226" s="565"/>
      <c r="E226" s="629"/>
      <c r="F226" s="629"/>
      <c r="G226" s="354" t="s">
        <v>378</v>
      </c>
      <c r="H226" s="354" t="s">
        <v>606</v>
      </c>
      <c r="I226" s="546"/>
      <c r="J226" s="288" t="s">
        <v>602</v>
      </c>
      <c r="K226" s="399">
        <v>53000000</v>
      </c>
      <c r="L226" s="300">
        <v>44593</v>
      </c>
      <c r="M226" s="300">
        <v>44925</v>
      </c>
      <c r="N226" s="300">
        <v>44652</v>
      </c>
      <c r="O226" s="301">
        <f t="shared" si="8"/>
        <v>0.17771084337349397</v>
      </c>
      <c r="P226" s="301">
        <f t="shared" si="12"/>
        <v>0.17771084337349397</v>
      </c>
      <c r="Q226" s="302">
        <v>1</v>
      </c>
      <c r="R226" s="303">
        <v>0.25</v>
      </c>
      <c r="S226" s="303">
        <v>0.5</v>
      </c>
      <c r="T226" s="303">
        <v>0.75</v>
      </c>
      <c r="U226" s="303">
        <v>1</v>
      </c>
      <c r="V226" s="303"/>
      <c r="W226" s="383"/>
      <c r="X226" s="302"/>
      <c r="Y226" s="305"/>
      <c r="Z226" s="306"/>
      <c r="AA226" s="307"/>
      <c r="AB226" s="307"/>
      <c r="AC226" s="306"/>
      <c r="AD226" s="307"/>
      <c r="AE226" s="307"/>
      <c r="AF226" s="306"/>
      <c r="AG226" s="307"/>
      <c r="AH226" s="307"/>
      <c r="AI226" s="308"/>
    </row>
    <row r="227" spans="1:35" ht="46.5" customHeight="1" outlineLevel="1" x14ac:dyDescent="0.2">
      <c r="A227" s="564"/>
      <c r="B227" s="498"/>
      <c r="C227" s="498"/>
      <c r="D227" s="565"/>
      <c r="E227" s="629"/>
      <c r="F227" s="629"/>
      <c r="G227" s="354" t="s">
        <v>378</v>
      </c>
      <c r="H227" s="354" t="s">
        <v>607</v>
      </c>
      <c r="I227" s="546"/>
      <c r="J227" s="288" t="s">
        <v>602</v>
      </c>
      <c r="K227" s="399">
        <v>35000000</v>
      </c>
      <c r="L227" s="300">
        <v>44593</v>
      </c>
      <c r="M227" s="300">
        <v>44925</v>
      </c>
      <c r="N227" s="300">
        <v>44652</v>
      </c>
      <c r="O227" s="301">
        <f t="shared" si="8"/>
        <v>0.17771084337349397</v>
      </c>
      <c r="P227" s="301">
        <f t="shared" si="12"/>
        <v>0.17771084337349397</v>
      </c>
      <c r="Q227" s="302">
        <v>1</v>
      </c>
      <c r="R227" s="303">
        <v>0.25</v>
      </c>
      <c r="S227" s="303">
        <v>0.5</v>
      </c>
      <c r="T227" s="303">
        <v>0.75</v>
      </c>
      <c r="U227" s="303">
        <v>1</v>
      </c>
      <c r="V227" s="303"/>
      <c r="W227" s="383"/>
      <c r="X227" s="302"/>
      <c r="Y227" s="305"/>
      <c r="Z227" s="306"/>
      <c r="AA227" s="307"/>
      <c r="AB227" s="307"/>
      <c r="AC227" s="306"/>
      <c r="AD227" s="307"/>
      <c r="AE227" s="307"/>
      <c r="AF227" s="306"/>
      <c r="AG227" s="307"/>
      <c r="AH227" s="307"/>
      <c r="AI227" s="308"/>
    </row>
    <row r="228" spans="1:35" ht="46.5" customHeight="1" outlineLevel="1" x14ac:dyDescent="0.2">
      <c r="A228" s="564"/>
      <c r="B228" s="498"/>
      <c r="C228" s="498"/>
      <c r="D228" s="565"/>
      <c r="E228" s="629"/>
      <c r="F228" s="629"/>
      <c r="G228" s="354" t="s">
        <v>378</v>
      </c>
      <c r="H228" s="354" t="s">
        <v>608</v>
      </c>
      <c r="I228" s="546"/>
      <c r="J228" s="288" t="s">
        <v>602</v>
      </c>
      <c r="K228" s="399">
        <v>25000000</v>
      </c>
      <c r="L228" s="300">
        <v>44593</v>
      </c>
      <c r="M228" s="300">
        <v>44925</v>
      </c>
      <c r="N228" s="300">
        <v>44652</v>
      </c>
      <c r="O228" s="301">
        <f t="shared" si="8"/>
        <v>0.17771084337349397</v>
      </c>
      <c r="P228" s="301">
        <f t="shared" si="12"/>
        <v>0.17771084337349397</v>
      </c>
      <c r="Q228" s="302">
        <v>1</v>
      </c>
      <c r="R228" s="303">
        <v>0.25</v>
      </c>
      <c r="S228" s="303">
        <v>0.5</v>
      </c>
      <c r="T228" s="303">
        <v>0.75</v>
      </c>
      <c r="U228" s="303">
        <v>1</v>
      </c>
      <c r="V228" s="303"/>
      <c r="W228" s="383"/>
      <c r="X228" s="302"/>
      <c r="Y228" s="305"/>
      <c r="Z228" s="306"/>
      <c r="AA228" s="307"/>
      <c r="AB228" s="307"/>
      <c r="AC228" s="306"/>
      <c r="AD228" s="307"/>
      <c r="AE228" s="307"/>
      <c r="AF228" s="306"/>
      <c r="AG228" s="307"/>
      <c r="AH228" s="307"/>
      <c r="AI228" s="308"/>
    </row>
    <row r="229" spans="1:35" ht="56.25" customHeight="1" outlineLevel="1" x14ac:dyDescent="0.2">
      <c r="A229" s="564"/>
      <c r="B229" s="498"/>
      <c r="C229" s="498"/>
      <c r="D229" s="565"/>
      <c r="E229" s="629"/>
      <c r="F229" s="629"/>
      <c r="G229" s="354" t="s">
        <v>378</v>
      </c>
      <c r="H229" s="354" t="s">
        <v>609</v>
      </c>
      <c r="I229" s="546"/>
      <c r="J229" s="288" t="s">
        <v>602</v>
      </c>
      <c r="K229" s="399">
        <v>149000000</v>
      </c>
      <c r="L229" s="300">
        <v>44593</v>
      </c>
      <c r="M229" s="300">
        <v>44925</v>
      </c>
      <c r="N229" s="300">
        <v>44652</v>
      </c>
      <c r="O229" s="301">
        <f t="shared" si="8"/>
        <v>0.17771084337349397</v>
      </c>
      <c r="P229" s="301">
        <f t="shared" si="12"/>
        <v>0.17771084337349397</v>
      </c>
      <c r="Q229" s="302">
        <v>1</v>
      </c>
      <c r="R229" s="303">
        <v>0.25</v>
      </c>
      <c r="S229" s="303">
        <v>0.5</v>
      </c>
      <c r="T229" s="303">
        <v>0.75</v>
      </c>
      <c r="U229" s="303">
        <v>1</v>
      </c>
      <c r="V229" s="303"/>
      <c r="W229" s="383"/>
      <c r="X229" s="302"/>
      <c r="Y229" s="305"/>
      <c r="Z229" s="306"/>
      <c r="AA229" s="307"/>
      <c r="AB229" s="307"/>
      <c r="AC229" s="306"/>
      <c r="AD229" s="307"/>
      <c r="AE229" s="307"/>
      <c r="AF229" s="306"/>
      <c r="AG229" s="307"/>
      <c r="AH229" s="307"/>
      <c r="AI229" s="308"/>
    </row>
    <row r="230" spans="1:35" ht="75" customHeight="1" outlineLevel="1" x14ac:dyDescent="0.2">
      <c r="A230" s="564"/>
      <c r="B230" s="498"/>
      <c r="C230" s="498"/>
      <c r="D230" s="565"/>
      <c r="E230" s="629"/>
      <c r="F230" s="629"/>
      <c r="G230" s="354" t="s">
        <v>378</v>
      </c>
      <c r="H230" s="354" t="s">
        <v>610</v>
      </c>
      <c r="I230" s="546"/>
      <c r="J230" s="288" t="s">
        <v>602</v>
      </c>
      <c r="K230" s="399">
        <v>58000000</v>
      </c>
      <c r="L230" s="300">
        <v>44593</v>
      </c>
      <c r="M230" s="300">
        <v>44925</v>
      </c>
      <c r="N230" s="300">
        <v>44652</v>
      </c>
      <c r="O230" s="301">
        <f t="shared" si="8"/>
        <v>0.17771084337349397</v>
      </c>
      <c r="P230" s="301">
        <f t="shared" si="12"/>
        <v>0.17771084337349397</v>
      </c>
      <c r="Q230" s="302">
        <v>1</v>
      </c>
      <c r="R230" s="303">
        <v>0.25</v>
      </c>
      <c r="S230" s="303">
        <v>0.5</v>
      </c>
      <c r="T230" s="303">
        <v>0.75</v>
      </c>
      <c r="U230" s="303">
        <v>1</v>
      </c>
      <c r="V230" s="303"/>
      <c r="W230" s="383"/>
      <c r="X230" s="302"/>
      <c r="Y230" s="305"/>
      <c r="Z230" s="306"/>
      <c r="AA230" s="307"/>
      <c r="AB230" s="307"/>
      <c r="AC230" s="306"/>
      <c r="AD230" s="307"/>
      <c r="AE230" s="307"/>
      <c r="AF230" s="306"/>
      <c r="AG230" s="307"/>
      <c r="AH230" s="307"/>
      <c r="AI230" s="308"/>
    </row>
    <row r="231" spans="1:35" ht="46.5" customHeight="1" outlineLevel="1" x14ac:dyDescent="0.2">
      <c r="A231" s="564"/>
      <c r="B231" s="498"/>
      <c r="C231" s="498"/>
      <c r="D231" s="565"/>
      <c r="E231" s="629"/>
      <c r="F231" s="629"/>
      <c r="G231" s="354" t="s">
        <v>378</v>
      </c>
      <c r="H231" s="354" t="s">
        <v>611</v>
      </c>
      <c r="I231" s="546"/>
      <c r="J231" s="288" t="s">
        <v>602</v>
      </c>
      <c r="K231" s="399">
        <v>17000000</v>
      </c>
      <c r="L231" s="300">
        <v>44593</v>
      </c>
      <c r="M231" s="300">
        <v>44925</v>
      </c>
      <c r="N231" s="300">
        <v>44652</v>
      </c>
      <c r="O231" s="301">
        <f t="shared" si="8"/>
        <v>0.17771084337349397</v>
      </c>
      <c r="P231" s="301">
        <f t="shared" si="12"/>
        <v>0.17771084337349397</v>
      </c>
      <c r="Q231" s="302">
        <v>1</v>
      </c>
      <c r="R231" s="303">
        <v>0.25</v>
      </c>
      <c r="S231" s="303">
        <v>0.5</v>
      </c>
      <c r="T231" s="303">
        <v>0.75</v>
      </c>
      <c r="U231" s="303">
        <v>1</v>
      </c>
      <c r="V231" s="303"/>
      <c r="W231" s="383"/>
      <c r="X231" s="302"/>
      <c r="Y231" s="305"/>
      <c r="Z231" s="306"/>
      <c r="AA231" s="307"/>
      <c r="AB231" s="307"/>
      <c r="AC231" s="306"/>
      <c r="AD231" s="307"/>
      <c r="AE231" s="307"/>
      <c r="AF231" s="306"/>
      <c r="AG231" s="307"/>
      <c r="AH231" s="307"/>
      <c r="AI231" s="308"/>
    </row>
    <row r="232" spans="1:35" ht="56.25" customHeight="1" outlineLevel="1" x14ac:dyDescent="0.2">
      <c r="A232" s="564"/>
      <c r="B232" s="498"/>
      <c r="C232" s="498"/>
      <c r="D232" s="565"/>
      <c r="E232" s="629"/>
      <c r="F232" s="629"/>
      <c r="G232" s="354" t="s">
        <v>378</v>
      </c>
      <c r="H232" s="354" t="s">
        <v>612</v>
      </c>
      <c r="I232" s="546"/>
      <c r="J232" s="288" t="s">
        <v>602</v>
      </c>
      <c r="K232" s="399">
        <v>29000000</v>
      </c>
      <c r="L232" s="300">
        <v>44593</v>
      </c>
      <c r="M232" s="300">
        <v>44925</v>
      </c>
      <c r="N232" s="300">
        <v>44652</v>
      </c>
      <c r="O232" s="301">
        <f t="shared" si="8"/>
        <v>0.17771084337349397</v>
      </c>
      <c r="P232" s="301">
        <f t="shared" si="12"/>
        <v>0.17771084337349397</v>
      </c>
      <c r="Q232" s="302">
        <v>1</v>
      </c>
      <c r="R232" s="303">
        <v>0.25</v>
      </c>
      <c r="S232" s="303">
        <v>0.5</v>
      </c>
      <c r="T232" s="303">
        <v>0.75</v>
      </c>
      <c r="U232" s="303">
        <v>1</v>
      </c>
      <c r="V232" s="303"/>
      <c r="W232" s="383"/>
      <c r="X232" s="302"/>
      <c r="Y232" s="305"/>
      <c r="Z232" s="306"/>
      <c r="AA232" s="307"/>
      <c r="AB232" s="307"/>
      <c r="AC232" s="306"/>
      <c r="AD232" s="307"/>
      <c r="AE232" s="307"/>
      <c r="AF232" s="306"/>
      <c r="AG232" s="307"/>
      <c r="AH232" s="307"/>
      <c r="AI232" s="308"/>
    </row>
    <row r="233" spans="1:35" ht="56.25" customHeight="1" outlineLevel="1" x14ac:dyDescent="0.2">
      <c r="A233" s="564"/>
      <c r="B233" s="498"/>
      <c r="C233" s="498"/>
      <c r="D233" s="565"/>
      <c r="E233" s="629"/>
      <c r="F233" s="629"/>
      <c r="G233" s="354" t="s">
        <v>378</v>
      </c>
      <c r="H233" s="354" t="s">
        <v>613</v>
      </c>
      <c r="I233" s="546"/>
      <c r="J233" s="288" t="s">
        <v>602</v>
      </c>
      <c r="K233" s="399">
        <v>39998000</v>
      </c>
      <c r="L233" s="300">
        <v>44593</v>
      </c>
      <c r="M233" s="300">
        <v>44925</v>
      </c>
      <c r="N233" s="300">
        <v>44652</v>
      </c>
      <c r="O233" s="301">
        <f t="shared" ref="O233:O296" si="13">+(+_xlfn.DAYS(L233,N233))/(+_xlfn.DAYS(L233,M233))</f>
        <v>0.17771084337349397</v>
      </c>
      <c r="P233" s="301">
        <f t="shared" si="12"/>
        <v>0.17771084337349397</v>
      </c>
      <c r="Q233" s="302">
        <v>1</v>
      </c>
      <c r="R233" s="303">
        <v>0.25</v>
      </c>
      <c r="S233" s="303">
        <v>0.5</v>
      </c>
      <c r="T233" s="303">
        <v>0.75</v>
      </c>
      <c r="U233" s="303">
        <v>1</v>
      </c>
      <c r="V233" s="303"/>
      <c r="W233" s="383"/>
      <c r="X233" s="302"/>
      <c r="Y233" s="305"/>
      <c r="Z233" s="306"/>
      <c r="AA233" s="307"/>
      <c r="AB233" s="307"/>
      <c r="AC233" s="306"/>
      <c r="AD233" s="307"/>
      <c r="AE233" s="307"/>
      <c r="AF233" s="306"/>
      <c r="AG233" s="307"/>
      <c r="AH233" s="307"/>
      <c r="AI233" s="308"/>
    </row>
    <row r="234" spans="1:35" ht="56.25" customHeight="1" outlineLevel="1" x14ac:dyDescent="0.2">
      <c r="A234" s="564"/>
      <c r="B234" s="498"/>
      <c r="C234" s="498"/>
      <c r="D234" s="565"/>
      <c r="E234" s="629"/>
      <c r="F234" s="629"/>
      <c r="G234" s="354" t="s">
        <v>378</v>
      </c>
      <c r="H234" s="354" t="s">
        <v>614</v>
      </c>
      <c r="I234" s="546"/>
      <c r="J234" s="288" t="s">
        <v>602</v>
      </c>
      <c r="K234" s="399">
        <v>13000000</v>
      </c>
      <c r="L234" s="300">
        <v>44593</v>
      </c>
      <c r="M234" s="300">
        <v>44925</v>
      </c>
      <c r="N234" s="300">
        <v>44652</v>
      </c>
      <c r="O234" s="301">
        <f t="shared" si="13"/>
        <v>0.17771084337349397</v>
      </c>
      <c r="P234" s="301">
        <f t="shared" si="12"/>
        <v>0.17771084337349397</v>
      </c>
      <c r="Q234" s="302">
        <v>1</v>
      </c>
      <c r="R234" s="303">
        <v>0.25</v>
      </c>
      <c r="S234" s="303">
        <v>0.5</v>
      </c>
      <c r="T234" s="303">
        <v>0.75</v>
      </c>
      <c r="U234" s="303">
        <v>1</v>
      </c>
      <c r="V234" s="303"/>
      <c r="W234" s="383"/>
      <c r="X234" s="302"/>
      <c r="Y234" s="305"/>
      <c r="Z234" s="306"/>
      <c r="AA234" s="307"/>
      <c r="AB234" s="307"/>
      <c r="AC234" s="306"/>
      <c r="AD234" s="307"/>
      <c r="AE234" s="307"/>
      <c r="AF234" s="306"/>
      <c r="AG234" s="307"/>
      <c r="AH234" s="307"/>
      <c r="AI234" s="308"/>
    </row>
    <row r="235" spans="1:35" ht="112.5" customHeight="1" outlineLevel="1" x14ac:dyDescent="0.2">
      <c r="A235" s="564"/>
      <c r="B235" s="498"/>
      <c r="C235" s="498"/>
      <c r="D235" s="565"/>
      <c r="E235" s="629"/>
      <c r="F235" s="629"/>
      <c r="G235" s="354" t="s">
        <v>378</v>
      </c>
      <c r="H235" s="354" t="s">
        <v>615</v>
      </c>
      <c r="I235" s="546"/>
      <c r="J235" s="288" t="s">
        <v>602</v>
      </c>
      <c r="K235" s="399">
        <v>3900000</v>
      </c>
      <c r="L235" s="300">
        <v>44593</v>
      </c>
      <c r="M235" s="300">
        <v>44925</v>
      </c>
      <c r="N235" s="300">
        <v>44652</v>
      </c>
      <c r="O235" s="301">
        <f t="shared" si="13"/>
        <v>0.17771084337349397</v>
      </c>
      <c r="P235" s="301">
        <f t="shared" si="12"/>
        <v>0.17771084337349397</v>
      </c>
      <c r="Q235" s="302">
        <v>1</v>
      </c>
      <c r="R235" s="303">
        <v>0.25</v>
      </c>
      <c r="S235" s="303">
        <v>0.5</v>
      </c>
      <c r="T235" s="303">
        <v>0.75</v>
      </c>
      <c r="U235" s="303">
        <v>1</v>
      </c>
      <c r="V235" s="303"/>
      <c r="W235" s="383"/>
      <c r="X235" s="302"/>
      <c r="Y235" s="305"/>
      <c r="Z235" s="306"/>
      <c r="AA235" s="307"/>
      <c r="AB235" s="307"/>
      <c r="AC235" s="306"/>
      <c r="AD235" s="307"/>
      <c r="AE235" s="307"/>
      <c r="AF235" s="306"/>
      <c r="AG235" s="307"/>
      <c r="AH235" s="307"/>
      <c r="AI235" s="308"/>
    </row>
    <row r="236" spans="1:35" ht="56.25" customHeight="1" outlineLevel="1" x14ac:dyDescent="0.2">
      <c r="A236" s="564"/>
      <c r="B236" s="498"/>
      <c r="C236" s="498"/>
      <c r="D236" s="565"/>
      <c r="E236" s="629"/>
      <c r="F236" s="629"/>
      <c r="G236" s="354" t="s">
        <v>378</v>
      </c>
      <c r="H236" s="354" t="s">
        <v>616</v>
      </c>
      <c r="I236" s="546"/>
      <c r="J236" s="288" t="s">
        <v>617</v>
      </c>
      <c r="K236" s="399">
        <v>32000000</v>
      </c>
      <c r="L236" s="300">
        <v>44593</v>
      </c>
      <c r="M236" s="300">
        <v>44925</v>
      </c>
      <c r="N236" s="300">
        <v>44652</v>
      </c>
      <c r="O236" s="301">
        <f t="shared" si="13"/>
        <v>0.17771084337349397</v>
      </c>
      <c r="P236" s="301">
        <f t="shared" si="12"/>
        <v>0.17771084337349397</v>
      </c>
      <c r="Q236" s="302">
        <v>1</v>
      </c>
      <c r="R236" s="303">
        <v>0.25</v>
      </c>
      <c r="S236" s="303">
        <v>0.5</v>
      </c>
      <c r="T236" s="303">
        <v>0.75</v>
      </c>
      <c r="U236" s="303">
        <v>1</v>
      </c>
      <c r="V236" s="303"/>
      <c r="W236" s="383"/>
      <c r="X236" s="302"/>
      <c r="Y236" s="305"/>
      <c r="Z236" s="306"/>
      <c r="AA236" s="307"/>
      <c r="AB236" s="307"/>
      <c r="AC236" s="306"/>
      <c r="AD236" s="307"/>
      <c r="AE236" s="307"/>
      <c r="AF236" s="306"/>
      <c r="AG236" s="307"/>
      <c r="AH236" s="307"/>
      <c r="AI236" s="308"/>
    </row>
    <row r="237" spans="1:35" ht="75" customHeight="1" outlineLevel="1" x14ac:dyDescent="0.2">
      <c r="A237" s="564"/>
      <c r="B237" s="498"/>
      <c r="C237" s="498"/>
      <c r="D237" s="565"/>
      <c r="E237" s="629"/>
      <c r="F237" s="629"/>
      <c r="G237" s="354" t="s">
        <v>378</v>
      </c>
      <c r="H237" s="354" t="s">
        <v>618</v>
      </c>
      <c r="I237" s="546"/>
      <c r="J237" s="288" t="s">
        <v>619</v>
      </c>
      <c r="K237" s="399">
        <v>23000000</v>
      </c>
      <c r="L237" s="300">
        <v>44593</v>
      </c>
      <c r="M237" s="300">
        <v>44925</v>
      </c>
      <c r="N237" s="300">
        <v>44652</v>
      </c>
      <c r="O237" s="301">
        <f t="shared" si="13"/>
        <v>0.17771084337349397</v>
      </c>
      <c r="P237" s="301">
        <f t="shared" si="12"/>
        <v>0.17771084337349397</v>
      </c>
      <c r="Q237" s="302">
        <v>1</v>
      </c>
      <c r="R237" s="303">
        <v>0.25</v>
      </c>
      <c r="S237" s="303">
        <v>0.5</v>
      </c>
      <c r="T237" s="303">
        <v>0.75</v>
      </c>
      <c r="U237" s="303">
        <v>1</v>
      </c>
      <c r="V237" s="303"/>
      <c r="W237" s="383"/>
      <c r="X237" s="302"/>
      <c r="Y237" s="305"/>
      <c r="Z237" s="306"/>
      <c r="AA237" s="307"/>
      <c r="AB237" s="307"/>
      <c r="AC237" s="306"/>
      <c r="AD237" s="307"/>
      <c r="AE237" s="307"/>
      <c r="AF237" s="306"/>
      <c r="AG237" s="307"/>
      <c r="AH237" s="307"/>
      <c r="AI237" s="308"/>
    </row>
    <row r="238" spans="1:35" ht="46.5" customHeight="1" outlineLevel="1" x14ac:dyDescent="0.2">
      <c r="A238" s="564"/>
      <c r="B238" s="498"/>
      <c r="C238" s="498"/>
      <c r="D238" s="565"/>
      <c r="E238" s="629"/>
      <c r="F238" s="629"/>
      <c r="G238" s="354" t="s">
        <v>378</v>
      </c>
      <c r="H238" s="354" t="s">
        <v>620</v>
      </c>
      <c r="I238" s="546"/>
      <c r="J238" s="288" t="s">
        <v>619</v>
      </c>
      <c r="K238" s="399">
        <v>30000000</v>
      </c>
      <c r="L238" s="300">
        <v>44593</v>
      </c>
      <c r="M238" s="300">
        <v>44925</v>
      </c>
      <c r="N238" s="300">
        <v>44652</v>
      </c>
      <c r="O238" s="301">
        <f t="shared" si="13"/>
        <v>0.17771084337349397</v>
      </c>
      <c r="P238" s="301">
        <f t="shared" si="12"/>
        <v>0.17771084337349397</v>
      </c>
      <c r="Q238" s="302">
        <v>1</v>
      </c>
      <c r="R238" s="303">
        <v>0.25</v>
      </c>
      <c r="S238" s="303">
        <v>0.5</v>
      </c>
      <c r="T238" s="303">
        <v>0.75</v>
      </c>
      <c r="U238" s="303">
        <v>1</v>
      </c>
      <c r="V238" s="303"/>
      <c r="W238" s="383"/>
      <c r="X238" s="302"/>
      <c r="Y238" s="305"/>
      <c r="Z238" s="306"/>
      <c r="AA238" s="307"/>
      <c r="AB238" s="307"/>
      <c r="AC238" s="306"/>
      <c r="AD238" s="307"/>
      <c r="AE238" s="307"/>
      <c r="AF238" s="306"/>
      <c r="AG238" s="307"/>
      <c r="AH238" s="307"/>
      <c r="AI238" s="308"/>
    </row>
    <row r="239" spans="1:35" ht="56.25" customHeight="1" outlineLevel="1" x14ac:dyDescent="0.2">
      <c r="A239" s="564"/>
      <c r="B239" s="498"/>
      <c r="C239" s="498"/>
      <c r="D239" s="565"/>
      <c r="E239" s="629"/>
      <c r="F239" s="629"/>
      <c r="G239" s="354" t="s">
        <v>378</v>
      </c>
      <c r="H239" s="354" t="s">
        <v>621</v>
      </c>
      <c r="I239" s="546"/>
      <c r="J239" s="288" t="s">
        <v>617</v>
      </c>
      <c r="K239" s="399">
        <v>14000000</v>
      </c>
      <c r="L239" s="300">
        <v>44593</v>
      </c>
      <c r="M239" s="300">
        <v>44925</v>
      </c>
      <c r="N239" s="300">
        <v>44652</v>
      </c>
      <c r="O239" s="301">
        <f t="shared" si="13"/>
        <v>0.17771084337349397</v>
      </c>
      <c r="P239" s="301">
        <f t="shared" si="12"/>
        <v>0.17771084337349397</v>
      </c>
      <c r="Q239" s="302">
        <v>1</v>
      </c>
      <c r="R239" s="303">
        <v>0.25</v>
      </c>
      <c r="S239" s="303">
        <v>0.5</v>
      </c>
      <c r="T239" s="303">
        <v>0.75</v>
      </c>
      <c r="U239" s="303">
        <v>1</v>
      </c>
      <c r="V239" s="303"/>
      <c r="W239" s="383"/>
      <c r="X239" s="302"/>
      <c r="Y239" s="305"/>
      <c r="Z239" s="306"/>
      <c r="AA239" s="307"/>
      <c r="AB239" s="307"/>
      <c r="AC239" s="306"/>
      <c r="AD239" s="307"/>
      <c r="AE239" s="307"/>
      <c r="AF239" s="306"/>
      <c r="AG239" s="307"/>
      <c r="AH239" s="307"/>
      <c r="AI239" s="308"/>
    </row>
    <row r="240" spans="1:35" ht="46.5" customHeight="1" outlineLevel="1" x14ac:dyDescent="0.2">
      <c r="A240" s="564"/>
      <c r="B240" s="498"/>
      <c r="C240" s="498"/>
      <c r="D240" s="565"/>
      <c r="E240" s="629"/>
      <c r="F240" s="629"/>
      <c r="G240" s="354" t="s">
        <v>378</v>
      </c>
      <c r="H240" s="354" t="s">
        <v>622</v>
      </c>
      <c r="I240" s="546"/>
      <c r="J240" s="288" t="s">
        <v>623</v>
      </c>
      <c r="K240" s="399">
        <v>86000000</v>
      </c>
      <c r="L240" s="300">
        <v>44593</v>
      </c>
      <c r="M240" s="300">
        <v>44925</v>
      </c>
      <c r="N240" s="300">
        <v>44652</v>
      </c>
      <c r="O240" s="301">
        <f t="shared" si="13"/>
        <v>0.17771084337349397</v>
      </c>
      <c r="P240" s="301">
        <f t="shared" si="12"/>
        <v>0.17771084337349397</v>
      </c>
      <c r="Q240" s="302">
        <v>1</v>
      </c>
      <c r="R240" s="303">
        <v>0.25</v>
      </c>
      <c r="S240" s="303">
        <v>0.5</v>
      </c>
      <c r="T240" s="303">
        <v>0.75</v>
      </c>
      <c r="U240" s="303">
        <v>1</v>
      </c>
      <c r="V240" s="303"/>
      <c r="W240" s="383"/>
      <c r="X240" s="302"/>
      <c r="Y240" s="305"/>
      <c r="Z240" s="306"/>
      <c r="AA240" s="307"/>
      <c r="AB240" s="307"/>
      <c r="AC240" s="306"/>
      <c r="AD240" s="307"/>
      <c r="AE240" s="307"/>
      <c r="AF240" s="306"/>
      <c r="AG240" s="307"/>
      <c r="AH240" s="307"/>
      <c r="AI240" s="308"/>
    </row>
    <row r="241" spans="1:35" ht="56.25" customHeight="1" outlineLevel="1" x14ac:dyDescent="0.2">
      <c r="A241" s="564"/>
      <c r="B241" s="498"/>
      <c r="C241" s="498"/>
      <c r="D241" s="565"/>
      <c r="E241" s="629"/>
      <c r="F241" s="629"/>
      <c r="G241" s="354" t="s">
        <v>378</v>
      </c>
      <c r="H241" s="354" t="s">
        <v>624</v>
      </c>
      <c r="I241" s="546"/>
      <c r="J241" s="288" t="s">
        <v>625</v>
      </c>
      <c r="K241" s="399">
        <v>18000000</v>
      </c>
      <c r="L241" s="300">
        <v>44593</v>
      </c>
      <c r="M241" s="300">
        <v>44925</v>
      </c>
      <c r="N241" s="300">
        <v>44652</v>
      </c>
      <c r="O241" s="301">
        <f t="shared" si="13"/>
        <v>0.17771084337349397</v>
      </c>
      <c r="P241" s="301">
        <f t="shared" si="12"/>
        <v>0.17771084337349397</v>
      </c>
      <c r="Q241" s="302">
        <v>1</v>
      </c>
      <c r="R241" s="303">
        <v>0.25</v>
      </c>
      <c r="S241" s="303">
        <v>0.5</v>
      </c>
      <c r="T241" s="303">
        <v>0.75</v>
      </c>
      <c r="U241" s="303">
        <v>1</v>
      </c>
      <c r="V241" s="303"/>
      <c r="W241" s="383"/>
      <c r="X241" s="302"/>
      <c r="Y241" s="305"/>
      <c r="Z241" s="306"/>
      <c r="AA241" s="307"/>
      <c r="AB241" s="307"/>
      <c r="AC241" s="306"/>
      <c r="AD241" s="307"/>
      <c r="AE241" s="307"/>
      <c r="AF241" s="306"/>
      <c r="AG241" s="307"/>
      <c r="AH241" s="307"/>
      <c r="AI241" s="308"/>
    </row>
    <row r="242" spans="1:35" ht="46.5" customHeight="1" outlineLevel="1" x14ac:dyDescent="0.2">
      <c r="A242" s="564"/>
      <c r="B242" s="498"/>
      <c r="C242" s="498"/>
      <c r="D242" s="565"/>
      <c r="E242" s="629"/>
      <c r="F242" s="629"/>
      <c r="G242" s="354" t="s">
        <v>378</v>
      </c>
      <c r="H242" s="354" t="s">
        <v>626</v>
      </c>
      <c r="I242" s="546"/>
      <c r="J242" s="288" t="s">
        <v>625</v>
      </c>
      <c r="K242" s="399">
        <v>7000000</v>
      </c>
      <c r="L242" s="300">
        <v>44593</v>
      </c>
      <c r="M242" s="300">
        <v>44925</v>
      </c>
      <c r="N242" s="300">
        <v>44652</v>
      </c>
      <c r="O242" s="301">
        <f t="shared" si="13"/>
        <v>0.17771084337349397</v>
      </c>
      <c r="P242" s="301">
        <f t="shared" si="12"/>
        <v>0.17771084337349397</v>
      </c>
      <c r="Q242" s="302">
        <v>1</v>
      </c>
      <c r="R242" s="303">
        <v>0.25</v>
      </c>
      <c r="S242" s="303">
        <v>0.5</v>
      </c>
      <c r="T242" s="303">
        <v>0.75</v>
      </c>
      <c r="U242" s="303">
        <v>1</v>
      </c>
      <c r="V242" s="303"/>
      <c r="W242" s="383"/>
      <c r="X242" s="302"/>
      <c r="Y242" s="305"/>
      <c r="Z242" s="306"/>
      <c r="AA242" s="307"/>
      <c r="AB242" s="307"/>
      <c r="AC242" s="306"/>
      <c r="AD242" s="307"/>
      <c r="AE242" s="307"/>
      <c r="AF242" s="306"/>
      <c r="AG242" s="307"/>
      <c r="AH242" s="307"/>
      <c r="AI242" s="308"/>
    </row>
    <row r="243" spans="1:35" ht="56.25" customHeight="1" outlineLevel="1" x14ac:dyDescent="0.2">
      <c r="A243" s="564"/>
      <c r="B243" s="498"/>
      <c r="C243" s="498"/>
      <c r="D243" s="565"/>
      <c r="E243" s="629"/>
      <c r="F243" s="629"/>
      <c r="G243" s="354" t="s">
        <v>378</v>
      </c>
      <c r="H243" s="354" t="s">
        <v>627</v>
      </c>
      <c r="I243" s="546"/>
      <c r="J243" s="288" t="s">
        <v>628</v>
      </c>
      <c r="K243" s="399">
        <v>30000000</v>
      </c>
      <c r="L243" s="300">
        <v>44593</v>
      </c>
      <c r="M243" s="300">
        <v>44925</v>
      </c>
      <c r="N243" s="300">
        <v>44652</v>
      </c>
      <c r="O243" s="301">
        <f t="shared" si="13"/>
        <v>0.17771084337349397</v>
      </c>
      <c r="P243" s="301">
        <f t="shared" si="12"/>
        <v>0.17771084337349397</v>
      </c>
      <c r="Q243" s="302">
        <v>1</v>
      </c>
      <c r="R243" s="303">
        <v>0.25</v>
      </c>
      <c r="S243" s="303">
        <v>0.5</v>
      </c>
      <c r="T243" s="303">
        <v>0.75</v>
      </c>
      <c r="U243" s="303">
        <v>1</v>
      </c>
      <c r="V243" s="303"/>
      <c r="W243" s="383"/>
      <c r="X243" s="302"/>
      <c r="Y243" s="305"/>
      <c r="Z243" s="306"/>
      <c r="AA243" s="307"/>
      <c r="AB243" s="307"/>
      <c r="AC243" s="306"/>
      <c r="AD243" s="307"/>
      <c r="AE243" s="307"/>
      <c r="AF243" s="306"/>
      <c r="AG243" s="307"/>
      <c r="AH243" s="307"/>
      <c r="AI243" s="308"/>
    </row>
    <row r="244" spans="1:35" ht="75" customHeight="1" outlineLevel="1" x14ac:dyDescent="0.2">
      <c r="A244" s="564"/>
      <c r="B244" s="498"/>
      <c r="C244" s="498"/>
      <c r="D244" s="565"/>
      <c r="E244" s="629"/>
      <c r="F244" s="629"/>
      <c r="G244" s="354" t="s">
        <v>378</v>
      </c>
      <c r="H244" s="354" t="s">
        <v>629</v>
      </c>
      <c r="I244" s="547"/>
      <c r="J244" s="288" t="s">
        <v>630</v>
      </c>
      <c r="K244" s="399">
        <v>250000000</v>
      </c>
      <c r="L244" s="300">
        <v>44593</v>
      </c>
      <c r="M244" s="300">
        <v>44925</v>
      </c>
      <c r="N244" s="300">
        <v>44652</v>
      </c>
      <c r="O244" s="301">
        <f t="shared" si="13"/>
        <v>0.17771084337349397</v>
      </c>
      <c r="P244" s="301">
        <f t="shared" si="12"/>
        <v>0.17771084337349397</v>
      </c>
      <c r="Q244" s="302">
        <v>1</v>
      </c>
      <c r="R244" s="303">
        <v>0.25</v>
      </c>
      <c r="S244" s="303">
        <v>0.5</v>
      </c>
      <c r="T244" s="303">
        <v>0.75</v>
      </c>
      <c r="U244" s="303">
        <v>1</v>
      </c>
      <c r="V244" s="303"/>
      <c r="W244" s="383"/>
      <c r="X244" s="302"/>
      <c r="Y244" s="305"/>
      <c r="Z244" s="306"/>
      <c r="AA244" s="307"/>
      <c r="AB244" s="307"/>
      <c r="AC244" s="306"/>
      <c r="AD244" s="307"/>
      <c r="AE244" s="307"/>
      <c r="AF244" s="306"/>
      <c r="AG244" s="307"/>
      <c r="AH244" s="307"/>
      <c r="AI244" s="308"/>
    </row>
    <row r="245" spans="1:35" ht="56.25" customHeight="1" outlineLevel="1" x14ac:dyDescent="0.2">
      <c r="A245" s="564"/>
      <c r="B245" s="498"/>
      <c r="C245" s="498"/>
      <c r="D245" s="565"/>
      <c r="E245" s="629"/>
      <c r="F245" s="628" t="s">
        <v>631</v>
      </c>
      <c r="G245" s="354" t="s">
        <v>378</v>
      </c>
      <c r="H245" s="354" t="s">
        <v>632</v>
      </c>
      <c r="I245" s="545" t="s">
        <v>339</v>
      </c>
      <c r="J245" s="288" t="s">
        <v>633</v>
      </c>
      <c r="K245" s="399">
        <v>1800000000</v>
      </c>
      <c r="L245" s="300">
        <v>44593</v>
      </c>
      <c r="M245" s="300">
        <v>44925</v>
      </c>
      <c r="N245" s="300">
        <v>44652</v>
      </c>
      <c r="O245" s="301">
        <f t="shared" si="13"/>
        <v>0.17771084337349397</v>
      </c>
      <c r="P245" s="301">
        <f t="shared" si="12"/>
        <v>0.17771084337349397</v>
      </c>
      <c r="Q245" s="302">
        <v>1</v>
      </c>
      <c r="R245" s="303">
        <v>0.25</v>
      </c>
      <c r="S245" s="303">
        <v>0.5</v>
      </c>
      <c r="T245" s="303">
        <v>0.75</v>
      </c>
      <c r="U245" s="303">
        <v>1</v>
      </c>
      <c r="V245" s="303"/>
      <c r="W245" s="383"/>
      <c r="X245" s="302"/>
      <c r="Y245" s="305"/>
      <c r="Z245" s="306"/>
      <c r="AA245" s="307"/>
      <c r="AB245" s="307"/>
      <c r="AC245" s="306"/>
      <c r="AD245" s="307"/>
      <c r="AE245" s="307"/>
      <c r="AF245" s="306"/>
      <c r="AG245" s="307"/>
      <c r="AH245" s="307"/>
      <c r="AI245" s="308"/>
    </row>
    <row r="246" spans="1:35" ht="46.5" customHeight="1" outlineLevel="1" x14ac:dyDescent="0.2">
      <c r="A246" s="564"/>
      <c r="B246" s="498"/>
      <c r="C246" s="498"/>
      <c r="D246" s="565"/>
      <c r="E246" s="629"/>
      <c r="F246" s="629"/>
      <c r="G246" s="354" t="s">
        <v>378</v>
      </c>
      <c r="H246" s="354" t="s">
        <v>634</v>
      </c>
      <c r="I246" s="546"/>
      <c r="J246" s="288" t="s">
        <v>635</v>
      </c>
      <c r="K246" s="399">
        <v>80000000</v>
      </c>
      <c r="L246" s="300">
        <v>44593</v>
      </c>
      <c r="M246" s="300">
        <v>44925</v>
      </c>
      <c r="N246" s="300">
        <v>44652</v>
      </c>
      <c r="O246" s="301">
        <f t="shared" si="13"/>
        <v>0.17771084337349397</v>
      </c>
      <c r="P246" s="301">
        <f t="shared" si="12"/>
        <v>0.17771084337349397</v>
      </c>
      <c r="Q246" s="302">
        <v>1</v>
      </c>
      <c r="R246" s="303">
        <v>0.25</v>
      </c>
      <c r="S246" s="303">
        <v>0.5</v>
      </c>
      <c r="T246" s="303">
        <v>0.75</v>
      </c>
      <c r="U246" s="303">
        <v>1</v>
      </c>
      <c r="V246" s="303"/>
      <c r="W246" s="383"/>
      <c r="X246" s="302"/>
      <c r="Y246" s="305"/>
      <c r="Z246" s="306"/>
      <c r="AA246" s="307"/>
      <c r="AB246" s="307"/>
      <c r="AC246" s="306"/>
      <c r="AD246" s="307"/>
      <c r="AE246" s="307"/>
      <c r="AF246" s="306"/>
      <c r="AG246" s="307"/>
      <c r="AH246" s="307"/>
      <c r="AI246" s="308"/>
    </row>
    <row r="247" spans="1:35" ht="56.25" customHeight="1" outlineLevel="1" x14ac:dyDescent="0.2">
      <c r="A247" s="564"/>
      <c r="B247" s="498"/>
      <c r="C247" s="498"/>
      <c r="D247" s="565"/>
      <c r="E247" s="629"/>
      <c r="F247" s="629"/>
      <c r="G247" s="354" t="s">
        <v>378</v>
      </c>
      <c r="H247" s="354" t="s">
        <v>636</v>
      </c>
      <c r="I247" s="547"/>
      <c r="J247" s="288" t="s">
        <v>637</v>
      </c>
      <c r="K247" s="399" t="s">
        <v>116</v>
      </c>
      <c r="L247" s="300">
        <v>44593</v>
      </c>
      <c r="M247" s="300">
        <v>44925</v>
      </c>
      <c r="N247" s="300">
        <v>44652</v>
      </c>
      <c r="O247" s="301">
        <f t="shared" si="13"/>
        <v>0.17771084337349397</v>
      </c>
      <c r="P247" s="301">
        <f t="shared" si="12"/>
        <v>0.17771084337349397</v>
      </c>
      <c r="Q247" s="302">
        <v>1</v>
      </c>
      <c r="R247" s="303">
        <v>0.25</v>
      </c>
      <c r="S247" s="303">
        <v>0.5</v>
      </c>
      <c r="T247" s="303">
        <v>0.75</v>
      </c>
      <c r="U247" s="303">
        <v>1</v>
      </c>
      <c r="V247" s="303"/>
      <c r="W247" s="383"/>
      <c r="X247" s="302"/>
      <c r="Y247" s="305"/>
      <c r="Z247" s="306"/>
      <c r="AA247" s="307"/>
      <c r="AB247" s="307"/>
      <c r="AC247" s="306"/>
      <c r="AD247" s="307"/>
      <c r="AE247" s="307"/>
      <c r="AF247" s="306"/>
      <c r="AG247" s="307"/>
      <c r="AH247" s="307"/>
      <c r="AI247" s="308"/>
    </row>
    <row r="248" spans="1:35" ht="131.25" customHeight="1" outlineLevel="1" x14ac:dyDescent="0.2">
      <c r="A248" s="564"/>
      <c r="B248" s="498"/>
      <c r="C248" s="498"/>
      <c r="D248" s="565"/>
      <c r="E248" s="647"/>
      <c r="F248" s="647"/>
      <c r="G248" s="354" t="s">
        <v>185</v>
      </c>
      <c r="H248" s="354" t="s">
        <v>642</v>
      </c>
      <c r="I248" s="354" t="s">
        <v>339</v>
      </c>
      <c r="J248" s="288" t="s">
        <v>643</v>
      </c>
      <c r="K248" s="399" t="s">
        <v>387</v>
      </c>
      <c r="L248" s="300">
        <v>44593</v>
      </c>
      <c r="M248" s="300">
        <v>44925</v>
      </c>
      <c r="N248" s="300">
        <v>44652</v>
      </c>
      <c r="O248" s="301">
        <f>+(+_xlfn.DAYS(L248,N248))/(+_xlfn.DAYS(L248,M248))</f>
        <v>0.17771084337349397</v>
      </c>
      <c r="P248" s="301">
        <f>+IF(O248&gt;=100,100,IF(O248&lt;=0,0,O248))</f>
        <v>0.17771084337349397</v>
      </c>
      <c r="Q248" s="302">
        <v>0.6</v>
      </c>
      <c r="R248" s="303">
        <v>0.52</v>
      </c>
      <c r="S248" s="303">
        <v>0.54</v>
      </c>
      <c r="T248" s="303">
        <v>0.56999999999999995</v>
      </c>
      <c r="U248" s="303">
        <v>0.6</v>
      </c>
      <c r="V248" s="303"/>
      <c r="W248" s="383"/>
      <c r="X248" s="302"/>
      <c r="Y248" s="305"/>
      <c r="Z248" s="306"/>
      <c r="AA248" s="307"/>
      <c r="AB248" s="307"/>
      <c r="AC248" s="306"/>
      <c r="AD248" s="307"/>
      <c r="AE248" s="307"/>
      <c r="AF248" s="306"/>
      <c r="AG248" s="307"/>
      <c r="AH248" s="307"/>
      <c r="AI248" s="308"/>
    </row>
    <row r="249" spans="1:35" ht="168.75" customHeight="1" outlineLevel="1" x14ac:dyDescent="0.2">
      <c r="A249" s="564"/>
      <c r="B249" s="498"/>
      <c r="C249" s="498"/>
      <c r="D249" s="565"/>
      <c r="E249" s="628" t="s">
        <v>335</v>
      </c>
      <c r="F249" s="277" t="s">
        <v>638</v>
      </c>
      <c r="G249" s="354" t="s">
        <v>378</v>
      </c>
      <c r="H249" s="354" t="s">
        <v>639</v>
      </c>
      <c r="I249" s="354" t="s">
        <v>640</v>
      </c>
      <c r="J249" s="288" t="s">
        <v>641</v>
      </c>
      <c r="K249" s="399">
        <v>40000000</v>
      </c>
      <c r="L249" s="300">
        <v>44593</v>
      </c>
      <c r="M249" s="300">
        <v>44925</v>
      </c>
      <c r="N249" s="300">
        <v>44652</v>
      </c>
      <c r="O249" s="301">
        <f t="shared" si="13"/>
        <v>0.17771084337349397</v>
      </c>
      <c r="P249" s="301">
        <f t="shared" si="12"/>
        <v>0.17771084337349397</v>
      </c>
      <c r="Q249" s="302">
        <v>1</v>
      </c>
      <c r="R249" s="303">
        <v>0.25</v>
      </c>
      <c r="S249" s="303">
        <v>0.5</v>
      </c>
      <c r="T249" s="303">
        <v>0.75</v>
      </c>
      <c r="U249" s="303">
        <v>1</v>
      </c>
      <c r="V249" s="303"/>
      <c r="W249" s="383"/>
      <c r="X249" s="302"/>
      <c r="Y249" s="305"/>
      <c r="Z249" s="306"/>
      <c r="AA249" s="307"/>
      <c r="AB249" s="307"/>
      <c r="AC249" s="306"/>
      <c r="AD249" s="307"/>
      <c r="AE249" s="307"/>
      <c r="AF249" s="306"/>
      <c r="AG249" s="307"/>
      <c r="AH249" s="307"/>
      <c r="AI249" s="308"/>
    </row>
    <row r="250" spans="1:35" ht="168.75" customHeight="1" outlineLevel="1" x14ac:dyDescent="0.2">
      <c r="A250" s="658"/>
      <c r="B250" s="498"/>
      <c r="C250" s="498"/>
      <c r="D250" s="565"/>
      <c r="E250" s="629"/>
      <c r="F250" s="277" t="s">
        <v>638</v>
      </c>
      <c r="G250" s="354" t="s">
        <v>644</v>
      </c>
      <c r="H250" s="354" t="s">
        <v>645</v>
      </c>
      <c r="I250" s="354" t="s">
        <v>640</v>
      </c>
      <c r="J250" s="288" t="s">
        <v>646</v>
      </c>
      <c r="K250" s="399" t="s">
        <v>387</v>
      </c>
      <c r="L250" s="300">
        <v>44593</v>
      </c>
      <c r="M250" s="300">
        <v>44925</v>
      </c>
      <c r="N250" s="300">
        <v>44652</v>
      </c>
      <c r="O250" s="301">
        <f t="shared" si="13"/>
        <v>0.17771084337349397</v>
      </c>
      <c r="P250" s="301">
        <f t="shared" si="12"/>
        <v>0.17771084337349397</v>
      </c>
      <c r="Q250" s="302">
        <v>0.9</v>
      </c>
      <c r="R250" s="303">
        <v>0.86</v>
      </c>
      <c r="S250" s="303">
        <v>0.87</v>
      </c>
      <c r="T250" s="303">
        <v>0.88</v>
      </c>
      <c r="U250" s="303">
        <v>0.9</v>
      </c>
      <c r="V250" s="303"/>
      <c r="W250" s="383"/>
      <c r="X250" s="302"/>
      <c r="Y250" s="305"/>
      <c r="Z250" s="306"/>
      <c r="AA250" s="307"/>
      <c r="AB250" s="307"/>
      <c r="AC250" s="306"/>
      <c r="AD250" s="307"/>
      <c r="AE250" s="307"/>
      <c r="AF250" s="306"/>
      <c r="AG250" s="307"/>
      <c r="AH250" s="307"/>
      <c r="AI250" s="308"/>
    </row>
    <row r="251" spans="1:35" ht="93.75" customHeight="1" outlineLevel="1" x14ac:dyDescent="0.2">
      <c r="A251" s="659"/>
      <c r="B251" s="498"/>
      <c r="C251" s="498"/>
      <c r="D251" s="565"/>
      <c r="E251" s="647"/>
      <c r="F251" s="277" t="s">
        <v>647</v>
      </c>
      <c r="G251" s="354" t="s">
        <v>185</v>
      </c>
      <c r="H251" s="354" t="s">
        <v>648</v>
      </c>
      <c r="I251" s="354" t="s">
        <v>649</v>
      </c>
      <c r="J251" s="288" t="s">
        <v>650</v>
      </c>
      <c r="K251" s="399" t="s">
        <v>61</v>
      </c>
      <c r="L251" s="300">
        <v>44593</v>
      </c>
      <c r="M251" s="300">
        <v>44925</v>
      </c>
      <c r="N251" s="300">
        <v>44652</v>
      </c>
      <c r="O251" s="301">
        <f t="shared" si="13"/>
        <v>0.17771084337349397</v>
      </c>
      <c r="P251" s="301">
        <f t="shared" si="12"/>
        <v>0.17771084337349397</v>
      </c>
      <c r="Q251" s="302">
        <v>1</v>
      </c>
      <c r="R251" s="303">
        <v>1</v>
      </c>
      <c r="S251" s="303">
        <v>1</v>
      </c>
      <c r="T251" s="303">
        <v>1</v>
      </c>
      <c r="U251" s="303">
        <v>1</v>
      </c>
      <c r="V251" s="303"/>
      <c r="W251" s="383"/>
      <c r="X251" s="302"/>
      <c r="Y251" s="305"/>
      <c r="Z251" s="306"/>
      <c r="AA251" s="307"/>
      <c r="AB251" s="307"/>
      <c r="AC251" s="306"/>
      <c r="AD251" s="307"/>
      <c r="AE251" s="307"/>
      <c r="AF251" s="306"/>
      <c r="AG251" s="307"/>
      <c r="AH251" s="307"/>
      <c r="AI251" s="308"/>
    </row>
    <row r="252" spans="1:35" ht="67.150000000000006" customHeight="1" thickBot="1" x14ac:dyDescent="0.25">
      <c r="A252" s="540" t="s">
        <v>332</v>
      </c>
      <c r="B252" s="541"/>
      <c r="C252" s="541"/>
      <c r="D252" s="541"/>
      <c r="E252" s="541"/>
      <c r="F252" s="541"/>
      <c r="G252" s="541"/>
      <c r="H252" s="541"/>
      <c r="I252" s="541"/>
      <c r="J252" s="541"/>
      <c r="K252" s="541"/>
      <c r="L252" s="541"/>
      <c r="M252" s="542"/>
      <c r="N252" s="406">
        <v>44652</v>
      </c>
      <c r="O252" s="301" t="e">
        <f t="shared" si="13"/>
        <v>#DIV/0!</v>
      </c>
      <c r="P252" s="315">
        <f t="array" ref="P252">+AVERAGE((P183:P251)*100)</f>
        <v>17.255980443513174</v>
      </c>
      <c r="Q252" s="316">
        <v>100</v>
      </c>
      <c r="R252" s="572"/>
      <c r="S252" s="573"/>
      <c r="T252" s="573"/>
      <c r="U252" s="574"/>
      <c r="V252" s="358"/>
      <c r="W252" s="383"/>
      <c r="X252" s="302"/>
      <c r="Y252" s="305"/>
      <c r="Z252" s="306"/>
      <c r="AA252" s="307"/>
      <c r="AB252" s="307"/>
      <c r="AC252" s="306"/>
      <c r="AD252" s="307"/>
      <c r="AE252" s="307"/>
      <c r="AF252" s="306"/>
      <c r="AG252" s="307"/>
      <c r="AH252" s="307"/>
      <c r="AI252" s="308"/>
    </row>
    <row r="253" spans="1:35" ht="63" customHeight="1" outlineLevel="1" x14ac:dyDescent="0.2">
      <c r="A253" s="526" t="s">
        <v>14</v>
      </c>
      <c r="B253" s="271" t="s">
        <v>52</v>
      </c>
      <c r="C253" s="271" t="s">
        <v>97</v>
      </c>
      <c r="D253" s="508" t="s">
        <v>651</v>
      </c>
      <c r="E253" s="270" t="s">
        <v>537</v>
      </c>
      <c r="F253" s="270" t="s">
        <v>652</v>
      </c>
      <c r="G253" s="10" t="s">
        <v>653</v>
      </c>
      <c r="H253" s="10" t="s">
        <v>654</v>
      </c>
      <c r="I253" s="10" t="s">
        <v>655</v>
      </c>
      <c r="J253" s="276" t="s">
        <v>656</v>
      </c>
      <c r="K253" s="276" t="s">
        <v>61</v>
      </c>
      <c r="L253" s="300">
        <v>44593</v>
      </c>
      <c r="M253" s="300">
        <v>44925</v>
      </c>
      <c r="N253" s="300">
        <v>44652</v>
      </c>
      <c r="O253" s="301">
        <f t="shared" si="13"/>
        <v>0.17771084337349397</v>
      </c>
      <c r="P253" s="301">
        <f t="shared" ref="P253:P323" si="14">+IF(O253&gt;=100,100,IF(O253&lt;=0,0,O253))</f>
        <v>0.17771084337349397</v>
      </c>
      <c r="Q253" s="302">
        <v>0.2</v>
      </c>
      <c r="R253" s="303">
        <v>0.12</v>
      </c>
      <c r="S253" s="303">
        <v>0.14000000000000001</v>
      </c>
      <c r="T253" s="303">
        <v>0.17</v>
      </c>
      <c r="U253" s="303">
        <v>0.2</v>
      </c>
      <c r="V253" s="303"/>
      <c r="W253" s="383"/>
      <c r="X253" s="302"/>
      <c r="Y253" s="305"/>
      <c r="Z253" s="306"/>
      <c r="AA253" s="307"/>
      <c r="AB253" s="307"/>
      <c r="AC253" s="306"/>
      <c r="AD253" s="307"/>
      <c r="AE253" s="307"/>
      <c r="AF253" s="306"/>
      <c r="AG253" s="307"/>
      <c r="AH253" s="307"/>
      <c r="AI253" s="308"/>
    </row>
    <row r="254" spans="1:35" ht="75" customHeight="1" outlineLevel="1" x14ac:dyDescent="0.2">
      <c r="A254" s="527"/>
      <c r="B254" s="432" t="s">
        <v>657</v>
      </c>
      <c r="C254" s="432" t="s">
        <v>658</v>
      </c>
      <c r="D254" s="509"/>
      <c r="E254" s="453" t="s">
        <v>659</v>
      </c>
      <c r="F254" s="453" t="s">
        <v>660</v>
      </c>
      <c r="G254" s="435" t="s">
        <v>661</v>
      </c>
      <c r="H254" s="10" t="s">
        <v>662</v>
      </c>
      <c r="I254" s="435" t="s">
        <v>663</v>
      </c>
      <c r="J254" s="276" t="s">
        <v>664</v>
      </c>
      <c r="K254" s="399">
        <v>14000000</v>
      </c>
      <c r="L254" s="300">
        <v>44593</v>
      </c>
      <c r="M254" s="300">
        <v>44925</v>
      </c>
      <c r="N254" s="300">
        <v>44652</v>
      </c>
      <c r="O254" s="301">
        <f t="shared" si="13"/>
        <v>0.17771084337349397</v>
      </c>
      <c r="P254" s="301">
        <f t="shared" si="14"/>
        <v>0.17771084337349397</v>
      </c>
      <c r="Q254" s="302">
        <v>0.33</v>
      </c>
      <c r="R254" s="572" t="s">
        <v>665</v>
      </c>
      <c r="S254" s="573"/>
      <c r="T254" s="573"/>
      <c r="U254" s="574"/>
      <c r="V254" s="358"/>
      <c r="W254" s="383"/>
      <c r="X254" s="302"/>
      <c r="Y254" s="305"/>
      <c r="Z254" s="306"/>
      <c r="AA254" s="307"/>
      <c r="AB254" s="307"/>
      <c r="AC254" s="306"/>
      <c r="AD254" s="307"/>
      <c r="AE254" s="307"/>
      <c r="AF254" s="306"/>
      <c r="AG254" s="307"/>
      <c r="AH254" s="307"/>
      <c r="AI254" s="308"/>
    </row>
    <row r="255" spans="1:35" ht="56.25" customHeight="1" outlineLevel="1" x14ac:dyDescent="0.2">
      <c r="A255" s="527"/>
      <c r="B255" s="433"/>
      <c r="C255" s="433"/>
      <c r="D255" s="509"/>
      <c r="E255" s="455"/>
      <c r="F255" s="455"/>
      <c r="G255" s="436"/>
      <c r="H255" s="10" t="s">
        <v>666</v>
      </c>
      <c r="I255" s="436"/>
      <c r="J255" s="276" t="s">
        <v>667</v>
      </c>
      <c r="K255" s="276" t="s">
        <v>61</v>
      </c>
      <c r="L255" s="300">
        <v>44593</v>
      </c>
      <c r="M255" s="300">
        <v>44925</v>
      </c>
      <c r="N255" s="300">
        <v>44652</v>
      </c>
      <c r="O255" s="301">
        <f t="shared" si="13"/>
        <v>0.17771084337349397</v>
      </c>
      <c r="P255" s="301">
        <f t="shared" si="14"/>
        <v>0.17771084337349397</v>
      </c>
      <c r="Q255" s="302">
        <v>1</v>
      </c>
      <c r="R255" s="303">
        <v>0.25</v>
      </c>
      <c r="S255" s="303">
        <v>0.5</v>
      </c>
      <c r="T255" s="303">
        <v>0.75</v>
      </c>
      <c r="U255" s="303">
        <v>1</v>
      </c>
      <c r="V255" s="303"/>
      <c r="W255" s="383"/>
      <c r="X255" s="302"/>
      <c r="Y255" s="305"/>
      <c r="Z255" s="306"/>
      <c r="AA255" s="307"/>
      <c r="AB255" s="307"/>
      <c r="AC255" s="306"/>
      <c r="AD255" s="307"/>
      <c r="AE255" s="307"/>
      <c r="AF255" s="306"/>
      <c r="AG255" s="307"/>
      <c r="AH255" s="307"/>
      <c r="AI255" s="308"/>
    </row>
    <row r="256" spans="1:35" ht="75" customHeight="1" outlineLevel="1" x14ac:dyDescent="0.2">
      <c r="A256" s="527"/>
      <c r="B256" s="433"/>
      <c r="C256" s="433"/>
      <c r="D256" s="509"/>
      <c r="E256" s="455"/>
      <c r="F256" s="454"/>
      <c r="G256" s="437"/>
      <c r="H256" s="10" t="s">
        <v>668</v>
      </c>
      <c r="I256" s="437"/>
      <c r="J256" s="276" t="s">
        <v>669</v>
      </c>
      <c r="K256" s="276" t="s">
        <v>61</v>
      </c>
      <c r="L256" s="300">
        <v>44593</v>
      </c>
      <c r="M256" s="300">
        <v>44925</v>
      </c>
      <c r="N256" s="300">
        <v>44652</v>
      </c>
      <c r="O256" s="301">
        <f t="shared" si="13"/>
        <v>0.17771084337349397</v>
      </c>
      <c r="P256" s="301">
        <f t="shared" si="14"/>
        <v>0.17771084337349397</v>
      </c>
      <c r="Q256" s="302">
        <v>1</v>
      </c>
      <c r="R256" s="303">
        <v>0.25</v>
      </c>
      <c r="S256" s="303">
        <v>0.5</v>
      </c>
      <c r="T256" s="303">
        <v>0.75</v>
      </c>
      <c r="U256" s="303">
        <v>1</v>
      </c>
      <c r="V256" s="303"/>
      <c r="W256" s="383"/>
      <c r="X256" s="302"/>
      <c r="Y256" s="305"/>
      <c r="Z256" s="306"/>
      <c r="AA256" s="307"/>
      <c r="AB256" s="307"/>
      <c r="AC256" s="306"/>
      <c r="AD256" s="307"/>
      <c r="AE256" s="307"/>
      <c r="AF256" s="306"/>
      <c r="AG256" s="307"/>
      <c r="AH256" s="307"/>
      <c r="AI256" s="308"/>
    </row>
    <row r="257" spans="1:35" ht="93.75" customHeight="1" outlineLevel="1" x14ac:dyDescent="0.2">
      <c r="A257" s="527"/>
      <c r="B257" s="433"/>
      <c r="C257" s="433"/>
      <c r="D257" s="509"/>
      <c r="E257" s="455"/>
      <c r="F257" s="453" t="s">
        <v>670</v>
      </c>
      <c r="G257" s="10" t="s">
        <v>671</v>
      </c>
      <c r="H257" s="10" t="s">
        <v>672</v>
      </c>
      <c r="I257" s="435" t="s">
        <v>673</v>
      </c>
      <c r="J257" s="276" t="s">
        <v>674</v>
      </c>
      <c r="K257" s="399">
        <v>36000000</v>
      </c>
      <c r="L257" s="300">
        <v>44593</v>
      </c>
      <c r="M257" s="300">
        <v>44925</v>
      </c>
      <c r="N257" s="300">
        <v>44652</v>
      </c>
      <c r="O257" s="301">
        <f t="shared" si="13"/>
        <v>0.17771084337349397</v>
      </c>
      <c r="P257" s="301">
        <f t="shared" si="14"/>
        <v>0.17771084337349397</v>
      </c>
      <c r="Q257" s="317">
        <v>0.6</v>
      </c>
      <c r="R257" s="311">
        <v>0.4</v>
      </c>
      <c r="S257" s="311">
        <v>0.45</v>
      </c>
      <c r="T257" s="311">
        <v>0.54</v>
      </c>
      <c r="U257" s="311">
        <v>0.6</v>
      </c>
      <c r="V257" s="311"/>
      <c r="W257" s="383"/>
      <c r="X257" s="302"/>
      <c r="Y257" s="305"/>
      <c r="Z257" s="306"/>
      <c r="AA257" s="307"/>
      <c r="AB257" s="307"/>
      <c r="AC257" s="306"/>
      <c r="AD257" s="307"/>
      <c r="AE257" s="307"/>
      <c r="AF257" s="306"/>
      <c r="AG257" s="307"/>
      <c r="AH257" s="307"/>
      <c r="AI257" s="308"/>
    </row>
    <row r="258" spans="1:35" ht="168.75" customHeight="1" outlineLevel="1" x14ac:dyDescent="0.2">
      <c r="A258" s="527"/>
      <c r="B258" s="433"/>
      <c r="C258" s="433"/>
      <c r="D258" s="509"/>
      <c r="E258" s="455"/>
      <c r="F258" s="454"/>
      <c r="G258" s="10" t="s">
        <v>185</v>
      </c>
      <c r="H258" s="10" t="s">
        <v>675</v>
      </c>
      <c r="I258" s="437"/>
      <c r="J258" s="276" t="s">
        <v>676</v>
      </c>
      <c r="K258" s="276" t="s">
        <v>61</v>
      </c>
      <c r="L258" s="300">
        <v>44593</v>
      </c>
      <c r="M258" s="300">
        <v>44925</v>
      </c>
      <c r="N258" s="300">
        <v>44652</v>
      </c>
      <c r="O258" s="301">
        <f t="shared" si="13"/>
        <v>0.17771084337349397</v>
      </c>
      <c r="P258" s="301">
        <f t="shared" si="14"/>
        <v>0.17771084337349397</v>
      </c>
      <c r="Q258" s="302">
        <v>1</v>
      </c>
      <c r="R258" s="303">
        <v>0.25</v>
      </c>
      <c r="S258" s="303">
        <v>0.5</v>
      </c>
      <c r="T258" s="303">
        <v>0.75</v>
      </c>
      <c r="U258" s="303">
        <v>1</v>
      </c>
      <c r="V258" s="303"/>
      <c r="W258" s="383"/>
      <c r="X258" s="302"/>
      <c r="Y258" s="305"/>
      <c r="Z258" s="306"/>
      <c r="AA258" s="307"/>
      <c r="AB258" s="307"/>
      <c r="AC258" s="306"/>
      <c r="AD258" s="307"/>
      <c r="AE258" s="307"/>
      <c r="AF258" s="306"/>
      <c r="AG258" s="307"/>
      <c r="AH258" s="307"/>
      <c r="AI258" s="308"/>
    </row>
    <row r="259" spans="1:35" ht="150" customHeight="1" outlineLevel="1" x14ac:dyDescent="0.2">
      <c r="A259" s="527"/>
      <c r="B259" s="434"/>
      <c r="C259" s="434"/>
      <c r="D259" s="523"/>
      <c r="E259" s="454"/>
      <c r="F259" s="356" t="s">
        <v>677</v>
      </c>
      <c r="G259" s="349" t="s">
        <v>152</v>
      </c>
      <c r="H259" s="10" t="s">
        <v>678</v>
      </c>
      <c r="I259" s="350" t="s">
        <v>679</v>
      </c>
      <c r="J259" s="276" t="s">
        <v>680</v>
      </c>
      <c r="K259" s="276" t="s">
        <v>61</v>
      </c>
      <c r="L259" s="300">
        <v>44593</v>
      </c>
      <c r="M259" s="300">
        <v>44925</v>
      </c>
      <c r="N259" s="300">
        <v>44652</v>
      </c>
      <c r="O259" s="301">
        <f t="shared" si="13"/>
        <v>0.17771084337349397</v>
      </c>
      <c r="P259" s="301">
        <f t="shared" si="14"/>
        <v>0.17771084337349397</v>
      </c>
      <c r="Q259" s="302">
        <v>0.12</v>
      </c>
      <c r="R259" s="303">
        <v>0.09</v>
      </c>
      <c r="S259" s="303">
        <v>0.1</v>
      </c>
      <c r="T259" s="303">
        <v>0.11</v>
      </c>
      <c r="U259" s="303">
        <v>0.12</v>
      </c>
      <c r="V259" s="303"/>
      <c r="W259" s="383"/>
      <c r="X259" s="302"/>
      <c r="Y259" s="305"/>
      <c r="Z259" s="306"/>
      <c r="AA259" s="307"/>
      <c r="AB259" s="307"/>
      <c r="AC259" s="306"/>
      <c r="AD259" s="307"/>
      <c r="AE259" s="307"/>
      <c r="AF259" s="306"/>
      <c r="AG259" s="307"/>
      <c r="AH259" s="307"/>
      <c r="AI259" s="308"/>
    </row>
    <row r="260" spans="1:35" ht="78.599999999999994" customHeight="1" outlineLevel="1" x14ac:dyDescent="0.2">
      <c r="A260" s="527"/>
      <c r="B260" s="432" t="s">
        <v>657</v>
      </c>
      <c r="C260" s="432" t="s">
        <v>681</v>
      </c>
      <c r="D260" s="448" t="s">
        <v>6</v>
      </c>
      <c r="E260" s="575" t="s">
        <v>682</v>
      </c>
      <c r="F260" s="575" t="s">
        <v>683</v>
      </c>
      <c r="G260" s="432" t="s">
        <v>684</v>
      </c>
      <c r="H260" s="271" t="s">
        <v>685</v>
      </c>
      <c r="I260" s="432" t="s">
        <v>686</v>
      </c>
      <c r="J260" s="276" t="s">
        <v>687</v>
      </c>
      <c r="K260" s="399">
        <v>84000000</v>
      </c>
      <c r="L260" s="300">
        <v>44593</v>
      </c>
      <c r="M260" s="300">
        <v>44925</v>
      </c>
      <c r="N260" s="300">
        <v>44652</v>
      </c>
      <c r="O260" s="301">
        <f t="shared" si="13"/>
        <v>0.17771084337349397</v>
      </c>
      <c r="P260" s="301">
        <f t="shared" si="14"/>
        <v>0.17771084337349397</v>
      </c>
      <c r="Q260" s="302">
        <v>0.1</v>
      </c>
      <c r="R260" s="303">
        <v>0.03</v>
      </c>
      <c r="S260" s="303">
        <v>0.03</v>
      </c>
      <c r="T260" s="303">
        <v>0.03</v>
      </c>
      <c r="U260" s="303">
        <v>0.03</v>
      </c>
      <c r="V260" s="303"/>
      <c r="W260" s="383"/>
      <c r="X260" s="302"/>
      <c r="Y260" s="305"/>
      <c r="Z260" s="306"/>
      <c r="AA260" s="307"/>
      <c r="AB260" s="307"/>
      <c r="AC260" s="306"/>
      <c r="AD260" s="307"/>
      <c r="AE260" s="307"/>
      <c r="AF260" s="306"/>
      <c r="AG260" s="307"/>
      <c r="AH260" s="307"/>
      <c r="AI260" s="308"/>
    </row>
    <row r="261" spans="1:35" ht="75.599999999999994" customHeight="1" outlineLevel="1" x14ac:dyDescent="0.2">
      <c r="A261" s="527"/>
      <c r="B261" s="433"/>
      <c r="C261" s="433"/>
      <c r="D261" s="449"/>
      <c r="E261" s="619"/>
      <c r="F261" s="576"/>
      <c r="G261" s="434"/>
      <c r="H261" s="271" t="s">
        <v>688</v>
      </c>
      <c r="I261" s="434"/>
      <c r="J261" s="276" t="s">
        <v>689</v>
      </c>
      <c r="K261" s="276" t="s">
        <v>61</v>
      </c>
      <c r="L261" s="300">
        <v>44593</v>
      </c>
      <c r="M261" s="300">
        <v>44925</v>
      </c>
      <c r="N261" s="300">
        <v>44652</v>
      </c>
      <c r="O261" s="301">
        <f t="shared" si="13"/>
        <v>0.17771084337349397</v>
      </c>
      <c r="P261" s="301">
        <f t="shared" si="14"/>
        <v>0.17771084337349397</v>
      </c>
      <c r="Q261" s="302">
        <v>1</v>
      </c>
      <c r="R261" s="303">
        <v>0.25</v>
      </c>
      <c r="S261" s="303">
        <v>0.5</v>
      </c>
      <c r="T261" s="303">
        <v>0.75</v>
      </c>
      <c r="U261" s="303">
        <v>1</v>
      </c>
      <c r="V261" s="303"/>
      <c r="W261" s="383"/>
      <c r="X261" s="302"/>
      <c r="Y261" s="305"/>
      <c r="Z261" s="306"/>
      <c r="AA261" s="307"/>
      <c r="AB261" s="307"/>
      <c r="AC261" s="306"/>
      <c r="AD261" s="307"/>
      <c r="AE261" s="307"/>
      <c r="AF261" s="306"/>
      <c r="AG261" s="307"/>
      <c r="AH261" s="307"/>
      <c r="AI261" s="308"/>
    </row>
    <row r="262" spans="1:35" ht="93.6" customHeight="1" outlineLevel="1" x14ac:dyDescent="0.2">
      <c r="A262" s="527"/>
      <c r="B262" s="433"/>
      <c r="C262" s="433"/>
      <c r="D262" s="449"/>
      <c r="E262" s="619"/>
      <c r="F262" s="332" t="s">
        <v>690</v>
      </c>
      <c r="G262" s="346" t="s">
        <v>691</v>
      </c>
      <c r="H262" s="271" t="s">
        <v>692</v>
      </c>
      <c r="I262" s="271" t="s">
        <v>693</v>
      </c>
      <c r="J262" s="276" t="s">
        <v>694</v>
      </c>
      <c r="K262" s="399">
        <v>49200000</v>
      </c>
      <c r="L262" s="300">
        <v>44593</v>
      </c>
      <c r="M262" s="300">
        <v>44925</v>
      </c>
      <c r="N262" s="300">
        <v>44652</v>
      </c>
      <c r="O262" s="301">
        <f t="shared" si="13"/>
        <v>0.17771084337349397</v>
      </c>
      <c r="P262" s="301">
        <f t="shared" si="14"/>
        <v>0.17771084337349397</v>
      </c>
      <c r="Q262" s="302">
        <v>0.66</v>
      </c>
      <c r="R262" s="303">
        <v>0.35</v>
      </c>
      <c r="S262" s="303">
        <v>0.45</v>
      </c>
      <c r="T262" s="303">
        <v>0.55000000000000004</v>
      </c>
      <c r="U262" s="303">
        <v>0.66</v>
      </c>
      <c r="V262" s="303"/>
      <c r="W262" s="383"/>
      <c r="X262" s="302"/>
      <c r="Y262" s="305"/>
      <c r="Z262" s="306"/>
      <c r="AA262" s="307"/>
      <c r="AB262" s="307"/>
      <c r="AC262" s="306"/>
      <c r="AD262" s="307"/>
      <c r="AE262" s="307"/>
      <c r="AF262" s="306"/>
      <c r="AG262" s="307"/>
      <c r="AH262" s="307"/>
      <c r="AI262" s="308"/>
    </row>
    <row r="263" spans="1:35" ht="93.6" customHeight="1" outlineLevel="1" x14ac:dyDescent="0.2">
      <c r="A263" s="527"/>
      <c r="B263" s="433"/>
      <c r="C263" s="433"/>
      <c r="D263" s="449"/>
      <c r="E263" s="619"/>
      <c r="F263" s="575" t="s">
        <v>695</v>
      </c>
      <c r="G263" s="432" t="s">
        <v>696</v>
      </c>
      <c r="H263" s="271" t="s">
        <v>697</v>
      </c>
      <c r="I263" s="432" t="s">
        <v>698</v>
      </c>
      <c r="J263" s="276" t="s">
        <v>699</v>
      </c>
      <c r="K263" s="399">
        <v>40000000</v>
      </c>
      <c r="L263" s="300">
        <v>44593</v>
      </c>
      <c r="M263" s="300">
        <v>44925</v>
      </c>
      <c r="N263" s="300">
        <v>44652</v>
      </c>
      <c r="O263" s="301">
        <f t="shared" si="13"/>
        <v>0.17771084337349397</v>
      </c>
      <c r="P263" s="301">
        <f t="shared" si="14"/>
        <v>0.17771084337349397</v>
      </c>
      <c r="Q263" s="302">
        <v>0.33</v>
      </c>
      <c r="R263" s="572" t="s">
        <v>700</v>
      </c>
      <c r="S263" s="573"/>
      <c r="T263" s="573"/>
      <c r="U263" s="574"/>
      <c r="V263" s="358"/>
      <c r="W263" s="383"/>
      <c r="X263" s="302"/>
      <c r="Y263" s="305"/>
      <c r="Z263" s="306"/>
      <c r="AA263" s="307"/>
      <c r="AB263" s="307"/>
      <c r="AC263" s="306"/>
      <c r="AD263" s="307"/>
      <c r="AE263" s="307"/>
      <c r="AF263" s="306"/>
      <c r="AG263" s="307"/>
      <c r="AH263" s="307"/>
      <c r="AI263" s="308"/>
    </row>
    <row r="264" spans="1:35" ht="43.15" customHeight="1" outlineLevel="1" x14ac:dyDescent="0.2">
      <c r="A264" s="527"/>
      <c r="B264" s="433"/>
      <c r="C264" s="433"/>
      <c r="D264" s="449"/>
      <c r="E264" s="619"/>
      <c r="F264" s="619"/>
      <c r="G264" s="433"/>
      <c r="H264" s="271" t="s">
        <v>701</v>
      </c>
      <c r="I264" s="433"/>
      <c r="J264" s="276" t="s">
        <v>702</v>
      </c>
      <c r="K264" s="276" t="s">
        <v>61</v>
      </c>
      <c r="L264" s="300">
        <v>44593</v>
      </c>
      <c r="M264" s="300">
        <v>44925</v>
      </c>
      <c r="N264" s="300">
        <v>44652</v>
      </c>
      <c r="O264" s="301">
        <f t="shared" si="13"/>
        <v>0.17771084337349397</v>
      </c>
      <c r="P264" s="301">
        <f t="shared" si="14"/>
        <v>0.17771084337349397</v>
      </c>
      <c r="Q264" s="302">
        <v>1</v>
      </c>
      <c r="R264" s="303">
        <v>0.25</v>
      </c>
      <c r="S264" s="303">
        <v>0.5</v>
      </c>
      <c r="T264" s="303">
        <v>0.75</v>
      </c>
      <c r="U264" s="303">
        <v>1</v>
      </c>
      <c r="V264" s="303"/>
      <c r="W264" s="383"/>
      <c r="X264" s="302"/>
      <c r="Y264" s="305"/>
      <c r="Z264" s="306"/>
      <c r="AA264" s="307"/>
      <c r="AB264" s="307"/>
      <c r="AC264" s="306"/>
      <c r="AD264" s="307"/>
      <c r="AE264" s="307"/>
      <c r="AF264" s="306"/>
      <c r="AG264" s="307"/>
      <c r="AH264" s="307"/>
      <c r="AI264" s="308"/>
    </row>
    <row r="265" spans="1:35" ht="46.5" customHeight="1" outlineLevel="1" x14ac:dyDescent="0.2">
      <c r="A265" s="527"/>
      <c r="B265" s="433"/>
      <c r="C265" s="433"/>
      <c r="D265" s="449"/>
      <c r="E265" s="619"/>
      <c r="F265" s="576"/>
      <c r="G265" s="434"/>
      <c r="H265" s="271" t="s">
        <v>703</v>
      </c>
      <c r="I265" s="434"/>
      <c r="J265" s="276" t="s">
        <v>704</v>
      </c>
      <c r="K265" s="276" t="s">
        <v>61</v>
      </c>
      <c r="L265" s="300">
        <v>44593</v>
      </c>
      <c r="M265" s="300">
        <v>44925</v>
      </c>
      <c r="N265" s="300">
        <v>44652</v>
      </c>
      <c r="O265" s="301">
        <f t="shared" si="13"/>
        <v>0.17771084337349397</v>
      </c>
      <c r="P265" s="301">
        <f t="shared" si="14"/>
        <v>0.17771084337349397</v>
      </c>
      <c r="Q265" s="302">
        <v>1</v>
      </c>
      <c r="R265" s="303">
        <v>0.25</v>
      </c>
      <c r="S265" s="303">
        <v>0.5</v>
      </c>
      <c r="T265" s="303">
        <v>0.75</v>
      </c>
      <c r="U265" s="303">
        <v>1</v>
      </c>
      <c r="V265" s="303"/>
      <c r="W265" s="383"/>
      <c r="X265" s="302"/>
      <c r="Y265" s="305"/>
      <c r="Z265" s="306"/>
      <c r="AA265" s="307"/>
      <c r="AB265" s="307"/>
      <c r="AC265" s="306"/>
      <c r="AD265" s="307"/>
      <c r="AE265" s="307"/>
      <c r="AF265" s="306"/>
      <c r="AG265" s="307"/>
      <c r="AH265" s="307"/>
      <c r="AI265" s="308"/>
    </row>
    <row r="266" spans="1:35" ht="56.25" customHeight="1" outlineLevel="1" x14ac:dyDescent="0.2">
      <c r="A266" s="527"/>
      <c r="B266" s="433"/>
      <c r="C266" s="433"/>
      <c r="D266" s="449"/>
      <c r="E266" s="619"/>
      <c r="F266" s="575" t="s">
        <v>705</v>
      </c>
      <c r="G266" s="347" t="s">
        <v>706</v>
      </c>
      <c r="H266" s="271" t="s">
        <v>707</v>
      </c>
      <c r="I266" s="347" t="s">
        <v>708</v>
      </c>
      <c r="J266" s="276" t="s">
        <v>709</v>
      </c>
      <c r="K266" s="276" t="s">
        <v>116</v>
      </c>
      <c r="L266" s="300">
        <v>44593</v>
      </c>
      <c r="M266" s="300">
        <v>44925</v>
      </c>
      <c r="N266" s="300">
        <v>44652</v>
      </c>
      <c r="O266" s="301">
        <f t="shared" si="13"/>
        <v>0.17771084337349397</v>
      </c>
      <c r="P266" s="301">
        <f t="shared" si="14"/>
        <v>0.17771084337349397</v>
      </c>
      <c r="Q266" s="302">
        <v>0.1</v>
      </c>
      <c r="R266" s="303">
        <v>0.06</v>
      </c>
      <c r="S266" s="303">
        <v>7.0000000000000007E-2</v>
      </c>
      <c r="T266" s="303">
        <v>0.08</v>
      </c>
      <c r="U266" s="303">
        <v>0.1</v>
      </c>
      <c r="V266" s="303"/>
      <c r="W266" s="383"/>
      <c r="X266" s="302"/>
      <c r="Y266" s="305"/>
      <c r="Z266" s="306"/>
      <c r="AA266" s="307"/>
      <c r="AB266" s="307"/>
      <c r="AC266" s="306"/>
      <c r="AD266" s="307"/>
      <c r="AE266" s="307"/>
      <c r="AF266" s="306"/>
      <c r="AG266" s="307"/>
      <c r="AH266" s="307"/>
      <c r="AI266" s="308"/>
    </row>
    <row r="267" spans="1:35" ht="99.75" customHeight="1" outlineLevel="1" x14ac:dyDescent="0.2">
      <c r="A267" s="527"/>
      <c r="B267" s="433"/>
      <c r="C267" s="433"/>
      <c r="D267" s="449"/>
      <c r="E267" s="619"/>
      <c r="F267" s="619"/>
      <c r="G267" s="432" t="s">
        <v>710</v>
      </c>
      <c r="H267" s="271" t="s">
        <v>711</v>
      </c>
      <c r="I267" s="432" t="s">
        <v>708</v>
      </c>
      <c r="J267" s="276" t="s">
        <v>712</v>
      </c>
      <c r="K267" s="399">
        <v>88250000</v>
      </c>
      <c r="L267" s="300">
        <v>44593</v>
      </c>
      <c r="M267" s="300">
        <v>44925</v>
      </c>
      <c r="N267" s="300">
        <v>44652</v>
      </c>
      <c r="O267" s="301">
        <f t="shared" si="13"/>
        <v>0.17771084337349397</v>
      </c>
      <c r="P267" s="301">
        <f t="shared" si="14"/>
        <v>0.17771084337349397</v>
      </c>
      <c r="Q267" s="302">
        <v>1</v>
      </c>
      <c r="R267" s="303">
        <v>0.25</v>
      </c>
      <c r="S267" s="303">
        <v>0.5</v>
      </c>
      <c r="T267" s="303">
        <v>0.75</v>
      </c>
      <c r="U267" s="303">
        <v>1</v>
      </c>
      <c r="V267" s="303"/>
      <c r="W267" s="383"/>
      <c r="X267" s="302"/>
      <c r="Y267" s="305"/>
      <c r="Z267" s="306"/>
      <c r="AA267" s="307"/>
      <c r="AB267" s="307"/>
      <c r="AC267" s="306"/>
      <c r="AD267" s="307"/>
      <c r="AE267" s="307"/>
      <c r="AF267" s="306"/>
      <c r="AG267" s="307"/>
      <c r="AH267" s="307"/>
      <c r="AI267" s="308"/>
    </row>
    <row r="268" spans="1:35" ht="93.75" customHeight="1" outlineLevel="1" x14ac:dyDescent="0.2">
      <c r="A268" s="527"/>
      <c r="B268" s="433"/>
      <c r="C268" s="433"/>
      <c r="D268" s="449"/>
      <c r="E268" s="619"/>
      <c r="F268" s="619"/>
      <c r="G268" s="434"/>
      <c r="H268" s="271" t="s">
        <v>713</v>
      </c>
      <c r="I268" s="433"/>
      <c r="J268" s="276" t="s">
        <v>712</v>
      </c>
      <c r="K268" s="276" t="s">
        <v>61</v>
      </c>
      <c r="L268" s="300">
        <v>44593</v>
      </c>
      <c r="M268" s="300">
        <v>44925</v>
      </c>
      <c r="N268" s="300">
        <v>44652</v>
      </c>
      <c r="O268" s="301">
        <f t="shared" si="13"/>
        <v>0.17771084337349397</v>
      </c>
      <c r="P268" s="301">
        <f t="shared" si="14"/>
        <v>0.17771084337349397</v>
      </c>
      <c r="Q268" s="302">
        <v>1</v>
      </c>
      <c r="R268" s="303">
        <v>0.25</v>
      </c>
      <c r="S268" s="303">
        <v>0.5</v>
      </c>
      <c r="T268" s="303">
        <v>0.75</v>
      </c>
      <c r="U268" s="303">
        <v>1</v>
      </c>
      <c r="V268" s="303"/>
      <c r="W268" s="383"/>
      <c r="X268" s="302"/>
      <c r="Y268" s="305"/>
      <c r="Z268" s="306"/>
      <c r="AA268" s="307"/>
      <c r="AB268" s="307"/>
      <c r="AC268" s="306"/>
      <c r="AD268" s="307"/>
      <c r="AE268" s="307"/>
      <c r="AF268" s="306"/>
      <c r="AG268" s="307"/>
      <c r="AH268" s="307"/>
      <c r="AI268" s="308"/>
    </row>
    <row r="269" spans="1:35" ht="36.6" customHeight="1" outlineLevel="1" x14ac:dyDescent="0.2">
      <c r="A269" s="527"/>
      <c r="B269" s="433"/>
      <c r="C269" s="433"/>
      <c r="D269" s="449"/>
      <c r="E269" s="619"/>
      <c r="F269" s="619"/>
      <c r="G269" s="432" t="s">
        <v>714</v>
      </c>
      <c r="H269" s="271" t="s">
        <v>715</v>
      </c>
      <c r="I269" s="433"/>
      <c r="J269" s="276" t="s">
        <v>716</v>
      </c>
      <c r="K269" s="399">
        <v>49000000</v>
      </c>
      <c r="L269" s="300">
        <v>44593</v>
      </c>
      <c r="M269" s="300">
        <v>44925</v>
      </c>
      <c r="N269" s="300">
        <v>44652</v>
      </c>
      <c r="O269" s="301">
        <f t="shared" si="13"/>
        <v>0.17771084337349397</v>
      </c>
      <c r="P269" s="301">
        <f t="shared" si="14"/>
        <v>0.17771084337349397</v>
      </c>
      <c r="Q269" s="302">
        <v>1</v>
      </c>
      <c r="R269" s="303">
        <v>0.25</v>
      </c>
      <c r="S269" s="303">
        <v>0.5</v>
      </c>
      <c r="T269" s="303">
        <v>0.75</v>
      </c>
      <c r="U269" s="303">
        <v>1</v>
      </c>
      <c r="V269" s="303"/>
      <c r="W269" s="383"/>
      <c r="X269" s="302"/>
      <c r="Y269" s="305"/>
      <c r="Z269" s="306"/>
      <c r="AA269" s="307"/>
      <c r="AB269" s="307"/>
      <c r="AC269" s="306"/>
      <c r="AD269" s="307"/>
      <c r="AE269" s="307"/>
      <c r="AF269" s="306"/>
      <c r="AG269" s="307"/>
      <c r="AH269" s="307"/>
      <c r="AI269" s="308"/>
    </row>
    <row r="270" spans="1:35" ht="75" customHeight="1" outlineLevel="1" x14ac:dyDescent="0.2">
      <c r="A270" s="527"/>
      <c r="B270" s="433"/>
      <c r="C270" s="433"/>
      <c r="D270" s="449"/>
      <c r="E270" s="619"/>
      <c r="F270" s="619"/>
      <c r="G270" s="434"/>
      <c r="H270" s="271" t="s">
        <v>717</v>
      </c>
      <c r="I270" s="433"/>
      <c r="J270" s="276" t="s">
        <v>718</v>
      </c>
      <c r="K270" s="276" t="s">
        <v>61</v>
      </c>
      <c r="L270" s="300">
        <v>44593</v>
      </c>
      <c r="M270" s="300">
        <v>44925</v>
      </c>
      <c r="N270" s="300">
        <v>44652</v>
      </c>
      <c r="O270" s="301">
        <f t="shared" si="13"/>
        <v>0.17771084337349397</v>
      </c>
      <c r="P270" s="301">
        <f t="shared" si="14"/>
        <v>0.17771084337349397</v>
      </c>
      <c r="Q270" s="302">
        <v>1</v>
      </c>
      <c r="R270" s="303">
        <v>0.25</v>
      </c>
      <c r="S270" s="303">
        <v>0.5</v>
      </c>
      <c r="T270" s="303">
        <v>0.75</v>
      </c>
      <c r="U270" s="303">
        <v>1</v>
      </c>
      <c r="V270" s="303"/>
      <c r="W270" s="383"/>
      <c r="X270" s="302"/>
      <c r="Y270" s="305"/>
      <c r="Z270" s="306"/>
      <c r="AA270" s="307"/>
      <c r="AB270" s="307"/>
      <c r="AC270" s="306"/>
      <c r="AD270" s="307"/>
      <c r="AE270" s="307"/>
      <c r="AF270" s="306"/>
      <c r="AG270" s="307"/>
      <c r="AH270" s="307"/>
      <c r="AI270" s="308"/>
    </row>
    <row r="271" spans="1:35" ht="46.5" customHeight="1" outlineLevel="1" x14ac:dyDescent="0.2">
      <c r="A271" s="527"/>
      <c r="B271" s="433"/>
      <c r="C271" s="433"/>
      <c r="D271" s="449"/>
      <c r="E271" s="619"/>
      <c r="F271" s="619"/>
      <c r="G271" s="432" t="s">
        <v>719</v>
      </c>
      <c r="H271" s="271" t="s">
        <v>720</v>
      </c>
      <c r="I271" s="433"/>
      <c r="J271" s="276" t="s">
        <v>721</v>
      </c>
      <c r="K271" s="399">
        <v>62300000</v>
      </c>
      <c r="L271" s="300">
        <v>44593</v>
      </c>
      <c r="M271" s="300">
        <v>44925</v>
      </c>
      <c r="N271" s="300">
        <v>44652</v>
      </c>
      <c r="O271" s="301">
        <f t="shared" si="13"/>
        <v>0.17771084337349397</v>
      </c>
      <c r="P271" s="301">
        <f t="shared" si="14"/>
        <v>0.17771084337349397</v>
      </c>
      <c r="Q271" s="302">
        <v>1</v>
      </c>
      <c r="R271" s="303">
        <v>0.25</v>
      </c>
      <c r="S271" s="303">
        <v>0.5</v>
      </c>
      <c r="T271" s="303">
        <v>0.75</v>
      </c>
      <c r="U271" s="303">
        <v>1</v>
      </c>
      <c r="V271" s="303"/>
      <c r="W271" s="383"/>
      <c r="X271" s="302"/>
      <c r="Y271" s="305"/>
      <c r="Z271" s="306"/>
      <c r="AA271" s="307"/>
      <c r="AB271" s="307"/>
      <c r="AC271" s="306"/>
      <c r="AD271" s="307"/>
      <c r="AE271" s="307"/>
      <c r="AF271" s="306"/>
      <c r="AG271" s="307"/>
      <c r="AH271" s="307"/>
      <c r="AI271" s="308"/>
    </row>
    <row r="272" spans="1:35" ht="46.5" customHeight="1" outlineLevel="1" x14ac:dyDescent="0.2">
      <c r="A272" s="527"/>
      <c r="B272" s="433"/>
      <c r="C272" s="433"/>
      <c r="D272" s="449"/>
      <c r="E272" s="619"/>
      <c r="F272" s="619"/>
      <c r="G272" s="433"/>
      <c r="H272" s="271" t="s">
        <v>722</v>
      </c>
      <c r="I272" s="433"/>
      <c r="J272" s="276" t="s">
        <v>721</v>
      </c>
      <c r="K272" s="276" t="s">
        <v>61</v>
      </c>
      <c r="L272" s="300">
        <v>44593</v>
      </c>
      <c r="M272" s="300">
        <v>44925</v>
      </c>
      <c r="N272" s="300">
        <v>44652</v>
      </c>
      <c r="O272" s="301">
        <f t="shared" si="13"/>
        <v>0.17771084337349397</v>
      </c>
      <c r="P272" s="301">
        <f t="shared" si="14"/>
        <v>0.17771084337349397</v>
      </c>
      <c r="Q272" s="302">
        <v>1</v>
      </c>
      <c r="R272" s="303">
        <v>0.25</v>
      </c>
      <c r="S272" s="303">
        <v>0.5</v>
      </c>
      <c r="T272" s="303">
        <v>0.75</v>
      </c>
      <c r="U272" s="303">
        <v>1</v>
      </c>
      <c r="V272" s="303"/>
      <c r="W272" s="383"/>
      <c r="X272" s="302"/>
      <c r="Y272" s="305"/>
      <c r="Z272" s="306"/>
      <c r="AA272" s="307"/>
      <c r="AB272" s="307"/>
      <c r="AC272" s="306"/>
      <c r="AD272" s="307"/>
      <c r="AE272" s="307"/>
      <c r="AF272" s="306"/>
      <c r="AG272" s="307"/>
      <c r="AH272" s="307"/>
      <c r="AI272" s="308"/>
    </row>
    <row r="273" spans="1:35" ht="54.6" customHeight="1" outlineLevel="1" x14ac:dyDescent="0.2">
      <c r="A273" s="527"/>
      <c r="B273" s="433"/>
      <c r="C273" s="433"/>
      <c r="D273" s="449"/>
      <c r="E273" s="619"/>
      <c r="F273" s="619"/>
      <c r="G273" s="434"/>
      <c r="H273" s="271" t="s">
        <v>723</v>
      </c>
      <c r="I273" s="433"/>
      <c r="J273" s="276" t="s">
        <v>721</v>
      </c>
      <c r="K273" s="276" t="s">
        <v>61</v>
      </c>
      <c r="L273" s="300">
        <v>44593</v>
      </c>
      <c r="M273" s="300">
        <v>44925</v>
      </c>
      <c r="N273" s="300">
        <v>44652</v>
      </c>
      <c r="O273" s="301">
        <f t="shared" si="13"/>
        <v>0.17771084337349397</v>
      </c>
      <c r="P273" s="301">
        <f t="shared" si="14"/>
        <v>0.17771084337349397</v>
      </c>
      <c r="Q273" s="302">
        <v>1</v>
      </c>
      <c r="R273" s="303">
        <v>0.25</v>
      </c>
      <c r="S273" s="303">
        <v>0.5</v>
      </c>
      <c r="T273" s="303">
        <v>0.75</v>
      </c>
      <c r="U273" s="303">
        <v>1</v>
      </c>
      <c r="V273" s="303"/>
      <c r="W273" s="383"/>
      <c r="X273" s="302"/>
      <c r="Y273" s="305"/>
      <c r="Z273" s="306"/>
      <c r="AA273" s="307"/>
      <c r="AB273" s="307"/>
      <c r="AC273" s="306"/>
      <c r="AD273" s="307"/>
      <c r="AE273" s="307"/>
      <c r="AF273" s="306"/>
      <c r="AG273" s="307"/>
      <c r="AH273" s="307"/>
      <c r="AI273" s="308"/>
    </row>
    <row r="274" spans="1:35" ht="56.25" customHeight="1" outlineLevel="1" x14ac:dyDescent="0.2">
      <c r="A274" s="527"/>
      <c r="B274" s="433"/>
      <c r="C274" s="433"/>
      <c r="D274" s="449"/>
      <c r="E274" s="619"/>
      <c r="F274" s="619"/>
      <c r="G274" s="432" t="s">
        <v>724</v>
      </c>
      <c r="H274" s="271" t="s">
        <v>725</v>
      </c>
      <c r="I274" s="433"/>
      <c r="J274" s="276"/>
      <c r="K274" s="276" t="s">
        <v>61</v>
      </c>
      <c r="L274" s="300">
        <v>44593</v>
      </c>
      <c r="M274" s="300">
        <v>44925</v>
      </c>
      <c r="N274" s="300">
        <v>44652</v>
      </c>
      <c r="O274" s="301">
        <f t="shared" si="13"/>
        <v>0.17771084337349397</v>
      </c>
      <c r="P274" s="301">
        <f t="shared" si="14"/>
        <v>0.17771084337349397</v>
      </c>
      <c r="Q274" s="302">
        <v>1</v>
      </c>
      <c r="R274" s="303">
        <v>0.25</v>
      </c>
      <c r="S274" s="303">
        <v>0.5</v>
      </c>
      <c r="T274" s="303">
        <v>0.75</v>
      </c>
      <c r="U274" s="303">
        <v>1</v>
      </c>
      <c r="V274" s="303"/>
      <c r="W274" s="383"/>
      <c r="X274" s="302"/>
      <c r="Y274" s="305"/>
      <c r="Z274" s="306"/>
      <c r="AA274" s="307"/>
      <c r="AB274" s="307"/>
      <c r="AC274" s="306"/>
      <c r="AD274" s="307"/>
      <c r="AE274" s="307"/>
      <c r="AF274" s="306"/>
      <c r="AG274" s="307"/>
      <c r="AH274" s="307"/>
      <c r="AI274" s="308"/>
    </row>
    <row r="275" spans="1:35" ht="46.5" customHeight="1" outlineLevel="1" x14ac:dyDescent="0.2">
      <c r="A275" s="527"/>
      <c r="B275" s="433"/>
      <c r="C275" s="433"/>
      <c r="D275" s="449"/>
      <c r="E275" s="619"/>
      <c r="F275" s="619"/>
      <c r="G275" s="434"/>
      <c r="H275" s="271" t="s">
        <v>726</v>
      </c>
      <c r="I275" s="433"/>
      <c r="J275" s="276" t="s">
        <v>727</v>
      </c>
      <c r="K275" s="399">
        <v>14000000</v>
      </c>
      <c r="L275" s="300">
        <v>44593</v>
      </c>
      <c r="M275" s="300">
        <v>44925</v>
      </c>
      <c r="N275" s="300">
        <v>44652</v>
      </c>
      <c r="O275" s="301">
        <f t="shared" si="13"/>
        <v>0.17771084337349397</v>
      </c>
      <c r="P275" s="301">
        <f t="shared" si="14"/>
        <v>0.17771084337349397</v>
      </c>
      <c r="Q275" s="302">
        <v>1</v>
      </c>
      <c r="R275" s="303">
        <v>0.25</v>
      </c>
      <c r="S275" s="303">
        <v>0.5</v>
      </c>
      <c r="T275" s="303">
        <v>0.75</v>
      </c>
      <c r="U275" s="303">
        <v>1</v>
      </c>
      <c r="V275" s="303"/>
      <c r="W275" s="383"/>
      <c r="X275" s="302"/>
      <c r="Y275" s="305"/>
      <c r="Z275" s="306"/>
      <c r="AA275" s="307"/>
      <c r="AB275" s="307"/>
      <c r="AC275" s="306"/>
      <c r="AD275" s="307"/>
      <c r="AE275" s="307"/>
      <c r="AF275" s="306"/>
      <c r="AG275" s="307"/>
      <c r="AH275" s="307"/>
      <c r="AI275" s="308"/>
    </row>
    <row r="276" spans="1:35" ht="43.15" customHeight="1" outlineLevel="1" x14ac:dyDescent="0.2">
      <c r="A276" s="527"/>
      <c r="B276" s="433"/>
      <c r="C276" s="433"/>
      <c r="D276" s="449"/>
      <c r="E276" s="619"/>
      <c r="F276" s="619"/>
      <c r="G276" s="271" t="s">
        <v>728</v>
      </c>
      <c r="H276" s="271" t="s">
        <v>729</v>
      </c>
      <c r="I276" s="433"/>
      <c r="J276" s="276"/>
      <c r="K276" s="399">
        <v>59000000</v>
      </c>
      <c r="L276" s="300">
        <v>44593</v>
      </c>
      <c r="M276" s="300">
        <v>44925</v>
      </c>
      <c r="N276" s="300">
        <v>44652</v>
      </c>
      <c r="O276" s="301">
        <f t="shared" si="13"/>
        <v>0.17771084337349397</v>
      </c>
      <c r="P276" s="301">
        <f t="shared" si="14"/>
        <v>0.17771084337349397</v>
      </c>
      <c r="Q276" s="302">
        <v>1</v>
      </c>
      <c r="R276" s="303">
        <v>0.25</v>
      </c>
      <c r="S276" s="303">
        <v>0.5</v>
      </c>
      <c r="T276" s="303">
        <v>0.75</v>
      </c>
      <c r="U276" s="303">
        <v>1</v>
      </c>
      <c r="V276" s="303"/>
      <c r="W276" s="383"/>
      <c r="X276" s="302"/>
      <c r="Y276" s="305"/>
      <c r="Z276" s="306"/>
      <c r="AA276" s="307"/>
      <c r="AB276" s="307"/>
      <c r="AC276" s="306"/>
      <c r="AD276" s="307"/>
      <c r="AE276" s="307"/>
      <c r="AF276" s="306"/>
      <c r="AG276" s="307"/>
      <c r="AH276" s="307"/>
      <c r="AI276" s="308"/>
    </row>
    <row r="277" spans="1:35" ht="94.5" customHeight="1" outlineLevel="1" x14ac:dyDescent="0.2">
      <c r="A277" s="527"/>
      <c r="B277" s="433"/>
      <c r="C277" s="433"/>
      <c r="D277" s="449"/>
      <c r="E277" s="619"/>
      <c r="F277" s="619"/>
      <c r="G277" s="432" t="s">
        <v>730</v>
      </c>
      <c r="H277" s="271" t="s">
        <v>731</v>
      </c>
      <c r="I277" s="433"/>
      <c r="J277" s="276"/>
      <c r="K277" s="399">
        <v>42000000</v>
      </c>
      <c r="L277" s="300">
        <v>44593</v>
      </c>
      <c r="M277" s="300">
        <v>44925</v>
      </c>
      <c r="N277" s="300">
        <v>44652</v>
      </c>
      <c r="O277" s="301">
        <f t="shared" si="13"/>
        <v>0.17771084337349397</v>
      </c>
      <c r="P277" s="301">
        <f t="shared" si="14"/>
        <v>0.17771084337349397</v>
      </c>
      <c r="Q277" s="302">
        <v>1</v>
      </c>
      <c r="R277" s="303">
        <v>0.25</v>
      </c>
      <c r="S277" s="303">
        <v>0.5</v>
      </c>
      <c r="T277" s="303">
        <v>0.75</v>
      </c>
      <c r="U277" s="303">
        <v>1</v>
      </c>
      <c r="V277" s="303"/>
      <c r="W277" s="383"/>
      <c r="X277" s="302"/>
      <c r="Y277" s="305"/>
      <c r="Z277" s="306"/>
      <c r="AA277" s="307"/>
      <c r="AB277" s="307"/>
      <c r="AC277" s="306"/>
      <c r="AD277" s="307"/>
      <c r="AE277" s="307"/>
      <c r="AF277" s="306"/>
      <c r="AG277" s="307"/>
      <c r="AH277" s="307"/>
      <c r="AI277" s="308"/>
    </row>
    <row r="278" spans="1:35" ht="112.5" customHeight="1" outlineLevel="1" x14ac:dyDescent="0.2">
      <c r="A278" s="527"/>
      <c r="B278" s="433"/>
      <c r="C278" s="433"/>
      <c r="D278" s="449"/>
      <c r="E278" s="619"/>
      <c r="F278" s="619"/>
      <c r="G278" s="433"/>
      <c r="H278" s="271" t="s">
        <v>732</v>
      </c>
      <c r="I278" s="433"/>
      <c r="J278" s="276"/>
      <c r="K278" s="399">
        <v>51500000</v>
      </c>
      <c r="L278" s="300">
        <v>44593</v>
      </c>
      <c r="M278" s="300">
        <v>44925</v>
      </c>
      <c r="N278" s="300">
        <v>44652</v>
      </c>
      <c r="O278" s="301">
        <f t="shared" si="13"/>
        <v>0.17771084337349397</v>
      </c>
      <c r="P278" s="301">
        <f t="shared" si="14"/>
        <v>0.17771084337349397</v>
      </c>
      <c r="Q278" s="302">
        <v>1</v>
      </c>
      <c r="R278" s="303">
        <v>0.25</v>
      </c>
      <c r="S278" s="303">
        <v>0.5</v>
      </c>
      <c r="T278" s="303">
        <v>0.75</v>
      </c>
      <c r="U278" s="303">
        <v>1</v>
      </c>
      <c r="V278" s="303"/>
      <c r="W278" s="383"/>
      <c r="X278" s="302"/>
      <c r="Y278" s="305"/>
      <c r="Z278" s="306"/>
      <c r="AA278" s="307"/>
      <c r="AB278" s="307"/>
      <c r="AC278" s="306"/>
      <c r="AD278" s="307"/>
      <c r="AE278" s="307"/>
      <c r="AF278" s="306"/>
      <c r="AG278" s="307"/>
      <c r="AH278" s="307"/>
      <c r="AI278" s="308"/>
    </row>
    <row r="279" spans="1:35" ht="36.6" customHeight="1" outlineLevel="1" x14ac:dyDescent="0.2">
      <c r="A279" s="527"/>
      <c r="B279" s="433"/>
      <c r="C279" s="434"/>
      <c r="D279" s="449"/>
      <c r="E279" s="576"/>
      <c r="F279" s="576"/>
      <c r="G279" s="434"/>
      <c r="H279" s="271" t="s">
        <v>733</v>
      </c>
      <c r="I279" s="434"/>
      <c r="J279" s="276"/>
      <c r="K279" s="276" t="s">
        <v>61</v>
      </c>
      <c r="L279" s="300">
        <v>44593</v>
      </c>
      <c r="M279" s="300">
        <v>44925</v>
      </c>
      <c r="N279" s="300">
        <v>44652</v>
      </c>
      <c r="O279" s="301">
        <f t="shared" si="13"/>
        <v>0.17771084337349397</v>
      </c>
      <c r="P279" s="301">
        <f t="shared" si="14"/>
        <v>0.17771084337349397</v>
      </c>
      <c r="Q279" s="302">
        <v>1</v>
      </c>
      <c r="R279" s="303">
        <v>0.25</v>
      </c>
      <c r="S279" s="303">
        <v>0.5</v>
      </c>
      <c r="T279" s="303">
        <v>0.75</v>
      </c>
      <c r="U279" s="303">
        <v>1</v>
      </c>
      <c r="V279" s="303"/>
      <c r="W279" s="383"/>
      <c r="X279" s="302"/>
      <c r="Y279" s="305"/>
      <c r="Z279" s="306"/>
      <c r="AA279" s="307"/>
      <c r="AB279" s="307"/>
      <c r="AC279" s="306"/>
      <c r="AD279" s="307"/>
      <c r="AE279" s="307"/>
      <c r="AF279" s="306"/>
      <c r="AG279" s="307"/>
      <c r="AH279" s="307"/>
      <c r="AI279" s="308"/>
    </row>
    <row r="280" spans="1:35" ht="36.6" customHeight="1" outlineLevel="1" x14ac:dyDescent="0.2">
      <c r="A280" s="527"/>
      <c r="B280" s="271" t="s">
        <v>207</v>
      </c>
      <c r="C280" s="271" t="s">
        <v>215</v>
      </c>
      <c r="D280" s="472"/>
      <c r="E280" s="333" t="s">
        <v>734</v>
      </c>
      <c r="F280" s="362" t="s">
        <v>735</v>
      </c>
      <c r="G280" s="271" t="s">
        <v>736</v>
      </c>
      <c r="H280" s="271" t="s">
        <v>737</v>
      </c>
      <c r="I280" s="271" t="s">
        <v>738</v>
      </c>
      <c r="J280" s="276" t="s">
        <v>739</v>
      </c>
      <c r="K280" s="276" t="s">
        <v>61</v>
      </c>
      <c r="L280" s="300">
        <v>44593</v>
      </c>
      <c r="M280" s="300">
        <v>44925</v>
      </c>
      <c r="N280" s="300">
        <v>44652</v>
      </c>
      <c r="O280" s="301">
        <f t="shared" si="13"/>
        <v>0.17771084337349397</v>
      </c>
      <c r="P280" s="301">
        <f>+IF(O280&gt;=100,100,IF(O280&lt;=0,0,O280))</f>
        <v>0.17771084337349397</v>
      </c>
      <c r="Q280" s="302">
        <v>0.5</v>
      </c>
      <c r="R280" s="303">
        <v>0.3</v>
      </c>
      <c r="S280" s="303">
        <v>0.35</v>
      </c>
      <c r="T280" s="303">
        <v>0.34</v>
      </c>
      <c r="U280" s="303">
        <v>0.5</v>
      </c>
      <c r="V280" s="318"/>
      <c r="W280" s="383"/>
      <c r="X280" s="302"/>
      <c r="Y280" s="305"/>
      <c r="Z280" s="306"/>
      <c r="AA280" s="307"/>
      <c r="AB280" s="307"/>
      <c r="AC280" s="306"/>
      <c r="AD280" s="307"/>
      <c r="AE280" s="307"/>
      <c r="AF280" s="306"/>
      <c r="AG280" s="307"/>
      <c r="AH280" s="307"/>
      <c r="AI280" s="308"/>
    </row>
    <row r="281" spans="1:35" ht="70.150000000000006" customHeight="1" outlineLevel="1" x14ac:dyDescent="0.2">
      <c r="A281" s="527"/>
      <c r="B281" s="432" t="s">
        <v>52</v>
      </c>
      <c r="C281" s="432" t="s">
        <v>740</v>
      </c>
      <c r="D281" s="555" t="s">
        <v>7</v>
      </c>
      <c r="E281" s="269" t="s">
        <v>741</v>
      </c>
      <c r="F281" s="269" t="s">
        <v>742</v>
      </c>
      <c r="G281" s="266" t="s">
        <v>743</v>
      </c>
      <c r="H281" s="266" t="s">
        <v>744</v>
      </c>
      <c r="I281" s="266" t="s">
        <v>745</v>
      </c>
      <c r="J281" s="12" t="s">
        <v>746</v>
      </c>
      <c r="K281" s="399">
        <v>250000000</v>
      </c>
      <c r="L281" s="300">
        <v>44593</v>
      </c>
      <c r="M281" s="300">
        <v>44925</v>
      </c>
      <c r="N281" s="300">
        <v>44652</v>
      </c>
      <c r="O281" s="301">
        <f t="shared" si="13"/>
        <v>0.17771084337349397</v>
      </c>
      <c r="P281" s="301">
        <f t="shared" si="14"/>
        <v>0.17771084337349397</v>
      </c>
      <c r="Q281" s="302">
        <v>0.6</v>
      </c>
      <c r="R281" s="303">
        <v>0.3</v>
      </c>
      <c r="S281" s="303">
        <v>0.4</v>
      </c>
      <c r="T281" s="303">
        <v>0.5</v>
      </c>
      <c r="U281" s="303">
        <v>0.6</v>
      </c>
      <c r="V281" s="303"/>
      <c r="W281" s="383"/>
      <c r="X281" s="302"/>
      <c r="Y281" s="305"/>
      <c r="Z281" s="306"/>
      <c r="AA281" s="307"/>
      <c r="AB281" s="307"/>
      <c r="AC281" s="306"/>
      <c r="AD281" s="307"/>
      <c r="AE281" s="307"/>
      <c r="AF281" s="306"/>
      <c r="AG281" s="307"/>
      <c r="AH281" s="307"/>
      <c r="AI281" s="308"/>
    </row>
    <row r="282" spans="1:35" ht="70.150000000000006" customHeight="1" outlineLevel="1" x14ac:dyDescent="0.2">
      <c r="A282" s="527"/>
      <c r="B282" s="433"/>
      <c r="C282" s="433"/>
      <c r="D282" s="556"/>
      <c r="E282" s="460" t="s">
        <v>747</v>
      </c>
      <c r="F282" s="460" t="s">
        <v>157</v>
      </c>
      <c r="G282" s="266" t="s">
        <v>748</v>
      </c>
      <c r="H282" s="266" t="s">
        <v>749</v>
      </c>
      <c r="I282" s="543" t="s">
        <v>160</v>
      </c>
      <c r="J282" s="12" t="s">
        <v>750</v>
      </c>
      <c r="K282" s="399">
        <v>190556437.5</v>
      </c>
      <c r="L282" s="300">
        <v>44593</v>
      </c>
      <c r="M282" s="300">
        <v>44925</v>
      </c>
      <c r="N282" s="300">
        <v>44652</v>
      </c>
      <c r="O282" s="301">
        <f t="shared" si="13"/>
        <v>0.17771084337349397</v>
      </c>
      <c r="P282" s="301">
        <f t="shared" ref="P282:P283" si="15">+IF(O282&gt;=100,100,IF(O282&lt;=0,0,O282))</f>
        <v>0.17771084337349397</v>
      </c>
      <c r="Q282" s="302">
        <v>1</v>
      </c>
      <c r="R282" s="303">
        <v>0.25</v>
      </c>
      <c r="S282" s="303">
        <v>0.5</v>
      </c>
      <c r="T282" s="303">
        <v>0.75</v>
      </c>
      <c r="U282" s="303">
        <v>1</v>
      </c>
      <c r="V282" s="303"/>
      <c r="W282" s="383"/>
      <c r="X282" s="302"/>
      <c r="Y282" s="305"/>
      <c r="Z282" s="306"/>
      <c r="AA282" s="307"/>
      <c r="AB282" s="307"/>
      <c r="AC282" s="306"/>
      <c r="AD282" s="307"/>
      <c r="AE282" s="307"/>
      <c r="AF282" s="306"/>
      <c r="AG282" s="307"/>
      <c r="AH282" s="307"/>
      <c r="AI282" s="308"/>
    </row>
    <row r="283" spans="1:35" ht="70.150000000000006" customHeight="1" outlineLevel="1" x14ac:dyDescent="0.2">
      <c r="A283" s="527"/>
      <c r="B283" s="433"/>
      <c r="C283" s="433"/>
      <c r="D283" s="556"/>
      <c r="E283" s="461"/>
      <c r="F283" s="461"/>
      <c r="G283" s="266" t="s">
        <v>748</v>
      </c>
      <c r="H283" s="266" t="s">
        <v>751</v>
      </c>
      <c r="I283" s="544"/>
      <c r="J283" s="12" t="s">
        <v>752</v>
      </c>
      <c r="K283" s="399">
        <v>76222575</v>
      </c>
      <c r="L283" s="300">
        <v>44593</v>
      </c>
      <c r="M283" s="300">
        <v>44925</v>
      </c>
      <c r="N283" s="300">
        <v>44652</v>
      </c>
      <c r="O283" s="301">
        <f t="shared" si="13"/>
        <v>0.17771084337349397</v>
      </c>
      <c r="P283" s="301">
        <f t="shared" si="15"/>
        <v>0.17771084337349397</v>
      </c>
      <c r="Q283" s="302">
        <v>1</v>
      </c>
      <c r="R283" s="303">
        <v>0.25</v>
      </c>
      <c r="S283" s="303">
        <v>0.5</v>
      </c>
      <c r="T283" s="303">
        <v>0.75</v>
      </c>
      <c r="U283" s="303">
        <v>1</v>
      </c>
      <c r="V283" s="303"/>
      <c r="W283" s="383"/>
      <c r="X283" s="302"/>
      <c r="Y283" s="305"/>
      <c r="Z283" s="306"/>
      <c r="AA283" s="307"/>
      <c r="AB283" s="307"/>
      <c r="AC283" s="306"/>
      <c r="AD283" s="307"/>
      <c r="AE283" s="307"/>
      <c r="AF283" s="306"/>
      <c r="AG283" s="307"/>
      <c r="AH283" s="307"/>
      <c r="AI283" s="308"/>
    </row>
    <row r="284" spans="1:35" ht="90" customHeight="1" outlineLevel="1" x14ac:dyDescent="0.2">
      <c r="A284" s="527"/>
      <c r="B284" s="433"/>
      <c r="C284" s="433"/>
      <c r="D284" s="556"/>
      <c r="E284" s="460" t="s">
        <v>753</v>
      </c>
      <c r="F284" s="460" t="s">
        <v>754</v>
      </c>
      <c r="G284" s="266" t="s">
        <v>755</v>
      </c>
      <c r="H284" s="266" t="s">
        <v>756</v>
      </c>
      <c r="I284" s="266" t="s">
        <v>757</v>
      </c>
      <c r="J284" s="12" t="s">
        <v>378</v>
      </c>
      <c r="K284" s="12" t="s">
        <v>378</v>
      </c>
      <c r="L284" s="300">
        <v>44593</v>
      </c>
      <c r="M284" s="300">
        <v>44925</v>
      </c>
      <c r="N284" s="300">
        <v>44652</v>
      </c>
      <c r="O284" s="301">
        <f t="shared" si="13"/>
        <v>0.17771084337349397</v>
      </c>
      <c r="P284" s="301">
        <f t="shared" si="14"/>
        <v>0.17771084337349397</v>
      </c>
      <c r="Q284" s="302">
        <v>1</v>
      </c>
      <c r="R284" s="303">
        <v>0.35</v>
      </c>
      <c r="S284" s="303">
        <v>0.45</v>
      </c>
      <c r="T284" s="303">
        <v>0.55000000000000004</v>
      </c>
      <c r="U284" s="303">
        <v>0.6</v>
      </c>
      <c r="V284" s="303">
        <v>0.4</v>
      </c>
      <c r="W284" s="383"/>
      <c r="X284" s="302"/>
      <c r="Y284" s="305"/>
      <c r="Z284" s="306"/>
      <c r="AA284" s="307"/>
      <c r="AB284" s="307"/>
      <c r="AC284" s="306"/>
      <c r="AD284" s="307"/>
      <c r="AE284" s="307"/>
      <c r="AF284" s="306"/>
      <c r="AG284" s="307"/>
      <c r="AH284" s="307"/>
      <c r="AI284" s="308"/>
    </row>
    <row r="285" spans="1:35" ht="90" customHeight="1" outlineLevel="1" x14ac:dyDescent="0.2">
      <c r="A285" s="527"/>
      <c r="B285" s="433"/>
      <c r="C285" s="434"/>
      <c r="D285" s="556"/>
      <c r="E285" s="461"/>
      <c r="F285" s="461"/>
      <c r="G285" s="266" t="s">
        <v>758</v>
      </c>
      <c r="H285" s="266" t="s">
        <v>759</v>
      </c>
      <c r="I285" s="266" t="s">
        <v>760</v>
      </c>
      <c r="J285" s="12" t="s">
        <v>761</v>
      </c>
      <c r="K285" s="12" t="s">
        <v>378</v>
      </c>
      <c r="L285" s="300">
        <v>44593</v>
      </c>
      <c r="M285" s="300">
        <v>44925</v>
      </c>
      <c r="N285" s="300">
        <v>44652</v>
      </c>
      <c r="O285" s="301">
        <f t="shared" si="13"/>
        <v>0.17771084337349397</v>
      </c>
      <c r="P285" s="301">
        <f t="shared" ref="P285" si="16">+IF(O285&gt;=100,100,IF(O285&lt;=0,0,O285))</f>
        <v>0.17771084337349397</v>
      </c>
      <c r="Q285" s="302">
        <v>0.6</v>
      </c>
      <c r="R285" s="303">
        <v>0.35</v>
      </c>
      <c r="S285" s="303">
        <v>0.45</v>
      </c>
      <c r="T285" s="303">
        <v>0.55000000000000004</v>
      </c>
      <c r="U285" s="303">
        <v>0.6</v>
      </c>
      <c r="V285" s="303"/>
      <c r="W285" s="383"/>
      <c r="X285" s="302"/>
      <c r="Y285" s="305"/>
      <c r="Z285" s="306"/>
      <c r="AA285" s="307"/>
      <c r="AB285" s="307"/>
      <c r="AC285" s="306"/>
      <c r="AD285" s="307"/>
      <c r="AE285" s="307"/>
      <c r="AF285" s="306"/>
      <c r="AG285" s="307"/>
      <c r="AH285" s="307"/>
      <c r="AI285" s="308"/>
    </row>
    <row r="286" spans="1:35" ht="77.45" customHeight="1" outlineLevel="1" x14ac:dyDescent="0.2">
      <c r="A286" s="527"/>
      <c r="B286" s="433"/>
      <c r="C286" s="432" t="s">
        <v>658</v>
      </c>
      <c r="D286" s="556"/>
      <c r="E286" s="460" t="s">
        <v>199</v>
      </c>
      <c r="F286" s="269" t="s">
        <v>762</v>
      </c>
      <c r="G286" s="266" t="s">
        <v>378</v>
      </c>
      <c r="H286" s="266" t="s">
        <v>378</v>
      </c>
      <c r="I286" s="266" t="s">
        <v>202</v>
      </c>
      <c r="J286" s="276" t="s">
        <v>763</v>
      </c>
      <c r="K286" s="12" t="s">
        <v>378</v>
      </c>
      <c r="L286" s="300">
        <v>44593</v>
      </c>
      <c r="M286" s="300">
        <v>44925</v>
      </c>
      <c r="N286" s="300">
        <v>44652</v>
      </c>
      <c r="O286" s="301">
        <f t="shared" si="13"/>
        <v>0.17771084337349397</v>
      </c>
      <c r="P286" s="301">
        <f t="shared" si="14"/>
        <v>0.17771084337349397</v>
      </c>
      <c r="Q286" s="319">
        <v>0.25</v>
      </c>
      <c r="R286" s="303">
        <v>0.12</v>
      </c>
      <c r="S286" s="303">
        <v>0.18</v>
      </c>
      <c r="T286" s="303">
        <v>0.21</v>
      </c>
      <c r="U286" s="303">
        <v>0.25</v>
      </c>
      <c r="V286" s="303"/>
      <c r="W286" s="383"/>
      <c r="X286" s="302"/>
      <c r="Y286" s="305"/>
      <c r="Z286" s="306"/>
      <c r="AA286" s="307"/>
      <c r="AB286" s="307"/>
      <c r="AC286" s="306"/>
      <c r="AD286" s="307"/>
      <c r="AE286" s="307"/>
      <c r="AF286" s="306"/>
      <c r="AG286" s="307"/>
      <c r="AH286" s="307"/>
      <c r="AI286" s="308"/>
    </row>
    <row r="287" spans="1:35" ht="77.45" customHeight="1" outlineLevel="1" x14ac:dyDescent="0.2">
      <c r="A287" s="527"/>
      <c r="B287" s="434"/>
      <c r="C287" s="434"/>
      <c r="D287" s="556"/>
      <c r="E287" s="461"/>
      <c r="F287" s="269" t="s">
        <v>764</v>
      </c>
      <c r="G287" s="266" t="s">
        <v>378</v>
      </c>
      <c r="H287" s="266" t="s">
        <v>378</v>
      </c>
      <c r="I287" s="266" t="s">
        <v>212</v>
      </c>
      <c r="J287" s="276" t="s">
        <v>378</v>
      </c>
      <c r="K287" s="12" t="s">
        <v>378</v>
      </c>
      <c r="L287" s="300">
        <v>44593</v>
      </c>
      <c r="M287" s="300">
        <v>44925</v>
      </c>
      <c r="N287" s="300">
        <v>44652</v>
      </c>
      <c r="O287" s="301">
        <f t="shared" si="13"/>
        <v>0.17771084337349397</v>
      </c>
      <c r="P287" s="301">
        <f t="shared" si="14"/>
        <v>0.17771084337349397</v>
      </c>
      <c r="Q287" s="302">
        <v>0.15</v>
      </c>
      <c r="R287" s="303">
        <v>0.03</v>
      </c>
      <c r="S287" s="303">
        <v>0.06</v>
      </c>
      <c r="T287" s="303">
        <v>0.1</v>
      </c>
      <c r="U287" s="303">
        <v>0.15</v>
      </c>
      <c r="V287" s="303"/>
      <c r="W287" s="383"/>
      <c r="X287" s="302"/>
      <c r="Y287" s="305"/>
      <c r="Z287" s="306"/>
      <c r="AA287" s="307"/>
      <c r="AB287" s="307"/>
      <c r="AC287" s="306"/>
      <c r="AD287" s="307"/>
      <c r="AE287" s="307"/>
      <c r="AF287" s="306"/>
      <c r="AG287" s="307"/>
      <c r="AH287" s="307"/>
      <c r="AI287" s="308"/>
    </row>
    <row r="288" spans="1:35" ht="46.9" customHeight="1" outlineLevel="1" x14ac:dyDescent="0.2">
      <c r="A288" s="527"/>
      <c r="B288" s="432" t="s">
        <v>52</v>
      </c>
      <c r="C288" s="432" t="s">
        <v>765</v>
      </c>
      <c r="D288" s="462" t="s">
        <v>766</v>
      </c>
      <c r="E288" s="438" t="s">
        <v>597</v>
      </c>
      <c r="F288" s="438" t="s">
        <v>598</v>
      </c>
      <c r="G288" s="441" t="s">
        <v>57</v>
      </c>
      <c r="H288" s="272" t="s">
        <v>767</v>
      </c>
      <c r="I288" s="441" t="s">
        <v>600</v>
      </c>
      <c r="J288" s="505" t="s">
        <v>768</v>
      </c>
      <c r="K288" s="12" t="s">
        <v>378</v>
      </c>
      <c r="L288" s="300">
        <v>44593</v>
      </c>
      <c r="M288" s="300">
        <v>44925</v>
      </c>
      <c r="N288" s="300">
        <v>44652</v>
      </c>
      <c r="O288" s="301">
        <f t="shared" si="13"/>
        <v>0.17771084337349397</v>
      </c>
      <c r="P288" s="301">
        <f t="shared" si="14"/>
        <v>0.17771084337349397</v>
      </c>
      <c r="Q288" s="302">
        <v>0.5</v>
      </c>
      <c r="R288" s="303">
        <v>0.35</v>
      </c>
      <c r="S288" s="303">
        <v>0.4</v>
      </c>
      <c r="T288" s="303">
        <v>0.45</v>
      </c>
      <c r="U288" s="303">
        <v>0.5</v>
      </c>
      <c r="V288" s="303"/>
      <c r="W288" s="383"/>
      <c r="X288" s="302"/>
      <c r="Y288" s="305"/>
      <c r="Z288" s="306"/>
      <c r="AA288" s="307"/>
      <c r="AB288" s="307"/>
      <c r="AC288" s="306"/>
      <c r="AD288" s="307"/>
      <c r="AE288" s="307"/>
      <c r="AF288" s="306"/>
      <c r="AG288" s="307"/>
      <c r="AH288" s="307"/>
      <c r="AI288" s="308"/>
    </row>
    <row r="289" spans="1:35" ht="46.5" customHeight="1" outlineLevel="1" x14ac:dyDescent="0.2">
      <c r="A289" s="527"/>
      <c r="B289" s="433"/>
      <c r="C289" s="433"/>
      <c r="D289" s="524"/>
      <c r="E289" s="439"/>
      <c r="F289" s="439"/>
      <c r="G289" s="442"/>
      <c r="H289" s="272" t="s">
        <v>769</v>
      </c>
      <c r="I289" s="442"/>
      <c r="J289" s="506"/>
      <c r="K289" s="276" t="s">
        <v>116</v>
      </c>
      <c r="L289" s="300">
        <v>44593</v>
      </c>
      <c r="M289" s="300">
        <v>44925</v>
      </c>
      <c r="N289" s="300">
        <v>44652</v>
      </c>
      <c r="O289" s="301">
        <f t="shared" si="13"/>
        <v>0.17771084337349397</v>
      </c>
      <c r="P289" s="301">
        <f t="shared" si="14"/>
        <v>0.17771084337349397</v>
      </c>
      <c r="Q289" s="302">
        <v>1</v>
      </c>
      <c r="R289" s="303">
        <v>0.25</v>
      </c>
      <c r="S289" s="303">
        <v>0.5</v>
      </c>
      <c r="T289" s="303">
        <v>0.75</v>
      </c>
      <c r="U289" s="303">
        <v>1</v>
      </c>
      <c r="V289" s="303"/>
      <c r="W289" s="383"/>
      <c r="X289" s="302"/>
      <c r="Y289" s="305"/>
      <c r="Z289" s="306"/>
      <c r="AA289" s="307"/>
      <c r="AB289" s="307"/>
      <c r="AC289" s="306"/>
      <c r="AD289" s="307"/>
      <c r="AE289" s="307"/>
      <c r="AF289" s="306"/>
      <c r="AG289" s="307"/>
      <c r="AH289" s="307"/>
      <c r="AI289" s="308"/>
    </row>
    <row r="290" spans="1:35" ht="92.25" customHeight="1" outlineLevel="1" x14ac:dyDescent="0.2">
      <c r="A290" s="527"/>
      <c r="B290" s="433"/>
      <c r="C290" s="433"/>
      <c r="D290" s="524"/>
      <c r="E290" s="439"/>
      <c r="F290" s="440"/>
      <c r="G290" s="443"/>
      <c r="H290" s="272" t="s">
        <v>770</v>
      </c>
      <c r="I290" s="443"/>
      <c r="J290" s="507"/>
      <c r="K290" s="276" t="s">
        <v>116</v>
      </c>
      <c r="L290" s="300">
        <v>44593</v>
      </c>
      <c r="M290" s="300">
        <v>44925</v>
      </c>
      <c r="N290" s="300">
        <v>44652</v>
      </c>
      <c r="O290" s="301">
        <f t="shared" si="13"/>
        <v>0.17771084337349397</v>
      </c>
      <c r="P290" s="301">
        <f t="shared" si="14"/>
        <v>0.17771084337349397</v>
      </c>
      <c r="Q290" s="302">
        <v>1</v>
      </c>
      <c r="R290" s="303">
        <v>0.25</v>
      </c>
      <c r="S290" s="303">
        <v>0.5</v>
      </c>
      <c r="T290" s="303">
        <v>0.75</v>
      </c>
      <c r="U290" s="303">
        <v>1</v>
      </c>
      <c r="V290" s="303"/>
      <c r="W290" s="383"/>
      <c r="X290" s="302"/>
      <c r="Y290" s="305"/>
      <c r="Z290" s="306"/>
      <c r="AA290" s="307"/>
      <c r="AB290" s="307"/>
      <c r="AC290" s="306"/>
      <c r="AD290" s="307"/>
      <c r="AE290" s="307"/>
      <c r="AF290" s="306"/>
      <c r="AG290" s="307"/>
      <c r="AH290" s="307"/>
      <c r="AI290" s="308"/>
    </row>
    <row r="291" spans="1:35" ht="107.25" customHeight="1" outlineLevel="1" x14ac:dyDescent="0.2">
      <c r="A291" s="527"/>
      <c r="B291" s="434"/>
      <c r="C291" s="434"/>
      <c r="D291" s="524"/>
      <c r="E291" s="440"/>
      <c r="F291" s="278" t="s">
        <v>1353</v>
      </c>
      <c r="G291" s="272" t="s">
        <v>771</v>
      </c>
      <c r="H291" s="272" t="s">
        <v>772</v>
      </c>
      <c r="I291" s="272" t="s">
        <v>339</v>
      </c>
      <c r="J291" s="276" t="s">
        <v>773</v>
      </c>
      <c r="K291" s="276" t="s">
        <v>116</v>
      </c>
      <c r="L291" s="300">
        <v>44593</v>
      </c>
      <c r="M291" s="300">
        <v>44925</v>
      </c>
      <c r="N291" s="300">
        <v>44652</v>
      </c>
      <c r="O291" s="301">
        <f t="shared" si="13"/>
        <v>0.17771084337349397</v>
      </c>
      <c r="P291" s="301">
        <f t="shared" si="14"/>
        <v>0.17771084337349397</v>
      </c>
      <c r="Q291" s="302">
        <v>1</v>
      </c>
      <c r="R291" s="303">
        <v>0.25</v>
      </c>
      <c r="S291" s="303">
        <v>0.5</v>
      </c>
      <c r="T291" s="303">
        <v>0.75</v>
      </c>
      <c r="U291" s="303">
        <v>1</v>
      </c>
      <c r="V291" s="303"/>
      <c r="W291" s="383"/>
      <c r="X291" s="302"/>
      <c r="Y291" s="305"/>
      <c r="Z291" s="306"/>
      <c r="AA291" s="307"/>
      <c r="AB291" s="307"/>
      <c r="AC291" s="306"/>
      <c r="AD291" s="307"/>
      <c r="AE291" s="307"/>
      <c r="AF291" s="306"/>
      <c r="AG291" s="307"/>
      <c r="AH291" s="307"/>
      <c r="AI291" s="308"/>
    </row>
    <row r="292" spans="1:35" ht="54" customHeight="1" outlineLevel="1" x14ac:dyDescent="0.2">
      <c r="A292" s="527"/>
      <c r="B292" s="271" t="s">
        <v>207</v>
      </c>
      <c r="C292" s="271" t="s">
        <v>774</v>
      </c>
      <c r="D292" s="524"/>
      <c r="E292" s="278" t="s">
        <v>775</v>
      </c>
      <c r="F292" s="278" t="s">
        <v>776</v>
      </c>
      <c r="G292" s="272" t="s">
        <v>268</v>
      </c>
      <c r="H292" s="272" t="s">
        <v>777</v>
      </c>
      <c r="I292" s="272" t="s">
        <v>778</v>
      </c>
      <c r="J292" s="276" t="s">
        <v>779</v>
      </c>
      <c r="K292" s="276" t="s">
        <v>116</v>
      </c>
      <c r="L292" s="300">
        <v>44593</v>
      </c>
      <c r="M292" s="300">
        <v>44925</v>
      </c>
      <c r="N292" s="300">
        <v>44652</v>
      </c>
      <c r="O292" s="301">
        <f t="shared" si="13"/>
        <v>0.17771084337349397</v>
      </c>
      <c r="P292" s="301">
        <f t="shared" si="14"/>
        <v>0.17771084337349397</v>
      </c>
      <c r="Q292" s="302">
        <v>1</v>
      </c>
      <c r="R292" s="303">
        <v>0.25</v>
      </c>
      <c r="S292" s="303">
        <v>0.5</v>
      </c>
      <c r="T292" s="303">
        <v>0.75</v>
      </c>
      <c r="U292" s="303">
        <v>1</v>
      </c>
      <c r="V292" s="303"/>
      <c r="W292" s="383"/>
      <c r="X292" s="302"/>
      <c r="Y292" s="305"/>
      <c r="Z292" s="306"/>
      <c r="AA292" s="307"/>
      <c r="AB292" s="307"/>
      <c r="AC292" s="306"/>
      <c r="AD292" s="307"/>
      <c r="AE292" s="307"/>
      <c r="AF292" s="306"/>
      <c r="AG292" s="307"/>
      <c r="AH292" s="307"/>
      <c r="AI292" s="308"/>
    </row>
    <row r="293" spans="1:35" ht="54" customHeight="1" outlineLevel="1" x14ac:dyDescent="0.2">
      <c r="A293" s="527"/>
      <c r="B293" s="432" t="s">
        <v>52</v>
      </c>
      <c r="C293" s="432" t="s">
        <v>740</v>
      </c>
      <c r="D293" s="524"/>
      <c r="E293" s="278" t="s">
        <v>780</v>
      </c>
      <c r="F293" s="278" t="s">
        <v>157</v>
      </c>
      <c r="G293" s="272" t="s">
        <v>81</v>
      </c>
      <c r="H293" s="272" t="s">
        <v>781</v>
      </c>
      <c r="I293" s="272" t="s">
        <v>160</v>
      </c>
      <c r="J293" s="276" t="s">
        <v>782</v>
      </c>
      <c r="K293" s="276" t="s">
        <v>116</v>
      </c>
      <c r="L293" s="300">
        <v>44593</v>
      </c>
      <c r="M293" s="300">
        <v>44925</v>
      </c>
      <c r="N293" s="300">
        <v>44652</v>
      </c>
      <c r="O293" s="301">
        <f t="shared" si="13"/>
        <v>0.17771084337349397</v>
      </c>
      <c r="P293" s="301">
        <f t="shared" ref="P293:P295" si="17">+IF(O293&gt;=100,100,IF(O293&lt;=0,0,O293))</f>
        <v>0.17771084337349397</v>
      </c>
      <c r="Q293" s="302">
        <v>1</v>
      </c>
      <c r="R293" s="303">
        <v>0.25</v>
      </c>
      <c r="S293" s="303">
        <v>0.5</v>
      </c>
      <c r="T293" s="303">
        <v>0.75</v>
      </c>
      <c r="U293" s="303">
        <v>1</v>
      </c>
      <c r="V293" s="303"/>
      <c r="W293" s="383"/>
      <c r="X293" s="302"/>
      <c r="Y293" s="305"/>
      <c r="Z293" s="306"/>
      <c r="AA293" s="307"/>
      <c r="AB293" s="307"/>
      <c r="AC293" s="306"/>
      <c r="AD293" s="307"/>
      <c r="AE293" s="307"/>
      <c r="AF293" s="306"/>
      <c r="AG293" s="307"/>
      <c r="AH293" s="307"/>
      <c r="AI293" s="308"/>
    </row>
    <row r="294" spans="1:35" ht="112.5" customHeight="1" outlineLevel="1" x14ac:dyDescent="0.2">
      <c r="A294" s="527"/>
      <c r="B294" s="433"/>
      <c r="C294" s="433"/>
      <c r="D294" s="524"/>
      <c r="E294" s="278" t="s">
        <v>783</v>
      </c>
      <c r="F294" s="278" t="s">
        <v>56</v>
      </c>
      <c r="G294" s="272" t="s">
        <v>81</v>
      </c>
      <c r="H294" s="272" t="s">
        <v>784</v>
      </c>
      <c r="I294" s="272" t="s">
        <v>785</v>
      </c>
      <c r="J294" s="276" t="s">
        <v>340</v>
      </c>
      <c r="K294" s="276" t="s">
        <v>116</v>
      </c>
      <c r="L294" s="300">
        <v>44593</v>
      </c>
      <c r="M294" s="300">
        <v>44925</v>
      </c>
      <c r="N294" s="300">
        <v>44652</v>
      </c>
      <c r="O294" s="301">
        <f t="shared" si="13"/>
        <v>0.17771084337349397</v>
      </c>
      <c r="P294" s="301">
        <f t="shared" si="17"/>
        <v>0.17771084337349397</v>
      </c>
      <c r="Q294" s="302">
        <v>1</v>
      </c>
      <c r="R294" s="303">
        <v>0.25</v>
      </c>
      <c r="S294" s="303">
        <v>0.5</v>
      </c>
      <c r="T294" s="303">
        <v>0.75</v>
      </c>
      <c r="U294" s="303">
        <v>1</v>
      </c>
      <c r="V294" s="303"/>
      <c r="W294" s="383"/>
      <c r="X294" s="302"/>
      <c r="Y294" s="305"/>
      <c r="Z294" s="306"/>
      <c r="AA294" s="307"/>
      <c r="AB294" s="307"/>
      <c r="AC294" s="306"/>
      <c r="AD294" s="307"/>
      <c r="AE294" s="307"/>
      <c r="AF294" s="306"/>
      <c r="AG294" s="307"/>
      <c r="AH294" s="307"/>
      <c r="AI294" s="308"/>
    </row>
    <row r="295" spans="1:35" ht="54" customHeight="1" outlineLevel="1" x14ac:dyDescent="0.2">
      <c r="A295" s="527"/>
      <c r="B295" s="433"/>
      <c r="C295" s="433"/>
      <c r="D295" s="524"/>
      <c r="E295" s="278" t="s">
        <v>753</v>
      </c>
      <c r="F295" s="278" t="s">
        <v>754</v>
      </c>
      <c r="G295" s="272" t="s">
        <v>786</v>
      </c>
      <c r="H295" s="272" t="s">
        <v>787</v>
      </c>
      <c r="I295" s="272" t="s">
        <v>788</v>
      </c>
      <c r="J295" s="276" t="s">
        <v>789</v>
      </c>
      <c r="K295" s="276" t="s">
        <v>116</v>
      </c>
      <c r="L295" s="300">
        <v>44593</v>
      </c>
      <c r="M295" s="300">
        <v>44925</v>
      </c>
      <c r="N295" s="300">
        <v>44652</v>
      </c>
      <c r="O295" s="301">
        <f t="shared" si="13"/>
        <v>0.17771084337349397</v>
      </c>
      <c r="P295" s="301">
        <f t="shared" si="17"/>
        <v>0.17771084337349397</v>
      </c>
      <c r="Q295" s="302">
        <v>1</v>
      </c>
      <c r="R295" s="303">
        <v>0.25</v>
      </c>
      <c r="S295" s="303">
        <v>0.5</v>
      </c>
      <c r="T295" s="303">
        <v>0.75</v>
      </c>
      <c r="U295" s="303">
        <v>1</v>
      </c>
      <c r="V295" s="303"/>
      <c r="W295" s="383"/>
      <c r="X295" s="302"/>
      <c r="Y295" s="305"/>
      <c r="Z295" s="306"/>
      <c r="AA295" s="307"/>
      <c r="AB295" s="307"/>
      <c r="AC295" s="306"/>
      <c r="AD295" s="307"/>
      <c r="AE295" s="307"/>
      <c r="AF295" s="306"/>
      <c r="AG295" s="307"/>
      <c r="AH295" s="307"/>
      <c r="AI295" s="308"/>
    </row>
    <row r="296" spans="1:35" ht="168.75" customHeight="1" outlineLevel="1" x14ac:dyDescent="0.2">
      <c r="A296" s="527"/>
      <c r="B296" s="433"/>
      <c r="C296" s="434"/>
      <c r="D296" s="524"/>
      <c r="E296" s="278" t="s">
        <v>790</v>
      </c>
      <c r="F296" s="278" t="s">
        <v>1354</v>
      </c>
      <c r="G296" s="272" t="s">
        <v>786</v>
      </c>
      <c r="H296" s="272" t="s">
        <v>791</v>
      </c>
      <c r="I296" s="272" t="s">
        <v>792</v>
      </c>
      <c r="J296" s="276" t="s">
        <v>793</v>
      </c>
      <c r="K296" s="276" t="s">
        <v>116</v>
      </c>
      <c r="L296" s="300">
        <v>44593</v>
      </c>
      <c r="M296" s="300">
        <v>44925</v>
      </c>
      <c r="N296" s="300">
        <v>44652</v>
      </c>
      <c r="O296" s="301">
        <f t="shared" si="13"/>
        <v>0.17771084337349397</v>
      </c>
      <c r="P296" s="301">
        <f t="shared" si="14"/>
        <v>0.17771084337349397</v>
      </c>
      <c r="Q296" s="302">
        <v>1</v>
      </c>
      <c r="R296" s="303">
        <v>0.25</v>
      </c>
      <c r="S296" s="303">
        <v>0.5</v>
      </c>
      <c r="T296" s="303">
        <v>0.75</v>
      </c>
      <c r="U296" s="303">
        <v>1</v>
      </c>
      <c r="V296" s="303"/>
      <c r="W296" s="383"/>
      <c r="X296" s="302"/>
      <c r="Y296" s="305"/>
      <c r="Z296" s="306"/>
      <c r="AA296" s="307"/>
      <c r="AB296" s="307"/>
      <c r="AC296" s="306"/>
      <c r="AD296" s="307"/>
      <c r="AE296" s="307"/>
      <c r="AF296" s="306"/>
      <c r="AG296" s="307"/>
      <c r="AH296" s="307"/>
      <c r="AI296" s="308"/>
    </row>
    <row r="297" spans="1:35" ht="93.75" customHeight="1" outlineLevel="1" x14ac:dyDescent="0.2">
      <c r="A297" s="527"/>
      <c r="B297" s="433"/>
      <c r="C297" s="432" t="s">
        <v>794</v>
      </c>
      <c r="D297" s="524"/>
      <c r="E297" s="438" t="s">
        <v>795</v>
      </c>
      <c r="F297" s="438" t="s">
        <v>108</v>
      </c>
      <c r="G297" s="441" t="s">
        <v>796</v>
      </c>
      <c r="H297" s="272" t="s">
        <v>797</v>
      </c>
      <c r="I297" s="272" t="s">
        <v>110</v>
      </c>
      <c r="J297" s="276" t="s">
        <v>798</v>
      </c>
      <c r="K297" s="276" t="s">
        <v>116</v>
      </c>
      <c r="L297" s="300">
        <v>44593</v>
      </c>
      <c r="M297" s="300">
        <v>44925</v>
      </c>
      <c r="N297" s="300">
        <v>44652</v>
      </c>
      <c r="O297" s="301">
        <f t="shared" ref="O297:O360" si="18">+(+_xlfn.DAYS(L297,N297))/(+_xlfn.DAYS(L297,M297))</f>
        <v>0.17771084337349397</v>
      </c>
      <c r="P297" s="301">
        <f t="shared" ref="P297:P303" si="19">+IF(O297&gt;=100,100,IF(O297&lt;=0,0,O297))</f>
        <v>0.17771084337349397</v>
      </c>
      <c r="Q297" s="302">
        <v>1</v>
      </c>
      <c r="R297" s="303">
        <v>0.25</v>
      </c>
      <c r="S297" s="303">
        <v>0.5</v>
      </c>
      <c r="T297" s="303">
        <v>0.75</v>
      </c>
      <c r="U297" s="303">
        <v>1</v>
      </c>
      <c r="V297" s="303"/>
      <c r="W297" s="383"/>
      <c r="X297" s="302"/>
      <c r="Y297" s="305"/>
      <c r="Z297" s="306"/>
      <c r="AA297" s="307"/>
      <c r="AB297" s="307"/>
      <c r="AC297" s="306"/>
      <c r="AD297" s="307"/>
      <c r="AE297" s="307"/>
      <c r="AF297" s="306"/>
      <c r="AG297" s="307"/>
      <c r="AH297" s="307"/>
      <c r="AI297" s="308"/>
    </row>
    <row r="298" spans="1:35" ht="56.25" customHeight="1" outlineLevel="1" x14ac:dyDescent="0.2">
      <c r="A298" s="527"/>
      <c r="B298" s="434"/>
      <c r="C298" s="434"/>
      <c r="D298" s="524"/>
      <c r="E298" s="440"/>
      <c r="F298" s="440"/>
      <c r="G298" s="443"/>
      <c r="H298" s="272" t="s">
        <v>799</v>
      </c>
      <c r="I298" s="272" t="s">
        <v>800</v>
      </c>
      <c r="J298" s="276" t="s">
        <v>801</v>
      </c>
      <c r="K298" s="276" t="s">
        <v>116</v>
      </c>
      <c r="L298" s="300">
        <v>44593</v>
      </c>
      <c r="M298" s="300">
        <v>44925</v>
      </c>
      <c r="N298" s="300">
        <v>44652</v>
      </c>
      <c r="O298" s="301">
        <f t="shared" si="18"/>
        <v>0.17771084337349397</v>
      </c>
      <c r="P298" s="301">
        <f t="shared" ref="P298" si="20">+IF(O298&gt;=100,100,IF(O298&lt;=0,0,O298))</f>
        <v>0.17771084337349397</v>
      </c>
      <c r="Q298" s="302">
        <v>1</v>
      </c>
      <c r="R298" s="303">
        <v>0.25</v>
      </c>
      <c r="S298" s="303">
        <v>0.5</v>
      </c>
      <c r="T298" s="303">
        <v>0.75</v>
      </c>
      <c r="U298" s="303">
        <v>1</v>
      </c>
      <c r="V298" s="303"/>
      <c r="W298" s="383"/>
      <c r="X298" s="302"/>
      <c r="Y298" s="305"/>
      <c r="Z298" s="306"/>
      <c r="AA298" s="307"/>
      <c r="AB298" s="307"/>
      <c r="AC298" s="306"/>
      <c r="AD298" s="307"/>
      <c r="AE298" s="307"/>
      <c r="AF298" s="306"/>
      <c r="AG298" s="307"/>
      <c r="AH298" s="307"/>
      <c r="AI298" s="308"/>
    </row>
    <row r="299" spans="1:35" ht="131.25" customHeight="1" outlineLevel="1" x14ac:dyDescent="0.2">
      <c r="A299" s="527"/>
      <c r="B299" s="432" t="s">
        <v>657</v>
      </c>
      <c r="C299" s="271" t="s">
        <v>802</v>
      </c>
      <c r="D299" s="524"/>
      <c r="E299" s="278" t="s">
        <v>682</v>
      </c>
      <c r="F299" s="278" t="s">
        <v>705</v>
      </c>
      <c r="G299" s="272" t="s">
        <v>786</v>
      </c>
      <c r="H299" s="272" t="s">
        <v>803</v>
      </c>
      <c r="I299" s="272" t="s">
        <v>786</v>
      </c>
      <c r="J299" s="276" t="s">
        <v>804</v>
      </c>
      <c r="K299" s="276" t="s">
        <v>116</v>
      </c>
      <c r="L299" s="300">
        <v>44593</v>
      </c>
      <c r="M299" s="300">
        <v>44925</v>
      </c>
      <c r="N299" s="300">
        <v>44652</v>
      </c>
      <c r="O299" s="301">
        <f t="shared" si="18"/>
        <v>0.17771084337349397</v>
      </c>
      <c r="P299" s="301">
        <f t="shared" si="19"/>
        <v>0.17771084337349397</v>
      </c>
      <c r="Q299" s="302">
        <v>1</v>
      </c>
      <c r="R299" s="303">
        <v>0.25</v>
      </c>
      <c r="S299" s="303">
        <v>0.5</v>
      </c>
      <c r="T299" s="303">
        <v>0.75</v>
      </c>
      <c r="U299" s="303">
        <v>1</v>
      </c>
      <c r="V299" s="303"/>
      <c r="W299" s="383"/>
      <c r="X299" s="302"/>
      <c r="Y299" s="305"/>
      <c r="Z299" s="306"/>
      <c r="AA299" s="307"/>
      <c r="AB299" s="307"/>
      <c r="AC299" s="306"/>
      <c r="AD299" s="307"/>
      <c r="AE299" s="307"/>
      <c r="AF299" s="306"/>
      <c r="AG299" s="307"/>
      <c r="AH299" s="307"/>
      <c r="AI299" s="308"/>
    </row>
    <row r="300" spans="1:35" ht="90.75" customHeight="1" outlineLevel="1" x14ac:dyDescent="0.2">
      <c r="A300" s="527"/>
      <c r="B300" s="433"/>
      <c r="C300" s="432" t="s">
        <v>805</v>
      </c>
      <c r="D300" s="524"/>
      <c r="E300" s="438" t="s">
        <v>806</v>
      </c>
      <c r="F300" s="438" t="s">
        <v>807</v>
      </c>
      <c r="G300" s="441" t="s">
        <v>786</v>
      </c>
      <c r="H300" s="272" t="s">
        <v>808</v>
      </c>
      <c r="I300" s="272" t="s">
        <v>809</v>
      </c>
      <c r="J300" s="276" t="s">
        <v>810</v>
      </c>
      <c r="K300" s="276" t="s">
        <v>116</v>
      </c>
      <c r="L300" s="300">
        <v>44593</v>
      </c>
      <c r="M300" s="300">
        <v>44925</v>
      </c>
      <c r="N300" s="300">
        <v>44652</v>
      </c>
      <c r="O300" s="301">
        <f t="shared" si="18"/>
        <v>0.17771084337349397</v>
      </c>
      <c r="P300" s="301">
        <f t="shared" si="19"/>
        <v>0.17771084337349397</v>
      </c>
      <c r="Q300" s="302">
        <v>1</v>
      </c>
      <c r="R300" s="303">
        <v>0.25</v>
      </c>
      <c r="S300" s="303">
        <v>0.5</v>
      </c>
      <c r="T300" s="303">
        <v>0.75</v>
      </c>
      <c r="U300" s="303">
        <v>1</v>
      </c>
      <c r="V300" s="303"/>
      <c r="W300" s="383"/>
      <c r="X300" s="302"/>
      <c r="Y300" s="305"/>
      <c r="Z300" s="306"/>
      <c r="AA300" s="307"/>
      <c r="AB300" s="307"/>
      <c r="AC300" s="306"/>
      <c r="AD300" s="307"/>
      <c r="AE300" s="307"/>
      <c r="AF300" s="306"/>
      <c r="AG300" s="307"/>
      <c r="AH300" s="307"/>
      <c r="AI300" s="308"/>
    </row>
    <row r="301" spans="1:35" ht="56.25" customHeight="1" outlineLevel="1" x14ac:dyDescent="0.2">
      <c r="A301" s="527"/>
      <c r="B301" s="433"/>
      <c r="C301" s="433"/>
      <c r="D301" s="524"/>
      <c r="E301" s="439"/>
      <c r="F301" s="439"/>
      <c r="G301" s="442"/>
      <c r="H301" s="272" t="s">
        <v>811</v>
      </c>
      <c r="I301" s="272" t="s">
        <v>809</v>
      </c>
      <c r="J301" s="276" t="s">
        <v>812</v>
      </c>
      <c r="K301" s="276" t="s">
        <v>116</v>
      </c>
      <c r="L301" s="300">
        <v>44593</v>
      </c>
      <c r="M301" s="300">
        <v>44925</v>
      </c>
      <c r="N301" s="300">
        <v>44652</v>
      </c>
      <c r="O301" s="301">
        <f t="shared" si="18"/>
        <v>0.17771084337349397</v>
      </c>
      <c r="P301" s="301">
        <f t="shared" si="19"/>
        <v>0.17771084337349397</v>
      </c>
      <c r="Q301" s="302">
        <v>1</v>
      </c>
      <c r="R301" s="303">
        <v>0.25</v>
      </c>
      <c r="S301" s="303">
        <v>0.5</v>
      </c>
      <c r="T301" s="303">
        <v>0.75</v>
      </c>
      <c r="U301" s="303">
        <v>1</v>
      </c>
      <c r="V301" s="303"/>
      <c r="W301" s="383"/>
      <c r="X301" s="302"/>
      <c r="Y301" s="305"/>
      <c r="Z301" s="306"/>
      <c r="AA301" s="307"/>
      <c r="AB301" s="307"/>
      <c r="AC301" s="306"/>
      <c r="AD301" s="307"/>
      <c r="AE301" s="307"/>
      <c r="AF301" s="306"/>
      <c r="AG301" s="307"/>
      <c r="AH301" s="307"/>
      <c r="AI301" s="308"/>
    </row>
    <row r="302" spans="1:35" ht="56.25" customHeight="1" outlineLevel="1" x14ac:dyDescent="0.2">
      <c r="A302" s="527"/>
      <c r="B302" s="433"/>
      <c r="C302" s="434"/>
      <c r="D302" s="524"/>
      <c r="E302" s="440"/>
      <c r="F302" s="440"/>
      <c r="G302" s="443"/>
      <c r="H302" s="272" t="s">
        <v>813</v>
      </c>
      <c r="I302" s="272" t="s">
        <v>809</v>
      </c>
      <c r="J302" s="276" t="s">
        <v>812</v>
      </c>
      <c r="K302" s="276" t="s">
        <v>116</v>
      </c>
      <c r="L302" s="300">
        <v>44593</v>
      </c>
      <c r="M302" s="300">
        <v>44925</v>
      </c>
      <c r="N302" s="300">
        <v>44652</v>
      </c>
      <c r="O302" s="301">
        <f t="shared" si="18"/>
        <v>0.17771084337349397</v>
      </c>
      <c r="P302" s="301">
        <f t="shared" si="19"/>
        <v>0.17771084337349397</v>
      </c>
      <c r="Q302" s="302">
        <v>1</v>
      </c>
      <c r="R302" s="303">
        <v>0.25</v>
      </c>
      <c r="S302" s="303">
        <v>0.5</v>
      </c>
      <c r="T302" s="303">
        <v>0.75</v>
      </c>
      <c r="U302" s="303">
        <v>1</v>
      </c>
      <c r="V302" s="303"/>
      <c r="W302" s="383"/>
      <c r="X302" s="302"/>
      <c r="Y302" s="305"/>
      <c r="Z302" s="306"/>
      <c r="AA302" s="307"/>
      <c r="AB302" s="307"/>
      <c r="AC302" s="306"/>
      <c r="AD302" s="307"/>
      <c r="AE302" s="307"/>
      <c r="AF302" s="306"/>
      <c r="AG302" s="307"/>
      <c r="AH302" s="307"/>
      <c r="AI302" s="308"/>
    </row>
    <row r="303" spans="1:35" ht="97.9" customHeight="1" outlineLevel="1" x14ac:dyDescent="0.2">
      <c r="A303" s="527"/>
      <c r="B303" s="434"/>
      <c r="C303" s="271" t="s">
        <v>814</v>
      </c>
      <c r="D303" s="463"/>
      <c r="E303" s="278" t="s">
        <v>815</v>
      </c>
      <c r="F303" s="278" t="s">
        <v>816</v>
      </c>
      <c r="G303" s="272" t="s">
        <v>771</v>
      </c>
      <c r="H303" s="272" t="s">
        <v>817</v>
      </c>
      <c r="I303" s="272" t="s">
        <v>818</v>
      </c>
      <c r="J303" s="276" t="s">
        <v>819</v>
      </c>
      <c r="K303" s="276" t="s">
        <v>116</v>
      </c>
      <c r="L303" s="300">
        <v>44593</v>
      </c>
      <c r="M303" s="300">
        <v>44925</v>
      </c>
      <c r="N303" s="300">
        <v>44652</v>
      </c>
      <c r="O303" s="301">
        <f t="shared" si="18"/>
        <v>0.17771084337349397</v>
      </c>
      <c r="P303" s="301">
        <f t="shared" si="19"/>
        <v>0.17771084337349397</v>
      </c>
      <c r="Q303" s="302">
        <v>1</v>
      </c>
      <c r="R303" s="303">
        <v>0.25</v>
      </c>
      <c r="S303" s="303">
        <v>0.5</v>
      </c>
      <c r="T303" s="303">
        <v>0.75</v>
      </c>
      <c r="U303" s="303">
        <v>1</v>
      </c>
      <c r="V303" s="303"/>
      <c r="W303" s="383"/>
      <c r="X303" s="302"/>
      <c r="Y303" s="305"/>
      <c r="Z303" s="306"/>
      <c r="AA303" s="307"/>
      <c r="AB303" s="307"/>
      <c r="AC303" s="306"/>
      <c r="AD303" s="307"/>
      <c r="AE303" s="307"/>
      <c r="AF303" s="306"/>
      <c r="AG303" s="307"/>
      <c r="AH303" s="307"/>
      <c r="AI303" s="308"/>
    </row>
    <row r="304" spans="1:35" ht="72" customHeight="1" outlineLevel="1" x14ac:dyDescent="0.2">
      <c r="A304" s="527"/>
      <c r="B304" s="498" t="s">
        <v>52</v>
      </c>
      <c r="C304" s="432" t="s">
        <v>794</v>
      </c>
      <c r="D304" s="459" t="s">
        <v>820</v>
      </c>
      <c r="E304" s="453" t="s">
        <v>795</v>
      </c>
      <c r="F304" s="453" t="s">
        <v>108</v>
      </c>
      <c r="G304" s="453" t="s">
        <v>821</v>
      </c>
      <c r="H304" s="10" t="s">
        <v>800</v>
      </c>
      <c r="I304" s="435" t="s">
        <v>110</v>
      </c>
      <c r="J304" s="505" t="s">
        <v>822</v>
      </c>
      <c r="K304" s="276" t="s">
        <v>116</v>
      </c>
      <c r="L304" s="300">
        <v>44593</v>
      </c>
      <c r="M304" s="300">
        <v>44925</v>
      </c>
      <c r="N304" s="300">
        <v>44652</v>
      </c>
      <c r="O304" s="301">
        <f t="shared" si="18"/>
        <v>0.17771084337349397</v>
      </c>
      <c r="P304" s="301">
        <f t="shared" si="14"/>
        <v>0.17771084337349397</v>
      </c>
      <c r="Q304" s="302">
        <v>1</v>
      </c>
      <c r="R304" s="303">
        <v>0.25</v>
      </c>
      <c r="S304" s="303">
        <v>0.5</v>
      </c>
      <c r="T304" s="303">
        <v>0.75</v>
      </c>
      <c r="U304" s="303">
        <v>1</v>
      </c>
      <c r="V304" s="303"/>
      <c r="W304" s="383"/>
      <c r="X304" s="302"/>
      <c r="Y304" s="305"/>
      <c r="Z304" s="306"/>
      <c r="AA304" s="307"/>
      <c r="AB304" s="307"/>
      <c r="AC304" s="306"/>
      <c r="AD304" s="307"/>
      <c r="AE304" s="307"/>
      <c r="AF304" s="306"/>
      <c r="AG304" s="307"/>
      <c r="AH304" s="307"/>
      <c r="AI304" s="308"/>
    </row>
    <row r="305" spans="1:35" ht="36.6" customHeight="1" outlineLevel="1" x14ac:dyDescent="0.2">
      <c r="A305" s="527"/>
      <c r="B305" s="498"/>
      <c r="C305" s="433"/>
      <c r="D305" s="459"/>
      <c r="E305" s="455"/>
      <c r="F305" s="455"/>
      <c r="G305" s="455"/>
      <c r="H305" s="10" t="s">
        <v>823</v>
      </c>
      <c r="I305" s="436"/>
      <c r="J305" s="506"/>
      <c r="K305" s="276" t="s">
        <v>116</v>
      </c>
      <c r="L305" s="300">
        <v>44593</v>
      </c>
      <c r="M305" s="300">
        <v>44925</v>
      </c>
      <c r="N305" s="300">
        <v>44652</v>
      </c>
      <c r="O305" s="301">
        <f t="shared" si="18"/>
        <v>0.17771084337349397</v>
      </c>
      <c r="P305" s="301">
        <f t="shared" si="14"/>
        <v>0.17771084337349397</v>
      </c>
      <c r="Q305" s="302">
        <v>1</v>
      </c>
      <c r="R305" s="303">
        <v>0.25</v>
      </c>
      <c r="S305" s="303">
        <v>0.5</v>
      </c>
      <c r="T305" s="303">
        <v>0.75</v>
      </c>
      <c r="U305" s="303">
        <v>1</v>
      </c>
      <c r="V305" s="303"/>
      <c r="W305" s="383"/>
      <c r="X305" s="302"/>
      <c r="Y305" s="305"/>
      <c r="Z305" s="306"/>
      <c r="AA305" s="307"/>
      <c r="AB305" s="307"/>
      <c r="AC305" s="306"/>
      <c r="AD305" s="307"/>
      <c r="AE305" s="307"/>
      <c r="AF305" s="306"/>
      <c r="AG305" s="307"/>
      <c r="AH305" s="307"/>
      <c r="AI305" s="308"/>
    </row>
    <row r="306" spans="1:35" ht="57.6" customHeight="1" outlineLevel="1" x14ac:dyDescent="0.2">
      <c r="A306" s="527"/>
      <c r="B306" s="498"/>
      <c r="C306" s="433"/>
      <c r="D306" s="459"/>
      <c r="E306" s="455"/>
      <c r="F306" s="455"/>
      <c r="G306" s="455"/>
      <c r="H306" s="10" t="s">
        <v>824</v>
      </c>
      <c r="I306" s="436"/>
      <c r="J306" s="506"/>
      <c r="K306" s="276" t="s">
        <v>116</v>
      </c>
      <c r="L306" s="300">
        <v>44593</v>
      </c>
      <c r="M306" s="300">
        <v>44925</v>
      </c>
      <c r="N306" s="300">
        <v>44652</v>
      </c>
      <c r="O306" s="301">
        <f t="shared" si="18"/>
        <v>0.17771084337349397</v>
      </c>
      <c r="P306" s="301">
        <f t="shared" si="14"/>
        <v>0.17771084337349397</v>
      </c>
      <c r="Q306" s="302">
        <v>1</v>
      </c>
      <c r="R306" s="303">
        <v>0.25</v>
      </c>
      <c r="S306" s="303">
        <v>0.5</v>
      </c>
      <c r="T306" s="303">
        <v>0.75</v>
      </c>
      <c r="U306" s="303">
        <v>1</v>
      </c>
      <c r="V306" s="303"/>
      <c r="W306" s="383"/>
      <c r="X306" s="302"/>
      <c r="Y306" s="305"/>
      <c r="Z306" s="306"/>
      <c r="AA306" s="307"/>
      <c r="AB306" s="307"/>
      <c r="AC306" s="306"/>
      <c r="AD306" s="307"/>
      <c r="AE306" s="307"/>
      <c r="AF306" s="306"/>
      <c r="AG306" s="307"/>
      <c r="AH306" s="307"/>
      <c r="AI306" s="308"/>
    </row>
    <row r="307" spans="1:35" ht="46.5" customHeight="1" outlineLevel="1" x14ac:dyDescent="0.2">
      <c r="A307" s="527"/>
      <c r="B307" s="498"/>
      <c r="C307" s="433"/>
      <c r="D307" s="459"/>
      <c r="E307" s="455"/>
      <c r="F307" s="455"/>
      <c r="G307" s="455"/>
      <c r="H307" s="10" t="s">
        <v>825</v>
      </c>
      <c r="I307" s="436"/>
      <c r="J307" s="506"/>
      <c r="K307" s="276" t="s">
        <v>116</v>
      </c>
      <c r="L307" s="300">
        <v>44593</v>
      </c>
      <c r="M307" s="300">
        <v>44925</v>
      </c>
      <c r="N307" s="300">
        <v>44652</v>
      </c>
      <c r="O307" s="301">
        <f t="shared" si="18"/>
        <v>0.17771084337349397</v>
      </c>
      <c r="P307" s="301">
        <f t="shared" si="14"/>
        <v>0.17771084337349397</v>
      </c>
      <c r="Q307" s="302">
        <v>1</v>
      </c>
      <c r="R307" s="303">
        <v>0.25</v>
      </c>
      <c r="S307" s="303">
        <v>0.5</v>
      </c>
      <c r="T307" s="303">
        <v>0.75</v>
      </c>
      <c r="U307" s="303">
        <v>1</v>
      </c>
      <c r="V307" s="303"/>
      <c r="W307" s="383"/>
      <c r="X307" s="302"/>
      <c r="Y307" s="305"/>
      <c r="Z307" s="306"/>
      <c r="AA307" s="307"/>
      <c r="AB307" s="307"/>
      <c r="AC307" s="306"/>
      <c r="AD307" s="307"/>
      <c r="AE307" s="307"/>
      <c r="AF307" s="306"/>
      <c r="AG307" s="307"/>
      <c r="AH307" s="307"/>
      <c r="AI307" s="308"/>
    </row>
    <row r="308" spans="1:35" ht="112.5" customHeight="1" outlineLevel="1" x14ac:dyDescent="0.2">
      <c r="A308" s="527"/>
      <c r="B308" s="498"/>
      <c r="C308" s="433"/>
      <c r="D308" s="459"/>
      <c r="E308" s="455"/>
      <c r="F308" s="455"/>
      <c r="G308" s="455"/>
      <c r="H308" s="10" t="s">
        <v>826</v>
      </c>
      <c r="I308" s="436"/>
      <c r="J308" s="506"/>
      <c r="K308" s="276" t="s">
        <v>116</v>
      </c>
      <c r="L308" s="300">
        <v>44593</v>
      </c>
      <c r="M308" s="300">
        <v>44925</v>
      </c>
      <c r="N308" s="300">
        <v>44652</v>
      </c>
      <c r="O308" s="301">
        <f t="shared" si="18"/>
        <v>0.17771084337349397</v>
      </c>
      <c r="P308" s="301">
        <f t="shared" si="14"/>
        <v>0.17771084337349397</v>
      </c>
      <c r="Q308" s="302">
        <v>1</v>
      </c>
      <c r="R308" s="303">
        <v>0.25</v>
      </c>
      <c r="S308" s="303">
        <v>0.5</v>
      </c>
      <c r="T308" s="303">
        <v>0.75</v>
      </c>
      <c r="U308" s="303">
        <v>1</v>
      </c>
      <c r="V308" s="303"/>
      <c r="W308" s="383"/>
      <c r="X308" s="302"/>
      <c r="Y308" s="305"/>
      <c r="Z308" s="306"/>
      <c r="AA308" s="307"/>
      <c r="AB308" s="307"/>
      <c r="AC308" s="306"/>
      <c r="AD308" s="307"/>
      <c r="AE308" s="307"/>
      <c r="AF308" s="306"/>
      <c r="AG308" s="307"/>
      <c r="AH308" s="307"/>
      <c r="AI308" s="308"/>
    </row>
    <row r="309" spans="1:35" ht="57.6" customHeight="1" outlineLevel="1" x14ac:dyDescent="0.2">
      <c r="A309" s="527"/>
      <c r="B309" s="498"/>
      <c r="C309" s="433"/>
      <c r="D309" s="459"/>
      <c r="E309" s="455"/>
      <c r="F309" s="455"/>
      <c r="G309" s="455"/>
      <c r="H309" s="10" t="s">
        <v>827</v>
      </c>
      <c r="I309" s="436"/>
      <c r="J309" s="506"/>
      <c r="K309" s="276" t="s">
        <v>116</v>
      </c>
      <c r="L309" s="300">
        <v>44593</v>
      </c>
      <c r="M309" s="300">
        <v>44925</v>
      </c>
      <c r="N309" s="300">
        <v>44652</v>
      </c>
      <c r="O309" s="301">
        <f t="shared" si="18"/>
        <v>0.17771084337349397</v>
      </c>
      <c r="P309" s="301">
        <f t="shared" si="14"/>
        <v>0.17771084337349397</v>
      </c>
      <c r="Q309" s="302">
        <v>1</v>
      </c>
      <c r="R309" s="303">
        <v>0.25</v>
      </c>
      <c r="S309" s="303">
        <v>0.5</v>
      </c>
      <c r="T309" s="303">
        <v>0.75</v>
      </c>
      <c r="U309" s="303">
        <v>1</v>
      </c>
      <c r="V309" s="303"/>
      <c r="W309" s="383"/>
      <c r="X309" s="302"/>
      <c r="Y309" s="305"/>
      <c r="Z309" s="306"/>
      <c r="AA309" s="307"/>
      <c r="AB309" s="307"/>
      <c r="AC309" s="306"/>
      <c r="AD309" s="307"/>
      <c r="AE309" s="307"/>
      <c r="AF309" s="306"/>
      <c r="AG309" s="307"/>
      <c r="AH309" s="307"/>
      <c r="AI309" s="308"/>
    </row>
    <row r="310" spans="1:35" ht="57.6" customHeight="1" outlineLevel="1" x14ac:dyDescent="0.2">
      <c r="A310" s="527"/>
      <c r="B310" s="498"/>
      <c r="C310" s="433"/>
      <c r="D310" s="459"/>
      <c r="E310" s="455"/>
      <c r="F310" s="455"/>
      <c r="G310" s="455"/>
      <c r="H310" s="10" t="s">
        <v>828</v>
      </c>
      <c r="I310" s="436"/>
      <c r="J310" s="506"/>
      <c r="K310" s="276" t="s">
        <v>116</v>
      </c>
      <c r="L310" s="300">
        <v>44593</v>
      </c>
      <c r="M310" s="300">
        <v>44925</v>
      </c>
      <c r="N310" s="300">
        <v>44652</v>
      </c>
      <c r="O310" s="301">
        <f t="shared" si="18"/>
        <v>0.17771084337349397</v>
      </c>
      <c r="P310" s="301">
        <f t="shared" ref="P310:P315" si="21">+IF(O310&gt;=100,100,IF(O310&lt;=0,0,O310))</f>
        <v>0.17771084337349397</v>
      </c>
      <c r="Q310" s="302">
        <v>1</v>
      </c>
      <c r="R310" s="303">
        <v>0.25</v>
      </c>
      <c r="S310" s="303">
        <v>0.5</v>
      </c>
      <c r="T310" s="303">
        <v>0.75</v>
      </c>
      <c r="U310" s="303">
        <v>1</v>
      </c>
      <c r="V310" s="303"/>
      <c r="W310" s="383"/>
      <c r="X310" s="302"/>
      <c r="Y310" s="305"/>
      <c r="Z310" s="306"/>
      <c r="AA310" s="307"/>
      <c r="AB310" s="307"/>
      <c r="AC310" s="306"/>
      <c r="AD310" s="307"/>
      <c r="AE310" s="307"/>
      <c r="AF310" s="306"/>
      <c r="AG310" s="307"/>
      <c r="AH310" s="307"/>
      <c r="AI310" s="308"/>
    </row>
    <row r="311" spans="1:35" ht="57.6" customHeight="1" outlineLevel="1" x14ac:dyDescent="0.2">
      <c r="A311" s="527"/>
      <c r="B311" s="498"/>
      <c r="C311" s="433"/>
      <c r="D311" s="459"/>
      <c r="E311" s="455"/>
      <c r="F311" s="455"/>
      <c r="G311" s="455"/>
      <c r="H311" s="10" t="s">
        <v>829</v>
      </c>
      <c r="I311" s="436"/>
      <c r="J311" s="506"/>
      <c r="K311" s="276" t="s">
        <v>116</v>
      </c>
      <c r="L311" s="300">
        <v>44593</v>
      </c>
      <c r="M311" s="300">
        <v>44925</v>
      </c>
      <c r="N311" s="300">
        <v>44652</v>
      </c>
      <c r="O311" s="301">
        <f t="shared" si="18"/>
        <v>0.17771084337349397</v>
      </c>
      <c r="P311" s="301">
        <f t="shared" si="21"/>
        <v>0.17771084337349397</v>
      </c>
      <c r="Q311" s="302">
        <v>1</v>
      </c>
      <c r="R311" s="303">
        <v>0.25</v>
      </c>
      <c r="S311" s="303">
        <v>0.5</v>
      </c>
      <c r="T311" s="303">
        <v>0.75</v>
      </c>
      <c r="U311" s="303">
        <v>1</v>
      </c>
      <c r="V311" s="303"/>
      <c r="W311" s="383"/>
      <c r="X311" s="302"/>
      <c r="Y311" s="305"/>
      <c r="Z311" s="306"/>
      <c r="AA311" s="307"/>
      <c r="AB311" s="307"/>
      <c r="AC311" s="306"/>
      <c r="AD311" s="307"/>
      <c r="AE311" s="307"/>
      <c r="AF311" s="306"/>
      <c r="AG311" s="307"/>
      <c r="AH311" s="307"/>
      <c r="AI311" s="308"/>
    </row>
    <row r="312" spans="1:35" ht="57.6" customHeight="1" outlineLevel="1" x14ac:dyDescent="0.2">
      <c r="A312" s="527"/>
      <c r="B312" s="498"/>
      <c r="C312" s="433"/>
      <c r="D312" s="459"/>
      <c r="E312" s="455"/>
      <c r="F312" s="455"/>
      <c r="G312" s="455"/>
      <c r="H312" s="10" t="s">
        <v>830</v>
      </c>
      <c r="I312" s="436"/>
      <c r="J312" s="506"/>
      <c r="K312" s="276" t="s">
        <v>116</v>
      </c>
      <c r="L312" s="300">
        <v>44593</v>
      </c>
      <c r="M312" s="300">
        <v>44925</v>
      </c>
      <c r="N312" s="300">
        <v>44652</v>
      </c>
      <c r="O312" s="301">
        <f t="shared" si="18"/>
        <v>0.17771084337349397</v>
      </c>
      <c r="P312" s="301">
        <f t="shared" si="21"/>
        <v>0.17771084337349397</v>
      </c>
      <c r="Q312" s="302">
        <v>1</v>
      </c>
      <c r="R312" s="303">
        <v>0.25</v>
      </c>
      <c r="S312" s="303">
        <v>0.5</v>
      </c>
      <c r="T312" s="303">
        <v>0.75</v>
      </c>
      <c r="U312" s="303">
        <v>1</v>
      </c>
      <c r="V312" s="303"/>
      <c r="W312" s="383"/>
      <c r="X312" s="302"/>
      <c r="Y312" s="305"/>
      <c r="Z312" s="306"/>
      <c r="AA312" s="307"/>
      <c r="AB312" s="307"/>
      <c r="AC312" s="306"/>
      <c r="AD312" s="307"/>
      <c r="AE312" s="307"/>
      <c r="AF312" s="306"/>
      <c r="AG312" s="307"/>
      <c r="AH312" s="307"/>
      <c r="AI312" s="308"/>
    </row>
    <row r="313" spans="1:35" ht="57.6" customHeight="1" outlineLevel="1" x14ac:dyDescent="0.2">
      <c r="A313" s="527"/>
      <c r="B313" s="498"/>
      <c r="C313" s="433"/>
      <c r="D313" s="459"/>
      <c r="E313" s="455"/>
      <c r="F313" s="455"/>
      <c r="G313" s="455"/>
      <c r="H313" s="10" t="s">
        <v>831</v>
      </c>
      <c r="I313" s="436"/>
      <c r="J313" s="506"/>
      <c r="K313" s="276" t="s">
        <v>116</v>
      </c>
      <c r="L313" s="300">
        <v>44593</v>
      </c>
      <c r="M313" s="300">
        <v>44925</v>
      </c>
      <c r="N313" s="300">
        <v>44652</v>
      </c>
      <c r="O313" s="301">
        <f t="shared" si="18"/>
        <v>0.17771084337349397</v>
      </c>
      <c r="P313" s="301">
        <f t="shared" si="21"/>
        <v>0.17771084337349397</v>
      </c>
      <c r="Q313" s="302">
        <v>1</v>
      </c>
      <c r="R313" s="303">
        <v>0.25</v>
      </c>
      <c r="S313" s="303">
        <v>0.5</v>
      </c>
      <c r="T313" s="303">
        <v>0.75</v>
      </c>
      <c r="U313" s="303">
        <v>1</v>
      </c>
      <c r="V313" s="303"/>
      <c r="W313" s="383"/>
      <c r="X313" s="302"/>
      <c r="Y313" s="305"/>
      <c r="Z313" s="306"/>
      <c r="AA313" s="307"/>
      <c r="AB313" s="307"/>
      <c r="AC313" s="306"/>
      <c r="AD313" s="307"/>
      <c r="AE313" s="307"/>
      <c r="AF313" s="306"/>
      <c r="AG313" s="307"/>
      <c r="AH313" s="307"/>
      <c r="AI313" s="308"/>
    </row>
    <row r="314" spans="1:35" ht="57.6" customHeight="1" outlineLevel="1" x14ac:dyDescent="0.2">
      <c r="A314" s="527"/>
      <c r="B314" s="498"/>
      <c r="C314" s="434"/>
      <c r="D314" s="459"/>
      <c r="E314" s="454"/>
      <c r="F314" s="454"/>
      <c r="G314" s="454"/>
      <c r="H314" s="10" t="s">
        <v>832</v>
      </c>
      <c r="I314" s="437"/>
      <c r="J314" s="507"/>
      <c r="K314" s="276" t="s">
        <v>116</v>
      </c>
      <c r="L314" s="300">
        <v>44593</v>
      </c>
      <c r="M314" s="300">
        <v>44925</v>
      </c>
      <c r="N314" s="300">
        <v>44652</v>
      </c>
      <c r="O314" s="301">
        <f t="shared" si="18"/>
        <v>0.17771084337349397</v>
      </c>
      <c r="P314" s="301">
        <f t="shared" si="21"/>
        <v>0.17771084337349397</v>
      </c>
      <c r="Q314" s="302">
        <v>1</v>
      </c>
      <c r="R314" s="303">
        <v>0.25</v>
      </c>
      <c r="S314" s="303">
        <v>0.5</v>
      </c>
      <c r="T314" s="303">
        <v>0.75</v>
      </c>
      <c r="U314" s="303">
        <v>1</v>
      </c>
      <c r="V314" s="303"/>
      <c r="W314" s="383"/>
      <c r="X314" s="302"/>
      <c r="Y314" s="305"/>
      <c r="Z314" s="306"/>
      <c r="AA314" s="307"/>
      <c r="AB314" s="307"/>
      <c r="AC314" s="306"/>
      <c r="AD314" s="307"/>
      <c r="AE314" s="307"/>
      <c r="AF314" s="306"/>
      <c r="AG314" s="307"/>
      <c r="AH314" s="307"/>
      <c r="AI314" s="308"/>
    </row>
    <row r="315" spans="1:35" ht="337.5" customHeight="1" outlineLevel="1" x14ac:dyDescent="0.2">
      <c r="A315" s="527"/>
      <c r="B315" s="271" t="s">
        <v>657</v>
      </c>
      <c r="C315" s="271" t="s">
        <v>805</v>
      </c>
      <c r="D315" s="459"/>
      <c r="E315" s="270" t="s">
        <v>833</v>
      </c>
      <c r="F315" s="270" t="s">
        <v>834</v>
      </c>
      <c r="G315" s="270" t="s">
        <v>57</v>
      </c>
      <c r="H315" s="10" t="s">
        <v>835</v>
      </c>
      <c r="I315" s="10" t="s">
        <v>836</v>
      </c>
      <c r="J315" s="276" t="s">
        <v>837</v>
      </c>
      <c r="K315" s="276" t="s">
        <v>116</v>
      </c>
      <c r="L315" s="300">
        <v>44593</v>
      </c>
      <c r="M315" s="300">
        <v>44925</v>
      </c>
      <c r="N315" s="300">
        <v>44652</v>
      </c>
      <c r="O315" s="301">
        <f t="shared" si="18"/>
        <v>0.17771084337349397</v>
      </c>
      <c r="P315" s="301">
        <f t="shared" si="21"/>
        <v>0.17771084337349397</v>
      </c>
      <c r="Q315" s="302">
        <v>1</v>
      </c>
      <c r="R315" s="303">
        <v>0.25</v>
      </c>
      <c r="S315" s="303">
        <v>0.5</v>
      </c>
      <c r="T315" s="303">
        <v>0.75</v>
      </c>
      <c r="U315" s="303">
        <v>1</v>
      </c>
      <c r="V315" s="303"/>
      <c r="W315" s="383"/>
      <c r="X315" s="302"/>
      <c r="Y315" s="305"/>
      <c r="Z315" s="306"/>
      <c r="AA315" s="307"/>
      <c r="AB315" s="307"/>
      <c r="AC315" s="306"/>
      <c r="AD315" s="307"/>
      <c r="AE315" s="307"/>
      <c r="AF315" s="306"/>
      <c r="AG315" s="307"/>
      <c r="AH315" s="307"/>
      <c r="AI315" s="308"/>
    </row>
    <row r="316" spans="1:35" ht="46.5" customHeight="1" outlineLevel="1" x14ac:dyDescent="0.2">
      <c r="A316" s="527"/>
      <c r="B316" s="432" t="s">
        <v>52</v>
      </c>
      <c r="C316" s="432" t="s">
        <v>740</v>
      </c>
      <c r="D316" s="459"/>
      <c r="E316" s="453" t="s">
        <v>790</v>
      </c>
      <c r="F316" s="453" t="s">
        <v>838</v>
      </c>
      <c r="G316" s="453" t="s">
        <v>839</v>
      </c>
      <c r="H316" s="10" t="s">
        <v>840</v>
      </c>
      <c r="I316" s="435" t="s">
        <v>792</v>
      </c>
      <c r="J316" s="505" t="s">
        <v>841</v>
      </c>
      <c r="K316" s="276" t="s">
        <v>116</v>
      </c>
      <c r="L316" s="300">
        <v>44593</v>
      </c>
      <c r="M316" s="300">
        <v>44925</v>
      </c>
      <c r="N316" s="300">
        <v>44652</v>
      </c>
      <c r="O316" s="301">
        <f t="shared" si="18"/>
        <v>0.17771084337349397</v>
      </c>
      <c r="P316" s="301">
        <f t="shared" si="14"/>
        <v>0.17771084337349397</v>
      </c>
      <c r="Q316" s="302">
        <v>1</v>
      </c>
      <c r="R316" s="303">
        <v>0.25</v>
      </c>
      <c r="S316" s="303">
        <v>0.5</v>
      </c>
      <c r="T316" s="303">
        <v>0.75</v>
      </c>
      <c r="U316" s="303">
        <v>1</v>
      </c>
      <c r="V316" s="303"/>
      <c r="W316" s="383"/>
      <c r="X316" s="302"/>
      <c r="Y316" s="305"/>
      <c r="Z316" s="306"/>
      <c r="AA316" s="307"/>
      <c r="AB316" s="307"/>
      <c r="AC316" s="306"/>
      <c r="AD316" s="307"/>
      <c r="AE316" s="307"/>
      <c r="AF316" s="306"/>
      <c r="AG316" s="307"/>
      <c r="AH316" s="307"/>
      <c r="AI316" s="308"/>
    </row>
    <row r="317" spans="1:35" ht="56.25" customHeight="1" outlineLevel="1" x14ac:dyDescent="0.2">
      <c r="A317" s="527"/>
      <c r="B317" s="433"/>
      <c r="C317" s="433"/>
      <c r="D317" s="459"/>
      <c r="E317" s="454"/>
      <c r="F317" s="454"/>
      <c r="G317" s="454"/>
      <c r="H317" s="10" t="s">
        <v>841</v>
      </c>
      <c r="I317" s="437"/>
      <c r="J317" s="507"/>
      <c r="K317" s="276" t="s">
        <v>116</v>
      </c>
      <c r="L317" s="300">
        <v>44593</v>
      </c>
      <c r="M317" s="300">
        <v>44925</v>
      </c>
      <c r="N317" s="300">
        <v>44652</v>
      </c>
      <c r="O317" s="301">
        <f t="shared" si="18"/>
        <v>0.17771084337349397</v>
      </c>
      <c r="P317" s="301">
        <f t="shared" ref="P317:P319" si="22">+IF(O317&gt;=100,100,IF(O317&lt;=0,0,O317))</f>
        <v>0.17771084337349397</v>
      </c>
      <c r="Q317" s="302">
        <v>1</v>
      </c>
      <c r="R317" s="303">
        <v>0.25</v>
      </c>
      <c r="S317" s="303">
        <v>0.5</v>
      </c>
      <c r="T317" s="303">
        <v>0.75</v>
      </c>
      <c r="U317" s="303">
        <v>1</v>
      </c>
      <c r="V317" s="303"/>
      <c r="W317" s="383"/>
      <c r="X317" s="302"/>
      <c r="Y317" s="305"/>
      <c r="Z317" s="306"/>
      <c r="AA317" s="307"/>
      <c r="AB317" s="307"/>
      <c r="AC317" s="306"/>
      <c r="AD317" s="307"/>
      <c r="AE317" s="307"/>
      <c r="AF317" s="306"/>
      <c r="AG317" s="307"/>
      <c r="AH317" s="307"/>
      <c r="AI317" s="308"/>
    </row>
    <row r="318" spans="1:35" ht="46.9" customHeight="1" outlineLevel="1" x14ac:dyDescent="0.2">
      <c r="A318" s="527"/>
      <c r="B318" s="433"/>
      <c r="C318" s="433"/>
      <c r="D318" s="459"/>
      <c r="E318" s="453" t="s">
        <v>842</v>
      </c>
      <c r="F318" s="270" t="s">
        <v>56</v>
      </c>
      <c r="G318" s="270" t="s">
        <v>843</v>
      </c>
      <c r="H318" s="10" t="s">
        <v>784</v>
      </c>
      <c r="I318" s="10" t="s">
        <v>59</v>
      </c>
      <c r="J318" s="276" t="s">
        <v>163</v>
      </c>
      <c r="K318" s="276" t="s">
        <v>116</v>
      </c>
      <c r="L318" s="300">
        <v>44593</v>
      </c>
      <c r="M318" s="300">
        <v>44925</v>
      </c>
      <c r="N318" s="300">
        <v>44652</v>
      </c>
      <c r="O318" s="301">
        <f t="shared" si="18"/>
        <v>0.17771084337349397</v>
      </c>
      <c r="P318" s="301">
        <f t="shared" si="22"/>
        <v>0.17771084337349397</v>
      </c>
      <c r="Q318" s="302">
        <v>1</v>
      </c>
      <c r="R318" s="303">
        <v>0.25</v>
      </c>
      <c r="S318" s="303">
        <v>0.5</v>
      </c>
      <c r="T318" s="303">
        <v>0.75</v>
      </c>
      <c r="U318" s="303">
        <v>1</v>
      </c>
      <c r="V318" s="303"/>
      <c r="W318" s="383"/>
      <c r="X318" s="302"/>
      <c r="Y318" s="305"/>
      <c r="Z318" s="306"/>
      <c r="AA318" s="307"/>
      <c r="AB318" s="307"/>
      <c r="AC318" s="306"/>
      <c r="AD318" s="307"/>
      <c r="AE318" s="307"/>
      <c r="AF318" s="306"/>
      <c r="AG318" s="307"/>
      <c r="AH318" s="307"/>
      <c r="AI318" s="308"/>
    </row>
    <row r="319" spans="1:35" ht="62.45" customHeight="1" outlineLevel="1" x14ac:dyDescent="0.2">
      <c r="A319" s="527"/>
      <c r="B319" s="433"/>
      <c r="C319" s="433"/>
      <c r="D319" s="459"/>
      <c r="E319" s="454"/>
      <c r="F319" s="270" t="s">
        <v>310</v>
      </c>
      <c r="G319" s="270" t="s">
        <v>843</v>
      </c>
      <c r="H319" s="10" t="s">
        <v>844</v>
      </c>
      <c r="I319" s="10" t="s">
        <v>313</v>
      </c>
      <c r="J319" s="276" t="s">
        <v>163</v>
      </c>
      <c r="K319" s="276" t="s">
        <v>116</v>
      </c>
      <c r="L319" s="300">
        <v>44593</v>
      </c>
      <c r="M319" s="300">
        <v>44925</v>
      </c>
      <c r="N319" s="300">
        <v>44652</v>
      </c>
      <c r="O319" s="301">
        <f t="shared" si="18"/>
        <v>0.17771084337349397</v>
      </c>
      <c r="P319" s="301">
        <f t="shared" si="22"/>
        <v>0.17771084337349397</v>
      </c>
      <c r="Q319" s="302">
        <v>1</v>
      </c>
      <c r="R319" s="303">
        <v>0.25</v>
      </c>
      <c r="S319" s="303">
        <v>0.5</v>
      </c>
      <c r="T319" s="303">
        <v>0.75</v>
      </c>
      <c r="U319" s="303">
        <v>1</v>
      </c>
      <c r="V319" s="303"/>
      <c r="W319" s="383"/>
      <c r="X319" s="302"/>
      <c r="Y319" s="305"/>
      <c r="Z319" s="306"/>
      <c r="AA319" s="307"/>
      <c r="AB319" s="307"/>
      <c r="AC319" s="306"/>
      <c r="AD319" s="307"/>
      <c r="AE319" s="307"/>
      <c r="AF319" s="306"/>
      <c r="AG319" s="307"/>
      <c r="AH319" s="307"/>
      <c r="AI319" s="308"/>
    </row>
    <row r="320" spans="1:35" ht="93.75" customHeight="1" outlineLevel="1" x14ac:dyDescent="0.2">
      <c r="A320" s="527"/>
      <c r="B320" s="434"/>
      <c r="C320" s="434"/>
      <c r="D320" s="459"/>
      <c r="E320" s="270" t="s">
        <v>780</v>
      </c>
      <c r="F320" s="270" t="s">
        <v>157</v>
      </c>
      <c r="G320" s="270" t="s">
        <v>185</v>
      </c>
      <c r="H320" s="10" t="s">
        <v>845</v>
      </c>
      <c r="I320" s="10" t="s">
        <v>160</v>
      </c>
      <c r="J320" s="276" t="s">
        <v>846</v>
      </c>
      <c r="K320" s="276" t="s">
        <v>116</v>
      </c>
      <c r="L320" s="300">
        <v>44593</v>
      </c>
      <c r="M320" s="300">
        <v>44925</v>
      </c>
      <c r="N320" s="300">
        <v>44652</v>
      </c>
      <c r="O320" s="301">
        <f t="shared" si="18"/>
        <v>0.17771084337349397</v>
      </c>
      <c r="P320" s="301">
        <f t="shared" ref="P320" si="23">+IF(O320&gt;=100,100,IF(O320&lt;=0,0,O320))</f>
        <v>0.17771084337349397</v>
      </c>
      <c r="Q320" s="302">
        <v>1</v>
      </c>
      <c r="R320" s="303">
        <v>0.25</v>
      </c>
      <c r="S320" s="303">
        <v>0.5</v>
      </c>
      <c r="T320" s="303">
        <v>0.75</v>
      </c>
      <c r="U320" s="303">
        <v>1</v>
      </c>
      <c r="V320" s="303"/>
      <c r="W320" s="383"/>
      <c r="X320" s="302"/>
      <c r="Y320" s="305"/>
      <c r="Z320" s="306"/>
      <c r="AA320" s="307"/>
      <c r="AB320" s="307"/>
      <c r="AC320" s="306"/>
      <c r="AD320" s="307"/>
      <c r="AE320" s="307"/>
      <c r="AF320" s="306"/>
      <c r="AG320" s="307"/>
      <c r="AH320" s="307"/>
      <c r="AI320" s="308"/>
    </row>
    <row r="321" spans="1:35" ht="88.9" customHeight="1" outlineLevel="1" x14ac:dyDescent="0.2">
      <c r="A321" s="527"/>
      <c r="B321" s="432" t="s">
        <v>52</v>
      </c>
      <c r="C321" s="432" t="s">
        <v>794</v>
      </c>
      <c r="D321" s="448" t="s">
        <v>847</v>
      </c>
      <c r="E321" s="444" t="s">
        <v>795</v>
      </c>
      <c r="F321" s="444" t="s">
        <v>108</v>
      </c>
      <c r="G321" s="450" t="s">
        <v>821</v>
      </c>
      <c r="H321" s="379" t="s">
        <v>800</v>
      </c>
      <c r="I321" s="446" t="s">
        <v>110</v>
      </c>
      <c r="J321" s="12" t="s">
        <v>800</v>
      </c>
      <c r="K321" s="407">
        <v>40000000</v>
      </c>
      <c r="L321" s="300">
        <v>44593</v>
      </c>
      <c r="M321" s="300">
        <v>44925</v>
      </c>
      <c r="N321" s="300">
        <v>44652</v>
      </c>
      <c r="O321" s="301">
        <f t="shared" si="18"/>
        <v>0.17771084337349397</v>
      </c>
      <c r="P321" s="301">
        <f t="shared" si="14"/>
        <v>0.17771084337349397</v>
      </c>
      <c r="Q321" s="302">
        <v>1</v>
      </c>
      <c r="R321" s="303">
        <v>0.25</v>
      </c>
      <c r="S321" s="303">
        <v>0.5</v>
      </c>
      <c r="T321" s="303">
        <v>0.75</v>
      </c>
      <c r="U321" s="303">
        <v>1</v>
      </c>
      <c r="V321" s="303"/>
      <c r="W321" s="383"/>
      <c r="X321" s="302"/>
      <c r="Y321" s="305"/>
      <c r="Z321" s="306"/>
      <c r="AA321" s="307"/>
      <c r="AB321" s="307"/>
      <c r="AC321" s="306"/>
      <c r="AD321" s="307"/>
      <c r="AE321" s="307"/>
      <c r="AF321" s="306"/>
      <c r="AG321" s="307"/>
      <c r="AH321" s="307"/>
      <c r="AI321" s="308"/>
    </row>
    <row r="322" spans="1:35" ht="57.75" customHeight="1" outlineLevel="1" x14ac:dyDescent="0.2">
      <c r="A322" s="527"/>
      <c r="B322" s="433"/>
      <c r="C322" s="433"/>
      <c r="D322" s="449"/>
      <c r="E322" s="451"/>
      <c r="F322" s="451"/>
      <c r="G322" s="450"/>
      <c r="H322" s="379" t="s">
        <v>823</v>
      </c>
      <c r="I322" s="450"/>
      <c r="J322" s="12" t="s">
        <v>823</v>
      </c>
      <c r="K322" s="407">
        <v>20000000</v>
      </c>
      <c r="L322" s="300">
        <v>44593</v>
      </c>
      <c r="M322" s="300">
        <v>44925</v>
      </c>
      <c r="N322" s="300">
        <v>44652</v>
      </c>
      <c r="O322" s="301">
        <f t="shared" si="18"/>
        <v>0.17771084337349397</v>
      </c>
      <c r="P322" s="301">
        <f t="shared" si="14"/>
        <v>0.17771084337349397</v>
      </c>
      <c r="Q322" s="302">
        <v>1</v>
      </c>
      <c r="R322" s="303">
        <v>0.25</v>
      </c>
      <c r="S322" s="303">
        <v>0.5</v>
      </c>
      <c r="T322" s="303">
        <v>0.75</v>
      </c>
      <c r="U322" s="303">
        <v>1</v>
      </c>
      <c r="V322" s="303"/>
      <c r="W322" s="383"/>
      <c r="X322" s="302"/>
      <c r="Y322" s="305"/>
      <c r="Z322" s="306"/>
      <c r="AA322" s="307"/>
      <c r="AB322" s="307"/>
      <c r="AC322" s="306"/>
      <c r="AD322" s="307"/>
      <c r="AE322" s="307"/>
      <c r="AF322" s="306"/>
      <c r="AG322" s="307"/>
      <c r="AH322" s="307"/>
      <c r="AI322" s="308"/>
    </row>
    <row r="323" spans="1:35" ht="43.15" customHeight="1" outlineLevel="1" x14ac:dyDescent="0.2">
      <c r="A323" s="527"/>
      <c r="B323" s="433"/>
      <c r="C323" s="433"/>
      <c r="D323" s="449"/>
      <c r="E323" s="451"/>
      <c r="F323" s="451"/>
      <c r="G323" s="450"/>
      <c r="H323" s="379" t="s">
        <v>824</v>
      </c>
      <c r="I323" s="450"/>
      <c r="J323" s="12" t="s">
        <v>824</v>
      </c>
      <c r="K323" s="407">
        <v>80000000</v>
      </c>
      <c r="L323" s="300">
        <v>44593</v>
      </c>
      <c r="M323" s="300">
        <v>44925</v>
      </c>
      <c r="N323" s="300">
        <v>44652</v>
      </c>
      <c r="O323" s="301">
        <f t="shared" si="18"/>
        <v>0.17771084337349397</v>
      </c>
      <c r="P323" s="301">
        <f t="shared" si="14"/>
        <v>0.17771084337349397</v>
      </c>
      <c r="Q323" s="302">
        <v>1</v>
      </c>
      <c r="R323" s="303">
        <v>0.25</v>
      </c>
      <c r="S323" s="303">
        <v>0.5</v>
      </c>
      <c r="T323" s="303">
        <v>0.75</v>
      </c>
      <c r="U323" s="303">
        <v>1</v>
      </c>
      <c r="V323" s="303"/>
      <c r="W323" s="383"/>
      <c r="X323" s="302"/>
      <c r="Y323" s="305"/>
      <c r="Z323" s="306"/>
      <c r="AA323" s="307"/>
      <c r="AB323" s="307"/>
      <c r="AC323" s="306"/>
      <c r="AD323" s="307"/>
      <c r="AE323" s="307"/>
      <c r="AF323" s="306"/>
      <c r="AG323" s="307"/>
      <c r="AH323" s="307"/>
      <c r="AI323" s="308"/>
    </row>
    <row r="324" spans="1:35" ht="56.25" customHeight="1" outlineLevel="1" x14ac:dyDescent="0.2">
      <c r="A324" s="527"/>
      <c r="B324" s="433"/>
      <c r="C324" s="433"/>
      <c r="D324" s="449"/>
      <c r="E324" s="451"/>
      <c r="F324" s="451"/>
      <c r="G324" s="450"/>
      <c r="H324" s="379" t="s">
        <v>825</v>
      </c>
      <c r="I324" s="450"/>
      <c r="J324" s="12" t="s">
        <v>825</v>
      </c>
      <c r="K324" s="407">
        <v>40000000</v>
      </c>
      <c r="L324" s="300">
        <v>44593</v>
      </c>
      <c r="M324" s="300">
        <v>44925</v>
      </c>
      <c r="N324" s="300">
        <v>44652</v>
      </c>
      <c r="O324" s="301">
        <f t="shared" si="18"/>
        <v>0.17771084337349397</v>
      </c>
      <c r="P324" s="301">
        <f t="shared" ref="P324:P400" si="24">+IF(O324&gt;=100,100,IF(O324&lt;=0,0,O324))</f>
        <v>0.17771084337349397</v>
      </c>
      <c r="Q324" s="302">
        <v>1</v>
      </c>
      <c r="R324" s="303">
        <v>0.25</v>
      </c>
      <c r="S324" s="303">
        <v>0.5</v>
      </c>
      <c r="T324" s="303">
        <v>0.75</v>
      </c>
      <c r="U324" s="303">
        <v>1</v>
      </c>
      <c r="V324" s="303"/>
      <c r="W324" s="383"/>
      <c r="X324" s="302"/>
      <c r="Y324" s="305"/>
      <c r="Z324" s="306"/>
      <c r="AA324" s="307"/>
      <c r="AB324" s="307"/>
      <c r="AC324" s="306"/>
      <c r="AD324" s="307"/>
      <c r="AE324" s="307"/>
      <c r="AF324" s="306"/>
      <c r="AG324" s="307"/>
      <c r="AH324" s="307"/>
      <c r="AI324" s="308"/>
    </row>
    <row r="325" spans="1:35" ht="225" customHeight="1" outlineLevel="1" x14ac:dyDescent="0.2">
      <c r="A325" s="527"/>
      <c r="B325" s="433"/>
      <c r="C325" s="433"/>
      <c r="D325" s="449"/>
      <c r="E325" s="451"/>
      <c r="F325" s="451"/>
      <c r="G325" s="450"/>
      <c r="H325" s="379" t="s">
        <v>826</v>
      </c>
      <c r="I325" s="450"/>
      <c r="J325" s="12" t="s">
        <v>826</v>
      </c>
      <c r="K325" s="407">
        <v>50000000</v>
      </c>
      <c r="L325" s="300">
        <v>44593</v>
      </c>
      <c r="M325" s="300">
        <v>44925</v>
      </c>
      <c r="N325" s="300">
        <v>44652</v>
      </c>
      <c r="O325" s="301">
        <f t="shared" si="18"/>
        <v>0.17771084337349397</v>
      </c>
      <c r="P325" s="301">
        <f t="shared" si="24"/>
        <v>0.17771084337349397</v>
      </c>
      <c r="Q325" s="302">
        <v>1</v>
      </c>
      <c r="R325" s="303">
        <v>0.25</v>
      </c>
      <c r="S325" s="303">
        <v>0.5</v>
      </c>
      <c r="T325" s="303">
        <v>0.75</v>
      </c>
      <c r="U325" s="303">
        <v>1</v>
      </c>
      <c r="V325" s="303"/>
      <c r="W325" s="383"/>
      <c r="X325" s="302"/>
      <c r="Y325" s="305"/>
      <c r="Z325" s="306"/>
      <c r="AA325" s="307"/>
      <c r="AB325" s="307"/>
      <c r="AC325" s="306"/>
      <c r="AD325" s="307"/>
      <c r="AE325" s="307"/>
      <c r="AF325" s="306"/>
      <c r="AG325" s="307"/>
      <c r="AH325" s="307"/>
      <c r="AI325" s="308"/>
    </row>
    <row r="326" spans="1:35" ht="46.5" customHeight="1" outlineLevel="1" x14ac:dyDescent="0.2">
      <c r="A326" s="527"/>
      <c r="B326" s="433"/>
      <c r="C326" s="433"/>
      <c r="D326" s="449"/>
      <c r="E326" s="451"/>
      <c r="F326" s="451"/>
      <c r="G326" s="450"/>
      <c r="H326" s="379" t="s">
        <v>827</v>
      </c>
      <c r="I326" s="450"/>
      <c r="J326" s="12" t="s">
        <v>827</v>
      </c>
      <c r="K326" s="407">
        <v>15000000</v>
      </c>
      <c r="L326" s="300">
        <v>44593</v>
      </c>
      <c r="M326" s="300">
        <v>44925</v>
      </c>
      <c r="N326" s="300">
        <v>44652</v>
      </c>
      <c r="O326" s="301">
        <f t="shared" si="18"/>
        <v>0.17771084337349397</v>
      </c>
      <c r="P326" s="301">
        <f t="shared" si="24"/>
        <v>0.17771084337349397</v>
      </c>
      <c r="Q326" s="302">
        <v>1</v>
      </c>
      <c r="R326" s="303">
        <v>0.25</v>
      </c>
      <c r="S326" s="303">
        <v>0.5</v>
      </c>
      <c r="T326" s="303">
        <v>0.75</v>
      </c>
      <c r="U326" s="303">
        <v>1</v>
      </c>
      <c r="V326" s="303"/>
      <c r="W326" s="383"/>
      <c r="X326" s="302"/>
      <c r="Y326" s="305"/>
      <c r="Z326" s="306"/>
      <c r="AA326" s="307"/>
      <c r="AB326" s="307"/>
      <c r="AC326" s="306"/>
      <c r="AD326" s="307"/>
      <c r="AE326" s="307"/>
      <c r="AF326" s="306"/>
      <c r="AG326" s="307"/>
      <c r="AH326" s="307"/>
      <c r="AI326" s="308"/>
    </row>
    <row r="327" spans="1:35" ht="150" customHeight="1" outlineLevel="1" x14ac:dyDescent="0.2">
      <c r="A327" s="527"/>
      <c r="B327" s="433"/>
      <c r="C327" s="433"/>
      <c r="D327" s="449"/>
      <c r="E327" s="451"/>
      <c r="F327" s="451"/>
      <c r="G327" s="450"/>
      <c r="H327" s="379" t="s">
        <v>848</v>
      </c>
      <c r="I327" s="450"/>
      <c r="J327" s="12" t="s">
        <v>848</v>
      </c>
      <c r="K327" s="408">
        <v>4000000</v>
      </c>
      <c r="L327" s="300">
        <v>44593</v>
      </c>
      <c r="M327" s="300">
        <v>44925</v>
      </c>
      <c r="N327" s="300">
        <v>44652</v>
      </c>
      <c r="O327" s="301">
        <f t="shared" si="18"/>
        <v>0.17771084337349397</v>
      </c>
      <c r="P327" s="301">
        <f t="shared" ref="P327:P330" si="25">+IF(O327&gt;=100,100,IF(O327&lt;=0,0,O327))</f>
        <v>0.17771084337349397</v>
      </c>
      <c r="Q327" s="302">
        <v>1</v>
      </c>
      <c r="R327" s="303">
        <v>0.25</v>
      </c>
      <c r="S327" s="303">
        <v>0.5</v>
      </c>
      <c r="T327" s="303">
        <v>0.75</v>
      </c>
      <c r="U327" s="303">
        <v>1</v>
      </c>
      <c r="V327" s="303"/>
      <c r="W327" s="383"/>
      <c r="X327" s="302"/>
      <c r="Y327" s="305"/>
      <c r="Z327" s="306"/>
      <c r="AA327" s="307"/>
      <c r="AB327" s="307"/>
      <c r="AC327" s="306"/>
      <c r="AD327" s="307"/>
      <c r="AE327" s="307"/>
      <c r="AF327" s="306"/>
      <c r="AG327" s="307"/>
      <c r="AH327" s="307"/>
      <c r="AI327" s="308"/>
    </row>
    <row r="328" spans="1:35" ht="150" customHeight="1" outlineLevel="1" x14ac:dyDescent="0.2">
      <c r="A328" s="527"/>
      <c r="B328" s="433"/>
      <c r="C328" s="433"/>
      <c r="D328" s="449"/>
      <c r="E328" s="451"/>
      <c r="F328" s="451"/>
      <c r="G328" s="450"/>
      <c r="H328" s="379" t="s">
        <v>849</v>
      </c>
      <c r="I328" s="450"/>
      <c r="J328" s="12" t="s">
        <v>849</v>
      </c>
      <c r="K328" s="408">
        <v>1000000</v>
      </c>
      <c r="L328" s="300">
        <v>44593</v>
      </c>
      <c r="M328" s="300">
        <v>44925</v>
      </c>
      <c r="N328" s="300">
        <v>44652</v>
      </c>
      <c r="O328" s="301">
        <f t="shared" si="18"/>
        <v>0.17771084337349397</v>
      </c>
      <c r="P328" s="301">
        <f t="shared" si="25"/>
        <v>0.17771084337349397</v>
      </c>
      <c r="Q328" s="302">
        <v>1</v>
      </c>
      <c r="R328" s="303">
        <v>0.25</v>
      </c>
      <c r="S328" s="303">
        <v>0.5</v>
      </c>
      <c r="T328" s="303">
        <v>0.75</v>
      </c>
      <c r="U328" s="303">
        <v>1</v>
      </c>
      <c r="V328" s="303"/>
      <c r="W328" s="383"/>
      <c r="X328" s="302"/>
      <c r="Y328" s="305"/>
      <c r="Z328" s="306"/>
      <c r="AA328" s="307"/>
      <c r="AB328" s="307"/>
      <c r="AC328" s="306"/>
      <c r="AD328" s="307"/>
      <c r="AE328" s="307"/>
      <c r="AF328" s="306"/>
      <c r="AG328" s="307"/>
      <c r="AH328" s="307"/>
      <c r="AI328" s="308"/>
    </row>
    <row r="329" spans="1:35" ht="56.25" customHeight="1" outlineLevel="1" x14ac:dyDescent="0.2">
      <c r="A329" s="527"/>
      <c r="B329" s="434"/>
      <c r="C329" s="434"/>
      <c r="D329" s="449"/>
      <c r="E329" s="445"/>
      <c r="F329" s="445"/>
      <c r="G329" s="450"/>
      <c r="H329" s="379" t="s">
        <v>850</v>
      </c>
      <c r="I329" s="447"/>
      <c r="J329" s="12" t="s">
        <v>850</v>
      </c>
      <c r="K329" s="407">
        <v>2000000</v>
      </c>
      <c r="L329" s="300">
        <v>44593</v>
      </c>
      <c r="M329" s="300">
        <v>44925</v>
      </c>
      <c r="N329" s="300">
        <v>44652</v>
      </c>
      <c r="O329" s="301">
        <f t="shared" si="18"/>
        <v>0.17771084337349397</v>
      </c>
      <c r="P329" s="301">
        <f t="shared" si="25"/>
        <v>0.17771084337349397</v>
      </c>
      <c r="Q329" s="302">
        <v>1</v>
      </c>
      <c r="R329" s="303">
        <v>0.25</v>
      </c>
      <c r="S329" s="303">
        <v>0.5</v>
      </c>
      <c r="T329" s="303">
        <v>0.75</v>
      </c>
      <c r="U329" s="303">
        <v>1</v>
      </c>
      <c r="V329" s="303"/>
      <c r="W329" s="383"/>
      <c r="X329" s="302"/>
      <c r="Y329" s="305"/>
      <c r="Z329" s="306"/>
      <c r="AA329" s="307"/>
      <c r="AB329" s="307"/>
      <c r="AC329" s="306"/>
      <c r="AD329" s="307"/>
      <c r="AE329" s="307"/>
      <c r="AF329" s="306"/>
      <c r="AG329" s="307"/>
      <c r="AH329" s="307"/>
      <c r="AI329" s="308"/>
    </row>
    <row r="330" spans="1:35" ht="168.75" customHeight="1" outlineLevel="1" x14ac:dyDescent="0.2">
      <c r="A330" s="527"/>
      <c r="B330" s="432" t="s">
        <v>52</v>
      </c>
      <c r="C330" s="432" t="s">
        <v>740</v>
      </c>
      <c r="D330" s="449"/>
      <c r="E330" s="262" t="s">
        <v>790</v>
      </c>
      <c r="F330" s="262" t="s">
        <v>838</v>
      </c>
      <c r="G330" s="379" t="s">
        <v>57</v>
      </c>
      <c r="H330" s="379" t="s">
        <v>851</v>
      </c>
      <c r="I330" s="379" t="s">
        <v>792</v>
      </c>
      <c r="J330" s="12" t="s">
        <v>852</v>
      </c>
      <c r="K330" s="407">
        <v>60000000</v>
      </c>
      <c r="L330" s="300">
        <v>44593</v>
      </c>
      <c r="M330" s="300">
        <v>44925</v>
      </c>
      <c r="N330" s="300">
        <v>44652</v>
      </c>
      <c r="O330" s="301">
        <f t="shared" si="18"/>
        <v>0.17771084337349397</v>
      </c>
      <c r="P330" s="301">
        <f t="shared" si="25"/>
        <v>0.17771084337349397</v>
      </c>
      <c r="Q330" s="302">
        <v>1</v>
      </c>
      <c r="R330" s="303">
        <v>0.25</v>
      </c>
      <c r="S330" s="303">
        <v>0.5</v>
      </c>
      <c r="T330" s="303">
        <v>0.75</v>
      </c>
      <c r="U330" s="303">
        <v>1</v>
      </c>
      <c r="V330" s="303"/>
      <c r="W330" s="383"/>
      <c r="X330" s="302"/>
      <c r="Y330" s="305"/>
      <c r="Z330" s="306"/>
      <c r="AA330" s="307"/>
      <c r="AB330" s="307"/>
      <c r="AC330" s="306"/>
      <c r="AD330" s="307"/>
      <c r="AE330" s="307"/>
      <c r="AF330" s="306"/>
      <c r="AG330" s="307"/>
      <c r="AH330" s="307"/>
      <c r="AI330" s="308"/>
    </row>
    <row r="331" spans="1:35" ht="36.6" customHeight="1" outlineLevel="1" x14ac:dyDescent="0.2">
      <c r="A331" s="527"/>
      <c r="B331" s="433"/>
      <c r="C331" s="433"/>
      <c r="D331" s="449"/>
      <c r="E331" s="262" t="s">
        <v>853</v>
      </c>
      <c r="F331" s="262" t="s">
        <v>754</v>
      </c>
      <c r="G331" s="379" t="s">
        <v>854</v>
      </c>
      <c r="H331" s="379" t="s">
        <v>855</v>
      </c>
      <c r="I331" s="379" t="s">
        <v>788</v>
      </c>
      <c r="J331" s="12" t="s">
        <v>855</v>
      </c>
      <c r="K331" s="409" t="s">
        <v>61</v>
      </c>
      <c r="L331" s="300">
        <v>44593</v>
      </c>
      <c r="M331" s="300">
        <v>44925</v>
      </c>
      <c r="N331" s="300">
        <v>44652</v>
      </c>
      <c r="O331" s="301">
        <f t="shared" si="18"/>
        <v>0.17771084337349397</v>
      </c>
      <c r="P331" s="301">
        <f t="shared" si="24"/>
        <v>0.17771084337349397</v>
      </c>
      <c r="Q331" s="302">
        <v>1</v>
      </c>
      <c r="R331" s="303">
        <v>0.25</v>
      </c>
      <c r="S331" s="303">
        <v>0.5</v>
      </c>
      <c r="T331" s="303">
        <v>0.75</v>
      </c>
      <c r="U331" s="303">
        <v>1</v>
      </c>
      <c r="V331" s="303"/>
      <c r="W331" s="383"/>
      <c r="X331" s="302"/>
      <c r="Y331" s="305"/>
      <c r="Z331" s="306"/>
      <c r="AA331" s="307"/>
      <c r="AB331" s="307"/>
      <c r="AC331" s="306"/>
      <c r="AD331" s="307"/>
      <c r="AE331" s="307"/>
      <c r="AF331" s="306"/>
      <c r="AG331" s="307"/>
      <c r="AH331" s="307"/>
      <c r="AI331" s="308"/>
    </row>
    <row r="332" spans="1:35" ht="62.45" customHeight="1" outlineLevel="1" x14ac:dyDescent="0.2">
      <c r="A332" s="527"/>
      <c r="B332" s="433"/>
      <c r="C332" s="433"/>
      <c r="D332" s="449"/>
      <c r="E332" s="444" t="s">
        <v>780</v>
      </c>
      <c r="F332" s="444" t="s">
        <v>157</v>
      </c>
      <c r="G332" s="379" t="s">
        <v>856</v>
      </c>
      <c r="H332" s="379" t="s">
        <v>857</v>
      </c>
      <c r="I332" s="379" t="s">
        <v>160</v>
      </c>
      <c r="J332" s="12" t="s">
        <v>858</v>
      </c>
      <c r="K332" s="409" t="s">
        <v>61</v>
      </c>
      <c r="L332" s="300">
        <v>44593</v>
      </c>
      <c r="M332" s="300">
        <v>44925</v>
      </c>
      <c r="N332" s="300">
        <v>44652</v>
      </c>
      <c r="O332" s="301">
        <f t="shared" si="18"/>
        <v>0.17771084337349397</v>
      </c>
      <c r="P332" s="301">
        <f t="shared" si="24"/>
        <v>0.17771084337349397</v>
      </c>
      <c r="Q332" s="302">
        <v>1</v>
      </c>
      <c r="R332" s="303">
        <v>0.25</v>
      </c>
      <c r="S332" s="303">
        <v>0.5</v>
      </c>
      <c r="T332" s="303">
        <v>0.75</v>
      </c>
      <c r="U332" s="303">
        <v>1</v>
      </c>
      <c r="V332" s="303"/>
      <c r="W332" s="383"/>
      <c r="X332" s="302"/>
      <c r="Y332" s="305"/>
      <c r="Z332" s="306"/>
      <c r="AA332" s="307"/>
      <c r="AB332" s="307"/>
      <c r="AC332" s="306"/>
      <c r="AD332" s="307"/>
      <c r="AE332" s="307"/>
      <c r="AF332" s="306"/>
      <c r="AG332" s="307"/>
      <c r="AH332" s="307"/>
      <c r="AI332" s="308"/>
    </row>
    <row r="333" spans="1:35" ht="62.45" customHeight="1" outlineLevel="1" x14ac:dyDescent="0.2">
      <c r="A333" s="527"/>
      <c r="B333" s="433"/>
      <c r="C333" s="434"/>
      <c r="D333" s="449"/>
      <c r="E333" s="445"/>
      <c r="F333" s="445"/>
      <c r="G333" s="379" t="s">
        <v>859</v>
      </c>
      <c r="H333" s="379" t="s">
        <v>860</v>
      </c>
      <c r="I333" s="379" t="s">
        <v>160</v>
      </c>
      <c r="J333" s="12" t="s">
        <v>861</v>
      </c>
      <c r="K333" s="407">
        <v>38111287.5</v>
      </c>
      <c r="L333" s="300">
        <v>44593</v>
      </c>
      <c r="M333" s="300">
        <v>44925</v>
      </c>
      <c r="N333" s="300">
        <v>44652</v>
      </c>
      <c r="O333" s="301">
        <f t="shared" si="18"/>
        <v>0.17771084337349397</v>
      </c>
      <c r="P333" s="301">
        <f t="shared" si="24"/>
        <v>0.17771084337349397</v>
      </c>
      <c r="Q333" s="302">
        <v>1</v>
      </c>
      <c r="R333" s="303">
        <v>0.25</v>
      </c>
      <c r="S333" s="303">
        <v>0.5</v>
      </c>
      <c r="T333" s="303">
        <v>0.75</v>
      </c>
      <c r="U333" s="303">
        <v>1</v>
      </c>
      <c r="V333" s="303"/>
      <c r="W333" s="383"/>
      <c r="X333" s="302"/>
      <c r="Y333" s="305"/>
      <c r="Z333" s="306"/>
      <c r="AA333" s="307"/>
      <c r="AB333" s="307"/>
      <c r="AC333" s="306"/>
      <c r="AD333" s="307"/>
      <c r="AE333" s="307"/>
      <c r="AF333" s="306"/>
      <c r="AG333" s="307"/>
      <c r="AH333" s="307"/>
      <c r="AI333" s="308"/>
    </row>
    <row r="334" spans="1:35" ht="62.45" customHeight="1" outlineLevel="1" x14ac:dyDescent="0.2">
      <c r="A334" s="527"/>
      <c r="B334" s="433"/>
      <c r="C334" s="432" t="s">
        <v>765</v>
      </c>
      <c r="D334" s="449"/>
      <c r="E334" s="444" t="s">
        <v>862</v>
      </c>
      <c r="F334" s="444" t="s">
        <v>598</v>
      </c>
      <c r="G334" s="450" t="s">
        <v>863</v>
      </c>
      <c r="H334" s="339" t="s">
        <v>864</v>
      </c>
      <c r="I334" s="447" t="s">
        <v>600</v>
      </c>
      <c r="J334" s="12" t="s">
        <v>864</v>
      </c>
      <c r="K334" s="409" t="s">
        <v>865</v>
      </c>
      <c r="L334" s="300">
        <v>44593</v>
      </c>
      <c r="M334" s="300">
        <v>44925</v>
      </c>
      <c r="N334" s="300">
        <v>44652</v>
      </c>
      <c r="O334" s="301">
        <f t="shared" si="18"/>
        <v>0.17771084337349397</v>
      </c>
      <c r="P334" s="301">
        <f t="shared" ref="P334:P335" si="26">+IF(O334&gt;=100,100,IF(O334&lt;=0,0,O334))</f>
        <v>0.17771084337349397</v>
      </c>
      <c r="Q334" s="302">
        <v>1</v>
      </c>
      <c r="R334" s="303">
        <v>0.25</v>
      </c>
      <c r="S334" s="303">
        <v>0.5</v>
      </c>
      <c r="T334" s="303">
        <v>0.75</v>
      </c>
      <c r="U334" s="303">
        <v>1</v>
      </c>
      <c r="V334" s="303"/>
      <c r="W334" s="383"/>
      <c r="X334" s="302"/>
      <c r="Y334" s="305"/>
      <c r="Z334" s="306"/>
      <c r="AA334" s="307"/>
      <c r="AB334" s="307"/>
      <c r="AC334" s="306"/>
      <c r="AD334" s="307"/>
      <c r="AE334" s="307"/>
      <c r="AF334" s="306"/>
      <c r="AG334" s="307"/>
      <c r="AH334" s="307"/>
      <c r="AI334" s="308"/>
    </row>
    <row r="335" spans="1:35" ht="112.5" customHeight="1" outlineLevel="1" x14ac:dyDescent="0.2">
      <c r="A335" s="527"/>
      <c r="B335" s="434"/>
      <c r="C335" s="434"/>
      <c r="D335" s="449"/>
      <c r="E335" s="445"/>
      <c r="F335" s="445"/>
      <c r="G335" s="447"/>
      <c r="H335" s="379" t="s">
        <v>866</v>
      </c>
      <c r="I335" s="452"/>
      <c r="J335" s="12" t="s">
        <v>867</v>
      </c>
      <c r="K335" s="409" t="s">
        <v>61</v>
      </c>
      <c r="L335" s="300">
        <v>44593</v>
      </c>
      <c r="M335" s="300">
        <v>44925</v>
      </c>
      <c r="N335" s="300">
        <v>44652</v>
      </c>
      <c r="O335" s="301">
        <f t="shared" si="18"/>
        <v>0.17771084337349397</v>
      </c>
      <c r="P335" s="301">
        <f t="shared" si="26"/>
        <v>0.17771084337349397</v>
      </c>
      <c r="Q335" s="302">
        <v>1</v>
      </c>
      <c r="R335" s="303">
        <v>0.25</v>
      </c>
      <c r="S335" s="303">
        <v>0.5</v>
      </c>
      <c r="T335" s="303">
        <v>0.75</v>
      </c>
      <c r="U335" s="303">
        <v>1</v>
      </c>
      <c r="V335" s="303"/>
      <c r="W335" s="383"/>
      <c r="X335" s="302"/>
      <c r="Y335" s="305"/>
      <c r="Z335" s="306"/>
      <c r="AA335" s="307"/>
      <c r="AB335" s="307"/>
      <c r="AC335" s="306"/>
      <c r="AD335" s="307"/>
      <c r="AE335" s="307"/>
      <c r="AF335" s="306"/>
      <c r="AG335" s="307"/>
      <c r="AH335" s="307"/>
      <c r="AI335" s="308"/>
    </row>
    <row r="336" spans="1:35" ht="91.5" customHeight="1" outlineLevel="1" x14ac:dyDescent="0.2">
      <c r="A336" s="527"/>
      <c r="B336" s="432" t="s">
        <v>657</v>
      </c>
      <c r="C336" s="271" t="s">
        <v>805</v>
      </c>
      <c r="D336" s="449"/>
      <c r="E336" s="262" t="s">
        <v>868</v>
      </c>
      <c r="F336" s="262" t="s">
        <v>869</v>
      </c>
      <c r="G336" s="379" t="s">
        <v>854</v>
      </c>
      <c r="H336" s="379" t="s">
        <v>809</v>
      </c>
      <c r="I336" s="379" t="s">
        <v>870</v>
      </c>
      <c r="J336" s="12" t="s">
        <v>871</v>
      </c>
      <c r="K336" s="409" t="s">
        <v>61</v>
      </c>
      <c r="L336" s="300">
        <v>44593</v>
      </c>
      <c r="M336" s="300">
        <v>44925</v>
      </c>
      <c r="N336" s="300">
        <v>44652</v>
      </c>
      <c r="O336" s="301">
        <f t="shared" si="18"/>
        <v>0.17771084337349397</v>
      </c>
      <c r="P336" s="301">
        <f t="shared" si="24"/>
        <v>0.17771084337349397</v>
      </c>
      <c r="Q336" s="302">
        <v>1</v>
      </c>
      <c r="R336" s="303">
        <v>0.25</v>
      </c>
      <c r="S336" s="303">
        <v>0.5</v>
      </c>
      <c r="T336" s="303">
        <v>0.75</v>
      </c>
      <c r="U336" s="303">
        <v>1</v>
      </c>
      <c r="V336" s="303"/>
      <c r="W336" s="383"/>
      <c r="X336" s="302"/>
      <c r="Y336" s="305"/>
      <c r="Z336" s="306"/>
      <c r="AA336" s="307"/>
      <c r="AB336" s="307"/>
      <c r="AC336" s="306"/>
      <c r="AD336" s="307"/>
      <c r="AE336" s="307"/>
      <c r="AF336" s="306"/>
      <c r="AG336" s="307"/>
      <c r="AH336" s="307"/>
      <c r="AI336" s="308"/>
    </row>
    <row r="337" spans="1:35" ht="75.75" customHeight="1" outlineLevel="1" x14ac:dyDescent="0.2">
      <c r="A337" s="527"/>
      <c r="B337" s="434"/>
      <c r="C337" s="271" t="s">
        <v>814</v>
      </c>
      <c r="D337" s="449"/>
      <c r="E337" s="262" t="s">
        <v>872</v>
      </c>
      <c r="F337" s="262" t="s">
        <v>1355</v>
      </c>
      <c r="G337" s="379" t="s">
        <v>873</v>
      </c>
      <c r="H337" s="379" t="s">
        <v>874</v>
      </c>
      <c r="I337" s="379" t="s">
        <v>875</v>
      </c>
      <c r="J337" s="12" t="s">
        <v>874</v>
      </c>
      <c r="K337" s="409" t="s">
        <v>61</v>
      </c>
      <c r="L337" s="300">
        <v>44593</v>
      </c>
      <c r="M337" s="300">
        <v>44925</v>
      </c>
      <c r="N337" s="300">
        <v>44652</v>
      </c>
      <c r="O337" s="301">
        <f t="shared" si="18"/>
        <v>0.17771084337349397</v>
      </c>
      <c r="P337" s="301">
        <f t="shared" ref="P337" si="27">+IF(O337&gt;=100,100,IF(O337&lt;=0,0,O337))</f>
        <v>0.17771084337349397</v>
      </c>
      <c r="Q337" s="302">
        <v>1</v>
      </c>
      <c r="R337" s="303">
        <v>0.25</v>
      </c>
      <c r="S337" s="303">
        <v>0.5</v>
      </c>
      <c r="T337" s="303">
        <v>0.75</v>
      </c>
      <c r="U337" s="303">
        <v>1</v>
      </c>
      <c r="V337" s="303"/>
      <c r="W337" s="383"/>
      <c r="X337" s="302"/>
      <c r="Y337" s="305"/>
      <c r="Z337" s="306"/>
      <c r="AA337" s="307"/>
      <c r="AB337" s="307"/>
      <c r="AC337" s="306"/>
      <c r="AD337" s="307"/>
      <c r="AE337" s="307"/>
      <c r="AF337" s="306"/>
      <c r="AG337" s="307"/>
      <c r="AH337" s="307"/>
      <c r="AI337" s="308"/>
    </row>
    <row r="338" spans="1:35" ht="90" customHeight="1" outlineLevel="1" x14ac:dyDescent="0.2">
      <c r="A338" s="527"/>
      <c r="B338" s="432" t="s">
        <v>207</v>
      </c>
      <c r="C338" s="432" t="s">
        <v>774</v>
      </c>
      <c r="D338" s="449"/>
      <c r="E338" s="444" t="s">
        <v>775</v>
      </c>
      <c r="F338" s="262" t="s">
        <v>876</v>
      </c>
      <c r="G338" s="446" t="s">
        <v>877</v>
      </c>
      <c r="H338" s="379" t="s">
        <v>878</v>
      </c>
      <c r="I338" s="379" t="s">
        <v>879</v>
      </c>
      <c r="J338" s="12" t="s">
        <v>880</v>
      </c>
      <c r="K338" s="409" t="s">
        <v>865</v>
      </c>
      <c r="L338" s="300">
        <v>44593</v>
      </c>
      <c r="M338" s="300">
        <v>44925</v>
      </c>
      <c r="N338" s="300">
        <v>44652</v>
      </c>
      <c r="O338" s="301">
        <f t="shared" si="18"/>
        <v>0.17771084337349397</v>
      </c>
      <c r="P338" s="301">
        <f t="shared" si="24"/>
        <v>0.17771084337349397</v>
      </c>
      <c r="Q338" s="302">
        <v>0.5</v>
      </c>
      <c r="R338" s="303">
        <v>0.3</v>
      </c>
      <c r="S338" s="303">
        <v>0.4</v>
      </c>
      <c r="T338" s="303">
        <v>0.45</v>
      </c>
      <c r="U338" s="303">
        <v>0.5</v>
      </c>
      <c r="V338" s="303"/>
      <c r="W338" s="383"/>
      <c r="X338" s="302"/>
      <c r="Y338" s="305"/>
      <c r="Z338" s="306"/>
      <c r="AA338" s="307"/>
      <c r="AB338" s="307"/>
      <c r="AC338" s="306"/>
      <c r="AD338" s="307"/>
      <c r="AE338" s="307"/>
      <c r="AF338" s="306"/>
      <c r="AG338" s="307"/>
      <c r="AH338" s="307"/>
      <c r="AI338" s="308"/>
    </row>
    <row r="339" spans="1:35" ht="45.75" customHeight="1" outlineLevel="1" x14ac:dyDescent="0.2">
      <c r="A339" s="527"/>
      <c r="B339" s="434"/>
      <c r="C339" s="434"/>
      <c r="D339" s="449"/>
      <c r="E339" s="445"/>
      <c r="F339" s="262" t="s">
        <v>776</v>
      </c>
      <c r="G339" s="447"/>
      <c r="H339" s="379" t="s">
        <v>777</v>
      </c>
      <c r="I339" s="379" t="s">
        <v>778</v>
      </c>
      <c r="J339" s="12" t="s">
        <v>880</v>
      </c>
      <c r="K339" s="409" t="s">
        <v>865</v>
      </c>
      <c r="L339" s="300">
        <v>44593</v>
      </c>
      <c r="M339" s="300">
        <v>44925</v>
      </c>
      <c r="N339" s="300">
        <v>44652</v>
      </c>
      <c r="O339" s="301">
        <f t="shared" si="18"/>
        <v>0.17771084337349397</v>
      </c>
      <c r="P339" s="301">
        <f t="shared" si="24"/>
        <v>0.17771084337349397</v>
      </c>
      <c r="Q339" s="302">
        <v>0.5</v>
      </c>
      <c r="R339" s="303">
        <v>0.3</v>
      </c>
      <c r="S339" s="303">
        <v>0.4</v>
      </c>
      <c r="T339" s="303">
        <v>0.45</v>
      </c>
      <c r="U339" s="303">
        <v>0.5</v>
      </c>
      <c r="V339" s="303"/>
      <c r="W339" s="383"/>
      <c r="X339" s="302"/>
      <c r="Y339" s="305"/>
      <c r="Z339" s="306"/>
      <c r="AA339" s="307"/>
      <c r="AB339" s="307"/>
      <c r="AC339" s="306"/>
      <c r="AD339" s="307"/>
      <c r="AE339" s="307"/>
      <c r="AF339" s="306"/>
      <c r="AG339" s="307"/>
      <c r="AH339" s="307"/>
      <c r="AI339" s="308"/>
    </row>
    <row r="340" spans="1:35" ht="46.9" customHeight="1" outlineLevel="1" x14ac:dyDescent="0.2">
      <c r="A340" s="527"/>
      <c r="B340" s="432" t="s">
        <v>52</v>
      </c>
      <c r="C340" s="432" t="s">
        <v>794</v>
      </c>
      <c r="D340" s="481" t="s">
        <v>881</v>
      </c>
      <c r="E340" s="510" t="s">
        <v>882</v>
      </c>
      <c r="F340" s="510" t="s">
        <v>108</v>
      </c>
      <c r="G340" s="467" t="s">
        <v>883</v>
      </c>
      <c r="H340" s="343" t="s">
        <v>884</v>
      </c>
      <c r="I340" s="467" t="s">
        <v>885</v>
      </c>
      <c r="J340" s="505" t="s">
        <v>886</v>
      </c>
      <c r="K340" s="276" t="s">
        <v>378</v>
      </c>
      <c r="L340" s="300">
        <v>44593</v>
      </c>
      <c r="M340" s="300">
        <v>44925</v>
      </c>
      <c r="N340" s="300">
        <v>44652</v>
      </c>
      <c r="O340" s="301">
        <f t="shared" si="18"/>
        <v>0.17771084337349397</v>
      </c>
      <c r="P340" s="301">
        <f t="shared" si="24"/>
        <v>0.17771084337349397</v>
      </c>
      <c r="Q340" s="302">
        <v>1</v>
      </c>
      <c r="R340" s="303">
        <v>0.25</v>
      </c>
      <c r="S340" s="303">
        <v>0.5</v>
      </c>
      <c r="T340" s="303">
        <v>0.75</v>
      </c>
      <c r="U340" s="303">
        <v>1</v>
      </c>
      <c r="V340" s="303"/>
      <c r="W340" s="383"/>
      <c r="X340" s="302"/>
      <c r="Y340" s="305"/>
      <c r="Z340" s="306"/>
      <c r="AA340" s="307"/>
      <c r="AB340" s="307"/>
      <c r="AC340" s="306"/>
      <c r="AD340" s="307"/>
      <c r="AE340" s="307"/>
      <c r="AF340" s="306"/>
      <c r="AG340" s="307"/>
      <c r="AH340" s="307"/>
      <c r="AI340" s="308"/>
    </row>
    <row r="341" spans="1:35" ht="112.5" customHeight="1" outlineLevel="1" x14ac:dyDescent="0.2">
      <c r="A341" s="527"/>
      <c r="B341" s="433"/>
      <c r="C341" s="433"/>
      <c r="D341" s="482"/>
      <c r="E341" s="511"/>
      <c r="F341" s="511"/>
      <c r="G341" s="468"/>
      <c r="H341" s="343" t="s">
        <v>887</v>
      </c>
      <c r="I341" s="468"/>
      <c r="J341" s="506"/>
      <c r="K341" s="276" t="s">
        <v>378</v>
      </c>
      <c r="L341" s="300">
        <v>44593</v>
      </c>
      <c r="M341" s="300">
        <v>44925</v>
      </c>
      <c r="N341" s="300">
        <v>44652</v>
      </c>
      <c r="O341" s="301">
        <f t="shared" si="18"/>
        <v>0.17771084337349397</v>
      </c>
      <c r="P341" s="301">
        <f t="shared" si="24"/>
        <v>0.17771084337349397</v>
      </c>
      <c r="Q341" s="302">
        <v>1</v>
      </c>
      <c r="R341" s="303">
        <v>0.25</v>
      </c>
      <c r="S341" s="303">
        <v>0.5</v>
      </c>
      <c r="T341" s="303">
        <v>0.75</v>
      </c>
      <c r="U341" s="303">
        <v>1</v>
      </c>
      <c r="V341" s="303"/>
      <c r="W341" s="383"/>
      <c r="X341" s="302"/>
      <c r="Y341" s="305"/>
      <c r="Z341" s="306"/>
      <c r="AA341" s="307"/>
      <c r="AB341" s="307"/>
      <c r="AC341" s="306"/>
      <c r="AD341" s="307"/>
      <c r="AE341" s="307"/>
      <c r="AF341" s="306"/>
      <c r="AG341" s="307"/>
      <c r="AH341" s="307"/>
      <c r="AI341" s="308"/>
    </row>
    <row r="342" spans="1:35" ht="116.45" customHeight="1" outlineLevel="1" x14ac:dyDescent="0.2">
      <c r="A342" s="527"/>
      <c r="B342" s="433"/>
      <c r="C342" s="433"/>
      <c r="D342" s="482"/>
      <c r="E342" s="511"/>
      <c r="F342" s="511"/>
      <c r="G342" s="468"/>
      <c r="H342" s="343" t="s">
        <v>888</v>
      </c>
      <c r="I342" s="468"/>
      <c r="J342" s="506"/>
      <c r="K342" s="276" t="s">
        <v>378</v>
      </c>
      <c r="L342" s="300">
        <v>44593</v>
      </c>
      <c r="M342" s="300">
        <v>44925</v>
      </c>
      <c r="N342" s="300">
        <v>44652</v>
      </c>
      <c r="O342" s="301">
        <f t="shared" si="18"/>
        <v>0.17771084337349397</v>
      </c>
      <c r="P342" s="301">
        <f t="shared" si="24"/>
        <v>0.17771084337349397</v>
      </c>
      <c r="Q342" s="302">
        <v>1</v>
      </c>
      <c r="R342" s="303">
        <v>0.25</v>
      </c>
      <c r="S342" s="303">
        <v>0.5</v>
      </c>
      <c r="T342" s="303">
        <v>0.75</v>
      </c>
      <c r="U342" s="303">
        <v>1</v>
      </c>
      <c r="V342" s="303"/>
      <c r="W342" s="383"/>
      <c r="X342" s="302"/>
      <c r="Y342" s="305"/>
      <c r="Z342" s="306"/>
      <c r="AA342" s="307"/>
      <c r="AB342" s="307"/>
      <c r="AC342" s="306"/>
      <c r="AD342" s="307"/>
      <c r="AE342" s="307"/>
      <c r="AF342" s="306"/>
      <c r="AG342" s="307"/>
      <c r="AH342" s="307"/>
      <c r="AI342" s="308"/>
    </row>
    <row r="343" spans="1:35" ht="116.45" customHeight="1" outlineLevel="1" x14ac:dyDescent="0.2">
      <c r="A343" s="527"/>
      <c r="B343" s="433"/>
      <c r="C343" s="433"/>
      <c r="D343" s="482"/>
      <c r="E343" s="511"/>
      <c r="F343" s="511"/>
      <c r="G343" s="468"/>
      <c r="H343" s="343" t="s">
        <v>889</v>
      </c>
      <c r="I343" s="468"/>
      <c r="J343" s="506"/>
      <c r="K343" s="276" t="s">
        <v>378</v>
      </c>
      <c r="L343" s="300">
        <v>44593</v>
      </c>
      <c r="M343" s="300">
        <v>44925</v>
      </c>
      <c r="N343" s="300">
        <v>44652</v>
      </c>
      <c r="O343" s="301">
        <f t="shared" si="18"/>
        <v>0.17771084337349397</v>
      </c>
      <c r="P343" s="301">
        <f t="shared" ref="P343:P345" si="28">+IF(O343&gt;=100,100,IF(O343&lt;=0,0,O343))</f>
        <v>0.17771084337349397</v>
      </c>
      <c r="Q343" s="302">
        <v>1</v>
      </c>
      <c r="R343" s="303">
        <v>0.25</v>
      </c>
      <c r="S343" s="303">
        <v>0.5</v>
      </c>
      <c r="T343" s="303">
        <v>0.75</v>
      </c>
      <c r="U343" s="303">
        <v>1</v>
      </c>
      <c r="V343" s="303"/>
      <c r="W343" s="383"/>
      <c r="X343" s="302"/>
      <c r="Y343" s="305"/>
      <c r="Z343" s="306"/>
      <c r="AA343" s="307"/>
      <c r="AB343" s="307"/>
      <c r="AC343" s="306"/>
      <c r="AD343" s="307"/>
      <c r="AE343" s="307"/>
      <c r="AF343" s="306"/>
      <c r="AG343" s="307"/>
      <c r="AH343" s="307"/>
      <c r="AI343" s="308"/>
    </row>
    <row r="344" spans="1:35" ht="116.45" customHeight="1" outlineLevel="1" x14ac:dyDescent="0.2">
      <c r="A344" s="527"/>
      <c r="B344" s="434"/>
      <c r="C344" s="434"/>
      <c r="D344" s="482"/>
      <c r="E344" s="528"/>
      <c r="F344" s="528"/>
      <c r="G344" s="469"/>
      <c r="H344" s="343" t="s">
        <v>890</v>
      </c>
      <c r="I344" s="469"/>
      <c r="J344" s="507"/>
      <c r="K344" s="276" t="s">
        <v>378</v>
      </c>
      <c r="L344" s="300">
        <v>44593</v>
      </c>
      <c r="M344" s="300">
        <v>44925</v>
      </c>
      <c r="N344" s="300">
        <v>44652</v>
      </c>
      <c r="O344" s="301">
        <f t="shared" si="18"/>
        <v>0.17771084337349397</v>
      </c>
      <c r="P344" s="301">
        <f t="shared" si="28"/>
        <v>0.17771084337349397</v>
      </c>
      <c r="Q344" s="302">
        <v>1</v>
      </c>
      <c r="R344" s="303">
        <v>0.25</v>
      </c>
      <c r="S344" s="303">
        <v>0.5</v>
      </c>
      <c r="T344" s="303">
        <v>0.75</v>
      </c>
      <c r="U344" s="303">
        <v>1</v>
      </c>
      <c r="V344" s="303"/>
      <c r="W344" s="383"/>
      <c r="X344" s="302"/>
      <c r="Y344" s="305"/>
      <c r="Z344" s="306"/>
      <c r="AA344" s="307"/>
      <c r="AB344" s="307"/>
      <c r="AC344" s="306"/>
      <c r="AD344" s="307"/>
      <c r="AE344" s="307"/>
      <c r="AF344" s="306"/>
      <c r="AG344" s="307"/>
      <c r="AH344" s="307"/>
      <c r="AI344" s="308"/>
    </row>
    <row r="345" spans="1:35" ht="116.45" customHeight="1" outlineLevel="1" x14ac:dyDescent="0.2">
      <c r="A345" s="527"/>
      <c r="B345" s="271" t="s">
        <v>207</v>
      </c>
      <c r="C345" s="271" t="s">
        <v>774</v>
      </c>
      <c r="D345" s="482"/>
      <c r="E345" s="342" t="s">
        <v>775</v>
      </c>
      <c r="F345" s="342" t="s">
        <v>891</v>
      </c>
      <c r="G345" s="337" t="s">
        <v>892</v>
      </c>
      <c r="H345" s="337" t="s">
        <v>893</v>
      </c>
      <c r="I345" s="337" t="s">
        <v>894</v>
      </c>
      <c r="J345" s="276" t="s">
        <v>895</v>
      </c>
      <c r="K345" s="276" t="s">
        <v>378</v>
      </c>
      <c r="L345" s="300">
        <v>44593</v>
      </c>
      <c r="M345" s="300">
        <v>44925</v>
      </c>
      <c r="N345" s="300">
        <v>44652</v>
      </c>
      <c r="O345" s="301">
        <f t="shared" si="18"/>
        <v>0.17771084337349397</v>
      </c>
      <c r="P345" s="301">
        <f t="shared" si="28"/>
        <v>0.17771084337349397</v>
      </c>
      <c r="Q345" s="302">
        <v>0.5</v>
      </c>
      <c r="R345" s="303">
        <v>0.35</v>
      </c>
      <c r="S345" s="303">
        <v>0.4</v>
      </c>
      <c r="T345" s="303">
        <v>0.45</v>
      </c>
      <c r="U345" s="303">
        <v>0.5</v>
      </c>
      <c r="V345" s="303"/>
      <c r="W345" s="383"/>
      <c r="X345" s="302"/>
      <c r="Y345" s="305"/>
      <c r="Z345" s="306"/>
      <c r="AA345" s="307"/>
      <c r="AB345" s="307"/>
      <c r="AC345" s="306"/>
      <c r="AD345" s="307"/>
      <c r="AE345" s="307"/>
      <c r="AF345" s="306"/>
      <c r="AG345" s="307"/>
      <c r="AH345" s="307"/>
      <c r="AI345" s="308"/>
    </row>
    <row r="346" spans="1:35" ht="46.9" customHeight="1" outlineLevel="1" x14ac:dyDescent="0.2">
      <c r="A346" s="527"/>
      <c r="B346" s="432" t="s">
        <v>52</v>
      </c>
      <c r="C346" s="432" t="s">
        <v>740</v>
      </c>
      <c r="D346" s="508" t="s">
        <v>896</v>
      </c>
      <c r="E346" s="270" t="s">
        <v>783</v>
      </c>
      <c r="F346" s="270" t="s">
        <v>56</v>
      </c>
      <c r="G346" s="10" t="s">
        <v>897</v>
      </c>
      <c r="H346" s="10" t="s">
        <v>784</v>
      </c>
      <c r="I346" s="10" t="s">
        <v>59</v>
      </c>
      <c r="J346" s="276" t="s">
        <v>340</v>
      </c>
      <c r="K346" s="276" t="s">
        <v>378</v>
      </c>
      <c r="L346" s="300">
        <v>44593</v>
      </c>
      <c r="M346" s="300">
        <v>44925</v>
      </c>
      <c r="N346" s="300">
        <v>44652</v>
      </c>
      <c r="O346" s="301">
        <f t="shared" si="18"/>
        <v>0.17771084337349397</v>
      </c>
      <c r="P346" s="301">
        <f t="shared" si="24"/>
        <v>0.17771084337349397</v>
      </c>
      <c r="Q346" s="302">
        <v>1</v>
      </c>
      <c r="R346" s="303">
        <v>0.25</v>
      </c>
      <c r="S346" s="303">
        <v>0.5</v>
      </c>
      <c r="T346" s="303">
        <v>0.75</v>
      </c>
      <c r="U346" s="303">
        <v>1</v>
      </c>
      <c r="V346" s="303"/>
      <c r="W346" s="383"/>
      <c r="X346" s="302"/>
      <c r="Y346" s="305"/>
      <c r="Z346" s="306"/>
      <c r="AA346" s="307"/>
      <c r="AB346" s="307"/>
      <c r="AC346" s="306"/>
      <c r="AD346" s="307"/>
      <c r="AE346" s="307"/>
      <c r="AF346" s="306"/>
      <c r="AG346" s="307"/>
      <c r="AH346" s="307"/>
      <c r="AI346" s="308"/>
    </row>
    <row r="347" spans="1:35" ht="75" customHeight="1" outlineLevel="1" x14ac:dyDescent="0.2">
      <c r="A347" s="527"/>
      <c r="B347" s="433"/>
      <c r="C347" s="433"/>
      <c r="D347" s="509"/>
      <c r="E347" s="453" t="s">
        <v>753</v>
      </c>
      <c r="F347" s="453" t="s">
        <v>754</v>
      </c>
      <c r="G347" s="10" t="s">
        <v>898</v>
      </c>
      <c r="H347" s="10" t="s">
        <v>899</v>
      </c>
      <c r="I347" s="10" t="s">
        <v>788</v>
      </c>
      <c r="J347" s="310" t="s">
        <v>900</v>
      </c>
      <c r="K347" s="276" t="s">
        <v>378</v>
      </c>
      <c r="L347" s="300">
        <v>44593</v>
      </c>
      <c r="M347" s="300">
        <v>44925</v>
      </c>
      <c r="N347" s="300">
        <v>44652</v>
      </c>
      <c r="O347" s="301">
        <f t="shared" si="18"/>
        <v>0.17771084337349397</v>
      </c>
      <c r="P347" s="301">
        <f t="shared" ref="P347:P353" si="29">+IF(O347&gt;=100,100,IF(O347&lt;=0,0,O347))</f>
        <v>0.17771084337349397</v>
      </c>
      <c r="Q347" s="302">
        <v>1</v>
      </c>
      <c r="R347" s="303">
        <v>0.25</v>
      </c>
      <c r="S347" s="303">
        <v>0.5</v>
      </c>
      <c r="T347" s="303">
        <v>0.75</v>
      </c>
      <c r="U347" s="303">
        <v>1</v>
      </c>
      <c r="V347" s="303"/>
      <c r="W347" s="383"/>
      <c r="X347" s="302"/>
      <c r="Y347" s="305"/>
      <c r="Z347" s="306"/>
      <c r="AA347" s="307"/>
      <c r="AB347" s="307"/>
      <c r="AC347" s="306"/>
      <c r="AD347" s="307"/>
      <c r="AE347" s="307"/>
      <c r="AF347" s="306"/>
      <c r="AG347" s="307"/>
      <c r="AH347" s="307"/>
      <c r="AI347" s="308"/>
    </row>
    <row r="348" spans="1:35" ht="75" customHeight="1" outlineLevel="1" x14ac:dyDescent="0.2">
      <c r="A348" s="527"/>
      <c r="B348" s="433"/>
      <c r="C348" s="433"/>
      <c r="D348" s="509"/>
      <c r="E348" s="454"/>
      <c r="F348" s="454"/>
      <c r="G348" s="270" t="s">
        <v>856</v>
      </c>
      <c r="H348" s="10" t="s">
        <v>901</v>
      </c>
      <c r="I348" s="10" t="s">
        <v>788</v>
      </c>
      <c r="J348" s="276" t="s">
        <v>902</v>
      </c>
      <c r="K348" s="276" t="s">
        <v>378</v>
      </c>
      <c r="L348" s="300">
        <v>44593</v>
      </c>
      <c r="M348" s="300">
        <v>44925</v>
      </c>
      <c r="N348" s="300">
        <v>44652</v>
      </c>
      <c r="O348" s="301">
        <f t="shared" si="18"/>
        <v>0.17771084337349397</v>
      </c>
      <c r="P348" s="301">
        <f t="shared" si="29"/>
        <v>0.17771084337349397</v>
      </c>
      <c r="Q348" s="302">
        <v>1</v>
      </c>
      <c r="R348" s="303">
        <v>0.25</v>
      </c>
      <c r="S348" s="303">
        <v>0.5</v>
      </c>
      <c r="T348" s="303">
        <v>0.75</v>
      </c>
      <c r="U348" s="303">
        <v>1</v>
      </c>
      <c r="V348" s="303"/>
      <c r="W348" s="383"/>
      <c r="X348" s="302"/>
      <c r="Y348" s="305"/>
      <c r="Z348" s="306"/>
      <c r="AA348" s="307"/>
      <c r="AB348" s="307"/>
      <c r="AC348" s="306"/>
      <c r="AD348" s="307"/>
      <c r="AE348" s="307"/>
      <c r="AF348" s="306"/>
      <c r="AG348" s="307"/>
      <c r="AH348" s="307"/>
      <c r="AI348" s="308"/>
    </row>
    <row r="349" spans="1:35" ht="108" customHeight="1" outlineLevel="1" x14ac:dyDescent="0.2">
      <c r="A349" s="527"/>
      <c r="B349" s="433"/>
      <c r="C349" s="433"/>
      <c r="D349" s="509"/>
      <c r="E349" s="453" t="s">
        <v>780</v>
      </c>
      <c r="F349" s="453" t="s">
        <v>157</v>
      </c>
      <c r="G349" s="435" t="s">
        <v>903</v>
      </c>
      <c r="H349" s="10" t="s">
        <v>845</v>
      </c>
      <c r="I349" s="435" t="s">
        <v>160</v>
      </c>
      <c r="J349" s="276" t="s">
        <v>904</v>
      </c>
      <c r="K349" s="276" t="s">
        <v>378</v>
      </c>
      <c r="L349" s="300">
        <v>44593</v>
      </c>
      <c r="M349" s="300">
        <v>44925</v>
      </c>
      <c r="N349" s="300">
        <v>44652</v>
      </c>
      <c r="O349" s="301">
        <f t="shared" si="18"/>
        <v>0.17771084337349397</v>
      </c>
      <c r="P349" s="301">
        <f t="shared" si="29"/>
        <v>0.17771084337349397</v>
      </c>
      <c r="Q349" s="302">
        <v>1</v>
      </c>
      <c r="R349" s="303">
        <v>0.25</v>
      </c>
      <c r="S349" s="303">
        <v>0.5</v>
      </c>
      <c r="T349" s="303">
        <v>0.75</v>
      </c>
      <c r="U349" s="303">
        <v>1</v>
      </c>
      <c r="V349" s="303"/>
      <c r="W349" s="383"/>
      <c r="X349" s="302"/>
      <c r="Y349" s="305"/>
      <c r="Z349" s="306"/>
      <c r="AA349" s="307"/>
      <c r="AB349" s="307"/>
      <c r="AC349" s="306"/>
      <c r="AD349" s="307"/>
      <c r="AE349" s="307"/>
      <c r="AF349" s="306"/>
      <c r="AG349" s="307"/>
      <c r="AH349" s="307"/>
      <c r="AI349" s="308"/>
    </row>
    <row r="350" spans="1:35" ht="135.6" customHeight="1" outlineLevel="1" x14ac:dyDescent="0.2">
      <c r="A350" s="527"/>
      <c r="B350" s="433"/>
      <c r="C350" s="433"/>
      <c r="D350" s="509"/>
      <c r="E350" s="455"/>
      <c r="F350" s="455"/>
      <c r="G350" s="436"/>
      <c r="H350" s="10" t="s">
        <v>905</v>
      </c>
      <c r="I350" s="436"/>
      <c r="J350" s="276" t="s">
        <v>906</v>
      </c>
      <c r="K350" s="276" t="s">
        <v>378</v>
      </c>
      <c r="L350" s="300">
        <v>44593</v>
      </c>
      <c r="M350" s="300">
        <v>44925</v>
      </c>
      <c r="N350" s="300">
        <v>44652</v>
      </c>
      <c r="O350" s="301">
        <f t="shared" si="18"/>
        <v>0.17771084337349397</v>
      </c>
      <c r="P350" s="301">
        <f t="shared" si="29"/>
        <v>0.17771084337349397</v>
      </c>
      <c r="Q350" s="302">
        <v>1</v>
      </c>
      <c r="R350" s="303">
        <v>0.25</v>
      </c>
      <c r="S350" s="303">
        <v>0.5</v>
      </c>
      <c r="T350" s="303">
        <v>0.75</v>
      </c>
      <c r="U350" s="303">
        <v>1</v>
      </c>
      <c r="V350" s="303"/>
      <c r="W350" s="383"/>
      <c r="X350" s="302"/>
      <c r="Y350" s="305"/>
      <c r="Z350" s="306"/>
      <c r="AA350" s="307"/>
      <c r="AB350" s="307"/>
      <c r="AC350" s="306"/>
      <c r="AD350" s="307"/>
      <c r="AE350" s="307"/>
      <c r="AF350" s="306"/>
      <c r="AG350" s="307"/>
      <c r="AH350" s="307"/>
      <c r="AI350" s="308"/>
    </row>
    <row r="351" spans="1:35" ht="135.6" customHeight="1" outlineLevel="1" x14ac:dyDescent="0.2">
      <c r="A351" s="527"/>
      <c r="B351" s="433"/>
      <c r="C351" s="433"/>
      <c r="D351" s="509"/>
      <c r="E351" s="455"/>
      <c r="F351" s="455"/>
      <c r="G351" s="436"/>
      <c r="H351" s="10" t="s">
        <v>907</v>
      </c>
      <c r="I351" s="436"/>
      <c r="J351" s="276" t="s">
        <v>908</v>
      </c>
      <c r="K351" s="276" t="s">
        <v>378</v>
      </c>
      <c r="L351" s="300">
        <v>44593</v>
      </c>
      <c r="M351" s="300">
        <v>44925</v>
      </c>
      <c r="N351" s="300">
        <v>44652</v>
      </c>
      <c r="O351" s="301">
        <f t="shared" si="18"/>
        <v>0.17771084337349397</v>
      </c>
      <c r="P351" s="301">
        <f t="shared" si="29"/>
        <v>0.17771084337349397</v>
      </c>
      <c r="Q351" s="302">
        <v>1</v>
      </c>
      <c r="R351" s="303">
        <v>0.25</v>
      </c>
      <c r="S351" s="303">
        <v>0.5</v>
      </c>
      <c r="T351" s="303">
        <v>0.75</v>
      </c>
      <c r="U351" s="303">
        <v>1</v>
      </c>
      <c r="V351" s="303"/>
      <c r="W351" s="383"/>
      <c r="X351" s="302"/>
      <c r="Y351" s="305"/>
      <c r="Z351" s="306"/>
      <c r="AA351" s="307"/>
      <c r="AB351" s="307"/>
      <c r="AC351" s="306"/>
      <c r="AD351" s="307"/>
      <c r="AE351" s="307"/>
      <c r="AF351" s="306"/>
      <c r="AG351" s="307"/>
      <c r="AH351" s="307"/>
      <c r="AI351" s="308"/>
    </row>
    <row r="352" spans="1:35" ht="36.6" customHeight="1" outlineLevel="1" x14ac:dyDescent="0.2">
      <c r="A352" s="527"/>
      <c r="B352" s="433"/>
      <c r="C352" s="433"/>
      <c r="D352" s="509"/>
      <c r="E352" s="454"/>
      <c r="F352" s="454"/>
      <c r="G352" s="437"/>
      <c r="H352" s="10" t="s">
        <v>909</v>
      </c>
      <c r="I352" s="437"/>
      <c r="J352" s="12" t="s">
        <v>910</v>
      </c>
      <c r="K352" s="276" t="s">
        <v>378</v>
      </c>
      <c r="L352" s="300">
        <v>44593</v>
      </c>
      <c r="M352" s="300">
        <v>44925</v>
      </c>
      <c r="N352" s="300">
        <v>44652</v>
      </c>
      <c r="O352" s="301">
        <f t="shared" si="18"/>
        <v>0.17771084337349397</v>
      </c>
      <c r="P352" s="301">
        <f t="shared" si="29"/>
        <v>0.17771084337349397</v>
      </c>
      <c r="Q352" s="302">
        <v>1</v>
      </c>
      <c r="R352" s="303">
        <v>0.25</v>
      </c>
      <c r="S352" s="303">
        <v>0.5</v>
      </c>
      <c r="T352" s="303">
        <v>0.75</v>
      </c>
      <c r="U352" s="303">
        <v>1</v>
      </c>
      <c r="V352" s="303"/>
      <c r="W352" s="383"/>
      <c r="X352" s="302"/>
      <c r="Y352" s="305"/>
      <c r="Z352" s="306"/>
      <c r="AA352" s="307"/>
      <c r="AB352" s="307"/>
      <c r="AC352" s="306"/>
      <c r="AD352" s="307"/>
      <c r="AE352" s="307"/>
      <c r="AF352" s="306"/>
      <c r="AG352" s="307"/>
      <c r="AH352" s="307"/>
      <c r="AI352" s="308"/>
    </row>
    <row r="353" spans="1:35" ht="135.6" customHeight="1" outlineLevel="1" x14ac:dyDescent="0.2">
      <c r="A353" s="527"/>
      <c r="B353" s="433"/>
      <c r="C353" s="434"/>
      <c r="D353" s="509"/>
      <c r="E353" s="270" t="s">
        <v>790</v>
      </c>
      <c r="F353" s="270" t="s">
        <v>838</v>
      </c>
      <c r="G353" s="10" t="s">
        <v>851</v>
      </c>
      <c r="H353" s="10" t="s">
        <v>911</v>
      </c>
      <c r="I353" s="10" t="s">
        <v>792</v>
      </c>
      <c r="J353" s="12" t="s">
        <v>912</v>
      </c>
      <c r="K353" s="276" t="s">
        <v>378</v>
      </c>
      <c r="L353" s="300">
        <v>44593</v>
      </c>
      <c r="M353" s="300">
        <v>44925</v>
      </c>
      <c r="N353" s="300">
        <v>44652</v>
      </c>
      <c r="O353" s="301">
        <f t="shared" si="18"/>
        <v>0.17771084337349397</v>
      </c>
      <c r="P353" s="301">
        <f t="shared" si="29"/>
        <v>0.17771084337349397</v>
      </c>
      <c r="Q353" s="302">
        <v>1</v>
      </c>
      <c r="R353" s="303">
        <v>0.25</v>
      </c>
      <c r="S353" s="303">
        <v>0.5</v>
      </c>
      <c r="T353" s="303">
        <v>0.75</v>
      </c>
      <c r="U353" s="303">
        <v>1</v>
      </c>
      <c r="V353" s="303"/>
      <c r="W353" s="383"/>
      <c r="X353" s="302"/>
      <c r="Y353" s="305"/>
      <c r="Z353" s="306"/>
      <c r="AA353" s="307"/>
      <c r="AB353" s="307"/>
      <c r="AC353" s="306"/>
      <c r="AD353" s="307"/>
      <c r="AE353" s="307"/>
      <c r="AF353" s="306"/>
      <c r="AG353" s="307"/>
      <c r="AH353" s="307"/>
      <c r="AI353" s="308"/>
    </row>
    <row r="354" spans="1:35" ht="75" customHeight="1" outlineLevel="1" x14ac:dyDescent="0.2">
      <c r="A354" s="527"/>
      <c r="B354" s="433"/>
      <c r="C354" s="432" t="s">
        <v>794</v>
      </c>
      <c r="D354" s="509"/>
      <c r="E354" s="453" t="s">
        <v>913</v>
      </c>
      <c r="F354" s="453" t="s">
        <v>108</v>
      </c>
      <c r="G354" s="435" t="s">
        <v>914</v>
      </c>
      <c r="H354" s="10" t="s">
        <v>915</v>
      </c>
      <c r="I354" s="10" t="s">
        <v>110</v>
      </c>
      <c r="J354" s="505" t="s">
        <v>916</v>
      </c>
      <c r="K354" s="276" t="s">
        <v>378</v>
      </c>
      <c r="L354" s="300">
        <v>44593</v>
      </c>
      <c r="M354" s="300">
        <v>44925</v>
      </c>
      <c r="N354" s="300">
        <v>44652</v>
      </c>
      <c r="O354" s="301">
        <f t="shared" si="18"/>
        <v>0.17771084337349397</v>
      </c>
      <c r="P354" s="301">
        <f t="shared" si="24"/>
        <v>0.17771084337349397</v>
      </c>
      <c r="Q354" s="302">
        <v>1</v>
      </c>
      <c r="R354" s="303">
        <v>0.25</v>
      </c>
      <c r="S354" s="303">
        <v>0.5</v>
      </c>
      <c r="T354" s="303">
        <v>0.75</v>
      </c>
      <c r="U354" s="303">
        <v>1</v>
      </c>
      <c r="V354" s="303"/>
      <c r="W354" s="383"/>
      <c r="X354" s="302"/>
      <c r="Y354" s="305"/>
      <c r="Z354" s="306"/>
      <c r="AA354" s="307"/>
      <c r="AB354" s="307"/>
      <c r="AC354" s="306"/>
      <c r="AD354" s="307"/>
      <c r="AE354" s="307"/>
      <c r="AF354" s="306"/>
      <c r="AG354" s="307"/>
      <c r="AH354" s="307"/>
      <c r="AI354" s="308"/>
    </row>
    <row r="355" spans="1:35" ht="36.6" customHeight="1" outlineLevel="1" x14ac:dyDescent="0.2">
      <c r="A355" s="527"/>
      <c r="B355" s="433"/>
      <c r="C355" s="433"/>
      <c r="D355" s="509"/>
      <c r="E355" s="455"/>
      <c r="F355" s="455"/>
      <c r="G355" s="436"/>
      <c r="H355" s="10" t="s">
        <v>829</v>
      </c>
      <c r="I355" s="10" t="s">
        <v>110</v>
      </c>
      <c r="J355" s="506"/>
      <c r="K355" s="276" t="s">
        <v>378</v>
      </c>
      <c r="L355" s="300">
        <v>44593</v>
      </c>
      <c r="M355" s="300">
        <v>44925</v>
      </c>
      <c r="N355" s="300">
        <v>44652</v>
      </c>
      <c r="O355" s="301">
        <f t="shared" si="18"/>
        <v>0.17771084337349397</v>
      </c>
      <c r="P355" s="301">
        <f t="shared" ref="P355:P363" si="30">+IF(O355&gt;=100,100,IF(O355&lt;=0,0,O355))</f>
        <v>0.17771084337349397</v>
      </c>
      <c r="Q355" s="302">
        <v>1</v>
      </c>
      <c r="R355" s="303">
        <v>0.25</v>
      </c>
      <c r="S355" s="303">
        <v>0.5</v>
      </c>
      <c r="T355" s="303">
        <v>0.75</v>
      </c>
      <c r="U355" s="303">
        <v>1</v>
      </c>
      <c r="V355" s="303"/>
      <c r="W355" s="383"/>
      <c r="X355" s="302"/>
      <c r="Y355" s="305"/>
      <c r="Z355" s="306"/>
      <c r="AA355" s="307"/>
      <c r="AB355" s="307"/>
      <c r="AC355" s="306"/>
      <c r="AD355" s="307"/>
      <c r="AE355" s="307"/>
      <c r="AF355" s="306"/>
      <c r="AG355" s="307"/>
      <c r="AH355" s="307"/>
      <c r="AI355" s="308"/>
    </row>
    <row r="356" spans="1:35" ht="36.6" customHeight="1" outlineLevel="1" x14ac:dyDescent="0.2">
      <c r="A356" s="527"/>
      <c r="B356" s="433"/>
      <c r="C356" s="433"/>
      <c r="D356" s="509"/>
      <c r="E356" s="455"/>
      <c r="F356" s="455"/>
      <c r="G356" s="436"/>
      <c r="H356" s="10" t="s">
        <v>917</v>
      </c>
      <c r="I356" s="10" t="s">
        <v>110</v>
      </c>
      <c r="J356" s="506"/>
      <c r="K356" s="276" t="s">
        <v>378</v>
      </c>
      <c r="L356" s="300">
        <v>44593</v>
      </c>
      <c r="M356" s="300">
        <v>44925</v>
      </c>
      <c r="N356" s="300">
        <v>44652</v>
      </c>
      <c r="O356" s="301">
        <f t="shared" si="18"/>
        <v>0.17771084337349397</v>
      </c>
      <c r="P356" s="301">
        <f t="shared" si="30"/>
        <v>0.17771084337349397</v>
      </c>
      <c r="Q356" s="302">
        <v>1</v>
      </c>
      <c r="R356" s="303">
        <v>0.25</v>
      </c>
      <c r="S356" s="303">
        <v>0.5</v>
      </c>
      <c r="T356" s="303">
        <v>0.75</v>
      </c>
      <c r="U356" s="303">
        <v>1</v>
      </c>
      <c r="V356" s="303"/>
      <c r="W356" s="383"/>
      <c r="X356" s="302"/>
      <c r="Y356" s="305"/>
      <c r="Z356" s="306"/>
      <c r="AA356" s="307"/>
      <c r="AB356" s="307"/>
      <c r="AC356" s="306"/>
      <c r="AD356" s="307"/>
      <c r="AE356" s="307"/>
      <c r="AF356" s="306"/>
      <c r="AG356" s="307"/>
      <c r="AH356" s="307"/>
      <c r="AI356" s="308"/>
    </row>
    <row r="357" spans="1:35" ht="75" customHeight="1" outlineLevel="1" x14ac:dyDescent="0.2">
      <c r="A357" s="527"/>
      <c r="B357" s="433"/>
      <c r="C357" s="433"/>
      <c r="D357" s="509"/>
      <c r="E357" s="455"/>
      <c r="F357" s="455"/>
      <c r="G357" s="436"/>
      <c r="H357" s="10" t="s">
        <v>918</v>
      </c>
      <c r="I357" s="10" t="s">
        <v>110</v>
      </c>
      <c r="J357" s="506"/>
      <c r="K357" s="276" t="s">
        <v>378</v>
      </c>
      <c r="L357" s="300">
        <v>44593</v>
      </c>
      <c r="M357" s="300">
        <v>44925</v>
      </c>
      <c r="N357" s="300">
        <v>44652</v>
      </c>
      <c r="O357" s="301">
        <f t="shared" si="18"/>
        <v>0.17771084337349397</v>
      </c>
      <c r="P357" s="301">
        <f t="shared" si="30"/>
        <v>0.17771084337349397</v>
      </c>
      <c r="Q357" s="302">
        <v>1</v>
      </c>
      <c r="R357" s="303">
        <v>0.25</v>
      </c>
      <c r="S357" s="303">
        <v>0.5</v>
      </c>
      <c r="T357" s="303">
        <v>0.75</v>
      </c>
      <c r="U357" s="303">
        <v>1</v>
      </c>
      <c r="V357" s="303"/>
      <c r="W357" s="383"/>
      <c r="X357" s="302"/>
      <c r="Y357" s="305"/>
      <c r="Z357" s="306"/>
      <c r="AA357" s="307"/>
      <c r="AB357" s="307"/>
      <c r="AC357" s="306"/>
      <c r="AD357" s="307"/>
      <c r="AE357" s="307"/>
      <c r="AF357" s="306"/>
      <c r="AG357" s="307"/>
      <c r="AH357" s="307"/>
      <c r="AI357" s="308"/>
    </row>
    <row r="358" spans="1:35" ht="36" customHeight="1" outlineLevel="1" x14ac:dyDescent="0.2">
      <c r="A358" s="527"/>
      <c r="B358" s="433"/>
      <c r="C358" s="433"/>
      <c r="D358" s="509"/>
      <c r="E358" s="455"/>
      <c r="F358" s="455"/>
      <c r="G358" s="436"/>
      <c r="H358" s="10" t="s">
        <v>919</v>
      </c>
      <c r="I358" s="10" t="s">
        <v>110</v>
      </c>
      <c r="J358" s="506"/>
      <c r="K358" s="276" t="s">
        <v>378</v>
      </c>
      <c r="L358" s="300">
        <v>44593</v>
      </c>
      <c r="M358" s="300">
        <v>44925</v>
      </c>
      <c r="N358" s="300">
        <v>44652</v>
      </c>
      <c r="O358" s="301">
        <f t="shared" si="18"/>
        <v>0.17771084337349397</v>
      </c>
      <c r="P358" s="301">
        <f t="shared" si="30"/>
        <v>0.17771084337349397</v>
      </c>
      <c r="Q358" s="302">
        <v>1</v>
      </c>
      <c r="R358" s="303">
        <v>0.25</v>
      </c>
      <c r="S358" s="303">
        <v>0.5</v>
      </c>
      <c r="T358" s="303">
        <v>0.75</v>
      </c>
      <c r="U358" s="303">
        <v>1</v>
      </c>
      <c r="V358" s="303"/>
      <c r="W358" s="383"/>
      <c r="X358" s="302"/>
      <c r="Y358" s="305"/>
      <c r="Z358" s="306"/>
      <c r="AA358" s="307"/>
      <c r="AB358" s="307"/>
      <c r="AC358" s="306"/>
      <c r="AD358" s="307"/>
      <c r="AE358" s="307"/>
      <c r="AF358" s="306"/>
      <c r="AG358" s="307"/>
      <c r="AH358" s="307"/>
      <c r="AI358" s="308"/>
    </row>
    <row r="359" spans="1:35" ht="53.45" customHeight="1" outlineLevel="1" x14ac:dyDescent="0.2">
      <c r="A359" s="527"/>
      <c r="B359" s="433"/>
      <c r="C359" s="433"/>
      <c r="D359" s="509"/>
      <c r="E359" s="455"/>
      <c r="F359" s="455"/>
      <c r="G359" s="436"/>
      <c r="H359" s="10" t="s">
        <v>800</v>
      </c>
      <c r="I359" s="10" t="s">
        <v>110</v>
      </c>
      <c r="J359" s="506"/>
      <c r="K359" s="276" t="s">
        <v>378</v>
      </c>
      <c r="L359" s="300">
        <v>44593</v>
      </c>
      <c r="M359" s="300">
        <v>44925</v>
      </c>
      <c r="N359" s="300">
        <v>44652</v>
      </c>
      <c r="O359" s="301">
        <f t="shared" si="18"/>
        <v>0.17771084337349397</v>
      </c>
      <c r="P359" s="301">
        <f t="shared" si="30"/>
        <v>0.17771084337349397</v>
      </c>
      <c r="Q359" s="302">
        <v>1</v>
      </c>
      <c r="R359" s="303">
        <v>0.25</v>
      </c>
      <c r="S359" s="303">
        <v>0.5</v>
      </c>
      <c r="T359" s="303">
        <v>0.75</v>
      </c>
      <c r="U359" s="303">
        <v>1</v>
      </c>
      <c r="V359" s="303"/>
      <c r="W359" s="383"/>
      <c r="X359" s="302"/>
      <c r="Y359" s="305"/>
      <c r="Z359" s="306"/>
      <c r="AA359" s="307"/>
      <c r="AB359" s="307"/>
      <c r="AC359" s="306"/>
      <c r="AD359" s="307"/>
      <c r="AE359" s="307"/>
      <c r="AF359" s="306"/>
      <c r="AG359" s="307"/>
      <c r="AH359" s="307"/>
      <c r="AI359" s="308"/>
    </row>
    <row r="360" spans="1:35" ht="22.9" customHeight="1" outlineLevel="1" x14ac:dyDescent="0.2">
      <c r="A360" s="527"/>
      <c r="B360" s="433"/>
      <c r="C360" s="433"/>
      <c r="D360" s="509"/>
      <c r="E360" s="455"/>
      <c r="F360" s="455"/>
      <c r="G360" s="436"/>
      <c r="H360" s="10" t="s">
        <v>823</v>
      </c>
      <c r="I360" s="10" t="s">
        <v>110</v>
      </c>
      <c r="J360" s="506"/>
      <c r="K360" s="276" t="s">
        <v>378</v>
      </c>
      <c r="L360" s="300">
        <v>44593</v>
      </c>
      <c r="M360" s="300">
        <v>44925</v>
      </c>
      <c r="N360" s="300">
        <v>44652</v>
      </c>
      <c r="O360" s="301">
        <f t="shared" si="18"/>
        <v>0.17771084337349397</v>
      </c>
      <c r="P360" s="301">
        <f t="shared" si="30"/>
        <v>0.17771084337349397</v>
      </c>
      <c r="Q360" s="302">
        <v>1</v>
      </c>
      <c r="R360" s="303">
        <v>0.25</v>
      </c>
      <c r="S360" s="303">
        <v>0.5</v>
      </c>
      <c r="T360" s="303">
        <v>0.75</v>
      </c>
      <c r="U360" s="303">
        <v>1</v>
      </c>
      <c r="V360" s="303"/>
      <c r="W360" s="383"/>
      <c r="X360" s="302"/>
      <c r="Y360" s="305"/>
      <c r="Z360" s="306"/>
      <c r="AA360" s="307"/>
      <c r="AB360" s="307"/>
      <c r="AC360" s="306"/>
      <c r="AD360" s="307"/>
      <c r="AE360" s="307"/>
      <c r="AF360" s="306"/>
      <c r="AG360" s="307"/>
      <c r="AH360" s="307"/>
      <c r="AI360" s="308"/>
    </row>
    <row r="361" spans="1:35" ht="75" customHeight="1" outlineLevel="1" x14ac:dyDescent="0.2">
      <c r="A361" s="527"/>
      <c r="B361" s="433"/>
      <c r="C361" s="433"/>
      <c r="D361" s="509"/>
      <c r="E361" s="455"/>
      <c r="F361" s="455"/>
      <c r="G361" s="436"/>
      <c r="H361" s="10" t="s">
        <v>824</v>
      </c>
      <c r="I361" s="10" t="s">
        <v>110</v>
      </c>
      <c r="J361" s="506"/>
      <c r="K361" s="276" t="s">
        <v>378</v>
      </c>
      <c r="L361" s="300">
        <v>44593</v>
      </c>
      <c r="M361" s="300">
        <v>44925</v>
      </c>
      <c r="N361" s="300">
        <v>44652</v>
      </c>
      <c r="O361" s="301">
        <f t="shared" ref="O361:O424" si="31">+(+_xlfn.DAYS(L361,N361))/(+_xlfn.DAYS(L361,M361))</f>
        <v>0.17771084337349397</v>
      </c>
      <c r="P361" s="301">
        <f t="shared" si="30"/>
        <v>0.17771084337349397</v>
      </c>
      <c r="Q361" s="302">
        <v>1</v>
      </c>
      <c r="R361" s="303">
        <v>0.25</v>
      </c>
      <c r="S361" s="303">
        <v>0.5</v>
      </c>
      <c r="T361" s="303">
        <v>0.75</v>
      </c>
      <c r="U361" s="303">
        <v>1</v>
      </c>
      <c r="V361" s="303"/>
      <c r="W361" s="383"/>
      <c r="X361" s="302"/>
      <c r="Y361" s="305"/>
      <c r="Z361" s="306"/>
      <c r="AA361" s="307"/>
      <c r="AB361" s="307"/>
      <c r="AC361" s="306"/>
      <c r="AD361" s="307"/>
      <c r="AE361" s="307"/>
      <c r="AF361" s="306"/>
      <c r="AG361" s="307"/>
      <c r="AH361" s="307"/>
      <c r="AI361" s="308"/>
    </row>
    <row r="362" spans="1:35" ht="108" customHeight="1" outlineLevel="1" x14ac:dyDescent="0.2">
      <c r="A362" s="527"/>
      <c r="B362" s="433"/>
      <c r="C362" s="433"/>
      <c r="D362" s="509"/>
      <c r="E362" s="455"/>
      <c r="F362" s="455"/>
      <c r="G362" s="436"/>
      <c r="H362" s="10" t="s">
        <v>825</v>
      </c>
      <c r="I362" s="10" t="s">
        <v>110</v>
      </c>
      <c r="J362" s="506"/>
      <c r="K362" s="276" t="s">
        <v>378</v>
      </c>
      <c r="L362" s="300">
        <v>44593</v>
      </c>
      <c r="M362" s="300">
        <v>44925</v>
      </c>
      <c r="N362" s="300">
        <v>44652</v>
      </c>
      <c r="O362" s="301">
        <f t="shared" si="31"/>
        <v>0.17771084337349397</v>
      </c>
      <c r="P362" s="301">
        <f t="shared" si="30"/>
        <v>0.17771084337349397</v>
      </c>
      <c r="Q362" s="302">
        <v>1</v>
      </c>
      <c r="R362" s="303">
        <v>0.25</v>
      </c>
      <c r="S362" s="303">
        <v>0.5</v>
      </c>
      <c r="T362" s="303">
        <v>0.75</v>
      </c>
      <c r="U362" s="303">
        <v>1</v>
      </c>
      <c r="V362" s="303"/>
      <c r="W362" s="383"/>
      <c r="X362" s="302"/>
      <c r="Y362" s="305"/>
      <c r="Z362" s="306"/>
      <c r="AA362" s="307"/>
      <c r="AB362" s="307"/>
      <c r="AC362" s="306"/>
      <c r="AD362" s="307"/>
      <c r="AE362" s="307"/>
      <c r="AF362" s="306"/>
      <c r="AG362" s="307"/>
      <c r="AH362" s="307"/>
      <c r="AI362" s="308"/>
    </row>
    <row r="363" spans="1:35" ht="135.6" customHeight="1" outlineLevel="1" x14ac:dyDescent="0.2">
      <c r="A363" s="527"/>
      <c r="B363" s="433"/>
      <c r="C363" s="434"/>
      <c r="D363" s="509"/>
      <c r="E363" s="454"/>
      <c r="F363" s="454"/>
      <c r="G363" s="437"/>
      <c r="H363" s="10" t="s">
        <v>826</v>
      </c>
      <c r="I363" s="10" t="s">
        <v>110</v>
      </c>
      <c r="J363" s="507"/>
      <c r="K363" s="276" t="s">
        <v>378</v>
      </c>
      <c r="L363" s="300">
        <v>44593</v>
      </c>
      <c r="M363" s="300">
        <v>44925</v>
      </c>
      <c r="N363" s="300">
        <v>44652</v>
      </c>
      <c r="O363" s="301">
        <f t="shared" si="31"/>
        <v>0.17771084337349397</v>
      </c>
      <c r="P363" s="301">
        <f t="shared" si="30"/>
        <v>0.17771084337349397</v>
      </c>
      <c r="Q363" s="302">
        <v>1</v>
      </c>
      <c r="R363" s="303">
        <v>0.25</v>
      </c>
      <c r="S363" s="303">
        <v>0.5</v>
      </c>
      <c r="T363" s="303">
        <v>0.75</v>
      </c>
      <c r="U363" s="303">
        <v>1</v>
      </c>
      <c r="V363" s="303"/>
      <c r="W363" s="383"/>
      <c r="X363" s="302"/>
      <c r="Y363" s="305"/>
      <c r="Z363" s="306"/>
      <c r="AA363" s="307"/>
      <c r="AB363" s="307"/>
      <c r="AC363" s="306"/>
      <c r="AD363" s="307"/>
      <c r="AE363" s="307"/>
      <c r="AF363" s="306"/>
      <c r="AG363" s="307"/>
      <c r="AH363" s="307"/>
      <c r="AI363" s="308"/>
    </row>
    <row r="364" spans="1:35" ht="46.15" customHeight="1" outlineLevel="1" x14ac:dyDescent="0.2">
      <c r="A364" s="527"/>
      <c r="B364" s="433"/>
      <c r="C364" s="432" t="s">
        <v>765</v>
      </c>
      <c r="D364" s="509"/>
      <c r="E364" s="453" t="s">
        <v>597</v>
      </c>
      <c r="F364" s="453" t="s">
        <v>336</v>
      </c>
      <c r="G364" s="10" t="s">
        <v>920</v>
      </c>
      <c r="H364" s="10" t="s">
        <v>921</v>
      </c>
      <c r="I364" s="435" t="s">
        <v>339</v>
      </c>
      <c r="J364" s="12" t="s">
        <v>922</v>
      </c>
      <c r="K364" s="276" t="s">
        <v>378</v>
      </c>
      <c r="L364" s="300">
        <v>44593</v>
      </c>
      <c r="M364" s="300">
        <v>44925</v>
      </c>
      <c r="N364" s="300">
        <v>44652</v>
      </c>
      <c r="O364" s="301">
        <f t="shared" si="31"/>
        <v>0.17771084337349397</v>
      </c>
      <c r="P364" s="301">
        <f t="shared" si="24"/>
        <v>0.17771084337349397</v>
      </c>
      <c r="Q364" s="302">
        <v>1</v>
      </c>
      <c r="R364" s="303">
        <v>0.25</v>
      </c>
      <c r="S364" s="303">
        <v>0.5</v>
      </c>
      <c r="T364" s="303">
        <v>0.75</v>
      </c>
      <c r="U364" s="303">
        <v>1</v>
      </c>
      <c r="V364" s="303"/>
      <c r="W364" s="383"/>
      <c r="X364" s="302"/>
      <c r="Y364" s="305"/>
      <c r="Z364" s="306"/>
      <c r="AA364" s="307"/>
      <c r="AB364" s="307"/>
      <c r="AC364" s="306"/>
      <c r="AD364" s="307"/>
      <c r="AE364" s="307"/>
      <c r="AF364" s="306"/>
      <c r="AG364" s="307"/>
      <c r="AH364" s="307"/>
      <c r="AI364" s="308"/>
    </row>
    <row r="365" spans="1:35" ht="46.5" customHeight="1" outlineLevel="1" x14ac:dyDescent="0.2">
      <c r="A365" s="527"/>
      <c r="B365" s="433"/>
      <c r="C365" s="433"/>
      <c r="D365" s="509"/>
      <c r="E365" s="455"/>
      <c r="F365" s="455"/>
      <c r="G365" s="435" t="s">
        <v>81</v>
      </c>
      <c r="H365" s="10" t="s">
        <v>923</v>
      </c>
      <c r="I365" s="436"/>
      <c r="J365" s="276" t="s">
        <v>924</v>
      </c>
      <c r="K365" s="276" t="s">
        <v>378</v>
      </c>
      <c r="L365" s="300">
        <v>44593</v>
      </c>
      <c r="M365" s="300">
        <v>44925</v>
      </c>
      <c r="N365" s="300">
        <v>44652</v>
      </c>
      <c r="O365" s="301">
        <f t="shared" si="31"/>
        <v>0.17771084337349397</v>
      </c>
      <c r="P365" s="301">
        <f t="shared" si="24"/>
        <v>0.17771084337349397</v>
      </c>
      <c r="Q365" s="302">
        <v>1</v>
      </c>
      <c r="R365" s="303">
        <v>0.25</v>
      </c>
      <c r="S365" s="303">
        <v>0.5</v>
      </c>
      <c r="T365" s="303">
        <v>0.75</v>
      </c>
      <c r="U365" s="303">
        <v>1</v>
      </c>
      <c r="V365" s="303"/>
      <c r="W365" s="383"/>
      <c r="X365" s="302"/>
      <c r="Y365" s="305"/>
      <c r="Z365" s="306"/>
      <c r="AA365" s="307"/>
      <c r="AB365" s="307"/>
      <c r="AC365" s="306"/>
      <c r="AD365" s="307"/>
      <c r="AE365" s="307"/>
      <c r="AF365" s="306"/>
      <c r="AG365" s="307"/>
      <c r="AH365" s="307"/>
      <c r="AI365" s="308"/>
    </row>
    <row r="366" spans="1:35" ht="46.15" customHeight="1" outlineLevel="1" x14ac:dyDescent="0.2">
      <c r="A366" s="527"/>
      <c r="B366" s="434"/>
      <c r="C366" s="434"/>
      <c r="D366" s="509"/>
      <c r="E366" s="454"/>
      <c r="F366" s="454"/>
      <c r="G366" s="437"/>
      <c r="H366" s="10" t="s">
        <v>925</v>
      </c>
      <c r="I366" s="437"/>
      <c r="J366" s="276" t="s">
        <v>926</v>
      </c>
      <c r="K366" s="276" t="s">
        <v>378</v>
      </c>
      <c r="L366" s="300">
        <v>44593</v>
      </c>
      <c r="M366" s="300">
        <v>44925</v>
      </c>
      <c r="N366" s="300">
        <v>44652</v>
      </c>
      <c r="O366" s="301">
        <f t="shared" si="31"/>
        <v>0.17771084337349397</v>
      </c>
      <c r="P366" s="301">
        <f t="shared" si="24"/>
        <v>0.17771084337349397</v>
      </c>
      <c r="Q366" s="302">
        <v>1</v>
      </c>
      <c r="R366" s="303">
        <v>0.25</v>
      </c>
      <c r="S366" s="303">
        <v>0.5</v>
      </c>
      <c r="T366" s="303">
        <v>0.75</v>
      </c>
      <c r="U366" s="303">
        <v>1</v>
      </c>
      <c r="V366" s="303"/>
      <c r="W366" s="383"/>
      <c r="X366" s="302"/>
      <c r="Y366" s="305"/>
      <c r="Z366" s="306"/>
      <c r="AA366" s="307"/>
      <c r="AB366" s="307"/>
      <c r="AC366" s="306"/>
      <c r="AD366" s="307"/>
      <c r="AE366" s="307"/>
      <c r="AF366" s="306"/>
      <c r="AG366" s="307"/>
      <c r="AH366" s="307"/>
      <c r="AI366" s="308"/>
    </row>
    <row r="367" spans="1:35" ht="53.45" customHeight="1" outlineLevel="1" x14ac:dyDescent="0.2">
      <c r="A367" s="527"/>
      <c r="B367" s="432" t="s">
        <v>657</v>
      </c>
      <c r="C367" s="432" t="s">
        <v>658</v>
      </c>
      <c r="D367" s="509"/>
      <c r="E367" s="453" t="s">
        <v>927</v>
      </c>
      <c r="F367" s="453" t="s">
        <v>928</v>
      </c>
      <c r="G367" s="10" t="s">
        <v>929</v>
      </c>
      <c r="H367" s="10" t="s">
        <v>930</v>
      </c>
      <c r="I367" s="10" t="s">
        <v>202</v>
      </c>
      <c r="J367" s="276" t="s">
        <v>931</v>
      </c>
      <c r="K367" s="276" t="s">
        <v>378</v>
      </c>
      <c r="L367" s="300">
        <v>44593</v>
      </c>
      <c r="M367" s="300">
        <v>44925</v>
      </c>
      <c r="N367" s="300">
        <v>44652</v>
      </c>
      <c r="O367" s="301">
        <f t="shared" si="31"/>
        <v>0.17771084337349397</v>
      </c>
      <c r="P367" s="301">
        <f t="shared" si="24"/>
        <v>0.17771084337349397</v>
      </c>
      <c r="Q367" s="302">
        <v>1</v>
      </c>
      <c r="R367" s="303">
        <v>0.25</v>
      </c>
      <c r="S367" s="303">
        <v>0.5</v>
      </c>
      <c r="T367" s="303">
        <v>0.75</v>
      </c>
      <c r="U367" s="303">
        <v>1</v>
      </c>
      <c r="V367" s="303"/>
      <c r="W367" s="383"/>
      <c r="X367" s="302"/>
      <c r="Y367" s="305"/>
      <c r="Z367" s="306"/>
      <c r="AA367" s="307"/>
      <c r="AB367" s="307"/>
      <c r="AC367" s="306"/>
      <c r="AD367" s="307"/>
      <c r="AE367" s="307"/>
      <c r="AF367" s="306"/>
      <c r="AG367" s="307"/>
      <c r="AH367" s="307"/>
      <c r="AI367" s="308"/>
    </row>
    <row r="368" spans="1:35" ht="22.9" customHeight="1" outlineLevel="1" x14ac:dyDescent="0.2">
      <c r="A368" s="527"/>
      <c r="B368" s="434"/>
      <c r="C368" s="434"/>
      <c r="D368" s="509"/>
      <c r="E368" s="454"/>
      <c r="F368" s="454"/>
      <c r="G368" s="10" t="s">
        <v>932</v>
      </c>
      <c r="H368" s="10" t="s">
        <v>933</v>
      </c>
      <c r="I368" s="10" t="s">
        <v>202</v>
      </c>
      <c r="J368" s="276" t="s">
        <v>931</v>
      </c>
      <c r="K368" s="276" t="s">
        <v>378</v>
      </c>
      <c r="L368" s="300">
        <v>44593</v>
      </c>
      <c r="M368" s="300">
        <v>44925</v>
      </c>
      <c r="N368" s="300">
        <v>44652</v>
      </c>
      <c r="O368" s="301">
        <f t="shared" si="31"/>
        <v>0.17771084337349397</v>
      </c>
      <c r="P368" s="301">
        <f t="shared" si="24"/>
        <v>0.17771084337349397</v>
      </c>
      <c r="Q368" s="302">
        <v>1</v>
      </c>
      <c r="R368" s="303">
        <v>0.25</v>
      </c>
      <c r="S368" s="303">
        <v>0.5</v>
      </c>
      <c r="T368" s="303">
        <v>0.75</v>
      </c>
      <c r="U368" s="303">
        <v>1</v>
      </c>
      <c r="V368" s="303"/>
      <c r="W368" s="383"/>
      <c r="X368" s="302"/>
      <c r="Y368" s="305"/>
      <c r="Z368" s="306"/>
      <c r="AA368" s="307"/>
      <c r="AB368" s="307"/>
      <c r="AC368" s="306"/>
      <c r="AD368" s="307"/>
      <c r="AE368" s="307"/>
      <c r="AF368" s="306"/>
      <c r="AG368" s="307"/>
      <c r="AH368" s="307"/>
      <c r="AI368" s="308"/>
    </row>
    <row r="369" spans="1:35" ht="109.15" customHeight="1" outlineLevel="1" x14ac:dyDescent="0.2">
      <c r="A369" s="527"/>
      <c r="B369" s="271" t="s">
        <v>657</v>
      </c>
      <c r="C369" s="271" t="s">
        <v>658</v>
      </c>
      <c r="D369" s="462" t="s">
        <v>934</v>
      </c>
      <c r="E369" s="278" t="s">
        <v>927</v>
      </c>
      <c r="F369" s="395" t="s">
        <v>928</v>
      </c>
      <c r="G369" s="279" t="s">
        <v>932</v>
      </c>
      <c r="H369" s="279" t="s">
        <v>935</v>
      </c>
      <c r="I369" s="279" t="s">
        <v>202</v>
      </c>
      <c r="J369" s="276" t="s">
        <v>936</v>
      </c>
      <c r="K369" s="276" t="s">
        <v>378</v>
      </c>
      <c r="L369" s="300">
        <v>44593</v>
      </c>
      <c r="M369" s="300">
        <v>44925</v>
      </c>
      <c r="N369" s="300">
        <v>44652</v>
      </c>
      <c r="O369" s="301">
        <f t="shared" si="31"/>
        <v>0.17771084337349397</v>
      </c>
      <c r="P369" s="301">
        <f t="shared" si="24"/>
        <v>0.17771084337349397</v>
      </c>
      <c r="Q369" s="302">
        <v>1</v>
      </c>
      <c r="R369" s="303">
        <v>0.25</v>
      </c>
      <c r="S369" s="303">
        <v>0.5</v>
      </c>
      <c r="T369" s="303">
        <v>0.75</v>
      </c>
      <c r="U369" s="303">
        <v>1</v>
      </c>
      <c r="V369" s="303"/>
      <c r="W369" s="383"/>
      <c r="X369" s="302"/>
      <c r="Y369" s="305"/>
      <c r="Z369" s="306"/>
      <c r="AA369" s="307"/>
      <c r="AB369" s="307"/>
      <c r="AC369" s="306"/>
      <c r="AD369" s="307"/>
      <c r="AE369" s="307"/>
      <c r="AF369" s="306"/>
      <c r="AG369" s="307"/>
      <c r="AH369" s="307"/>
      <c r="AI369" s="308"/>
    </row>
    <row r="370" spans="1:35" ht="109.15" customHeight="1" outlineLevel="1" x14ac:dyDescent="0.2">
      <c r="A370" s="527"/>
      <c r="B370" s="271" t="s">
        <v>207</v>
      </c>
      <c r="C370" s="271" t="s">
        <v>937</v>
      </c>
      <c r="D370" s="463"/>
      <c r="E370" s="355" t="s">
        <v>938</v>
      </c>
      <c r="F370" s="365" t="s">
        <v>939</v>
      </c>
      <c r="G370" s="280" t="s">
        <v>940</v>
      </c>
      <c r="H370" s="279" t="s">
        <v>941</v>
      </c>
      <c r="I370" s="280" t="s">
        <v>942</v>
      </c>
      <c r="J370" s="276" t="s">
        <v>941</v>
      </c>
      <c r="K370" s="276" t="s">
        <v>378</v>
      </c>
      <c r="L370" s="300">
        <v>44593</v>
      </c>
      <c r="M370" s="300">
        <v>44925</v>
      </c>
      <c r="N370" s="300">
        <v>44652</v>
      </c>
      <c r="O370" s="301">
        <f t="shared" si="31"/>
        <v>0.17771084337349397</v>
      </c>
      <c r="P370" s="301">
        <f t="shared" ref="P370" si="32">+IF(O370&gt;=100,100,IF(O370&lt;=0,0,O370))</f>
        <v>0.17771084337349397</v>
      </c>
      <c r="Q370" s="302">
        <v>1</v>
      </c>
      <c r="R370" s="303">
        <v>0.25</v>
      </c>
      <c r="S370" s="303">
        <v>0.5</v>
      </c>
      <c r="T370" s="303">
        <v>0.75</v>
      </c>
      <c r="U370" s="303">
        <v>1</v>
      </c>
      <c r="V370" s="303"/>
      <c r="W370" s="383"/>
      <c r="X370" s="302"/>
      <c r="Y370" s="305"/>
      <c r="Z370" s="306"/>
      <c r="AA370" s="307"/>
      <c r="AB370" s="307"/>
      <c r="AC370" s="306"/>
      <c r="AD370" s="307"/>
      <c r="AE370" s="307"/>
      <c r="AF370" s="306"/>
      <c r="AG370" s="307"/>
      <c r="AH370" s="307"/>
      <c r="AI370" s="308"/>
    </row>
    <row r="371" spans="1:35" ht="52.9" customHeight="1" outlineLevel="1" x14ac:dyDescent="0.2">
      <c r="A371" s="527"/>
      <c r="B371" s="432" t="s">
        <v>52</v>
      </c>
      <c r="C371" s="432" t="s">
        <v>596</v>
      </c>
      <c r="D371" s="481" t="s">
        <v>943</v>
      </c>
      <c r="E371" s="510" t="s">
        <v>335</v>
      </c>
      <c r="F371" s="493" t="s">
        <v>647</v>
      </c>
      <c r="G371" s="479" t="s">
        <v>944</v>
      </c>
      <c r="H371" s="264" t="s">
        <v>945</v>
      </c>
      <c r="I371" s="479" t="s">
        <v>649</v>
      </c>
      <c r="J371" s="276" t="s">
        <v>163</v>
      </c>
      <c r="K371" s="400">
        <v>79000000</v>
      </c>
      <c r="L371" s="300">
        <v>44593</v>
      </c>
      <c r="M371" s="300">
        <v>44925</v>
      </c>
      <c r="N371" s="300">
        <v>44652</v>
      </c>
      <c r="O371" s="301">
        <f t="shared" si="31"/>
        <v>0.17771084337349397</v>
      </c>
      <c r="P371" s="301">
        <f t="shared" si="24"/>
        <v>0.17771084337349397</v>
      </c>
      <c r="Q371" s="302">
        <v>1</v>
      </c>
      <c r="R371" s="303">
        <v>0.25</v>
      </c>
      <c r="S371" s="303">
        <v>0.5</v>
      </c>
      <c r="T371" s="303">
        <v>0.75</v>
      </c>
      <c r="U371" s="303">
        <v>1</v>
      </c>
      <c r="V371" s="303"/>
      <c r="W371" s="383"/>
      <c r="X371" s="302"/>
      <c r="Y371" s="305"/>
      <c r="Z371" s="306"/>
      <c r="AA371" s="307"/>
      <c r="AB371" s="307"/>
      <c r="AC371" s="306"/>
      <c r="AD371" s="307"/>
      <c r="AE371" s="307"/>
      <c r="AF371" s="306"/>
      <c r="AG371" s="307"/>
      <c r="AH371" s="307"/>
      <c r="AI371" s="308"/>
    </row>
    <row r="372" spans="1:35" ht="112.5" customHeight="1" outlineLevel="1" x14ac:dyDescent="0.2">
      <c r="A372" s="527"/>
      <c r="B372" s="433"/>
      <c r="C372" s="433"/>
      <c r="D372" s="482"/>
      <c r="E372" s="511"/>
      <c r="F372" s="494"/>
      <c r="G372" s="480"/>
      <c r="H372" s="343" t="s">
        <v>946</v>
      </c>
      <c r="I372" s="480"/>
      <c r="J372" s="276" t="s">
        <v>947</v>
      </c>
      <c r="K372" s="400">
        <v>60000000</v>
      </c>
      <c r="L372" s="300">
        <v>44593</v>
      </c>
      <c r="M372" s="300">
        <v>44925</v>
      </c>
      <c r="N372" s="300">
        <v>44652</v>
      </c>
      <c r="O372" s="301">
        <f t="shared" si="31"/>
        <v>0.17771084337349397</v>
      </c>
      <c r="P372" s="301">
        <f t="shared" si="24"/>
        <v>0.17771084337349397</v>
      </c>
      <c r="Q372" s="302">
        <v>1</v>
      </c>
      <c r="R372" s="303">
        <v>0.25</v>
      </c>
      <c r="S372" s="303">
        <v>0.5</v>
      </c>
      <c r="T372" s="303">
        <v>0.75</v>
      </c>
      <c r="U372" s="303">
        <v>1</v>
      </c>
      <c r="V372" s="303"/>
      <c r="W372" s="383"/>
      <c r="X372" s="302"/>
      <c r="Y372" s="305"/>
      <c r="Z372" s="306"/>
      <c r="AA372" s="307"/>
      <c r="AB372" s="307"/>
      <c r="AC372" s="306"/>
      <c r="AD372" s="307"/>
      <c r="AE372" s="307"/>
      <c r="AF372" s="306"/>
      <c r="AG372" s="307"/>
      <c r="AH372" s="307"/>
      <c r="AI372" s="308"/>
    </row>
    <row r="373" spans="1:35" ht="88.15" customHeight="1" outlineLevel="1" x14ac:dyDescent="0.2">
      <c r="A373" s="527"/>
      <c r="B373" s="433"/>
      <c r="C373" s="433"/>
      <c r="D373" s="482"/>
      <c r="E373" s="511"/>
      <c r="F373" s="494"/>
      <c r="G373" s="480"/>
      <c r="H373" s="343" t="s">
        <v>948</v>
      </c>
      <c r="I373" s="480"/>
      <c r="J373" s="276" t="s">
        <v>947</v>
      </c>
      <c r="K373" s="400">
        <v>35000000</v>
      </c>
      <c r="L373" s="300">
        <v>44593</v>
      </c>
      <c r="M373" s="300">
        <v>44925</v>
      </c>
      <c r="N373" s="300">
        <v>44652</v>
      </c>
      <c r="O373" s="301">
        <f t="shared" si="31"/>
        <v>0.17771084337349397</v>
      </c>
      <c r="P373" s="301">
        <f t="shared" si="24"/>
        <v>0.17771084337349397</v>
      </c>
      <c r="Q373" s="302">
        <v>1</v>
      </c>
      <c r="R373" s="303">
        <v>0.25</v>
      </c>
      <c r="S373" s="303">
        <v>0.5</v>
      </c>
      <c r="T373" s="303">
        <v>0.75</v>
      </c>
      <c r="U373" s="303">
        <v>1</v>
      </c>
      <c r="V373" s="303"/>
      <c r="W373" s="383"/>
      <c r="X373" s="302"/>
      <c r="Y373" s="305"/>
      <c r="Z373" s="306"/>
      <c r="AA373" s="307"/>
      <c r="AB373" s="307"/>
      <c r="AC373" s="306"/>
      <c r="AD373" s="307"/>
      <c r="AE373" s="307"/>
      <c r="AF373" s="306"/>
      <c r="AG373" s="307"/>
      <c r="AH373" s="307"/>
      <c r="AI373" s="308"/>
    </row>
    <row r="374" spans="1:35" ht="71.45" customHeight="1" outlineLevel="1" x14ac:dyDescent="0.2">
      <c r="A374" s="527"/>
      <c r="B374" s="433"/>
      <c r="C374" s="433"/>
      <c r="D374" s="482"/>
      <c r="E374" s="511"/>
      <c r="F374" s="494"/>
      <c r="G374" s="480"/>
      <c r="H374" s="343" t="s">
        <v>949</v>
      </c>
      <c r="I374" s="480"/>
      <c r="J374" s="276" t="s">
        <v>947</v>
      </c>
      <c r="K374" s="400">
        <v>15000000</v>
      </c>
      <c r="L374" s="300">
        <v>44593</v>
      </c>
      <c r="M374" s="300">
        <v>44925</v>
      </c>
      <c r="N374" s="300">
        <v>44652</v>
      </c>
      <c r="O374" s="301">
        <f t="shared" si="31"/>
        <v>0.17771084337349397</v>
      </c>
      <c r="P374" s="301">
        <f t="shared" si="24"/>
        <v>0.17771084337349397</v>
      </c>
      <c r="Q374" s="302">
        <v>1</v>
      </c>
      <c r="R374" s="303">
        <v>0.25</v>
      </c>
      <c r="S374" s="303">
        <v>0.5</v>
      </c>
      <c r="T374" s="303">
        <v>0.75</v>
      </c>
      <c r="U374" s="303">
        <v>1</v>
      </c>
      <c r="V374" s="303"/>
      <c r="W374" s="383"/>
      <c r="X374" s="302"/>
      <c r="Y374" s="305"/>
      <c r="Z374" s="306"/>
      <c r="AA374" s="307"/>
      <c r="AB374" s="307"/>
      <c r="AC374" s="306"/>
      <c r="AD374" s="307"/>
      <c r="AE374" s="307"/>
      <c r="AF374" s="306"/>
      <c r="AG374" s="307"/>
      <c r="AH374" s="307"/>
      <c r="AI374" s="308"/>
    </row>
    <row r="375" spans="1:35" ht="162.6" customHeight="1" outlineLevel="1" x14ac:dyDescent="0.2">
      <c r="A375" s="527"/>
      <c r="B375" s="433"/>
      <c r="C375" s="433"/>
      <c r="D375" s="482"/>
      <c r="E375" s="511"/>
      <c r="F375" s="494"/>
      <c r="G375" s="480"/>
      <c r="H375" s="343" t="s">
        <v>950</v>
      </c>
      <c r="I375" s="480"/>
      <c r="J375" s="276" t="s">
        <v>947</v>
      </c>
      <c r="K375" s="400">
        <v>2000000</v>
      </c>
      <c r="L375" s="300">
        <v>44593</v>
      </c>
      <c r="M375" s="300">
        <v>44925</v>
      </c>
      <c r="N375" s="300">
        <v>44652</v>
      </c>
      <c r="O375" s="301">
        <f t="shared" si="31"/>
        <v>0.17771084337349397</v>
      </c>
      <c r="P375" s="301">
        <f t="shared" si="24"/>
        <v>0.17771084337349397</v>
      </c>
      <c r="Q375" s="302">
        <v>1</v>
      </c>
      <c r="R375" s="303">
        <v>0.25</v>
      </c>
      <c r="S375" s="303">
        <v>0.5</v>
      </c>
      <c r="T375" s="303">
        <v>0.75</v>
      </c>
      <c r="U375" s="303">
        <v>1</v>
      </c>
      <c r="V375" s="303"/>
      <c r="W375" s="383"/>
      <c r="X375" s="302"/>
      <c r="Y375" s="305"/>
      <c r="Z375" s="306"/>
      <c r="AA375" s="307"/>
      <c r="AB375" s="307"/>
      <c r="AC375" s="306"/>
      <c r="AD375" s="307"/>
      <c r="AE375" s="307"/>
      <c r="AF375" s="306"/>
      <c r="AG375" s="307"/>
      <c r="AH375" s="307"/>
      <c r="AI375" s="308"/>
    </row>
    <row r="376" spans="1:35" ht="162.6" customHeight="1" outlineLevel="1" x14ac:dyDescent="0.2">
      <c r="A376" s="527"/>
      <c r="B376" s="433"/>
      <c r="C376" s="433"/>
      <c r="D376" s="482"/>
      <c r="E376" s="511"/>
      <c r="F376" s="494"/>
      <c r="G376" s="480"/>
      <c r="H376" s="343" t="s">
        <v>951</v>
      </c>
      <c r="I376" s="480"/>
      <c r="J376" s="276" t="s">
        <v>952</v>
      </c>
      <c r="K376" s="400">
        <v>30000000</v>
      </c>
      <c r="L376" s="300">
        <v>44593</v>
      </c>
      <c r="M376" s="300">
        <v>44925</v>
      </c>
      <c r="N376" s="300">
        <v>44652</v>
      </c>
      <c r="O376" s="301">
        <f t="shared" si="31"/>
        <v>0.17771084337349397</v>
      </c>
      <c r="P376" s="301">
        <f t="shared" si="24"/>
        <v>0.17771084337349397</v>
      </c>
      <c r="Q376" s="302">
        <v>1</v>
      </c>
      <c r="R376" s="303">
        <v>0.25</v>
      </c>
      <c r="S376" s="303">
        <v>0.5</v>
      </c>
      <c r="T376" s="303">
        <v>0.75</v>
      </c>
      <c r="U376" s="303">
        <v>1</v>
      </c>
      <c r="V376" s="303"/>
      <c r="W376" s="383"/>
      <c r="X376" s="302"/>
      <c r="Y376" s="305"/>
      <c r="Z376" s="306"/>
      <c r="AA376" s="307"/>
      <c r="AB376" s="307"/>
      <c r="AC376" s="306"/>
      <c r="AD376" s="307"/>
      <c r="AE376" s="307"/>
      <c r="AF376" s="306"/>
      <c r="AG376" s="307"/>
      <c r="AH376" s="307"/>
      <c r="AI376" s="308"/>
    </row>
    <row r="377" spans="1:35" ht="94.15" customHeight="1" outlineLevel="1" x14ac:dyDescent="0.2">
      <c r="A377" s="527"/>
      <c r="B377" s="433"/>
      <c r="C377" s="433"/>
      <c r="D377" s="482"/>
      <c r="E377" s="511"/>
      <c r="F377" s="494"/>
      <c r="G377" s="480"/>
      <c r="H377" s="343" t="s">
        <v>953</v>
      </c>
      <c r="I377" s="480"/>
      <c r="J377" s="276" t="s">
        <v>954</v>
      </c>
      <c r="K377" s="400">
        <v>25000000</v>
      </c>
      <c r="L377" s="300">
        <v>44593</v>
      </c>
      <c r="M377" s="300">
        <v>44925</v>
      </c>
      <c r="N377" s="300">
        <v>44652</v>
      </c>
      <c r="O377" s="301">
        <f t="shared" si="31"/>
        <v>0.17771084337349397</v>
      </c>
      <c r="P377" s="301">
        <f t="shared" si="24"/>
        <v>0.17771084337349397</v>
      </c>
      <c r="Q377" s="302">
        <v>1</v>
      </c>
      <c r="R377" s="303">
        <v>0.25</v>
      </c>
      <c r="S377" s="303">
        <v>0.5</v>
      </c>
      <c r="T377" s="303">
        <v>0.75</v>
      </c>
      <c r="U377" s="303">
        <v>1</v>
      </c>
      <c r="V377" s="303"/>
      <c r="W377" s="383"/>
      <c r="X377" s="302"/>
      <c r="Y377" s="305"/>
      <c r="Z377" s="306"/>
      <c r="AA377" s="307"/>
      <c r="AB377" s="307"/>
      <c r="AC377" s="306"/>
      <c r="AD377" s="307"/>
      <c r="AE377" s="307"/>
      <c r="AF377" s="306"/>
      <c r="AG377" s="307"/>
      <c r="AH377" s="307"/>
      <c r="AI377" s="308"/>
    </row>
    <row r="378" spans="1:35" ht="94.15" customHeight="1" outlineLevel="1" x14ac:dyDescent="0.2">
      <c r="A378" s="527"/>
      <c r="B378" s="433"/>
      <c r="C378" s="433"/>
      <c r="D378" s="482"/>
      <c r="E378" s="511"/>
      <c r="F378" s="494"/>
      <c r="G378" s="480"/>
      <c r="H378" s="343" t="s">
        <v>955</v>
      </c>
      <c r="I378" s="480"/>
      <c r="J378" s="344" t="s">
        <v>231</v>
      </c>
      <c r="K378" s="400">
        <v>50859900</v>
      </c>
      <c r="L378" s="300">
        <v>44593</v>
      </c>
      <c r="M378" s="300">
        <v>44925</v>
      </c>
      <c r="N378" s="300">
        <v>44652</v>
      </c>
      <c r="O378" s="301">
        <f t="shared" si="31"/>
        <v>0.17771084337349397</v>
      </c>
      <c r="P378" s="301">
        <f t="shared" si="24"/>
        <v>0.17771084337349397</v>
      </c>
      <c r="Q378" s="302">
        <v>1</v>
      </c>
      <c r="R378" s="303">
        <v>0.25</v>
      </c>
      <c r="S378" s="303">
        <v>0.5</v>
      </c>
      <c r="T378" s="303">
        <v>0.75</v>
      </c>
      <c r="U378" s="303">
        <v>1</v>
      </c>
      <c r="V378" s="303"/>
      <c r="W378" s="383"/>
      <c r="X378" s="302"/>
      <c r="Y378" s="305"/>
      <c r="Z378" s="306"/>
      <c r="AA378" s="307"/>
      <c r="AB378" s="307"/>
      <c r="AC378" s="306"/>
      <c r="AD378" s="307"/>
      <c r="AE378" s="307"/>
      <c r="AF378" s="306"/>
      <c r="AG378" s="307"/>
      <c r="AH378" s="307"/>
      <c r="AI378" s="308"/>
    </row>
    <row r="379" spans="1:35" ht="94.15" customHeight="1" outlineLevel="1" x14ac:dyDescent="0.2">
      <c r="A379" s="527"/>
      <c r="B379" s="433"/>
      <c r="C379" s="433"/>
      <c r="D379" s="483"/>
      <c r="E379" s="511"/>
      <c r="F379" s="494"/>
      <c r="G379" s="480"/>
      <c r="H379" s="343" t="s">
        <v>956</v>
      </c>
      <c r="I379" s="480"/>
      <c r="J379" s="344" t="s">
        <v>957</v>
      </c>
      <c r="K379" s="400">
        <v>3040000</v>
      </c>
      <c r="L379" s="300">
        <v>44593</v>
      </c>
      <c r="M379" s="300">
        <v>44925</v>
      </c>
      <c r="N379" s="300">
        <v>44652</v>
      </c>
      <c r="O379" s="301">
        <f t="shared" si="31"/>
        <v>0.17771084337349397</v>
      </c>
      <c r="P379" s="301">
        <f t="shared" si="24"/>
        <v>0.17771084337349397</v>
      </c>
      <c r="Q379" s="302">
        <v>1</v>
      </c>
      <c r="R379" s="303">
        <v>0.25</v>
      </c>
      <c r="S379" s="303">
        <v>0.5</v>
      </c>
      <c r="T379" s="303">
        <v>0.75</v>
      </c>
      <c r="U379" s="303">
        <v>1</v>
      </c>
      <c r="V379" s="303"/>
      <c r="W379" s="383"/>
      <c r="X379" s="302"/>
      <c r="Y379" s="305"/>
      <c r="Z379" s="306"/>
      <c r="AA379" s="307"/>
      <c r="AB379" s="307"/>
      <c r="AC379" s="306"/>
      <c r="AD379" s="307"/>
      <c r="AE379" s="307"/>
      <c r="AF379" s="306"/>
      <c r="AG379" s="307"/>
      <c r="AH379" s="307"/>
      <c r="AI379" s="308"/>
    </row>
    <row r="380" spans="1:35" ht="53.45" customHeight="1" outlineLevel="1" x14ac:dyDescent="0.2">
      <c r="A380" s="527"/>
      <c r="B380" s="432" t="s">
        <v>958</v>
      </c>
      <c r="C380" s="432" t="s">
        <v>596</v>
      </c>
      <c r="D380" s="456" t="s">
        <v>8</v>
      </c>
      <c r="E380" s="438" t="s">
        <v>959</v>
      </c>
      <c r="F380" s="438" t="s">
        <v>960</v>
      </c>
      <c r="G380" s="441" t="s">
        <v>961</v>
      </c>
      <c r="H380" s="272" t="s">
        <v>962</v>
      </c>
      <c r="I380" s="441" t="s">
        <v>339</v>
      </c>
      <c r="J380" s="505" t="s">
        <v>963</v>
      </c>
      <c r="K380" s="400">
        <v>23000000</v>
      </c>
      <c r="L380" s="300">
        <v>44593</v>
      </c>
      <c r="M380" s="300">
        <v>44925</v>
      </c>
      <c r="N380" s="300">
        <v>44652</v>
      </c>
      <c r="O380" s="301">
        <f t="shared" si="31"/>
        <v>0.17771084337349397</v>
      </c>
      <c r="P380" s="301">
        <f t="shared" si="24"/>
        <v>0.17771084337349397</v>
      </c>
      <c r="Q380" s="302">
        <v>1</v>
      </c>
      <c r="R380" s="303">
        <v>0.25</v>
      </c>
      <c r="S380" s="303">
        <v>0.5</v>
      </c>
      <c r="T380" s="303">
        <v>0.75</v>
      </c>
      <c r="U380" s="303">
        <v>1</v>
      </c>
      <c r="V380" s="303"/>
      <c r="W380" s="383"/>
      <c r="X380" s="302"/>
      <c r="Y380" s="305"/>
      <c r="Z380" s="306"/>
      <c r="AA380" s="307"/>
      <c r="AB380" s="307"/>
      <c r="AC380" s="306"/>
      <c r="AD380" s="307"/>
      <c r="AE380" s="307"/>
      <c r="AF380" s="306"/>
      <c r="AG380" s="307"/>
      <c r="AH380" s="307"/>
      <c r="AI380" s="308"/>
    </row>
    <row r="381" spans="1:35" ht="109.15" customHeight="1" outlineLevel="1" x14ac:dyDescent="0.2">
      <c r="A381" s="527"/>
      <c r="B381" s="433"/>
      <c r="C381" s="433"/>
      <c r="D381" s="457"/>
      <c r="E381" s="439"/>
      <c r="F381" s="439"/>
      <c r="G381" s="442"/>
      <c r="H381" s="272" t="s">
        <v>964</v>
      </c>
      <c r="I381" s="442"/>
      <c r="J381" s="506"/>
      <c r="K381" s="400">
        <v>4500000</v>
      </c>
      <c r="L381" s="300">
        <v>44593</v>
      </c>
      <c r="M381" s="300">
        <v>44925</v>
      </c>
      <c r="N381" s="300">
        <v>44652</v>
      </c>
      <c r="O381" s="301">
        <f t="shared" si="31"/>
        <v>0.17771084337349397</v>
      </c>
      <c r="P381" s="301">
        <f t="shared" si="24"/>
        <v>0.17771084337349397</v>
      </c>
      <c r="Q381" s="302">
        <v>1</v>
      </c>
      <c r="R381" s="303">
        <v>0.25</v>
      </c>
      <c r="S381" s="303">
        <v>0.5</v>
      </c>
      <c r="T381" s="303">
        <v>0.75</v>
      </c>
      <c r="U381" s="303">
        <v>1</v>
      </c>
      <c r="V381" s="303"/>
      <c r="W381" s="383"/>
      <c r="X381" s="302"/>
      <c r="Y381" s="305"/>
      <c r="Z381" s="306"/>
      <c r="AA381" s="307"/>
      <c r="AB381" s="307"/>
      <c r="AC381" s="306"/>
      <c r="AD381" s="307"/>
      <c r="AE381" s="307"/>
      <c r="AF381" s="306"/>
      <c r="AG381" s="307"/>
      <c r="AH381" s="307"/>
      <c r="AI381" s="308"/>
    </row>
    <row r="382" spans="1:35" ht="46.5" customHeight="1" outlineLevel="1" x14ac:dyDescent="0.2">
      <c r="A382" s="527"/>
      <c r="B382" s="433"/>
      <c r="C382" s="433"/>
      <c r="D382" s="457"/>
      <c r="E382" s="439"/>
      <c r="F382" s="439"/>
      <c r="G382" s="442"/>
      <c r="H382" s="272" t="s">
        <v>965</v>
      </c>
      <c r="I382" s="442"/>
      <c r="J382" s="506"/>
      <c r="K382" s="400">
        <v>7200000</v>
      </c>
      <c r="L382" s="300">
        <v>44593</v>
      </c>
      <c r="M382" s="300">
        <v>44925</v>
      </c>
      <c r="N382" s="300">
        <v>44652</v>
      </c>
      <c r="O382" s="301">
        <f t="shared" si="31"/>
        <v>0.17771084337349397</v>
      </c>
      <c r="P382" s="301">
        <f t="shared" si="24"/>
        <v>0.17771084337349397</v>
      </c>
      <c r="Q382" s="302">
        <v>1</v>
      </c>
      <c r="R382" s="303">
        <v>0.25</v>
      </c>
      <c r="S382" s="303">
        <v>0.5</v>
      </c>
      <c r="T382" s="303">
        <v>0.75</v>
      </c>
      <c r="U382" s="303">
        <v>1</v>
      </c>
      <c r="V382" s="303"/>
      <c r="W382" s="383"/>
      <c r="X382" s="302"/>
      <c r="Y382" s="305"/>
      <c r="Z382" s="306"/>
      <c r="AA382" s="307"/>
      <c r="AB382" s="307"/>
      <c r="AC382" s="306"/>
      <c r="AD382" s="307"/>
      <c r="AE382" s="307"/>
      <c r="AF382" s="306"/>
      <c r="AG382" s="307"/>
      <c r="AH382" s="307"/>
      <c r="AI382" s="308"/>
    </row>
    <row r="383" spans="1:35" ht="56.25" customHeight="1" outlineLevel="1" x14ac:dyDescent="0.2">
      <c r="A383" s="527"/>
      <c r="B383" s="433"/>
      <c r="C383" s="433"/>
      <c r="D383" s="457"/>
      <c r="E383" s="439"/>
      <c r="F383" s="439"/>
      <c r="G383" s="442"/>
      <c r="H383" s="272" t="s">
        <v>966</v>
      </c>
      <c r="I383" s="442"/>
      <c r="J383" s="506"/>
      <c r="K383" s="400">
        <v>158000000</v>
      </c>
      <c r="L383" s="300">
        <v>44593</v>
      </c>
      <c r="M383" s="300">
        <v>44925</v>
      </c>
      <c r="N383" s="300">
        <v>44652</v>
      </c>
      <c r="O383" s="301">
        <f t="shared" si="31"/>
        <v>0.17771084337349397</v>
      </c>
      <c r="P383" s="301">
        <f t="shared" si="24"/>
        <v>0.17771084337349397</v>
      </c>
      <c r="Q383" s="302">
        <v>1</v>
      </c>
      <c r="R383" s="303">
        <v>0.25</v>
      </c>
      <c r="S383" s="303">
        <v>0.5</v>
      </c>
      <c r="T383" s="303">
        <v>0.75</v>
      </c>
      <c r="U383" s="303">
        <v>1</v>
      </c>
      <c r="V383" s="303"/>
      <c r="W383" s="383"/>
      <c r="X383" s="302"/>
      <c r="Y383" s="305"/>
      <c r="Z383" s="306"/>
      <c r="AA383" s="307"/>
      <c r="AB383" s="307"/>
      <c r="AC383" s="306"/>
      <c r="AD383" s="307"/>
      <c r="AE383" s="307"/>
      <c r="AF383" s="306"/>
      <c r="AG383" s="307"/>
      <c r="AH383" s="307"/>
      <c r="AI383" s="308"/>
    </row>
    <row r="384" spans="1:35" ht="56.25" customHeight="1" outlineLevel="1" x14ac:dyDescent="0.2">
      <c r="A384" s="527"/>
      <c r="B384" s="433"/>
      <c r="C384" s="433"/>
      <c r="D384" s="457"/>
      <c r="E384" s="439"/>
      <c r="F384" s="439"/>
      <c r="G384" s="442"/>
      <c r="H384" s="272" t="s">
        <v>967</v>
      </c>
      <c r="I384" s="442"/>
      <c r="J384" s="506"/>
      <c r="K384" s="400">
        <v>18000000</v>
      </c>
      <c r="L384" s="300">
        <v>44593</v>
      </c>
      <c r="M384" s="300">
        <v>44925</v>
      </c>
      <c r="N384" s="300">
        <v>44652</v>
      </c>
      <c r="O384" s="301">
        <f t="shared" si="31"/>
        <v>0.17771084337349397</v>
      </c>
      <c r="P384" s="301">
        <f t="shared" si="24"/>
        <v>0.17771084337349397</v>
      </c>
      <c r="Q384" s="302">
        <v>1</v>
      </c>
      <c r="R384" s="303">
        <v>0.25</v>
      </c>
      <c r="S384" s="303">
        <v>0.5</v>
      </c>
      <c r="T384" s="303">
        <v>0.75</v>
      </c>
      <c r="U384" s="303">
        <v>1</v>
      </c>
      <c r="V384" s="303"/>
      <c r="W384" s="383"/>
      <c r="X384" s="302"/>
      <c r="Y384" s="305"/>
      <c r="Z384" s="306"/>
      <c r="AA384" s="307"/>
      <c r="AB384" s="307"/>
      <c r="AC384" s="306"/>
      <c r="AD384" s="307"/>
      <c r="AE384" s="307"/>
      <c r="AF384" s="306"/>
      <c r="AG384" s="307"/>
      <c r="AH384" s="307"/>
      <c r="AI384" s="308"/>
    </row>
    <row r="385" spans="1:35" ht="59.25" customHeight="1" outlineLevel="1" x14ac:dyDescent="0.2">
      <c r="A385" s="527"/>
      <c r="B385" s="433"/>
      <c r="C385" s="433"/>
      <c r="D385" s="457"/>
      <c r="E385" s="439"/>
      <c r="F385" s="439"/>
      <c r="G385" s="442"/>
      <c r="H385" s="272" t="s">
        <v>968</v>
      </c>
      <c r="I385" s="442"/>
      <c r="J385" s="506"/>
      <c r="K385" s="400">
        <v>8676000</v>
      </c>
      <c r="L385" s="300">
        <v>44593</v>
      </c>
      <c r="M385" s="300">
        <v>44925</v>
      </c>
      <c r="N385" s="300">
        <v>44652</v>
      </c>
      <c r="O385" s="301">
        <f t="shared" si="31"/>
        <v>0.17771084337349397</v>
      </c>
      <c r="P385" s="301">
        <f t="shared" si="24"/>
        <v>0.17771084337349397</v>
      </c>
      <c r="Q385" s="302">
        <v>1</v>
      </c>
      <c r="R385" s="303">
        <v>0.25</v>
      </c>
      <c r="S385" s="303">
        <v>0.5</v>
      </c>
      <c r="T385" s="303">
        <v>0.75</v>
      </c>
      <c r="U385" s="303">
        <v>1</v>
      </c>
      <c r="V385" s="303"/>
      <c r="W385" s="383"/>
      <c r="X385" s="302"/>
      <c r="Y385" s="305"/>
      <c r="Z385" s="306"/>
      <c r="AA385" s="307"/>
      <c r="AB385" s="307"/>
      <c r="AC385" s="306"/>
      <c r="AD385" s="307"/>
      <c r="AE385" s="307"/>
      <c r="AF385" s="306"/>
      <c r="AG385" s="307"/>
      <c r="AH385" s="307"/>
      <c r="AI385" s="308"/>
    </row>
    <row r="386" spans="1:35" ht="168.75" customHeight="1" outlineLevel="1" x14ac:dyDescent="0.2">
      <c r="A386" s="527"/>
      <c r="B386" s="433"/>
      <c r="C386" s="433"/>
      <c r="D386" s="457"/>
      <c r="E386" s="439"/>
      <c r="F386" s="439"/>
      <c r="G386" s="442"/>
      <c r="H386" s="272" t="s">
        <v>969</v>
      </c>
      <c r="I386" s="442"/>
      <c r="J386" s="506"/>
      <c r="K386" s="400">
        <v>150000000</v>
      </c>
      <c r="L386" s="300">
        <v>44593</v>
      </c>
      <c r="M386" s="300">
        <v>44925</v>
      </c>
      <c r="N386" s="300">
        <v>44652</v>
      </c>
      <c r="O386" s="301">
        <f t="shared" si="31"/>
        <v>0.17771084337349397</v>
      </c>
      <c r="P386" s="301">
        <f t="shared" si="24"/>
        <v>0.17771084337349397</v>
      </c>
      <c r="Q386" s="302">
        <v>1</v>
      </c>
      <c r="R386" s="303">
        <v>0.25</v>
      </c>
      <c r="S386" s="303">
        <v>0.5</v>
      </c>
      <c r="T386" s="303">
        <v>0.75</v>
      </c>
      <c r="U386" s="303">
        <v>1</v>
      </c>
      <c r="V386" s="303"/>
      <c r="W386" s="383"/>
      <c r="X386" s="302"/>
      <c r="Y386" s="305"/>
      <c r="Z386" s="306"/>
      <c r="AA386" s="307"/>
      <c r="AB386" s="307"/>
      <c r="AC386" s="306"/>
      <c r="AD386" s="307"/>
      <c r="AE386" s="307"/>
      <c r="AF386" s="306"/>
      <c r="AG386" s="307"/>
      <c r="AH386" s="307"/>
      <c r="AI386" s="308"/>
    </row>
    <row r="387" spans="1:35" ht="206.25" customHeight="1" outlineLevel="1" x14ac:dyDescent="0.2">
      <c r="A387" s="527"/>
      <c r="B387" s="433"/>
      <c r="C387" s="433"/>
      <c r="D387" s="457"/>
      <c r="E387" s="439"/>
      <c r="F387" s="439"/>
      <c r="G387" s="443"/>
      <c r="H387" s="272" t="s">
        <v>970</v>
      </c>
      <c r="I387" s="442"/>
      <c r="J387" s="507"/>
      <c r="K387" s="400">
        <v>228000000</v>
      </c>
      <c r="L387" s="300">
        <v>44593</v>
      </c>
      <c r="M387" s="300">
        <v>44925</v>
      </c>
      <c r="N387" s="300">
        <v>44652</v>
      </c>
      <c r="O387" s="301">
        <f t="shared" si="31"/>
        <v>0.17771084337349397</v>
      </c>
      <c r="P387" s="301">
        <f t="shared" si="24"/>
        <v>0.17771084337349397</v>
      </c>
      <c r="Q387" s="302">
        <v>1</v>
      </c>
      <c r="R387" s="303">
        <v>0.25</v>
      </c>
      <c r="S387" s="303">
        <v>0.5</v>
      </c>
      <c r="T387" s="303">
        <v>0.75</v>
      </c>
      <c r="U387" s="303">
        <v>1</v>
      </c>
      <c r="V387" s="303"/>
      <c r="W387" s="383"/>
      <c r="X387" s="302"/>
      <c r="Y387" s="305"/>
      <c r="Z387" s="306"/>
      <c r="AA387" s="307"/>
      <c r="AB387" s="307"/>
      <c r="AC387" s="306"/>
      <c r="AD387" s="307"/>
      <c r="AE387" s="307"/>
      <c r="AF387" s="306"/>
      <c r="AG387" s="307"/>
      <c r="AH387" s="307"/>
      <c r="AI387" s="308"/>
    </row>
    <row r="388" spans="1:35" ht="104.45" customHeight="1" outlineLevel="1" x14ac:dyDescent="0.2">
      <c r="A388" s="527"/>
      <c r="B388" s="433"/>
      <c r="C388" s="433"/>
      <c r="D388" s="457"/>
      <c r="E388" s="439"/>
      <c r="F388" s="439"/>
      <c r="G388" s="441" t="s">
        <v>971</v>
      </c>
      <c r="H388" s="272" t="s">
        <v>972</v>
      </c>
      <c r="I388" s="442"/>
      <c r="J388" s="505" t="s">
        <v>231</v>
      </c>
      <c r="K388" s="400">
        <v>91000000</v>
      </c>
      <c r="L388" s="300">
        <v>44593</v>
      </c>
      <c r="M388" s="300">
        <v>44925</v>
      </c>
      <c r="N388" s="300">
        <v>44652</v>
      </c>
      <c r="O388" s="301">
        <f t="shared" si="31"/>
        <v>0.17771084337349397</v>
      </c>
      <c r="P388" s="301">
        <f t="shared" si="24"/>
        <v>0.17771084337349397</v>
      </c>
      <c r="Q388" s="302">
        <v>1</v>
      </c>
      <c r="R388" s="303">
        <v>0.25</v>
      </c>
      <c r="S388" s="303">
        <v>0.5</v>
      </c>
      <c r="T388" s="303">
        <v>0.75</v>
      </c>
      <c r="U388" s="303">
        <v>1</v>
      </c>
      <c r="V388" s="303"/>
      <c r="W388" s="383"/>
      <c r="X388" s="302"/>
      <c r="Y388" s="305"/>
      <c r="Z388" s="306"/>
      <c r="AA388" s="307"/>
      <c r="AB388" s="307"/>
      <c r="AC388" s="306"/>
      <c r="AD388" s="307"/>
      <c r="AE388" s="307"/>
      <c r="AF388" s="306"/>
      <c r="AG388" s="307"/>
      <c r="AH388" s="307"/>
      <c r="AI388" s="308"/>
    </row>
    <row r="389" spans="1:35" ht="104.45" customHeight="1" outlineLevel="1" x14ac:dyDescent="0.2">
      <c r="A389" s="527"/>
      <c r="B389" s="433"/>
      <c r="C389" s="433"/>
      <c r="D389" s="457"/>
      <c r="E389" s="439"/>
      <c r="F389" s="439"/>
      <c r="G389" s="442"/>
      <c r="H389" s="272" t="s">
        <v>973</v>
      </c>
      <c r="I389" s="442"/>
      <c r="J389" s="506"/>
      <c r="K389" s="400">
        <v>433510000</v>
      </c>
      <c r="L389" s="300">
        <v>44593</v>
      </c>
      <c r="M389" s="300">
        <v>44925</v>
      </c>
      <c r="N389" s="300">
        <v>44652</v>
      </c>
      <c r="O389" s="301">
        <f t="shared" si="31"/>
        <v>0.17771084337349397</v>
      </c>
      <c r="P389" s="301">
        <f t="shared" si="24"/>
        <v>0.17771084337349397</v>
      </c>
      <c r="Q389" s="302">
        <v>1</v>
      </c>
      <c r="R389" s="303">
        <v>0.25</v>
      </c>
      <c r="S389" s="303">
        <v>0.5</v>
      </c>
      <c r="T389" s="303">
        <v>0.75</v>
      </c>
      <c r="U389" s="303">
        <v>1</v>
      </c>
      <c r="V389" s="303"/>
      <c r="W389" s="383"/>
      <c r="X389" s="302"/>
      <c r="Y389" s="305"/>
      <c r="Z389" s="306"/>
      <c r="AA389" s="307"/>
      <c r="AB389" s="307"/>
      <c r="AC389" s="306"/>
      <c r="AD389" s="307"/>
      <c r="AE389" s="307"/>
      <c r="AF389" s="306"/>
      <c r="AG389" s="307"/>
      <c r="AH389" s="307"/>
      <c r="AI389" s="308"/>
    </row>
    <row r="390" spans="1:35" ht="46.5" customHeight="1" outlineLevel="1" x14ac:dyDescent="0.2">
      <c r="A390" s="527"/>
      <c r="B390" s="433"/>
      <c r="C390" s="433"/>
      <c r="D390" s="457"/>
      <c r="E390" s="439"/>
      <c r="F390" s="439"/>
      <c r="G390" s="442"/>
      <c r="H390" s="272" t="s">
        <v>974</v>
      </c>
      <c r="I390" s="442"/>
      <c r="J390" s="506"/>
      <c r="K390" s="400">
        <v>30300000</v>
      </c>
      <c r="L390" s="300">
        <v>44593</v>
      </c>
      <c r="M390" s="300">
        <v>44925</v>
      </c>
      <c r="N390" s="300">
        <v>44652</v>
      </c>
      <c r="O390" s="301">
        <f t="shared" si="31"/>
        <v>0.17771084337349397</v>
      </c>
      <c r="P390" s="301">
        <f t="shared" si="24"/>
        <v>0.17771084337349397</v>
      </c>
      <c r="Q390" s="302">
        <v>1</v>
      </c>
      <c r="R390" s="303">
        <v>0.25</v>
      </c>
      <c r="S390" s="303">
        <v>0.5</v>
      </c>
      <c r="T390" s="303">
        <v>0.75</v>
      </c>
      <c r="U390" s="303">
        <v>1</v>
      </c>
      <c r="V390" s="303"/>
      <c r="W390" s="383"/>
      <c r="X390" s="302"/>
      <c r="Y390" s="305"/>
      <c r="Z390" s="306"/>
      <c r="AA390" s="307"/>
      <c r="AB390" s="307"/>
      <c r="AC390" s="306"/>
      <c r="AD390" s="307"/>
      <c r="AE390" s="307"/>
      <c r="AF390" s="306"/>
      <c r="AG390" s="307"/>
      <c r="AH390" s="307"/>
      <c r="AI390" s="308"/>
    </row>
    <row r="391" spans="1:35" ht="104.45" customHeight="1" outlineLevel="1" x14ac:dyDescent="0.2">
      <c r="A391" s="527"/>
      <c r="B391" s="433"/>
      <c r="C391" s="433"/>
      <c r="D391" s="457"/>
      <c r="E391" s="439"/>
      <c r="F391" s="439"/>
      <c r="G391" s="442"/>
      <c r="H391" s="272" t="s">
        <v>975</v>
      </c>
      <c r="I391" s="442"/>
      <c r="J391" s="506"/>
      <c r="K391" s="400">
        <v>210000000</v>
      </c>
      <c r="L391" s="300">
        <v>44593</v>
      </c>
      <c r="M391" s="300">
        <v>44925</v>
      </c>
      <c r="N391" s="300">
        <v>44652</v>
      </c>
      <c r="O391" s="301">
        <f t="shared" si="31"/>
        <v>0.17771084337349397</v>
      </c>
      <c r="P391" s="301">
        <f t="shared" si="24"/>
        <v>0.17771084337349397</v>
      </c>
      <c r="Q391" s="302">
        <v>1</v>
      </c>
      <c r="R391" s="303">
        <v>0.25</v>
      </c>
      <c r="S391" s="303">
        <v>0.5</v>
      </c>
      <c r="T391" s="303">
        <v>0.75</v>
      </c>
      <c r="U391" s="303">
        <v>1</v>
      </c>
      <c r="V391" s="303"/>
      <c r="W391" s="383"/>
      <c r="X391" s="302"/>
      <c r="Y391" s="305"/>
      <c r="Z391" s="306"/>
      <c r="AA391" s="307"/>
      <c r="AB391" s="307"/>
      <c r="AC391" s="306"/>
      <c r="AD391" s="307"/>
      <c r="AE391" s="307"/>
      <c r="AF391" s="306"/>
      <c r="AG391" s="307"/>
      <c r="AH391" s="307"/>
      <c r="AI391" s="308"/>
    </row>
    <row r="392" spans="1:35" ht="104.45" customHeight="1" outlineLevel="1" x14ac:dyDescent="0.2">
      <c r="A392" s="527"/>
      <c r="B392" s="433"/>
      <c r="C392" s="433"/>
      <c r="D392" s="457"/>
      <c r="E392" s="439"/>
      <c r="F392" s="439"/>
      <c r="G392" s="443"/>
      <c r="H392" s="272" t="s">
        <v>976</v>
      </c>
      <c r="I392" s="442"/>
      <c r="J392" s="507"/>
      <c r="K392" s="400">
        <v>45000000</v>
      </c>
      <c r="L392" s="300">
        <v>44593</v>
      </c>
      <c r="M392" s="300">
        <v>44925</v>
      </c>
      <c r="N392" s="300">
        <v>44652</v>
      </c>
      <c r="O392" s="301">
        <f t="shared" si="31"/>
        <v>0.17771084337349397</v>
      </c>
      <c r="P392" s="301">
        <f t="shared" si="24"/>
        <v>0.17771084337349397</v>
      </c>
      <c r="Q392" s="302">
        <v>1</v>
      </c>
      <c r="R392" s="303">
        <v>0.25</v>
      </c>
      <c r="S392" s="303">
        <v>0.5</v>
      </c>
      <c r="T392" s="303">
        <v>0.75</v>
      </c>
      <c r="U392" s="303">
        <v>1</v>
      </c>
      <c r="V392" s="303"/>
      <c r="W392" s="383"/>
      <c r="X392" s="302"/>
      <c r="Y392" s="305"/>
      <c r="Z392" s="306"/>
      <c r="AA392" s="307"/>
      <c r="AB392" s="307"/>
      <c r="AC392" s="306"/>
      <c r="AD392" s="307"/>
      <c r="AE392" s="307"/>
      <c r="AF392" s="306"/>
      <c r="AG392" s="307"/>
      <c r="AH392" s="307"/>
      <c r="AI392" s="308"/>
    </row>
    <row r="393" spans="1:35" ht="93.75" customHeight="1" outlineLevel="1" x14ac:dyDescent="0.2">
      <c r="A393" s="527"/>
      <c r="B393" s="433"/>
      <c r="C393" s="433"/>
      <c r="D393" s="457"/>
      <c r="E393" s="439"/>
      <c r="F393" s="439"/>
      <c r="G393" s="272" t="s">
        <v>977</v>
      </c>
      <c r="H393" s="272" t="s">
        <v>978</v>
      </c>
      <c r="I393" s="442"/>
      <c r="J393" s="276" t="s">
        <v>979</v>
      </c>
      <c r="K393" s="400">
        <v>3502396394</v>
      </c>
      <c r="L393" s="300">
        <v>44593</v>
      </c>
      <c r="M393" s="300">
        <v>44925</v>
      </c>
      <c r="N393" s="300">
        <v>44652</v>
      </c>
      <c r="O393" s="301">
        <f t="shared" si="31"/>
        <v>0.17771084337349397</v>
      </c>
      <c r="P393" s="301">
        <f t="shared" si="24"/>
        <v>0.17771084337349397</v>
      </c>
      <c r="Q393" s="302">
        <v>1</v>
      </c>
      <c r="R393" s="303">
        <v>0.25</v>
      </c>
      <c r="S393" s="303">
        <v>0.5</v>
      </c>
      <c r="T393" s="303">
        <v>0.75</v>
      </c>
      <c r="U393" s="303">
        <v>1</v>
      </c>
      <c r="V393" s="303"/>
      <c r="W393" s="383"/>
      <c r="X393" s="302"/>
      <c r="Y393" s="305"/>
      <c r="Z393" s="306"/>
      <c r="AA393" s="307"/>
      <c r="AB393" s="307"/>
      <c r="AC393" s="306"/>
      <c r="AD393" s="307"/>
      <c r="AE393" s="307"/>
      <c r="AF393" s="306"/>
      <c r="AG393" s="307"/>
      <c r="AH393" s="307"/>
      <c r="AI393" s="308"/>
    </row>
    <row r="394" spans="1:35" ht="93.75" customHeight="1" outlineLevel="1" x14ac:dyDescent="0.2">
      <c r="A394" s="527"/>
      <c r="B394" s="433"/>
      <c r="C394" s="433"/>
      <c r="D394" s="457"/>
      <c r="E394" s="439"/>
      <c r="F394" s="439"/>
      <c r="G394" s="272" t="s">
        <v>980</v>
      </c>
      <c r="H394" s="272" t="s">
        <v>981</v>
      </c>
      <c r="I394" s="442"/>
      <c r="J394" s="276" t="s">
        <v>982</v>
      </c>
      <c r="K394" s="400">
        <v>720000000</v>
      </c>
      <c r="L394" s="300">
        <v>44593</v>
      </c>
      <c r="M394" s="300">
        <v>44925</v>
      </c>
      <c r="N394" s="300">
        <v>44652</v>
      </c>
      <c r="O394" s="301">
        <f t="shared" si="31"/>
        <v>0.17771084337349397</v>
      </c>
      <c r="P394" s="301">
        <f t="shared" si="24"/>
        <v>0.17771084337349397</v>
      </c>
      <c r="Q394" s="302">
        <v>1</v>
      </c>
      <c r="R394" s="303">
        <v>0.25</v>
      </c>
      <c r="S394" s="303">
        <v>0.5</v>
      </c>
      <c r="T394" s="303">
        <v>0.75</v>
      </c>
      <c r="U394" s="303">
        <v>1</v>
      </c>
      <c r="V394" s="303"/>
      <c r="W394" s="383"/>
      <c r="X394" s="302"/>
      <c r="Y394" s="305"/>
      <c r="Z394" s="306"/>
      <c r="AA394" s="307"/>
      <c r="AB394" s="307"/>
      <c r="AC394" s="306"/>
      <c r="AD394" s="307"/>
      <c r="AE394" s="307"/>
      <c r="AF394" s="306"/>
      <c r="AG394" s="307"/>
      <c r="AH394" s="307"/>
      <c r="AI394" s="308"/>
    </row>
    <row r="395" spans="1:35" ht="56.25" customHeight="1" outlineLevel="1" x14ac:dyDescent="0.2">
      <c r="A395" s="527"/>
      <c r="B395" s="433"/>
      <c r="C395" s="433"/>
      <c r="D395" s="457"/>
      <c r="E395" s="439"/>
      <c r="F395" s="439"/>
      <c r="G395" s="441" t="s">
        <v>983</v>
      </c>
      <c r="H395" s="272" t="s">
        <v>984</v>
      </c>
      <c r="I395" s="442"/>
      <c r="J395" s="505" t="s">
        <v>985</v>
      </c>
      <c r="K395" s="400">
        <v>120000000</v>
      </c>
      <c r="L395" s="300">
        <v>44593</v>
      </c>
      <c r="M395" s="300">
        <v>44925</v>
      </c>
      <c r="N395" s="300">
        <v>44652</v>
      </c>
      <c r="O395" s="301">
        <f t="shared" si="31"/>
        <v>0.17771084337349397</v>
      </c>
      <c r="P395" s="301">
        <f t="shared" si="24"/>
        <v>0.17771084337349397</v>
      </c>
      <c r="Q395" s="302">
        <v>1</v>
      </c>
      <c r="R395" s="303">
        <v>0.25</v>
      </c>
      <c r="S395" s="303">
        <v>0.5</v>
      </c>
      <c r="T395" s="303">
        <v>0.75</v>
      </c>
      <c r="U395" s="303">
        <v>1</v>
      </c>
      <c r="V395" s="303"/>
      <c r="W395" s="383"/>
      <c r="X395" s="302"/>
      <c r="Y395" s="305"/>
      <c r="Z395" s="306"/>
      <c r="AA395" s="307"/>
      <c r="AB395" s="307"/>
      <c r="AC395" s="306"/>
      <c r="AD395" s="307"/>
      <c r="AE395" s="307"/>
      <c r="AF395" s="306"/>
      <c r="AG395" s="307"/>
      <c r="AH395" s="307"/>
      <c r="AI395" s="308"/>
    </row>
    <row r="396" spans="1:35" ht="46.5" customHeight="1" outlineLevel="1" x14ac:dyDescent="0.2">
      <c r="A396" s="527"/>
      <c r="B396" s="433"/>
      <c r="C396" s="433"/>
      <c r="D396" s="457"/>
      <c r="E396" s="439"/>
      <c r="F396" s="439"/>
      <c r="G396" s="443"/>
      <c r="H396" s="272" t="s">
        <v>986</v>
      </c>
      <c r="I396" s="442"/>
      <c r="J396" s="507"/>
      <c r="K396" s="400" t="s">
        <v>61</v>
      </c>
      <c r="L396" s="300">
        <v>44593</v>
      </c>
      <c r="M396" s="300">
        <v>44925</v>
      </c>
      <c r="N396" s="300">
        <v>44652</v>
      </c>
      <c r="O396" s="301">
        <f t="shared" si="31"/>
        <v>0.17771084337349397</v>
      </c>
      <c r="P396" s="301">
        <f t="shared" si="24"/>
        <v>0.17771084337349397</v>
      </c>
      <c r="Q396" s="302">
        <v>1</v>
      </c>
      <c r="R396" s="303">
        <v>0.25</v>
      </c>
      <c r="S396" s="303">
        <v>0.5</v>
      </c>
      <c r="T396" s="303">
        <v>0.75</v>
      </c>
      <c r="U396" s="303">
        <v>1</v>
      </c>
      <c r="V396" s="303"/>
      <c r="W396" s="383"/>
      <c r="X396" s="302"/>
      <c r="Y396" s="305"/>
      <c r="Z396" s="306"/>
      <c r="AA396" s="307"/>
      <c r="AB396" s="307"/>
      <c r="AC396" s="306"/>
      <c r="AD396" s="307"/>
      <c r="AE396" s="307"/>
      <c r="AF396" s="306"/>
      <c r="AG396" s="307"/>
      <c r="AH396" s="307"/>
      <c r="AI396" s="308"/>
    </row>
    <row r="397" spans="1:35" ht="104.45" customHeight="1" outlineLevel="1" x14ac:dyDescent="0.2">
      <c r="A397" s="527"/>
      <c r="B397" s="433"/>
      <c r="C397" s="433"/>
      <c r="D397" s="457"/>
      <c r="E397" s="439"/>
      <c r="F397" s="439"/>
      <c r="G397" s="272" t="s">
        <v>987</v>
      </c>
      <c r="H397" s="272" t="s">
        <v>988</v>
      </c>
      <c r="I397" s="442"/>
      <c r="J397" s="276" t="s">
        <v>979</v>
      </c>
      <c r="K397" s="400">
        <v>3797603606</v>
      </c>
      <c r="L397" s="300">
        <v>44593</v>
      </c>
      <c r="M397" s="300">
        <v>44925</v>
      </c>
      <c r="N397" s="300">
        <v>44652</v>
      </c>
      <c r="O397" s="301">
        <f t="shared" si="31"/>
        <v>0.17771084337349397</v>
      </c>
      <c r="P397" s="301">
        <f t="shared" si="24"/>
        <v>0.17771084337349397</v>
      </c>
      <c r="Q397" s="302">
        <v>1</v>
      </c>
      <c r="R397" s="303">
        <v>0.25</v>
      </c>
      <c r="S397" s="303">
        <v>0.5</v>
      </c>
      <c r="T397" s="303">
        <v>0.75</v>
      </c>
      <c r="U397" s="303">
        <v>1</v>
      </c>
      <c r="V397" s="303"/>
      <c r="W397" s="383"/>
      <c r="X397" s="302"/>
      <c r="Y397" s="305"/>
      <c r="Z397" s="306"/>
      <c r="AA397" s="307"/>
      <c r="AB397" s="307"/>
      <c r="AC397" s="306"/>
      <c r="AD397" s="307"/>
      <c r="AE397" s="307"/>
      <c r="AF397" s="306"/>
      <c r="AG397" s="307"/>
      <c r="AH397" s="307"/>
      <c r="AI397" s="308"/>
    </row>
    <row r="398" spans="1:35" ht="93.75" customHeight="1" outlineLevel="1" x14ac:dyDescent="0.2">
      <c r="A398" s="527"/>
      <c r="B398" s="433"/>
      <c r="C398" s="433"/>
      <c r="D398" s="457"/>
      <c r="E398" s="439"/>
      <c r="F398" s="439"/>
      <c r="G398" s="272" t="s">
        <v>989</v>
      </c>
      <c r="H398" s="272" t="s">
        <v>990</v>
      </c>
      <c r="I398" s="442"/>
      <c r="J398" s="276" t="s">
        <v>991</v>
      </c>
      <c r="K398" s="400">
        <v>1500000000</v>
      </c>
      <c r="L398" s="300">
        <v>44593</v>
      </c>
      <c r="M398" s="300">
        <v>44925</v>
      </c>
      <c r="N398" s="300">
        <v>44652</v>
      </c>
      <c r="O398" s="301">
        <f t="shared" si="31"/>
        <v>0.17771084337349397</v>
      </c>
      <c r="P398" s="301">
        <f t="shared" si="24"/>
        <v>0.17771084337349397</v>
      </c>
      <c r="Q398" s="302">
        <v>1</v>
      </c>
      <c r="R398" s="303">
        <v>0.25</v>
      </c>
      <c r="S398" s="303">
        <v>0.5</v>
      </c>
      <c r="T398" s="303">
        <v>0.75</v>
      </c>
      <c r="U398" s="303">
        <v>1</v>
      </c>
      <c r="V398" s="303"/>
      <c r="W398" s="383"/>
      <c r="X398" s="302"/>
      <c r="Y398" s="305"/>
      <c r="Z398" s="306"/>
      <c r="AA398" s="307"/>
      <c r="AB398" s="307"/>
      <c r="AC398" s="306"/>
      <c r="AD398" s="307"/>
      <c r="AE398" s="307"/>
      <c r="AF398" s="306"/>
      <c r="AG398" s="307"/>
      <c r="AH398" s="307"/>
      <c r="AI398" s="308"/>
    </row>
    <row r="399" spans="1:35" ht="104.45" customHeight="1" outlineLevel="1" x14ac:dyDescent="0.2">
      <c r="A399" s="527"/>
      <c r="B399" s="433"/>
      <c r="C399" s="433"/>
      <c r="D399" s="457"/>
      <c r="E399" s="439"/>
      <c r="F399" s="439"/>
      <c r="G399" s="441" t="s">
        <v>992</v>
      </c>
      <c r="H399" s="272" t="s">
        <v>993</v>
      </c>
      <c r="I399" s="442"/>
      <c r="J399" s="505" t="s">
        <v>340</v>
      </c>
      <c r="K399" s="400">
        <v>250000000</v>
      </c>
      <c r="L399" s="300">
        <v>44593</v>
      </c>
      <c r="M399" s="300">
        <v>44925</v>
      </c>
      <c r="N399" s="300">
        <v>44652</v>
      </c>
      <c r="O399" s="301">
        <f t="shared" si="31"/>
        <v>0.17771084337349397</v>
      </c>
      <c r="P399" s="301">
        <f t="shared" si="24"/>
        <v>0.17771084337349397</v>
      </c>
      <c r="Q399" s="302">
        <v>1</v>
      </c>
      <c r="R399" s="303">
        <v>0.25</v>
      </c>
      <c r="S399" s="303">
        <v>0.5</v>
      </c>
      <c r="T399" s="303">
        <v>0.75</v>
      </c>
      <c r="U399" s="303">
        <v>1</v>
      </c>
      <c r="V399" s="303"/>
      <c r="W399" s="383"/>
      <c r="X399" s="302"/>
      <c r="Y399" s="305"/>
      <c r="Z399" s="306"/>
      <c r="AA399" s="307"/>
      <c r="AB399" s="307"/>
      <c r="AC399" s="306"/>
      <c r="AD399" s="307"/>
      <c r="AE399" s="307"/>
      <c r="AF399" s="306"/>
      <c r="AG399" s="307"/>
      <c r="AH399" s="307"/>
      <c r="AI399" s="308"/>
    </row>
    <row r="400" spans="1:35" ht="104.45" customHeight="1" outlineLevel="1" x14ac:dyDescent="0.2">
      <c r="A400" s="527"/>
      <c r="B400" s="434"/>
      <c r="C400" s="434"/>
      <c r="D400" s="457"/>
      <c r="E400" s="440"/>
      <c r="F400" s="440"/>
      <c r="G400" s="443"/>
      <c r="H400" s="272" t="s">
        <v>994</v>
      </c>
      <c r="I400" s="443"/>
      <c r="J400" s="507"/>
      <c r="K400" s="400">
        <v>411600000</v>
      </c>
      <c r="L400" s="300">
        <v>44593</v>
      </c>
      <c r="M400" s="300">
        <v>44925</v>
      </c>
      <c r="N400" s="300">
        <v>44652</v>
      </c>
      <c r="O400" s="301">
        <f t="shared" si="31"/>
        <v>0.17771084337349397</v>
      </c>
      <c r="P400" s="301">
        <f t="shared" si="24"/>
        <v>0.17771084337349397</v>
      </c>
      <c r="Q400" s="302">
        <v>1</v>
      </c>
      <c r="R400" s="303">
        <v>0.25</v>
      </c>
      <c r="S400" s="303">
        <v>0.5</v>
      </c>
      <c r="T400" s="303">
        <v>0.75</v>
      </c>
      <c r="U400" s="303">
        <v>1</v>
      </c>
      <c r="V400" s="303"/>
      <c r="W400" s="383"/>
      <c r="X400" s="302"/>
      <c r="Y400" s="305"/>
      <c r="Z400" s="306"/>
      <c r="AA400" s="307"/>
      <c r="AB400" s="307"/>
      <c r="AC400" s="306"/>
      <c r="AD400" s="307"/>
      <c r="AE400" s="307"/>
      <c r="AF400" s="306"/>
      <c r="AG400" s="307"/>
      <c r="AH400" s="307"/>
      <c r="AI400" s="308"/>
    </row>
    <row r="401" spans="1:35" ht="104.45" customHeight="1" outlineLevel="1" x14ac:dyDescent="0.2">
      <c r="A401" s="336"/>
      <c r="B401" s="432" t="s">
        <v>958</v>
      </c>
      <c r="C401" s="432" t="s">
        <v>995</v>
      </c>
      <c r="D401" s="458" t="s">
        <v>996</v>
      </c>
      <c r="E401" s="476" t="s">
        <v>997</v>
      </c>
      <c r="F401" s="476" t="s">
        <v>998</v>
      </c>
      <c r="G401" s="473" t="s">
        <v>999</v>
      </c>
      <c r="H401" s="361" t="s">
        <v>1000</v>
      </c>
      <c r="I401" s="473" t="s">
        <v>1001</v>
      </c>
      <c r="J401" s="345" t="s">
        <v>1002</v>
      </c>
      <c r="K401" s="400" t="s">
        <v>61</v>
      </c>
      <c r="L401" s="300">
        <v>44593</v>
      </c>
      <c r="M401" s="300">
        <v>44925</v>
      </c>
      <c r="N401" s="300">
        <v>44652</v>
      </c>
      <c r="O401" s="301">
        <f t="shared" si="31"/>
        <v>0.17771084337349397</v>
      </c>
      <c r="P401" s="301">
        <f t="shared" ref="P401:P406" si="33">+IF(O401&gt;=100,100,IF(O401&lt;=0,0,O401))</f>
        <v>0.17771084337349397</v>
      </c>
      <c r="Q401" s="302">
        <v>1</v>
      </c>
      <c r="R401" s="303">
        <v>0.25</v>
      </c>
      <c r="S401" s="303">
        <v>0.5</v>
      </c>
      <c r="T401" s="303">
        <v>0.75</v>
      </c>
      <c r="U401" s="303">
        <v>1</v>
      </c>
      <c r="V401" s="318"/>
      <c r="W401" s="383"/>
      <c r="X401" s="302"/>
      <c r="Y401" s="305"/>
      <c r="Z401" s="306"/>
      <c r="AA401" s="307"/>
      <c r="AB401" s="307"/>
      <c r="AC401" s="306"/>
      <c r="AD401" s="307"/>
      <c r="AE401" s="307"/>
      <c r="AF401" s="306"/>
      <c r="AG401" s="307"/>
      <c r="AH401" s="307"/>
      <c r="AI401" s="308"/>
    </row>
    <row r="402" spans="1:35" ht="104.45" customHeight="1" outlineLevel="1" x14ac:dyDescent="0.2">
      <c r="A402" s="336"/>
      <c r="B402" s="433"/>
      <c r="C402" s="433"/>
      <c r="D402" s="458"/>
      <c r="E402" s="477"/>
      <c r="F402" s="477"/>
      <c r="G402" s="475"/>
      <c r="H402" s="361" t="s">
        <v>1003</v>
      </c>
      <c r="I402" s="474"/>
      <c r="J402" s="345" t="s">
        <v>963</v>
      </c>
      <c r="K402" s="400">
        <v>25000000</v>
      </c>
      <c r="L402" s="300">
        <v>44593</v>
      </c>
      <c r="M402" s="300">
        <v>44925</v>
      </c>
      <c r="N402" s="300">
        <v>44652</v>
      </c>
      <c r="O402" s="301">
        <f t="shared" si="31"/>
        <v>0.17771084337349397</v>
      </c>
      <c r="P402" s="301">
        <f t="shared" si="33"/>
        <v>0.17771084337349397</v>
      </c>
      <c r="Q402" s="302">
        <v>1</v>
      </c>
      <c r="R402" s="303">
        <v>0.25</v>
      </c>
      <c r="S402" s="303">
        <v>0.5</v>
      </c>
      <c r="T402" s="303">
        <v>0.75</v>
      </c>
      <c r="U402" s="303">
        <v>1</v>
      </c>
      <c r="V402" s="318"/>
      <c r="W402" s="383"/>
      <c r="X402" s="302"/>
      <c r="Y402" s="305"/>
      <c r="Z402" s="306"/>
      <c r="AA402" s="307"/>
      <c r="AB402" s="307"/>
      <c r="AC402" s="306"/>
      <c r="AD402" s="307"/>
      <c r="AE402" s="307"/>
      <c r="AF402" s="306"/>
      <c r="AG402" s="307"/>
      <c r="AH402" s="307"/>
      <c r="AI402" s="308"/>
    </row>
    <row r="403" spans="1:35" ht="104.45" customHeight="1" outlineLevel="1" x14ac:dyDescent="0.2">
      <c r="A403" s="336"/>
      <c r="B403" s="433"/>
      <c r="C403" s="433"/>
      <c r="D403" s="458"/>
      <c r="E403" s="477"/>
      <c r="F403" s="477"/>
      <c r="G403" s="369" t="s">
        <v>999</v>
      </c>
      <c r="H403" s="361" t="s">
        <v>1004</v>
      </c>
      <c r="I403" s="475"/>
      <c r="J403" s="345" t="s">
        <v>340</v>
      </c>
      <c r="K403" s="400">
        <v>125000000</v>
      </c>
      <c r="L403" s="300">
        <v>44593</v>
      </c>
      <c r="M403" s="300">
        <v>44925</v>
      </c>
      <c r="N403" s="300">
        <v>44652</v>
      </c>
      <c r="O403" s="301">
        <f t="shared" si="31"/>
        <v>0.17771084337349397</v>
      </c>
      <c r="P403" s="301">
        <f t="shared" si="33"/>
        <v>0.17771084337349397</v>
      </c>
      <c r="Q403" s="302">
        <v>1</v>
      </c>
      <c r="R403" s="303">
        <v>0.25</v>
      </c>
      <c r="S403" s="303">
        <v>0.5</v>
      </c>
      <c r="T403" s="303">
        <v>0.75</v>
      </c>
      <c r="U403" s="303">
        <v>1</v>
      </c>
      <c r="V403" s="318"/>
      <c r="W403" s="383"/>
      <c r="X403" s="302"/>
      <c r="Y403" s="305"/>
      <c r="Z403" s="306"/>
      <c r="AA403" s="307"/>
      <c r="AB403" s="307"/>
      <c r="AC403" s="306"/>
      <c r="AD403" s="307"/>
      <c r="AE403" s="307"/>
      <c r="AF403" s="306"/>
      <c r="AG403" s="307"/>
      <c r="AH403" s="307"/>
      <c r="AI403" s="308"/>
    </row>
    <row r="404" spans="1:35" ht="104.45" customHeight="1" outlineLevel="1" x14ac:dyDescent="0.2">
      <c r="A404" s="336"/>
      <c r="B404" s="433"/>
      <c r="C404" s="433"/>
      <c r="D404" s="458"/>
      <c r="E404" s="477"/>
      <c r="F404" s="477"/>
      <c r="G404" s="369" t="s">
        <v>999</v>
      </c>
      <c r="H404" s="361" t="s">
        <v>1005</v>
      </c>
      <c r="I404" s="473" t="s">
        <v>1006</v>
      </c>
      <c r="J404" s="345" t="s">
        <v>963</v>
      </c>
      <c r="K404" s="400">
        <v>25000000</v>
      </c>
      <c r="L404" s="300">
        <v>44593</v>
      </c>
      <c r="M404" s="300">
        <v>44925</v>
      </c>
      <c r="N404" s="300">
        <v>44652</v>
      </c>
      <c r="O404" s="301">
        <f t="shared" si="31"/>
        <v>0.17771084337349397</v>
      </c>
      <c r="P404" s="301">
        <f t="shared" si="33"/>
        <v>0.17771084337349397</v>
      </c>
      <c r="Q404" s="302">
        <v>1</v>
      </c>
      <c r="R404" s="303">
        <v>0.25</v>
      </c>
      <c r="S404" s="303">
        <v>0.5</v>
      </c>
      <c r="T404" s="303">
        <v>0.75</v>
      </c>
      <c r="U404" s="303">
        <v>1</v>
      </c>
      <c r="V404" s="318"/>
      <c r="W404" s="383"/>
      <c r="X404" s="302"/>
      <c r="Y404" s="305"/>
      <c r="Z404" s="306"/>
      <c r="AA404" s="307"/>
      <c r="AB404" s="307"/>
      <c r="AC404" s="306"/>
      <c r="AD404" s="307"/>
      <c r="AE404" s="307"/>
      <c r="AF404" s="306"/>
      <c r="AG404" s="307"/>
      <c r="AH404" s="307"/>
      <c r="AI404" s="308"/>
    </row>
    <row r="405" spans="1:35" ht="104.45" customHeight="1" outlineLevel="1" x14ac:dyDescent="0.2">
      <c r="A405" s="336"/>
      <c r="B405" s="433"/>
      <c r="C405" s="433"/>
      <c r="D405" s="458"/>
      <c r="E405" s="477"/>
      <c r="F405" s="477"/>
      <c r="G405" s="369" t="s">
        <v>999</v>
      </c>
      <c r="H405" s="361" t="s">
        <v>1007</v>
      </c>
      <c r="I405" s="474"/>
      <c r="J405" s="345" t="s">
        <v>231</v>
      </c>
      <c r="K405" s="400">
        <v>272097792</v>
      </c>
      <c r="L405" s="300">
        <v>44593</v>
      </c>
      <c r="M405" s="300">
        <v>44925</v>
      </c>
      <c r="N405" s="300">
        <v>44652</v>
      </c>
      <c r="O405" s="301">
        <f t="shared" si="31"/>
        <v>0.17771084337349397</v>
      </c>
      <c r="P405" s="301">
        <f t="shared" si="33"/>
        <v>0.17771084337349397</v>
      </c>
      <c r="Q405" s="302">
        <v>1</v>
      </c>
      <c r="R405" s="303">
        <v>0.25</v>
      </c>
      <c r="S405" s="303">
        <v>0.5</v>
      </c>
      <c r="T405" s="303">
        <v>0.75</v>
      </c>
      <c r="U405" s="303">
        <v>1</v>
      </c>
      <c r="V405" s="318"/>
      <c r="W405" s="383"/>
      <c r="X405" s="302"/>
      <c r="Y405" s="305"/>
      <c r="Z405" s="306"/>
      <c r="AA405" s="307"/>
      <c r="AB405" s="307"/>
      <c r="AC405" s="306"/>
      <c r="AD405" s="307"/>
      <c r="AE405" s="307"/>
      <c r="AF405" s="306"/>
      <c r="AG405" s="307"/>
      <c r="AH405" s="307"/>
      <c r="AI405" s="308"/>
    </row>
    <row r="406" spans="1:35" ht="104.45" customHeight="1" outlineLevel="1" x14ac:dyDescent="0.2">
      <c r="A406" s="336"/>
      <c r="B406" s="434"/>
      <c r="C406" s="434"/>
      <c r="D406" s="458"/>
      <c r="E406" s="478"/>
      <c r="F406" s="478"/>
      <c r="G406" s="369" t="s">
        <v>999</v>
      </c>
      <c r="H406" s="361" t="s">
        <v>1008</v>
      </c>
      <c r="I406" s="475"/>
      <c r="J406" s="345" t="s">
        <v>340</v>
      </c>
      <c r="K406" s="399">
        <v>250000004</v>
      </c>
      <c r="L406" s="300">
        <v>44593</v>
      </c>
      <c r="M406" s="300">
        <v>44925</v>
      </c>
      <c r="N406" s="300">
        <v>44652</v>
      </c>
      <c r="O406" s="301">
        <f t="shared" si="31"/>
        <v>0.17771084337349397</v>
      </c>
      <c r="P406" s="301">
        <f t="shared" si="33"/>
        <v>0.17771084337349397</v>
      </c>
      <c r="Q406" s="302">
        <v>1</v>
      </c>
      <c r="R406" s="303">
        <v>0.25</v>
      </c>
      <c r="S406" s="303">
        <v>0.5</v>
      </c>
      <c r="T406" s="303">
        <v>0.75</v>
      </c>
      <c r="U406" s="303">
        <v>1</v>
      </c>
      <c r="V406" s="318"/>
      <c r="W406" s="383"/>
      <c r="X406" s="302"/>
      <c r="Y406" s="305"/>
      <c r="Z406" s="306"/>
      <c r="AA406" s="307"/>
      <c r="AB406" s="307"/>
      <c r="AC406" s="306"/>
      <c r="AD406" s="307"/>
      <c r="AE406" s="307"/>
      <c r="AF406" s="306"/>
      <c r="AG406" s="307"/>
      <c r="AH406" s="307"/>
      <c r="AI406" s="308"/>
    </row>
    <row r="407" spans="1:35" ht="55.15" customHeight="1" thickBot="1" x14ac:dyDescent="0.25">
      <c r="A407" s="525" t="s">
        <v>1009</v>
      </c>
      <c r="B407" s="525"/>
      <c r="C407" s="525"/>
      <c r="D407" s="525"/>
      <c r="E407" s="525"/>
      <c r="F407" s="525"/>
      <c r="G407" s="525"/>
      <c r="H407" s="525"/>
      <c r="I407" s="525"/>
      <c r="J407" s="525"/>
      <c r="K407" s="525"/>
      <c r="L407" s="525"/>
      <c r="M407" s="525"/>
      <c r="N407" s="406">
        <v>44652</v>
      </c>
      <c r="O407" s="301"/>
      <c r="P407" s="315">
        <f t="array" ref="P407">+AVERAGE((P322:P406)*100)</f>
        <v>17.771084337349368</v>
      </c>
      <c r="Q407" s="316">
        <v>100</v>
      </c>
      <c r="R407" s="303"/>
      <c r="S407" s="303"/>
      <c r="T407" s="303"/>
      <c r="U407" s="303"/>
      <c r="V407" s="318"/>
      <c r="W407" s="383"/>
      <c r="X407" s="302"/>
      <c r="Y407" s="305"/>
      <c r="Z407" s="306"/>
      <c r="AA407" s="307"/>
      <c r="AB407" s="307"/>
      <c r="AC407" s="306"/>
      <c r="AD407" s="307"/>
      <c r="AE407" s="307"/>
      <c r="AF407" s="306"/>
      <c r="AG407" s="307"/>
      <c r="AH407" s="307"/>
      <c r="AI407" s="320" t="e">
        <f>+SUM(#REF!)</f>
        <v>#REF!</v>
      </c>
    </row>
    <row r="408" spans="1:35" ht="318.75" customHeight="1" outlineLevel="1" x14ac:dyDescent="0.2">
      <c r="A408" s="526" t="s">
        <v>1010</v>
      </c>
      <c r="B408" s="432" t="s">
        <v>1011</v>
      </c>
      <c r="C408" s="432" t="s">
        <v>1357</v>
      </c>
      <c r="D408" s="508" t="s">
        <v>9</v>
      </c>
      <c r="E408" s="515" t="s">
        <v>1012</v>
      </c>
      <c r="F408" s="396" t="s">
        <v>1013</v>
      </c>
      <c r="G408" s="370" t="s">
        <v>378</v>
      </c>
      <c r="H408" s="274" t="s">
        <v>1014</v>
      </c>
      <c r="I408" s="274" t="s">
        <v>1015</v>
      </c>
      <c r="J408" s="295" t="s">
        <v>1016</v>
      </c>
      <c r="K408" s="410">
        <v>200000000</v>
      </c>
      <c r="L408" s="321">
        <v>44593</v>
      </c>
      <c r="M408" s="321">
        <v>44925</v>
      </c>
      <c r="N408" s="300">
        <v>44652</v>
      </c>
      <c r="O408" s="301">
        <f t="shared" si="31"/>
        <v>0.17771084337349397</v>
      </c>
      <c r="P408" s="301">
        <f t="shared" ref="P408:P444" si="34">+IF(O408&gt;=100,100,IF(O408&lt;=0,0,O408))</f>
        <v>0.17771084337349397</v>
      </c>
      <c r="Q408" s="302">
        <v>1</v>
      </c>
      <c r="R408" s="303">
        <v>0.65</v>
      </c>
      <c r="S408" s="303">
        <v>0.75</v>
      </c>
      <c r="T408" s="303">
        <v>0.85</v>
      </c>
      <c r="U408" s="303">
        <v>0.1</v>
      </c>
      <c r="V408" s="303"/>
      <c r="W408" s="383"/>
      <c r="X408" s="302"/>
      <c r="Y408" s="305"/>
      <c r="Z408" s="306"/>
      <c r="AA408" s="307"/>
      <c r="AB408" s="307"/>
      <c r="AC408" s="306"/>
      <c r="AD408" s="307"/>
      <c r="AE408" s="307"/>
      <c r="AF408" s="306"/>
      <c r="AG408" s="307"/>
      <c r="AH408" s="307"/>
      <c r="AI408" s="308"/>
    </row>
    <row r="409" spans="1:35" ht="46.5" customHeight="1" outlineLevel="1" x14ac:dyDescent="0.2">
      <c r="A409" s="527"/>
      <c r="B409" s="433"/>
      <c r="C409" s="433"/>
      <c r="D409" s="509"/>
      <c r="E409" s="516"/>
      <c r="F409" s="515" t="s">
        <v>1017</v>
      </c>
      <c r="G409" s="371"/>
      <c r="H409" s="274" t="s">
        <v>1018</v>
      </c>
      <c r="I409" s="512" t="s">
        <v>1019</v>
      </c>
      <c r="J409" s="295" t="s">
        <v>1016</v>
      </c>
      <c r="K409" s="411" t="s">
        <v>116</v>
      </c>
      <c r="L409" s="321">
        <v>44593</v>
      </c>
      <c r="M409" s="321">
        <v>44925</v>
      </c>
      <c r="N409" s="300">
        <v>44652</v>
      </c>
      <c r="O409" s="301">
        <f t="shared" si="31"/>
        <v>0.17771084337349397</v>
      </c>
      <c r="P409" s="301">
        <f t="shared" si="34"/>
        <v>0.17771084337349397</v>
      </c>
      <c r="Q409" s="302">
        <v>0.6</v>
      </c>
      <c r="R409" s="303">
        <v>0.35</v>
      </c>
      <c r="S409" s="303">
        <v>0.45</v>
      </c>
      <c r="T409" s="303">
        <v>0.55000000000000004</v>
      </c>
      <c r="U409" s="303">
        <v>0.6</v>
      </c>
      <c r="V409" s="303"/>
      <c r="W409" s="383"/>
      <c r="X409" s="302"/>
      <c r="Y409" s="305"/>
      <c r="Z409" s="306"/>
      <c r="AA409" s="307"/>
      <c r="AB409" s="307"/>
      <c r="AC409" s="306"/>
      <c r="AD409" s="307"/>
      <c r="AE409" s="307"/>
      <c r="AF409" s="306"/>
      <c r="AG409" s="307"/>
      <c r="AH409" s="307"/>
      <c r="AI409" s="308"/>
    </row>
    <row r="410" spans="1:35" ht="56.25" customHeight="1" outlineLevel="1" x14ac:dyDescent="0.2">
      <c r="A410" s="527"/>
      <c r="B410" s="433"/>
      <c r="C410" s="433"/>
      <c r="D410" s="509"/>
      <c r="E410" s="516"/>
      <c r="F410" s="516"/>
      <c r="G410" s="371"/>
      <c r="H410" s="274" t="s">
        <v>1020</v>
      </c>
      <c r="I410" s="513"/>
      <c r="J410" s="295" t="s">
        <v>1016</v>
      </c>
      <c r="K410" s="410">
        <v>55000000</v>
      </c>
      <c r="L410" s="321">
        <v>44593</v>
      </c>
      <c r="M410" s="321">
        <v>44925</v>
      </c>
      <c r="N410" s="300">
        <v>44652</v>
      </c>
      <c r="O410" s="301">
        <f t="shared" si="31"/>
        <v>0.17771084337349397</v>
      </c>
      <c r="P410" s="301">
        <f t="shared" si="34"/>
        <v>0.17771084337349397</v>
      </c>
      <c r="Q410" s="302">
        <v>1</v>
      </c>
      <c r="R410" s="303">
        <v>0.25</v>
      </c>
      <c r="S410" s="303">
        <v>0.5</v>
      </c>
      <c r="T410" s="303">
        <v>0.75</v>
      </c>
      <c r="U410" s="303">
        <v>1</v>
      </c>
      <c r="V410" s="303"/>
      <c r="W410" s="383"/>
      <c r="X410" s="302"/>
      <c r="Y410" s="305"/>
      <c r="Z410" s="306"/>
      <c r="AA410" s="307"/>
      <c r="AB410" s="307"/>
      <c r="AC410" s="306"/>
      <c r="AD410" s="307"/>
      <c r="AE410" s="307"/>
      <c r="AF410" s="306"/>
      <c r="AG410" s="307"/>
      <c r="AH410" s="307"/>
      <c r="AI410" s="308"/>
    </row>
    <row r="411" spans="1:35" ht="56.25" customHeight="1" outlineLevel="1" x14ac:dyDescent="0.2">
      <c r="A411" s="527"/>
      <c r="B411" s="433"/>
      <c r="C411" s="433"/>
      <c r="D411" s="509"/>
      <c r="E411" s="517"/>
      <c r="F411" s="517"/>
      <c r="G411" s="371"/>
      <c r="H411" s="274" t="s">
        <v>1021</v>
      </c>
      <c r="I411" s="514"/>
      <c r="J411" s="295" t="s">
        <v>1016</v>
      </c>
      <c r="K411" s="412">
        <v>40000000</v>
      </c>
      <c r="L411" s="321">
        <v>44593</v>
      </c>
      <c r="M411" s="321">
        <v>44925</v>
      </c>
      <c r="N411" s="300">
        <v>44652</v>
      </c>
      <c r="O411" s="301">
        <f t="shared" si="31"/>
        <v>0.17771084337349397</v>
      </c>
      <c r="P411" s="301">
        <f t="shared" si="34"/>
        <v>0.17771084337349397</v>
      </c>
      <c r="Q411" s="302">
        <v>1</v>
      </c>
      <c r="R411" s="303">
        <v>0.25</v>
      </c>
      <c r="S411" s="303">
        <v>0.5</v>
      </c>
      <c r="T411" s="303">
        <v>0.75</v>
      </c>
      <c r="U411" s="303">
        <v>1</v>
      </c>
      <c r="V411" s="303"/>
      <c r="W411" s="383"/>
      <c r="X411" s="302"/>
      <c r="Y411" s="305"/>
      <c r="Z411" s="306"/>
      <c r="AA411" s="307"/>
      <c r="AB411" s="307"/>
      <c r="AC411" s="306"/>
      <c r="AD411" s="307"/>
      <c r="AE411" s="307"/>
      <c r="AF411" s="306"/>
      <c r="AG411" s="307"/>
      <c r="AH411" s="307"/>
      <c r="AI411" s="308"/>
    </row>
    <row r="412" spans="1:35" ht="59.25" customHeight="1" outlineLevel="1" x14ac:dyDescent="0.2">
      <c r="A412" s="527"/>
      <c r="B412" s="433"/>
      <c r="C412" s="433"/>
      <c r="D412" s="509"/>
      <c r="E412" s="515" t="s">
        <v>1022</v>
      </c>
      <c r="F412" s="515" t="s">
        <v>1023</v>
      </c>
      <c r="G412" s="371"/>
      <c r="H412" s="274" t="s">
        <v>1024</v>
      </c>
      <c r="I412" s="512" t="s">
        <v>1025</v>
      </c>
      <c r="J412" s="295" t="s">
        <v>1026</v>
      </c>
      <c r="K412" s="412">
        <v>12000000</v>
      </c>
      <c r="L412" s="321">
        <v>44593</v>
      </c>
      <c r="M412" s="321">
        <v>44925</v>
      </c>
      <c r="N412" s="300">
        <v>44652</v>
      </c>
      <c r="O412" s="301">
        <f t="shared" si="31"/>
        <v>0.17771084337349397</v>
      </c>
      <c r="P412" s="301">
        <f t="shared" si="34"/>
        <v>0.17771084337349397</v>
      </c>
      <c r="Q412" s="302">
        <v>1</v>
      </c>
      <c r="R412" s="303">
        <v>0.25</v>
      </c>
      <c r="S412" s="303">
        <v>0.5</v>
      </c>
      <c r="T412" s="303">
        <v>0.75</v>
      </c>
      <c r="U412" s="303">
        <v>1</v>
      </c>
      <c r="V412" s="303"/>
      <c r="W412" s="383"/>
      <c r="X412" s="302"/>
      <c r="Y412" s="305"/>
      <c r="Z412" s="306"/>
      <c r="AA412" s="307"/>
      <c r="AB412" s="307"/>
      <c r="AC412" s="306"/>
      <c r="AD412" s="307"/>
      <c r="AE412" s="307"/>
      <c r="AF412" s="306"/>
      <c r="AG412" s="307"/>
      <c r="AH412" s="307"/>
      <c r="AI412" s="308"/>
    </row>
    <row r="413" spans="1:35" ht="46.5" customHeight="1" outlineLevel="1" x14ac:dyDescent="0.2">
      <c r="A413" s="527"/>
      <c r="B413" s="433"/>
      <c r="C413" s="433"/>
      <c r="D413" s="509"/>
      <c r="E413" s="516"/>
      <c r="F413" s="516"/>
      <c r="G413" s="371"/>
      <c r="H413" s="274" t="s">
        <v>1027</v>
      </c>
      <c r="I413" s="513"/>
      <c r="J413" s="295" t="s">
        <v>1026</v>
      </c>
      <c r="K413" s="412">
        <v>15000000</v>
      </c>
      <c r="L413" s="321">
        <v>44593</v>
      </c>
      <c r="M413" s="321">
        <v>44925</v>
      </c>
      <c r="N413" s="300">
        <v>44652</v>
      </c>
      <c r="O413" s="301">
        <f t="shared" si="31"/>
        <v>0.17771084337349397</v>
      </c>
      <c r="P413" s="301">
        <f t="shared" si="34"/>
        <v>0.17771084337349397</v>
      </c>
      <c r="Q413" s="302">
        <v>1</v>
      </c>
      <c r="R413" s="303">
        <v>0.25</v>
      </c>
      <c r="S413" s="303">
        <v>0.5</v>
      </c>
      <c r="T413" s="303">
        <v>0.75</v>
      </c>
      <c r="U413" s="303">
        <v>1</v>
      </c>
      <c r="V413" s="303"/>
      <c r="W413" s="383"/>
      <c r="X413" s="302"/>
      <c r="Y413" s="305"/>
      <c r="Z413" s="306"/>
      <c r="AA413" s="307"/>
      <c r="AB413" s="307"/>
      <c r="AC413" s="306"/>
      <c r="AD413" s="307"/>
      <c r="AE413" s="307"/>
      <c r="AF413" s="306"/>
      <c r="AG413" s="307"/>
      <c r="AH413" s="307"/>
      <c r="AI413" s="308"/>
    </row>
    <row r="414" spans="1:35" ht="46.5" customHeight="1" outlineLevel="1" x14ac:dyDescent="0.2">
      <c r="A414" s="527"/>
      <c r="B414" s="433"/>
      <c r="C414" s="433"/>
      <c r="D414" s="509"/>
      <c r="E414" s="516"/>
      <c r="F414" s="516"/>
      <c r="G414" s="371"/>
      <c r="H414" s="274" t="s">
        <v>1028</v>
      </c>
      <c r="I414" s="513"/>
      <c r="J414" s="295" t="s">
        <v>1026</v>
      </c>
      <c r="K414" s="412" t="s">
        <v>116</v>
      </c>
      <c r="L414" s="321">
        <v>44593</v>
      </c>
      <c r="M414" s="321">
        <v>44925</v>
      </c>
      <c r="N414" s="300">
        <v>44652</v>
      </c>
      <c r="O414" s="301">
        <f t="shared" si="31"/>
        <v>0.17771084337349397</v>
      </c>
      <c r="P414" s="301">
        <f t="shared" si="34"/>
        <v>0.17771084337349397</v>
      </c>
      <c r="Q414" s="302">
        <v>1</v>
      </c>
      <c r="R414" s="303">
        <v>0.25</v>
      </c>
      <c r="S414" s="303">
        <v>0.5</v>
      </c>
      <c r="T414" s="303">
        <v>0.75</v>
      </c>
      <c r="U414" s="303">
        <v>1</v>
      </c>
      <c r="V414" s="303"/>
      <c r="W414" s="383"/>
      <c r="X414" s="302"/>
      <c r="Y414" s="305"/>
      <c r="Z414" s="306"/>
      <c r="AA414" s="307"/>
      <c r="AB414" s="307"/>
      <c r="AC414" s="306"/>
      <c r="AD414" s="307"/>
      <c r="AE414" s="307"/>
      <c r="AF414" s="306"/>
      <c r="AG414" s="307"/>
      <c r="AH414" s="307"/>
      <c r="AI414" s="308"/>
    </row>
    <row r="415" spans="1:35" ht="72" customHeight="1" outlineLevel="1" x14ac:dyDescent="0.2">
      <c r="A415" s="527"/>
      <c r="B415" s="433"/>
      <c r="C415" s="433"/>
      <c r="D415" s="509"/>
      <c r="E415" s="516"/>
      <c r="F415" s="516"/>
      <c r="G415" s="371"/>
      <c r="H415" s="274" t="s">
        <v>1029</v>
      </c>
      <c r="I415" s="513"/>
      <c r="J415" s="295" t="s">
        <v>1030</v>
      </c>
      <c r="K415" s="412">
        <v>80000000</v>
      </c>
      <c r="L415" s="321">
        <v>44593</v>
      </c>
      <c r="M415" s="321">
        <v>44925</v>
      </c>
      <c r="N415" s="300">
        <v>44652</v>
      </c>
      <c r="O415" s="301">
        <f t="shared" si="31"/>
        <v>0.17771084337349397</v>
      </c>
      <c r="P415" s="301">
        <f t="shared" si="34"/>
        <v>0.17771084337349397</v>
      </c>
      <c r="Q415" s="302">
        <v>1</v>
      </c>
      <c r="R415" s="303">
        <v>0.25</v>
      </c>
      <c r="S415" s="303">
        <v>0.5</v>
      </c>
      <c r="T415" s="303">
        <v>0.75</v>
      </c>
      <c r="U415" s="303">
        <v>1</v>
      </c>
      <c r="V415" s="303"/>
      <c r="W415" s="383"/>
      <c r="X415" s="302"/>
      <c r="Y415" s="305"/>
      <c r="Z415" s="306"/>
      <c r="AA415" s="307"/>
      <c r="AB415" s="307"/>
      <c r="AC415" s="306"/>
      <c r="AD415" s="307"/>
      <c r="AE415" s="307"/>
      <c r="AF415" s="306"/>
      <c r="AG415" s="307"/>
      <c r="AH415" s="307"/>
      <c r="AI415" s="308"/>
    </row>
    <row r="416" spans="1:35" ht="72" customHeight="1" outlineLevel="1" x14ac:dyDescent="0.2">
      <c r="A416" s="527"/>
      <c r="B416" s="433"/>
      <c r="C416" s="433"/>
      <c r="D416" s="509"/>
      <c r="E416" s="516"/>
      <c r="F416" s="516"/>
      <c r="G416" s="371"/>
      <c r="H416" s="274" t="s">
        <v>1031</v>
      </c>
      <c r="I416" s="513"/>
      <c r="J416" s="295" t="s">
        <v>1032</v>
      </c>
      <c r="K416" s="412">
        <v>10000000</v>
      </c>
      <c r="L416" s="321">
        <v>44593</v>
      </c>
      <c r="M416" s="321">
        <v>44925</v>
      </c>
      <c r="N416" s="300">
        <v>44652</v>
      </c>
      <c r="O416" s="301">
        <f t="shared" si="31"/>
        <v>0.17771084337349397</v>
      </c>
      <c r="P416" s="301">
        <f t="shared" si="34"/>
        <v>0.17771084337349397</v>
      </c>
      <c r="Q416" s="302">
        <v>1</v>
      </c>
      <c r="R416" s="303">
        <v>0.25</v>
      </c>
      <c r="S416" s="303">
        <v>0.5</v>
      </c>
      <c r="T416" s="303">
        <v>0.75</v>
      </c>
      <c r="U416" s="303">
        <v>1</v>
      </c>
      <c r="V416" s="303"/>
      <c r="W416" s="383"/>
      <c r="X416" s="302"/>
      <c r="Y416" s="305"/>
      <c r="Z416" s="306"/>
      <c r="AA416" s="307"/>
      <c r="AB416" s="307"/>
      <c r="AC416" s="306"/>
      <c r="AD416" s="307"/>
      <c r="AE416" s="307"/>
      <c r="AF416" s="306"/>
      <c r="AG416" s="307"/>
      <c r="AH416" s="307"/>
      <c r="AI416" s="308"/>
    </row>
    <row r="417" spans="1:35" ht="46.5" customHeight="1" outlineLevel="1" x14ac:dyDescent="0.2">
      <c r="A417" s="527"/>
      <c r="B417" s="433"/>
      <c r="C417" s="433"/>
      <c r="D417" s="509"/>
      <c r="E417" s="516"/>
      <c r="F417" s="517"/>
      <c r="G417" s="371"/>
      <c r="H417" s="274" t="s">
        <v>1033</v>
      </c>
      <c r="I417" s="514"/>
      <c r="J417" s="295" t="s">
        <v>1032</v>
      </c>
      <c r="K417" s="412">
        <v>30000000</v>
      </c>
      <c r="L417" s="321">
        <v>44593</v>
      </c>
      <c r="M417" s="321">
        <v>44925</v>
      </c>
      <c r="N417" s="300">
        <v>44652</v>
      </c>
      <c r="O417" s="301">
        <f t="shared" si="31"/>
        <v>0.17771084337349397</v>
      </c>
      <c r="P417" s="301">
        <f t="shared" si="34"/>
        <v>0.17771084337349397</v>
      </c>
      <c r="Q417" s="302">
        <v>1</v>
      </c>
      <c r="R417" s="303">
        <v>0.25</v>
      </c>
      <c r="S417" s="303">
        <v>0.5</v>
      </c>
      <c r="T417" s="303">
        <v>0.75</v>
      </c>
      <c r="U417" s="303">
        <v>1</v>
      </c>
      <c r="V417" s="303"/>
      <c r="W417" s="383"/>
      <c r="X417" s="302"/>
      <c r="Y417" s="305"/>
      <c r="Z417" s="306"/>
      <c r="AA417" s="307"/>
      <c r="AB417" s="307"/>
      <c r="AC417" s="306"/>
      <c r="AD417" s="307"/>
      <c r="AE417" s="307"/>
      <c r="AF417" s="306"/>
      <c r="AG417" s="307"/>
      <c r="AH417" s="307"/>
      <c r="AI417" s="308"/>
    </row>
    <row r="418" spans="1:35" ht="56.25" customHeight="1" outlineLevel="1" x14ac:dyDescent="0.2">
      <c r="A418" s="527"/>
      <c r="B418" s="433"/>
      <c r="C418" s="433"/>
      <c r="D418" s="509"/>
      <c r="E418" s="516"/>
      <c r="F418" s="515" t="s">
        <v>1034</v>
      </c>
      <c r="G418" s="371"/>
      <c r="H418" s="274" t="s">
        <v>1035</v>
      </c>
      <c r="I418" s="512" t="s">
        <v>1036</v>
      </c>
      <c r="J418" s="295" t="s">
        <v>1032</v>
      </c>
      <c r="K418" s="412">
        <v>40000000</v>
      </c>
      <c r="L418" s="321">
        <v>44593</v>
      </c>
      <c r="M418" s="321">
        <v>44925</v>
      </c>
      <c r="N418" s="300">
        <v>44652</v>
      </c>
      <c r="O418" s="301">
        <f t="shared" si="31"/>
        <v>0.17771084337349397</v>
      </c>
      <c r="P418" s="301">
        <f t="shared" si="34"/>
        <v>0.17771084337349397</v>
      </c>
      <c r="Q418" s="302">
        <v>1</v>
      </c>
      <c r="R418" s="303">
        <v>0.25</v>
      </c>
      <c r="S418" s="303">
        <v>0.5</v>
      </c>
      <c r="T418" s="303">
        <v>0.75</v>
      </c>
      <c r="U418" s="303">
        <v>1</v>
      </c>
      <c r="V418" s="303"/>
      <c r="W418" s="383"/>
      <c r="X418" s="302"/>
      <c r="Y418" s="305"/>
      <c r="Z418" s="306"/>
      <c r="AA418" s="307"/>
      <c r="AB418" s="307"/>
      <c r="AC418" s="306"/>
      <c r="AD418" s="307"/>
      <c r="AE418" s="307"/>
      <c r="AF418" s="306"/>
      <c r="AG418" s="307"/>
      <c r="AH418" s="307"/>
      <c r="AI418" s="308"/>
    </row>
    <row r="419" spans="1:35" ht="56.25" customHeight="1" outlineLevel="1" x14ac:dyDescent="0.2">
      <c r="A419" s="527"/>
      <c r="B419" s="433"/>
      <c r="C419" s="433"/>
      <c r="D419" s="509"/>
      <c r="E419" s="516"/>
      <c r="F419" s="516"/>
      <c r="G419" s="371"/>
      <c r="H419" s="274" t="s">
        <v>1037</v>
      </c>
      <c r="I419" s="513"/>
      <c r="J419" s="295" t="s">
        <v>1032</v>
      </c>
      <c r="K419" s="412">
        <v>23667886</v>
      </c>
      <c r="L419" s="321">
        <v>44593</v>
      </c>
      <c r="M419" s="321">
        <v>44925</v>
      </c>
      <c r="N419" s="300">
        <v>44652</v>
      </c>
      <c r="O419" s="301">
        <f t="shared" si="31"/>
        <v>0.17771084337349397</v>
      </c>
      <c r="P419" s="301">
        <f t="shared" si="34"/>
        <v>0.17771084337349397</v>
      </c>
      <c r="Q419" s="302">
        <v>1</v>
      </c>
      <c r="R419" s="303">
        <v>0.25</v>
      </c>
      <c r="S419" s="303">
        <v>0.5</v>
      </c>
      <c r="T419" s="303">
        <v>0.75</v>
      </c>
      <c r="U419" s="303">
        <v>1</v>
      </c>
      <c r="V419" s="303"/>
      <c r="W419" s="383"/>
      <c r="X419" s="302"/>
      <c r="Y419" s="305"/>
      <c r="Z419" s="306"/>
      <c r="AA419" s="307"/>
      <c r="AB419" s="307"/>
      <c r="AC419" s="306"/>
      <c r="AD419" s="307"/>
      <c r="AE419" s="307"/>
      <c r="AF419" s="306"/>
      <c r="AG419" s="307"/>
      <c r="AH419" s="307"/>
      <c r="AI419" s="308"/>
    </row>
    <row r="420" spans="1:35" ht="28.9" customHeight="1" outlineLevel="1" x14ac:dyDescent="0.2">
      <c r="A420" s="527"/>
      <c r="B420" s="433"/>
      <c r="C420" s="433"/>
      <c r="D420" s="509"/>
      <c r="E420" s="516"/>
      <c r="F420" s="516"/>
      <c r="G420" s="371"/>
      <c r="H420" s="274" t="s">
        <v>1038</v>
      </c>
      <c r="I420" s="513"/>
      <c r="J420" s="295" t="s">
        <v>1039</v>
      </c>
      <c r="K420" s="412">
        <v>105000000</v>
      </c>
      <c r="L420" s="321">
        <v>44593</v>
      </c>
      <c r="M420" s="321">
        <v>44925</v>
      </c>
      <c r="N420" s="300">
        <v>44652</v>
      </c>
      <c r="O420" s="301">
        <f t="shared" si="31"/>
        <v>0.17771084337349397</v>
      </c>
      <c r="P420" s="301">
        <f t="shared" si="34"/>
        <v>0.17771084337349397</v>
      </c>
      <c r="Q420" s="302">
        <v>1</v>
      </c>
      <c r="R420" s="303">
        <v>0.25</v>
      </c>
      <c r="S420" s="303">
        <v>0.5</v>
      </c>
      <c r="T420" s="303">
        <v>0.75</v>
      </c>
      <c r="U420" s="303">
        <v>1</v>
      </c>
      <c r="V420" s="303"/>
      <c r="W420" s="383"/>
      <c r="X420" s="302"/>
      <c r="Y420" s="305"/>
      <c r="Z420" s="306"/>
      <c r="AA420" s="307"/>
      <c r="AB420" s="307"/>
      <c r="AC420" s="306"/>
      <c r="AD420" s="307"/>
      <c r="AE420" s="307"/>
      <c r="AF420" s="306"/>
      <c r="AG420" s="307"/>
      <c r="AH420" s="307"/>
      <c r="AI420" s="308"/>
    </row>
    <row r="421" spans="1:35" ht="46.5" customHeight="1" outlineLevel="1" x14ac:dyDescent="0.2">
      <c r="A421" s="527"/>
      <c r="B421" s="433"/>
      <c r="C421" s="433"/>
      <c r="D421" s="509"/>
      <c r="E421" s="516"/>
      <c r="F421" s="516"/>
      <c r="G421" s="371"/>
      <c r="H421" s="274" t="s">
        <v>1040</v>
      </c>
      <c r="I421" s="513"/>
      <c r="J421" s="295" t="s">
        <v>1041</v>
      </c>
      <c r="K421" s="412">
        <v>30000000</v>
      </c>
      <c r="L421" s="321">
        <v>44593</v>
      </c>
      <c r="M421" s="321">
        <v>44925</v>
      </c>
      <c r="N421" s="300">
        <v>44652</v>
      </c>
      <c r="O421" s="301">
        <f t="shared" si="31"/>
        <v>0.17771084337349397</v>
      </c>
      <c r="P421" s="301">
        <f t="shared" si="34"/>
        <v>0.17771084337349397</v>
      </c>
      <c r="Q421" s="302">
        <v>1</v>
      </c>
      <c r="R421" s="303">
        <v>0.25</v>
      </c>
      <c r="S421" s="303">
        <v>0.5</v>
      </c>
      <c r="T421" s="303">
        <v>0.75</v>
      </c>
      <c r="U421" s="303">
        <v>1</v>
      </c>
      <c r="V421" s="303"/>
      <c r="W421" s="383"/>
      <c r="X421" s="302"/>
      <c r="Y421" s="305"/>
      <c r="Z421" s="306"/>
      <c r="AA421" s="307"/>
      <c r="AB421" s="307"/>
      <c r="AC421" s="306"/>
      <c r="AD421" s="307"/>
      <c r="AE421" s="307"/>
      <c r="AF421" s="306"/>
      <c r="AG421" s="307"/>
      <c r="AH421" s="307"/>
      <c r="AI421" s="308"/>
    </row>
    <row r="422" spans="1:35" ht="144" customHeight="1" outlineLevel="1" x14ac:dyDescent="0.2">
      <c r="A422" s="527"/>
      <c r="B422" s="433"/>
      <c r="C422" s="433"/>
      <c r="D422" s="509"/>
      <c r="E422" s="516"/>
      <c r="F422" s="516"/>
      <c r="G422" s="371"/>
      <c r="H422" s="274" t="s">
        <v>1042</v>
      </c>
      <c r="I422" s="513"/>
      <c r="J422" s="295" t="s">
        <v>1043</v>
      </c>
      <c r="K422" s="412">
        <v>1000000</v>
      </c>
      <c r="L422" s="321">
        <v>44593</v>
      </c>
      <c r="M422" s="321">
        <v>44925</v>
      </c>
      <c r="N422" s="300">
        <v>44652</v>
      </c>
      <c r="O422" s="301">
        <f t="shared" si="31"/>
        <v>0.17771084337349397</v>
      </c>
      <c r="P422" s="301">
        <f t="shared" si="34"/>
        <v>0.17771084337349397</v>
      </c>
      <c r="Q422" s="302">
        <v>1</v>
      </c>
      <c r="R422" s="303">
        <v>0.25</v>
      </c>
      <c r="S422" s="303">
        <v>0.5</v>
      </c>
      <c r="T422" s="303">
        <v>0.75</v>
      </c>
      <c r="U422" s="303">
        <v>1</v>
      </c>
      <c r="V422" s="303"/>
      <c r="W422" s="383"/>
      <c r="X422" s="302"/>
      <c r="Y422" s="305"/>
      <c r="Z422" s="306"/>
      <c r="AA422" s="307"/>
      <c r="AB422" s="307"/>
      <c r="AC422" s="306"/>
      <c r="AD422" s="307"/>
      <c r="AE422" s="307"/>
      <c r="AF422" s="306"/>
      <c r="AG422" s="307"/>
      <c r="AH422" s="307"/>
      <c r="AI422" s="308"/>
    </row>
    <row r="423" spans="1:35" ht="43.15" customHeight="1" outlineLevel="1" x14ac:dyDescent="0.2">
      <c r="A423" s="527"/>
      <c r="B423" s="433"/>
      <c r="C423" s="433"/>
      <c r="D423" s="509"/>
      <c r="E423" s="516"/>
      <c r="F423" s="516"/>
      <c r="G423" s="371"/>
      <c r="H423" s="274" t="s">
        <v>1044</v>
      </c>
      <c r="I423" s="513"/>
      <c r="J423" s="295" t="s">
        <v>1045</v>
      </c>
      <c r="K423" s="412">
        <v>10000000</v>
      </c>
      <c r="L423" s="321">
        <v>44593</v>
      </c>
      <c r="M423" s="321">
        <v>44925</v>
      </c>
      <c r="N423" s="300">
        <v>44652</v>
      </c>
      <c r="O423" s="301">
        <f t="shared" si="31"/>
        <v>0.17771084337349397</v>
      </c>
      <c r="P423" s="301">
        <f t="shared" si="34"/>
        <v>0.17771084337349397</v>
      </c>
      <c r="Q423" s="302">
        <v>1</v>
      </c>
      <c r="R423" s="303">
        <v>0.25</v>
      </c>
      <c r="S423" s="303">
        <v>0.5</v>
      </c>
      <c r="T423" s="303">
        <v>0.75</v>
      </c>
      <c r="U423" s="303">
        <v>1</v>
      </c>
      <c r="V423" s="303"/>
      <c r="W423" s="383"/>
      <c r="X423" s="302"/>
      <c r="Y423" s="305"/>
      <c r="Z423" s="306"/>
      <c r="AA423" s="307"/>
      <c r="AB423" s="307"/>
      <c r="AC423" s="306"/>
      <c r="AD423" s="307"/>
      <c r="AE423" s="307"/>
      <c r="AF423" s="306"/>
      <c r="AG423" s="307"/>
      <c r="AH423" s="307"/>
      <c r="AI423" s="308"/>
    </row>
    <row r="424" spans="1:35" ht="21" customHeight="1" outlineLevel="1" x14ac:dyDescent="0.2">
      <c r="A424" s="527"/>
      <c r="B424" s="433"/>
      <c r="C424" s="433"/>
      <c r="D424" s="509"/>
      <c r="E424" s="516"/>
      <c r="F424" s="516"/>
      <c r="G424" s="371"/>
      <c r="H424" s="274" t="s">
        <v>1046</v>
      </c>
      <c r="I424" s="513"/>
      <c r="J424" s="295" t="s">
        <v>1047</v>
      </c>
      <c r="K424" s="412">
        <v>200000000</v>
      </c>
      <c r="L424" s="321">
        <v>44593</v>
      </c>
      <c r="M424" s="321">
        <v>44925</v>
      </c>
      <c r="N424" s="300">
        <v>44652</v>
      </c>
      <c r="O424" s="301">
        <f t="shared" si="31"/>
        <v>0.17771084337349397</v>
      </c>
      <c r="P424" s="301">
        <f t="shared" si="34"/>
        <v>0.17771084337349397</v>
      </c>
      <c r="Q424" s="302">
        <v>1</v>
      </c>
      <c r="R424" s="303">
        <v>0.25</v>
      </c>
      <c r="S424" s="303">
        <v>0.5</v>
      </c>
      <c r="T424" s="303">
        <v>0.75</v>
      </c>
      <c r="U424" s="303">
        <v>1</v>
      </c>
      <c r="V424" s="303"/>
      <c r="W424" s="383"/>
      <c r="X424" s="302"/>
      <c r="Y424" s="305"/>
      <c r="Z424" s="306"/>
      <c r="AA424" s="307"/>
      <c r="AB424" s="307"/>
      <c r="AC424" s="306"/>
      <c r="AD424" s="307"/>
      <c r="AE424" s="307"/>
      <c r="AF424" s="306"/>
      <c r="AG424" s="307"/>
      <c r="AH424" s="307"/>
      <c r="AI424" s="308"/>
    </row>
    <row r="425" spans="1:35" ht="28.9" customHeight="1" outlineLevel="1" x14ac:dyDescent="0.2">
      <c r="A425" s="527"/>
      <c r="B425" s="433"/>
      <c r="C425" s="433"/>
      <c r="D425" s="509"/>
      <c r="E425" s="516"/>
      <c r="F425" s="516"/>
      <c r="G425" s="371"/>
      <c r="H425" s="274" t="s">
        <v>1048</v>
      </c>
      <c r="I425" s="513"/>
      <c r="J425" s="295" t="s">
        <v>1049</v>
      </c>
      <c r="K425" s="412">
        <v>1000000</v>
      </c>
      <c r="L425" s="321">
        <v>44593</v>
      </c>
      <c r="M425" s="321">
        <v>44925</v>
      </c>
      <c r="N425" s="300">
        <v>44652</v>
      </c>
      <c r="O425" s="301">
        <f t="shared" ref="O425:O489" si="35">+(+_xlfn.DAYS(L425,N425))/(+_xlfn.DAYS(L425,M425))</f>
        <v>0.17771084337349397</v>
      </c>
      <c r="P425" s="301">
        <f t="shared" si="34"/>
        <v>0.17771084337349397</v>
      </c>
      <c r="Q425" s="302">
        <v>1</v>
      </c>
      <c r="R425" s="303">
        <v>0.25</v>
      </c>
      <c r="S425" s="303">
        <v>0.5</v>
      </c>
      <c r="T425" s="303">
        <v>0.75</v>
      </c>
      <c r="U425" s="303">
        <v>1</v>
      </c>
      <c r="V425" s="303"/>
      <c r="W425" s="383"/>
      <c r="X425" s="302"/>
      <c r="Y425" s="305"/>
      <c r="Z425" s="306"/>
      <c r="AA425" s="307"/>
      <c r="AB425" s="307"/>
      <c r="AC425" s="306"/>
      <c r="AD425" s="307"/>
      <c r="AE425" s="307"/>
      <c r="AF425" s="306"/>
      <c r="AG425" s="307"/>
      <c r="AH425" s="307"/>
      <c r="AI425" s="308"/>
    </row>
    <row r="426" spans="1:35" ht="46.5" customHeight="1" outlineLevel="1" x14ac:dyDescent="0.2">
      <c r="A426" s="527"/>
      <c r="B426" s="433"/>
      <c r="C426" s="433"/>
      <c r="D426" s="509"/>
      <c r="E426" s="516"/>
      <c r="F426" s="516"/>
      <c r="G426" s="371"/>
      <c r="H426" s="274" t="s">
        <v>1050</v>
      </c>
      <c r="I426" s="513"/>
      <c r="J426" s="295" t="s">
        <v>1051</v>
      </c>
      <c r="K426" s="412">
        <v>15000000</v>
      </c>
      <c r="L426" s="321">
        <v>44593</v>
      </c>
      <c r="M426" s="321">
        <v>44925</v>
      </c>
      <c r="N426" s="300">
        <v>44652</v>
      </c>
      <c r="O426" s="301">
        <f t="shared" si="35"/>
        <v>0.17771084337349397</v>
      </c>
      <c r="P426" s="301">
        <f t="shared" si="34"/>
        <v>0.17771084337349397</v>
      </c>
      <c r="Q426" s="302">
        <v>1</v>
      </c>
      <c r="R426" s="303">
        <v>0.25</v>
      </c>
      <c r="S426" s="303">
        <v>0.5</v>
      </c>
      <c r="T426" s="303">
        <v>0.75</v>
      </c>
      <c r="U426" s="303">
        <v>1</v>
      </c>
      <c r="V426" s="303"/>
      <c r="W426" s="383"/>
      <c r="X426" s="302"/>
      <c r="Y426" s="305"/>
      <c r="Z426" s="306"/>
      <c r="AA426" s="307"/>
      <c r="AB426" s="307"/>
      <c r="AC426" s="306"/>
      <c r="AD426" s="307"/>
      <c r="AE426" s="307"/>
      <c r="AF426" s="306"/>
      <c r="AG426" s="307"/>
      <c r="AH426" s="307"/>
      <c r="AI426" s="308"/>
    </row>
    <row r="427" spans="1:35" ht="46.5" customHeight="1" outlineLevel="1" x14ac:dyDescent="0.2">
      <c r="A427" s="527"/>
      <c r="B427" s="433"/>
      <c r="C427" s="433"/>
      <c r="D427" s="509"/>
      <c r="E427" s="516"/>
      <c r="F427" s="516"/>
      <c r="G427" s="371"/>
      <c r="H427" s="274" t="s">
        <v>1052</v>
      </c>
      <c r="I427" s="513"/>
      <c r="J427" s="295" t="s">
        <v>1045</v>
      </c>
      <c r="K427" s="413">
        <v>10000000</v>
      </c>
      <c r="L427" s="321">
        <v>44593</v>
      </c>
      <c r="M427" s="321">
        <v>44925</v>
      </c>
      <c r="N427" s="300">
        <v>44652</v>
      </c>
      <c r="O427" s="301">
        <f t="shared" si="35"/>
        <v>0.17771084337349397</v>
      </c>
      <c r="P427" s="301">
        <f t="shared" si="34"/>
        <v>0.17771084337349397</v>
      </c>
      <c r="Q427" s="302">
        <v>1</v>
      </c>
      <c r="R427" s="303">
        <v>0.25</v>
      </c>
      <c r="S427" s="303">
        <v>0.5</v>
      </c>
      <c r="T427" s="303">
        <v>0.75</v>
      </c>
      <c r="U427" s="303">
        <v>1</v>
      </c>
      <c r="V427" s="303"/>
      <c r="W427" s="383"/>
      <c r="X427" s="302"/>
      <c r="Y427" s="305"/>
      <c r="Z427" s="306"/>
      <c r="AA427" s="307"/>
      <c r="AB427" s="307"/>
      <c r="AC427" s="306"/>
      <c r="AD427" s="307"/>
      <c r="AE427" s="307"/>
      <c r="AF427" s="306"/>
      <c r="AG427" s="307"/>
      <c r="AH427" s="307"/>
      <c r="AI427" s="308"/>
    </row>
    <row r="428" spans="1:35" ht="28.9" customHeight="1" outlineLevel="1" x14ac:dyDescent="0.2">
      <c r="A428" s="527"/>
      <c r="B428" s="433"/>
      <c r="C428" s="433"/>
      <c r="D428" s="509"/>
      <c r="E428" s="516"/>
      <c r="F428" s="516"/>
      <c r="G428" s="371"/>
      <c r="H428" s="274" t="s">
        <v>1053</v>
      </c>
      <c r="I428" s="513"/>
      <c r="J428" s="295" t="s">
        <v>1045</v>
      </c>
      <c r="K428" s="413">
        <v>11000000</v>
      </c>
      <c r="L428" s="321">
        <v>44593</v>
      </c>
      <c r="M428" s="321">
        <v>44925</v>
      </c>
      <c r="N428" s="300">
        <v>44652</v>
      </c>
      <c r="O428" s="301">
        <f t="shared" si="35"/>
        <v>0.17771084337349397</v>
      </c>
      <c r="P428" s="301">
        <f t="shared" si="34"/>
        <v>0.17771084337349397</v>
      </c>
      <c r="Q428" s="302">
        <v>1</v>
      </c>
      <c r="R428" s="303">
        <v>0.25</v>
      </c>
      <c r="S428" s="303">
        <v>0.5</v>
      </c>
      <c r="T428" s="303">
        <v>0.75</v>
      </c>
      <c r="U428" s="303">
        <v>1</v>
      </c>
      <c r="V428" s="303"/>
      <c r="W428" s="383"/>
      <c r="X428" s="302"/>
      <c r="Y428" s="305"/>
      <c r="Z428" s="306"/>
      <c r="AA428" s="307"/>
      <c r="AB428" s="307"/>
      <c r="AC428" s="306"/>
      <c r="AD428" s="307"/>
      <c r="AE428" s="307"/>
      <c r="AF428" s="306"/>
      <c r="AG428" s="307"/>
      <c r="AH428" s="307"/>
      <c r="AI428" s="308"/>
    </row>
    <row r="429" spans="1:35" ht="46.5" customHeight="1" outlineLevel="1" x14ac:dyDescent="0.2">
      <c r="A429" s="527"/>
      <c r="B429" s="433"/>
      <c r="C429" s="433"/>
      <c r="D429" s="523"/>
      <c r="E429" s="517"/>
      <c r="F429" s="517"/>
      <c r="G429" s="372"/>
      <c r="H429" s="274" t="s">
        <v>1054</v>
      </c>
      <c r="I429" s="514"/>
      <c r="J429" s="295" t="s">
        <v>1051</v>
      </c>
      <c r="K429" s="412">
        <v>7000000</v>
      </c>
      <c r="L429" s="321">
        <v>44593</v>
      </c>
      <c r="M429" s="321">
        <v>44925</v>
      </c>
      <c r="N429" s="300">
        <v>44652</v>
      </c>
      <c r="O429" s="301">
        <f t="shared" si="35"/>
        <v>0.17771084337349397</v>
      </c>
      <c r="P429" s="301">
        <f t="shared" si="34"/>
        <v>0.17771084337349397</v>
      </c>
      <c r="Q429" s="302">
        <v>1</v>
      </c>
      <c r="R429" s="303">
        <v>0.25</v>
      </c>
      <c r="S429" s="303">
        <v>0.5</v>
      </c>
      <c r="T429" s="303">
        <v>0.75</v>
      </c>
      <c r="U429" s="303">
        <v>1</v>
      </c>
      <c r="V429" s="303"/>
      <c r="W429" s="383"/>
      <c r="X429" s="302"/>
      <c r="Y429" s="305"/>
      <c r="Z429" s="306"/>
      <c r="AA429" s="307"/>
      <c r="AB429" s="307"/>
      <c r="AC429" s="306"/>
      <c r="AD429" s="307"/>
      <c r="AE429" s="307"/>
      <c r="AF429" s="306"/>
      <c r="AG429" s="307"/>
      <c r="AH429" s="307"/>
      <c r="AI429" s="308"/>
    </row>
    <row r="430" spans="1:35" ht="59.25" customHeight="1" outlineLevel="1" x14ac:dyDescent="0.2">
      <c r="A430" s="527"/>
      <c r="B430" s="433"/>
      <c r="C430" s="433"/>
      <c r="D430" s="438" t="s">
        <v>1055</v>
      </c>
      <c r="E430" s="470" t="s">
        <v>1056</v>
      </c>
      <c r="F430" s="470" t="s">
        <v>1057</v>
      </c>
      <c r="G430" s="373" t="s">
        <v>378</v>
      </c>
      <c r="H430" s="275" t="s">
        <v>1058</v>
      </c>
      <c r="I430" s="484" t="s">
        <v>1059</v>
      </c>
      <c r="J430" s="295" t="s">
        <v>1032</v>
      </c>
      <c r="K430" s="413">
        <v>28304410</v>
      </c>
      <c r="L430" s="321">
        <v>44593</v>
      </c>
      <c r="M430" s="321">
        <v>44925</v>
      </c>
      <c r="N430" s="300">
        <v>44652</v>
      </c>
      <c r="O430" s="301">
        <f t="shared" si="35"/>
        <v>0.17771084337349397</v>
      </c>
      <c r="P430" s="301">
        <f t="shared" si="34"/>
        <v>0.17771084337349397</v>
      </c>
      <c r="Q430" s="302">
        <v>1</v>
      </c>
      <c r="R430" s="303">
        <v>0.25</v>
      </c>
      <c r="S430" s="303">
        <v>0.5</v>
      </c>
      <c r="T430" s="303">
        <v>0.75</v>
      </c>
      <c r="U430" s="303">
        <v>1</v>
      </c>
      <c r="V430" s="303"/>
      <c r="W430" s="383"/>
      <c r="X430" s="302"/>
      <c r="Y430" s="305"/>
      <c r="Z430" s="306"/>
      <c r="AA430" s="307"/>
      <c r="AB430" s="307"/>
      <c r="AC430" s="306"/>
      <c r="AD430" s="307"/>
      <c r="AE430" s="307"/>
      <c r="AF430" s="306"/>
      <c r="AG430" s="307"/>
      <c r="AH430" s="307"/>
      <c r="AI430" s="308"/>
    </row>
    <row r="431" spans="1:35" ht="60" customHeight="1" outlineLevel="1" x14ac:dyDescent="0.2">
      <c r="A431" s="527"/>
      <c r="B431" s="433"/>
      <c r="C431" s="433"/>
      <c r="D431" s="439"/>
      <c r="E431" s="497"/>
      <c r="F431" s="497"/>
      <c r="G431" s="375"/>
      <c r="H431" s="275" t="s">
        <v>1060</v>
      </c>
      <c r="I431" s="486"/>
      <c r="J431" s="295" t="s">
        <v>1032</v>
      </c>
      <c r="K431" s="412">
        <v>10000000</v>
      </c>
      <c r="L431" s="321">
        <v>44593</v>
      </c>
      <c r="M431" s="321">
        <v>44925</v>
      </c>
      <c r="N431" s="300">
        <v>44652</v>
      </c>
      <c r="O431" s="301">
        <f t="shared" si="35"/>
        <v>0.17771084337349397</v>
      </c>
      <c r="P431" s="301">
        <f t="shared" si="34"/>
        <v>0.17771084337349397</v>
      </c>
      <c r="Q431" s="302">
        <v>1</v>
      </c>
      <c r="R431" s="303">
        <v>0.25</v>
      </c>
      <c r="S431" s="303">
        <v>0.5</v>
      </c>
      <c r="T431" s="303">
        <v>0.75</v>
      </c>
      <c r="U431" s="303">
        <v>1</v>
      </c>
      <c r="V431" s="303"/>
      <c r="W431" s="383"/>
      <c r="X431" s="302"/>
      <c r="Y431" s="305"/>
      <c r="Z431" s="306"/>
      <c r="AA431" s="307"/>
      <c r="AB431" s="307"/>
      <c r="AC431" s="306"/>
      <c r="AD431" s="307"/>
      <c r="AE431" s="307"/>
      <c r="AF431" s="306"/>
      <c r="AG431" s="307"/>
      <c r="AH431" s="307"/>
      <c r="AI431" s="308"/>
    </row>
    <row r="432" spans="1:35" ht="60" customHeight="1" outlineLevel="1" x14ac:dyDescent="0.2">
      <c r="A432" s="527"/>
      <c r="B432" s="433"/>
      <c r="C432" s="433"/>
      <c r="D432" s="439"/>
      <c r="E432" s="497"/>
      <c r="F432" s="397" t="s">
        <v>1279</v>
      </c>
      <c r="G432" s="375"/>
      <c r="H432" s="275" t="s">
        <v>1350</v>
      </c>
      <c r="I432" s="375"/>
      <c r="J432" s="295" t="s">
        <v>1032</v>
      </c>
      <c r="K432" s="412"/>
      <c r="L432" s="321"/>
      <c r="M432" s="321"/>
      <c r="N432" s="300">
        <v>44652</v>
      </c>
      <c r="O432" s="301"/>
      <c r="P432" s="301"/>
      <c r="Q432" s="302">
        <v>1</v>
      </c>
      <c r="R432" s="303">
        <v>0.25</v>
      </c>
      <c r="S432" s="303">
        <v>0.5</v>
      </c>
      <c r="T432" s="303">
        <v>0.75</v>
      </c>
      <c r="U432" s="303">
        <v>1</v>
      </c>
      <c r="V432" s="303"/>
      <c r="W432" s="383"/>
      <c r="X432" s="302"/>
      <c r="Y432" s="305"/>
      <c r="Z432" s="306"/>
      <c r="AA432" s="307"/>
      <c r="AB432" s="307"/>
      <c r="AC432" s="306"/>
      <c r="AD432" s="307"/>
      <c r="AE432" s="307"/>
      <c r="AF432" s="306"/>
      <c r="AG432" s="307"/>
      <c r="AH432" s="307"/>
      <c r="AI432" s="308"/>
    </row>
    <row r="433" spans="1:35" ht="60" customHeight="1" outlineLevel="1" x14ac:dyDescent="0.2">
      <c r="A433" s="527"/>
      <c r="B433" s="433"/>
      <c r="C433" s="433"/>
      <c r="D433" s="439"/>
      <c r="E433" s="497"/>
      <c r="F433" s="470" t="s">
        <v>1061</v>
      </c>
      <c r="G433" s="375"/>
      <c r="H433" s="275" t="s">
        <v>1062</v>
      </c>
      <c r="I433" s="484" t="s">
        <v>836</v>
      </c>
      <c r="J433" s="295" t="s">
        <v>1032</v>
      </c>
      <c r="K433" s="412">
        <v>10000000</v>
      </c>
      <c r="L433" s="321">
        <v>44593</v>
      </c>
      <c r="M433" s="321">
        <v>44925</v>
      </c>
      <c r="N433" s="300">
        <v>44652</v>
      </c>
      <c r="O433" s="301">
        <f t="shared" si="35"/>
        <v>0.17771084337349397</v>
      </c>
      <c r="P433" s="301">
        <f t="shared" si="34"/>
        <v>0.17771084337349397</v>
      </c>
      <c r="Q433" s="302">
        <v>1</v>
      </c>
      <c r="R433" s="303">
        <v>0.25</v>
      </c>
      <c r="S433" s="303">
        <v>0.5</v>
      </c>
      <c r="T433" s="303">
        <v>0.75</v>
      </c>
      <c r="U433" s="303">
        <v>1</v>
      </c>
      <c r="V433" s="303"/>
      <c r="W433" s="383"/>
      <c r="X433" s="302"/>
      <c r="Y433" s="305"/>
      <c r="Z433" s="306"/>
      <c r="AA433" s="307"/>
      <c r="AB433" s="307"/>
      <c r="AC433" s="306"/>
      <c r="AD433" s="307"/>
      <c r="AE433" s="307"/>
      <c r="AF433" s="306"/>
      <c r="AG433" s="307"/>
      <c r="AH433" s="307"/>
      <c r="AI433" s="308"/>
    </row>
    <row r="434" spans="1:35" ht="60" customHeight="1" outlineLevel="1" x14ac:dyDescent="0.2">
      <c r="A434" s="527"/>
      <c r="B434" s="433"/>
      <c r="C434" s="433"/>
      <c r="D434" s="439"/>
      <c r="E434" s="497"/>
      <c r="F434" s="497"/>
      <c r="G434" s="375"/>
      <c r="H434" s="275" t="s">
        <v>1063</v>
      </c>
      <c r="I434" s="485"/>
      <c r="J434" s="295" t="s">
        <v>1032</v>
      </c>
      <c r="K434" s="414" t="s">
        <v>61</v>
      </c>
      <c r="L434" s="321">
        <v>44593</v>
      </c>
      <c r="M434" s="321">
        <v>44925</v>
      </c>
      <c r="N434" s="300">
        <v>44652</v>
      </c>
      <c r="O434" s="301">
        <f t="shared" si="35"/>
        <v>0.17771084337349397</v>
      </c>
      <c r="P434" s="301">
        <f t="shared" si="34"/>
        <v>0.17771084337349397</v>
      </c>
      <c r="Q434" s="302">
        <v>1</v>
      </c>
      <c r="R434" s="303">
        <v>0.25</v>
      </c>
      <c r="S434" s="303">
        <v>0.5</v>
      </c>
      <c r="T434" s="303">
        <v>0.75</v>
      </c>
      <c r="U434" s="303">
        <v>1</v>
      </c>
      <c r="V434" s="303"/>
      <c r="W434" s="383"/>
      <c r="X434" s="302"/>
      <c r="Y434" s="305"/>
      <c r="Z434" s="306"/>
      <c r="AA434" s="307"/>
      <c r="AB434" s="307"/>
      <c r="AC434" s="306"/>
      <c r="AD434" s="307"/>
      <c r="AE434" s="307"/>
      <c r="AF434" s="306"/>
      <c r="AG434" s="307"/>
      <c r="AH434" s="307"/>
      <c r="AI434" s="308"/>
    </row>
    <row r="435" spans="1:35" ht="60" customHeight="1" outlineLevel="1" x14ac:dyDescent="0.2">
      <c r="A435" s="527"/>
      <c r="B435" s="433"/>
      <c r="C435" s="433"/>
      <c r="D435" s="439"/>
      <c r="E435" s="497"/>
      <c r="F435" s="497"/>
      <c r="G435" s="375"/>
      <c r="H435" s="275" t="s">
        <v>1064</v>
      </c>
      <c r="I435" s="485"/>
      <c r="J435" s="295" t="s">
        <v>1065</v>
      </c>
      <c r="K435" s="412">
        <v>5000000</v>
      </c>
      <c r="L435" s="321">
        <v>44593</v>
      </c>
      <c r="M435" s="321">
        <v>44925</v>
      </c>
      <c r="N435" s="300">
        <v>44652</v>
      </c>
      <c r="O435" s="301">
        <f t="shared" si="35"/>
        <v>0.17771084337349397</v>
      </c>
      <c r="P435" s="301">
        <f t="shared" si="34"/>
        <v>0.17771084337349397</v>
      </c>
      <c r="Q435" s="302">
        <v>1</v>
      </c>
      <c r="R435" s="303">
        <v>0.25</v>
      </c>
      <c r="S435" s="303">
        <v>0.5</v>
      </c>
      <c r="T435" s="303">
        <v>0.75</v>
      </c>
      <c r="U435" s="303">
        <v>1</v>
      </c>
      <c r="V435" s="303"/>
      <c r="W435" s="383"/>
      <c r="X435" s="302"/>
      <c r="Y435" s="305"/>
      <c r="Z435" s="306"/>
      <c r="AA435" s="307"/>
      <c r="AB435" s="307"/>
      <c r="AC435" s="306"/>
      <c r="AD435" s="307"/>
      <c r="AE435" s="307"/>
      <c r="AF435" s="306"/>
      <c r="AG435" s="307"/>
      <c r="AH435" s="307"/>
      <c r="AI435" s="308"/>
    </row>
    <row r="436" spans="1:35" ht="60" customHeight="1" outlineLevel="1" x14ac:dyDescent="0.2">
      <c r="A436" s="527"/>
      <c r="B436" s="433"/>
      <c r="C436" s="433"/>
      <c r="D436" s="439"/>
      <c r="E436" s="497"/>
      <c r="F436" s="497"/>
      <c r="G436" s="375"/>
      <c r="H436" s="275" t="s">
        <v>1066</v>
      </c>
      <c r="I436" s="485"/>
      <c r="J436" s="295" t="s">
        <v>827</v>
      </c>
      <c r="K436" s="412">
        <v>3000000</v>
      </c>
      <c r="L436" s="321">
        <v>44593</v>
      </c>
      <c r="M436" s="321">
        <v>44925</v>
      </c>
      <c r="N436" s="300">
        <v>44652</v>
      </c>
      <c r="O436" s="301">
        <f t="shared" si="35"/>
        <v>0.17771084337349397</v>
      </c>
      <c r="P436" s="301">
        <f t="shared" si="34"/>
        <v>0.17771084337349397</v>
      </c>
      <c r="Q436" s="302">
        <v>1</v>
      </c>
      <c r="R436" s="303">
        <v>0.25</v>
      </c>
      <c r="S436" s="303">
        <v>0.5</v>
      </c>
      <c r="T436" s="303">
        <v>0.75</v>
      </c>
      <c r="U436" s="303">
        <v>1</v>
      </c>
      <c r="V436" s="303"/>
      <c r="W436" s="383"/>
      <c r="X436" s="302"/>
      <c r="Y436" s="305"/>
      <c r="Z436" s="306"/>
      <c r="AA436" s="307"/>
      <c r="AB436" s="307"/>
      <c r="AC436" s="306"/>
      <c r="AD436" s="307"/>
      <c r="AE436" s="307"/>
      <c r="AF436" s="306"/>
      <c r="AG436" s="307"/>
      <c r="AH436" s="307"/>
      <c r="AI436" s="308"/>
    </row>
    <row r="437" spans="1:35" ht="119.45" customHeight="1" outlineLevel="1" x14ac:dyDescent="0.2">
      <c r="A437" s="527"/>
      <c r="B437" s="433"/>
      <c r="C437" s="433"/>
      <c r="D437" s="439"/>
      <c r="E437" s="497"/>
      <c r="F437" s="497"/>
      <c r="G437" s="375"/>
      <c r="H437" s="275" t="s">
        <v>1067</v>
      </c>
      <c r="I437" s="485"/>
      <c r="J437" s="295" t="s">
        <v>1032</v>
      </c>
      <c r="K437" s="412">
        <v>3000000</v>
      </c>
      <c r="L437" s="321">
        <v>44593</v>
      </c>
      <c r="M437" s="321">
        <v>44925</v>
      </c>
      <c r="N437" s="300">
        <v>44652</v>
      </c>
      <c r="O437" s="301">
        <f t="shared" si="35"/>
        <v>0.17771084337349397</v>
      </c>
      <c r="P437" s="301">
        <f t="shared" si="34"/>
        <v>0.17771084337349397</v>
      </c>
      <c r="Q437" s="302">
        <v>1</v>
      </c>
      <c r="R437" s="303">
        <v>0.25</v>
      </c>
      <c r="S437" s="303">
        <v>0.5</v>
      </c>
      <c r="T437" s="303">
        <v>0.75</v>
      </c>
      <c r="U437" s="303">
        <v>1</v>
      </c>
      <c r="V437" s="303"/>
      <c r="W437" s="383"/>
      <c r="X437" s="302"/>
      <c r="Y437" s="305"/>
      <c r="Z437" s="306"/>
      <c r="AA437" s="307"/>
      <c r="AB437" s="307"/>
      <c r="AC437" s="306"/>
      <c r="AD437" s="307"/>
      <c r="AE437" s="307"/>
      <c r="AF437" s="306"/>
      <c r="AG437" s="307"/>
      <c r="AH437" s="307"/>
      <c r="AI437" s="308"/>
    </row>
    <row r="438" spans="1:35" ht="46.5" customHeight="1" outlineLevel="1" x14ac:dyDescent="0.2">
      <c r="A438" s="527"/>
      <c r="B438" s="433"/>
      <c r="C438" s="433"/>
      <c r="D438" s="439"/>
      <c r="E438" s="497"/>
      <c r="F438" s="471"/>
      <c r="G438" s="375"/>
      <c r="H438" s="275" t="s">
        <v>1068</v>
      </c>
      <c r="I438" s="486"/>
      <c r="J438" s="295" t="s">
        <v>1032</v>
      </c>
      <c r="K438" s="412">
        <v>20000000</v>
      </c>
      <c r="L438" s="321">
        <v>44593</v>
      </c>
      <c r="M438" s="321">
        <v>44925</v>
      </c>
      <c r="N438" s="300">
        <v>44652</v>
      </c>
      <c r="O438" s="301">
        <f t="shared" si="35"/>
        <v>0.17771084337349397</v>
      </c>
      <c r="P438" s="301">
        <f t="shared" si="34"/>
        <v>0.17771084337349397</v>
      </c>
      <c r="Q438" s="302">
        <v>1</v>
      </c>
      <c r="R438" s="303">
        <v>0.25</v>
      </c>
      <c r="S438" s="303">
        <v>0.5</v>
      </c>
      <c r="T438" s="303">
        <v>0.75</v>
      </c>
      <c r="U438" s="303">
        <v>1</v>
      </c>
      <c r="V438" s="303"/>
      <c r="W438" s="383"/>
      <c r="X438" s="302"/>
      <c r="Y438" s="305"/>
      <c r="Z438" s="306"/>
      <c r="AA438" s="307"/>
      <c r="AB438" s="307"/>
      <c r="AC438" s="306"/>
      <c r="AD438" s="307"/>
      <c r="AE438" s="307"/>
      <c r="AF438" s="306"/>
      <c r="AG438" s="307"/>
      <c r="AH438" s="307"/>
      <c r="AI438" s="308"/>
    </row>
    <row r="439" spans="1:35" ht="60" customHeight="1" outlineLevel="1" x14ac:dyDescent="0.2">
      <c r="A439" s="527"/>
      <c r="B439" s="433"/>
      <c r="C439" s="433"/>
      <c r="D439" s="439"/>
      <c r="E439" s="497"/>
      <c r="F439" s="470" t="s">
        <v>1069</v>
      </c>
      <c r="G439" s="375"/>
      <c r="H439" s="275" t="s">
        <v>1070</v>
      </c>
      <c r="I439" s="275"/>
      <c r="J439" s="295" t="s">
        <v>1071</v>
      </c>
      <c r="K439" s="412">
        <v>8500000</v>
      </c>
      <c r="L439" s="321">
        <v>44593</v>
      </c>
      <c r="M439" s="321">
        <v>44925</v>
      </c>
      <c r="N439" s="300">
        <v>44652</v>
      </c>
      <c r="O439" s="301">
        <f t="shared" si="35"/>
        <v>0.17771084337349397</v>
      </c>
      <c r="P439" s="301">
        <f t="shared" si="34"/>
        <v>0.17771084337349397</v>
      </c>
      <c r="Q439" s="302">
        <v>0.5</v>
      </c>
      <c r="R439" s="303">
        <v>0.35</v>
      </c>
      <c r="S439" s="303">
        <v>0.4</v>
      </c>
      <c r="T439" s="303">
        <v>0.45</v>
      </c>
      <c r="U439" s="303">
        <v>0.5</v>
      </c>
      <c r="V439" s="303"/>
      <c r="W439" s="383"/>
      <c r="X439" s="302"/>
      <c r="Y439" s="305"/>
      <c r="Z439" s="306"/>
      <c r="AA439" s="307"/>
      <c r="AB439" s="307"/>
      <c r="AC439" s="306"/>
      <c r="AD439" s="307"/>
      <c r="AE439" s="307"/>
      <c r="AF439" s="306"/>
      <c r="AG439" s="307"/>
      <c r="AH439" s="307"/>
      <c r="AI439" s="308"/>
    </row>
    <row r="440" spans="1:35" ht="60" customHeight="1" outlineLevel="1" x14ac:dyDescent="0.2">
      <c r="A440" s="527"/>
      <c r="B440" s="433"/>
      <c r="C440" s="433"/>
      <c r="D440" s="439"/>
      <c r="E440" s="497"/>
      <c r="F440" s="471"/>
      <c r="G440" s="375"/>
      <c r="H440" s="275" t="s">
        <v>1072</v>
      </c>
      <c r="I440" s="275"/>
      <c r="J440" s="295" t="s">
        <v>1032</v>
      </c>
      <c r="K440" s="412">
        <v>5000000</v>
      </c>
      <c r="L440" s="321">
        <v>44593</v>
      </c>
      <c r="M440" s="321">
        <v>44925</v>
      </c>
      <c r="N440" s="300">
        <v>44652</v>
      </c>
      <c r="O440" s="301">
        <f t="shared" si="35"/>
        <v>0.17771084337349397</v>
      </c>
      <c r="P440" s="301">
        <f t="shared" si="34"/>
        <v>0.17771084337349397</v>
      </c>
      <c r="Q440" s="302">
        <v>1</v>
      </c>
      <c r="R440" s="303">
        <v>0.25</v>
      </c>
      <c r="S440" s="303">
        <v>0.5</v>
      </c>
      <c r="T440" s="303">
        <v>0.75</v>
      </c>
      <c r="U440" s="303">
        <v>1</v>
      </c>
      <c r="V440" s="303"/>
      <c r="W440" s="383"/>
      <c r="X440" s="302"/>
      <c r="Y440" s="305"/>
      <c r="Z440" s="306"/>
      <c r="AA440" s="307"/>
      <c r="AB440" s="307"/>
      <c r="AC440" s="306"/>
      <c r="AD440" s="307"/>
      <c r="AE440" s="307"/>
      <c r="AF440" s="306"/>
      <c r="AG440" s="307"/>
      <c r="AH440" s="307"/>
      <c r="AI440" s="308"/>
    </row>
    <row r="441" spans="1:35" ht="60" customHeight="1" outlineLevel="1" x14ac:dyDescent="0.2">
      <c r="A441" s="527"/>
      <c r="B441" s="433"/>
      <c r="C441" s="433"/>
      <c r="D441" s="439"/>
      <c r="E441" s="497"/>
      <c r="F441" s="470" t="s">
        <v>1073</v>
      </c>
      <c r="G441" s="375"/>
      <c r="H441" s="275" t="s">
        <v>1074</v>
      </c>
      <c r="I441" s="275"/>
      <c r="J441" s="295" t="s">
        <v>1075</v>
      </c>
      <c r="K441" s="412">
        <v>8618736</v>
      </c>
      <c r="L441" s="321">
        <v>44593</v>
      </c>
      <c r="M441" s="321">
        <v>44925</v>
      </c>
      <c r="N441" s="300">
        <v>44652</v>
      </c>
      <c r="O441" s="301">
        <f t="shared" si="35"/>
        <v>0.17771084337349397</v>
      </c>
      <c r="P441" s="301">
        <f t="shared" si="34"/>
        <v>0.17771084337349397</v>
      </c>
      <c r="Q441" s="302">
        <v>0.5</v>
      </c>
      <c r="R441" s="303">
        <v>0.35</v>
      </c>
      <c r="S441" s="303">
        <v>0.4</v>
      </c>
      <c r="T441" s="303">
        <v>0.45</v>
      </c>
      <c r="U441" s="303">
        <v>0.5</v>
      </c>
      <c r="V441" s="303"/>
      <c r="W441" s="383"/>
      <c r="X441" s="302"/>
      <c r="Y441" s="305"/>
      <c r="Z441" s="306"/>
      <c r="AA441" s="307"/>
      <c r="AB441" s="307"/>
      <c r="AC441" s="306"/>
      <c r="AD441" s="307"/>
      <c r="AE441" s="307"/>
      <c r="AF441" s="306"/>
      <c r="AG441" s="307"/>
      <c r="AH441" s="307"/>
      <c r="AI441" s="308"/>
    </row>
    <row r="442" spans="1:35" ht="119.45" customHeight="1" outlineLevel="1" x14ac:dyDescent="0.2">
      <c r="A442" s="527"/>
      <c r="B442" s="433"/>
      <c r="C442" s="433"/>
      <c r="D442" s="439"/>
      <c r="E442" s="497"/>
      <c r="F442" s="497"/>
      <c r="G442" s="375"/>
      <c r="H442" s="275" t="s">
        <v>1076</v>
      </c>
      <c r="I442" s="275"/>
      <c r="J442" s="295" t="s">
        <v>1077</v>
      </c>
      <c r="K442" s="412">
        <v>800000</v>
      </c>
      <c r="L442" s="321">
        <v>44593</v>
      </c>
      <c r="M442" s="321">
        <v>44925</v>
      </c>
      <c r="N442" s="300">
        <v>44652</v>
      </c>
      <c r="O442" s="301">
        <f t="shared" si="35"/>
        <v>0.17771084337349397</v>
      </c>
      <c r="P442" s="301">
        <f t="shared" si="34"/>
        <v>0.17771084337349397</v>
      </c>
      <c r="Q442" s="302">
        <v>1</v>
      </c>
      <c r="R442" s="303">
        <v>0.25</v>
      </c>
      <c r="S442" s="303">
        <v>0.5</v>
      </c>
      <c r="T442" s="303">
        <v>0.75</v>
      </c>
      <c r="U442" s="303">
        <v>1</v>
      </c>
      <c r="V442" s="303"/>
      <c r="W442" s="383"/>
      <c r="X442" s="302"/>
      <c r="Y442" s="305"/>
      <c r="Z442" s="306"/>
      <c r="AA442" s="307"/>
      <c r="AB442" s="307"/>
      <c r="AC442" s="306"/>
      <c r="AD442" s="307"/>
      <c r="AE442" s="307"/>
      <c r="AF442" s="306"/>
      <c r="AG442" s="307"/>
      <c r="AH442" s="307"/>
      <c r="AI442" s="308"/>
    </row>
    <row r="443" spans="1:35" ht="119.45" customHeight="1" outlineLevel="1" x14ac:dyDescent="0.2">
      <c r="A443" s="527"/>
      <c r="B443" s="433"/>
      <c r="C443" s="433"/>
      <c r="D443" s="439"/>
      <c r="E443" s="497"/>
      <c r="F443" s="497"/>
      <c r="G443" s="375"/>
      <c r="H443" s="275" t="s">
        <v>1078</v>
      </c>
      <c r="I443" s="275"/>
      <c r="J443" s="295" t="s">
        <v>1032</v>
      </c>
      <c r="K443" s="412">
        <v>30872798</v>
      </c>
      <c r="L443" s="321">
        <v>44593</v>
      </c>
      <c r="M443" s="321">
        <v>44925</v>
      </c>
      <c r="N443" s="300">
        <v>44652</v>
      </c>
      <c r="O443" s="301">
        <f t="shared" si="35"/>
        <v>0.17771084337349397</v>
      </c>
      <c r="P443" s="301">
        <f t="shared" si="34"/>
        <v>0.17771084337349397</v>
      </c>
      <c r="Q443" s="302">
        <v>1</v>
      </c>
      <c r="R443" s="303">
        <v>0.25</v>
      </c>
      <c r="S443" s="303">
        <v>0.5</v>
      </c>
      <c r="T443" s="303">
        <v>0.75</v>
      </c>
      <c r="U443" s="303">
        <v>1</v>
      </c>
      <c r="V443" s="303"/>
      <c r="W443" s="383"/>
      <c r="X443" s="302"/>
      <c r="Y443" s="305"/>
      <c r="Z443" s="306"/>
      <c r="AA443" s="307"/>
      <c r="AB443" s="307"/>
      <c r="AC443" s="306"/>
      <c r="AD443" s="307"/>
      <c r="AE443" s="307"/>
      <c r="AF443" s="306"/>
      <c r="AG443" s="307"/>
      <c r="AH443" s="307"/>
      <c r="AI443" s="308"/>
    </row>
    <row r="444" spans="1:35" ht="119.45" customHeight="1" outlineLevel="1" x14ac:dyDescent="0.2">
      <c r="A444" s="527"/>
      <c r="B444" s="434"/>
      <c r="C444" s="434"/>
      <c r="D444" s="440"/>
      <c r="E444" s="471"/>
      <c r="F444" s="471"/>
      <c r="G444" s="374"/>
      <c r="H444" s="275" t="s">
        <v>1079</v>
      </c>
      <c r="I444" s="275"/>
      <c r="J444" s="295" t="s">
        <v>1080</v>
      </c>
      <c r="K444" s="412">
        <v>4998000</v>
      </c>
      <c r="L444" s="321">
        <v>44593</v>
      </c>
      <c r="M444" s="321">
        <v>44925</v>
      </c>
      <c r="N444" s="300">
        <v>44652</v>
      </c>
      <c r="O444" s="301">
        <f t="shared" si="35"/>
        <v>0.17771084337349397</v>
      </c>
      <c r="P444" s="301">
        <f t="shared" si="34"/>
        <v>0.17771084337349397</v>
      </c>
      <c r="Q444" s="302">
        <v>1</v>
      </c>
      <c r="R444" s="303">
        <v>0.25</v>
      </c>
      <c r="S444" s="303">
        <v>0.5</v>
      </c>
      <c r="T444" s="303">
        <v>0.75</v>
      </c>
      <c r="U444" s="303">
        <v>1</v>
      </c>
      <c r="V444" s="303"/>
      <c r="W444" s="383"/>
      <c r="X444" s="302"/>
      <c r="Y444" s="305"/>
      <c r="Z444" s="306"/>
      <c r="AA444" s="307"/>
      <c r="AB444" s="307"/>
      <c r="AC444" s="306"/>
      <c r="AD444" s="307"/>
      <c r="AE444" s="307"/>
      <c r="AF444" s="306"/>
      <c r="AG444" s="307"/>
      <c r="AH444" s="307"/>
      <c r="AI444" s="308"/>
    </row>
    <row r="445" spans="1:35" ht="96" customHeight="1" outlineLevel="1" x14ac:dyDescent="0.2">
      <c r="A445" s="527"/>
      <c r="B445" s="432" t="s">
        <v>657</v>
      </c>
      <c r="C445" s="432" t="s">
        <v>814</v>
      </c>
      <c r="D445" s="599" t="s">
        <v>11</v>
      </c>
      <c r="E445" s="1" t="s">
        <v>1081</v>
      </c>
      <c r="F445" s="1" t="s">
        <v>1082</v>
      </c>
      <c r="G445" s="2" t="s">
        <v>171</v>
      </c>
      <c r="H445" s="2" t="s">
        <v>1083</v>
      </c>
      <c r="I445" s="2" t="s">
        <v>1084</v>
      </c>
      <c r="J445" s="12" t="s">
        <v>1085</v>
      </c>
      <c r="K445" s="12" t="s">
        <v>865</v>
      </c>
      <c r="L445" s="321">
        <v>44593</v>
      </c>
      <c r="M445" s="321">
        <v>44925</v>
      </c>
      <c r="N445" s="300">
        <v>44652</v>
      </c>
      <c r="O445" s="301">
        <f t="shared" si="35"/>
        <v>0.17771084337349397</v>
      </c>
      <c r="P445" s="301">
        <f t="shared" ref="P445:P513" si="36">+IF(O445&gt;=100,100,IF(O445&lt;=0,0,O445))</f>
        <v>0.17771084337349397</v>
      </c>
      <c r="Q445" s="302">
        <v>0.5</v>
      </c>
      <c r="R445" s="303">
        <v>0.32</v>
      </c>
      <c r="S445" s="303">
        <v>0.35</v>
      </c>
      <c r="T445" s="303">
        <v>0.42</v>
      </c>
      <c r="U445" s="303">
        <v>1</v>
      </c>
      <c r="V445" s="303"/>
      <c r="W445" s="383"/>
      <c r="X445" s="302"/>
      <c r="Y445" s="305"/>
      <c r="Z445" s="306"/>
      <c r="AA445" s="307"/>
      <c r="AB445" s="307"/>
      <c r="AC445" s="306"/>
      <c r="AD445" s="307"/>
      <c r="AE445" s="307"/>
      <c r="AF445" s="306"/>
      <c r="AG445" s="307"/>
      <c r="AH445" s="307"/>
      <c r="AI445" s="308"/>
    </row>
    <row r="446" spans="1:35" ht="96" customHeight="1" outlineLevel="1" x14ac:dyDescent="0.2">
      <c r="A446" s="527"/>
      <c r="B446" s="433"/>
      <c r="C446" s="433"/>
      <c r="D446" s="600"/>
      <c r="E446" s="606" t="s">
        <v>1086</v>
      </c>
      <c r="F446" s="633" t="s">
        <v>816</v>
      </c>
      <c r="G446" s="587" t="s">
        <v>171</v>
      </c>
      <c r="H446" s="2" t="s">
        <v>1087</v>
      </c>
      <c r="I446" s="587" t="s">
        <v>818</v>
      </c>
      <c r="J446" s="12" t="s">
        <v>1088</v>
      </c>
      <c r="K446" s="12" t="s">
        <v>865</v>
      </c>
      <c r="L446" s="321">
        <v>44593</v>
      </c>
      <c r="M446" s="321">
        <v>44925</v>
      </c>
      <c r="N446" s="300">
        <v>44652</v>
      </c>
      <c r="O446" s="301">
        <f t="shared" si="35"/>
        <v>0.17771084337349397</v>
      </c>
      <c r="P446" s="301">
        <f t="shared" si="36"/>
        <v>0.17771084337349397</v>
      </c>
      <c r="Q446" s="302">
        <v>0.5</v>
      </c>
      <c r="R446" s="303">
        <v>0.35</v>
      </c>
      <c r="S446" s="303">
        <v>0.4</v>
      </c>
      <c r="T446" s="303">
        <v>0.45</v>
      </c>
      <c r="U446" s="303">
        <v>0.5</v>
      </c>
      <c r="V446" s="303"/>
      <c r="W446" s="383"/>
      <c r="X446" s="302"/>
      <c r="Y446" s="305"/>
      <c r="Z446" s="306"/>
      <c r="AA446" s="307"/>
      <c r="AB446" s="307"/>
      <c r="AC446" s="306"/>
      <c r="AD446" s="307"/>
      <c r="AE446" s="307"/>
      <c r="AF446" s="306"/>
      <c r="AG446" s="307"/>
      <c r="AH446" s="307"/>
      <c r="AI446" s="308"/>
    </row>
    <row r="447" spans="1:35" ht="96" customHeight="1" outlineLevel="1" x14ac:dyDescent="0.2">
      <c r="A447" s="527"/>
      <c r="B447" s="433"/>
      <c r="C447" s="433"/>
      <c r="D447" s="600"/>
      <c r="E447" s="611"/>
      <c r="F447" s="634"/>
      <c r="G447" s="588"/>
      <c r="H447" s="2" t="s">
        <v>1089</v>
      </c>
      <c r="I447" s="588"/>
      <c r="J447" s="12" t="s">
        <v>1090</v>
      </c>
      <c r="K447" s="415">
        <v>24000000</v>
      </c>
      <c r="L447" s="321">
        <v>44593</v>
      </c>
      <c r="M447" s="321">
        <v>44925</v>
      </c>
      <c r="N447" s="300">
        <v>44652</v>
      </c>
      <c r="O447" s="301">
        <f t="shared" si="35"/>
        <v>0.17771084337349397</v>
      </c>
      <c r="P447" s="301"/>
      <c r="Q447" s="302">
        <v>1</v>
      </c>
      <c r="R447" s="303">
        <v>0.25</v>
      </c>
      <c r="S447" s="303">
        <v>0.5</v>
      </c>
      <c r="T447" s="303">
        <v>0.75</v>
      </c>
      <c r="U447" s="303">
        <v>1</v>
      </c>
      <c r="V447" s="303"/>
      <c r="W447" s="383"/>
      <c r="X447" s="302"/>
      <c r="Y447" s="305"/>
      <c r="Z447" s="306"/>
      <c r="AA447" s="307"/>
      <c r="AB447" s="307"/>
      <c r="AC447" s="306"/>
      <c r="AD447" s="307"/>
      <c r="AE447" s="307"/>
      <c r="AF447" s="306"/>
      <c r="AG447" s="307"/>
      <c r="AH447" s="307"/>
      <c r="AI447" s="308"/>
    </row>
    <row r="448" spans="1:35" ht="96" customHeight="1" outlineLevel="1" x14ac:dyDescent="0.2">
      <c r="A448" s="527"/>
      <c r="B448" s="433"/>
      <c r="C448" s="433"/>
      <c r="D448" s="600"/>
      <c r="E448" s="611"/>
      <c r="F448" s="634"/>
      <c r="G448" s="588"/>
      <c r="H448" s="2" t="s">
        <v>1091</v>
      </c>
      <c r="I448" s="588"/>
      <c r="J448" s="12" t="s">
        <v>1092</v>
      </c>
      <c r="K448" s="415">
        <v>2200000</v>
      </c>
      <c r="L448" s="321">
        <v>44593</v>
      </c>
      <c r="M448" s="321">
        <v>44925</v>
      </c>
      <c r="N448" s="300">
        <v>44652</v>
      </c>
      <c r="O448" s="301">
        <f t="shared" si="35"/>
        <v>0.17771084337349397</v>
      </c>
      <c r="P448" s="301"/>
      <c r="Q448" s="302">
        <v>1</v>
      </c>
      <c r="R448" s="303">
        <v>0.25</v>
      </c>
      <c r="S448" s="303">
        <v>0.5</v>
      </c>
      <c r="T448" s="303">
        <v>0.75</v>
      </c>
      <c r="U448" s="303">
        <v>1</v>
      </c>
      <c r="V448" s="303"/>
      <c r="W448" s="383"/>
      <c r="X448" s="302"/>
      <c r="Y448" s="305"/>
      <c r="Z448" s="306"/>
      <c r="AA448" s="307"/>
      <c r="AB448" s="307"/>
      <c r="AC448" s="306"/>
      <c r="AD448" s="307"/>
      <c r="AE448" s="307"/>
      <c r="AF448" s="306"/>
      <c r="AG448" s="307"/>
      <c r="AH448" s="307"/>
      <c r="AI448" s="308"/>
    </row>
    <row r="449" spans="1:35" ht="96" customHeight="1" outlineLevel="1" x14ac:dyDescent="0.2">
      <c r="A449" s="527"/>
      <c r="B449" s="433"/>
      <c r="C449" s="433"/>
      <c r="D449" s="600"/>
      <c r="E449" s="611"/>
      <c r="F449" s="635"/>
      <c r="G449" s="589"/>
      <c r="H449" s="2" t="s">
        <v>1093</v>
      </c>
      <c r="I449" s="589"/>
      <c r="J449" s="12" t="s">
        <v>1094</v>
      </c>
      <c r="K449" s="415">
        <v>4400000</v>
      </c>
      <c r="L449" s="321">
        <v>44593</v>
      </c>
      <c r="M449" s="321">
        <v>44925</v>
      </c>
      <c r="N449" s="300">
        <v>44652</v>
      </c>
      <c r="O449" s="301">
        <f t="shared" si="35"/>
        <v>0.17771084337349397</v>
      </c>
      <c r="P449" s="301"/>
      <c r="Q449" s="302">
        <v>1</v>
      </c>
      <c r="R449" s="303">
        <v>0.25</v>
      </c>
      <c r="S449" s="303">
        <v>0.5</v>
      </c>
      <c r="T449" s="303">
        <v>0.75</v>
      </c>
      <c r="U449" s="303">
        <v>1</v>
      </c>
      <c r="V449" s="303"/>
      <c r="W449" s="383"/>
      <c r="X449" s="302"/>
      <c r="Y449" s="305"/>
      <c r="Z449" s="306"/>
      <c r="AA449" s="307"/>
      <c r="AB449" s="307"/>
      <c r="AC449" s="306"/>
      <c r="AD449" s="307"/>
      <c r="AE449" s="307"/>
      <c r="AF449" s="306"/>
      <c r="AG449" s="307"/>
      <c r="AH449" s="307"/>
      <c r="AI449" s="308"/>
    </row>
    <row r="450" spans="1:35" ht="96" customHeight="1" outlineLevel="1" x14ac:dyDescent="0.2">
      <c r="A450" s="527"/>
      <c r="B450" s="433"/>
      <c r="C450" s="433"/>
      <c r="D450" s="600"/>
      <c r="E450" s="611"/>
      <c r="F450" s="633" t="s">
        <v>1095</v>
      </c>
      <c r="G450" s="587" t="s">
        <v>171</v>
      </c>
      <c r="H450" s="14" t="s">
        <v>1096</v>
      </c>
      <c r="I450" s="613" t="s">
        <v>1097</v>
      </c>
      <c r="J450" s="12" t="s">
        <v>1098</v>
      </c>
      <c r="K450" s="322" t="s">
        <v>61</v>
      </c>
      <c r="L450" s="321">
        <v>44593</v>
      </c>
      <c r="M450" s="321">
        <v>44925</v>
      </c>
      <c r="N450" s="300">
        <v>44652</v>
      </c>
      <c r="O450" s="301">
        <f t="shared" si="35"/>
        <v>0.17771084337349397</v>
      </c>
      <c r="P450" s="301">
        <f t="shared" si="36"/>
        <v>0.17771084337349397</v>
      </c>
      <c r="Q450" s="302">
        <v>0.5</v>
      </c>
      <c r="R450" s="303">
        <v>0.42</v>
      </c>
      <c r="S450" s="303">
        <v>0.44</v>
      </c>
      <c r="T450" s="303">
        <v>0.48</v>
      </c>
      <c r="U450" s="303">
        <v>0.5</v>
      </c>
      <c r="V450" s="303"/>
      <c r="W450" s="383"/>
      <c r="X450" s="302"/>
      <c r="Y450" s="305"/>
      <c r="Z450" s="306"/>
      <c r="AA450" s="307"/>
      <c r="AB450" s="307"/>
      <c r="AC450" s="306"/>
      <c r="AD450" s="307"/>
      <c r="AE450" s="307"/>
      <c r="AF450" s="306"/>
      <c r="AG450" s="307"/>
      <c r="AH450" s="307"/>
      <c r="AI450" s="308"/>
    </row>
    <row r="451" spans="1:35" ht="96" customHeight="1" outlineLevel="1" x14ac:dyDescent="0.2">
      <c r="A451" s="527"/>
      <c r="B451" s="433"/>
      <c r="C451" s="433"/>
      <c r="D451" s="600"/>
      <c r="E451" s="611"/>
      <c r="F451" s="634"/>
      <c r="G451" s="588"/>
      <c r="H451" s="14" t="s">
        <v>1099</v>
      </c>
      <c r="I451" s="636"/>
      <c r="J451" s="12" t="s">
        <v>1100</v>
      </c>
      <c r="K451" s="415">
        <v>2160000</v>
      </c>
      <c r="L451" s="321">
        <v>44593</v>
      </c>
      <c r="M451" s="321">
        <v>44925</v>
      </c>
      <c r="N451" s="300">
        <v>44652</v>
      </c>
      <c r="O451" s="301">
        <f t="shared" si="35"/>
        <v>0.17771084337349397</v>
      </c>
      <c r="P451" s="301"/>
      <c r="Q451" s="302">
        <v>1</v>
      </c>
      <c r="R451" s="303">
        <v>0.25</v>
      </c>
      <c r="S451" s="303">
        <v>0.5</v>
      </c>
      <c r="T451" s="303">
        <v>0.75</v>
      </c>
      <c r="U451" s="303">
        <v>1</v>
      </c>
      <c r="V451" s="303"/>
      <c r="W451" s="383"/>
      <c r="X451" s="302"/>
      <c r="Y451" s="305"/>
      <c r="Z451" s="306"/>
      <c r="AA451" s="307"/>
      <c r="AB451" s="307"/>
      <c r="AC451" s="306"/>
      <c r="AD451" s="307"/>
      <c r="AE451" s="307"/>
      <c r="AF451" s="306"/>
      <c r="AG451" s="307"/>
      <c r="AH451" s="307"/>
      <c r="AI451" s="308"/>
    </row>
    <row r="452" spans="1:35" ht="96" customHeight="1" outlineLevel="1" x14ac:dyDescent="0.2">
      <c r="A452" s="527"/>
      <c r="B452" s="433"/>
      <c r="C452" s="433"/>
      <c r="D452" s="600"/>
      <c r="E452" s="611"/>
      <c r="F452" s="634"/>
      <c r="G452" s="588"/>
      <c r="H452" s="14" t="s">
        <v>1101</v>
      </c>
      <c r="I452" s="636"/>
      <c r="J452" s="12" t="s">
        <v>1100</v>
      </c>
      <c r="K452" s="415">
        <v>1440000</v>
      </c>
      <c r="L452" s="321">
        <v>44593</v>
      </c>
      <c r="M452" s="321">
        <v>44925</v>
      </c>
      <c r="N452" s="300">
        <v>44652</v>
      </c>
      <c r="O452" s="301">
        <f t="shared" si="35"/>
        <v>0.17771084337349397</v>
      </c>
      <c r="P452" s="301"/>
      <c r="Q452" s="302">
        <v>1</v>
      </c>
      <c r="R452" s="303">
        <v>0.25</v>
      </c>
      <c r="S452" s="303">
        <v>0.5</v>
      </c>
      <c r="T452" s="303">
        <v>0.75</v>
      </c>
      <c r="U452" s="303">
        <v>1</v>
      </c>
      <c r="V452" s="303"/>
      <c r="W452" s="383"/>
      <c r="X452" s="302"/>
      <c r="Y452" s="305"/>
      <c r="Z452" s="306"/>
      <c r="AA452" s="307"/>
      <c r="AB452" s="307"/>
      <c r="AC452" s="306"/>
      <c r="AD452" s="307"/>
      <c r="AE452" s="307"/>
      <c r="AF452" s="306"/>
      <c r="AG452" s="307"/>
      <c r="AH452" s="307"/>
      <c r="AI452" s="308"/>
    </row>
    <row r="453" spans="1:35" ht="96" customHeight="1" outlineLevel="1" x14ac:dyDescent="0.2">
      <c r="A453" s="527"/>
      <c r="B453" s="433"/>
      <c r="C453" s="433"/>
      <c r="D453" s="600"/>
      <c r="E453" s="611"/>
      <c r="F453" s="634"/>
      <c r="G453" s="588"/>
      <c r="H453" s="14" t="s">
        <v>1102</v>
      </c>
      <c r="I453" s="636"/>
      <c r="J453" s="12" t="s">
        <v>1100</v>
      </c>
      <c r="K453" s="415">
        <v>4320000</v>
      </c>
      <c r="L453" s="321">
        <v>44593</v>
      </c>
      <c r="M453" s="321">
        <v>44925</v>
      </c>
      <c r="N453" s="300">
        <v>44652</v>
      </c>
      <c r="O453" s="301">
        <f t="shared" si="35"/>
        <v>0.17771084337349397</v>
      </c>
      <c r="P453" s="301"/>
      <c r="Q453" s="302">
        <v>1</v>
      </c>
      <c r="R453" s="303">
        <v>0.25</v>
      </c>
      <c r="S453" s="303">
        <v>0.5</v>
      </c>
      <c r="T453" s="303">
        <v>0.75</v>
      </c>
      <c r="U453" s="303">
        <v>1</v>
      </c>
      <c r="V453" s="303"/>
      <c r="W453" s="383"/>
      <c r="X453" s="302"/>
      <c r="Y453" s="305"/>
      <c r="Z453" s="306"/>
      <c r="AA453" s="307"/>
      <c r="AB453" s="307"/>
      <c r="AC453" s="306"/>
      <c r="AD453" s="307"/>
      <c r="AE453" s="307"/>
      <c r="AF453" s="306"/>
      <c r="AG453" s="307"/>
      <c r="AH453" s="307"/>
      <c r="AI453" s="308"/>
    </row>
    <row r="454" spans="1:35" ht="96" customHeight="1" outlineLevel="1" x14ac:dyDescent="0.2">
      <c r="A454" s="527"/>
      <c r="B454" s="433"/>
      <c r="C454" s="433"/>
      <c r="D454" s="600"/>
      <c r="E454" s="611"/>
      <c r="F454" s="634"/>
      <c r="G454" s="588"/>
      <c r="H454" s="14" t="s">
        <v>1103</v>
      </c>
      <c r="I454" s="636"/>
      <c r="J454" s="12" t="s">
        <v>1100</v>
      </c>
      <c r="K454" s="415">
        <v>4320000</v>
      </c>
      <c r="L454" s="321">
        <v>44593</v>
      </c>
      <c r="M454" s="321">
        <v>44925</v>
      </c>
      <c r="N454" s="300">
        <v>44652</v>
      </c>
      <c r="O454" s="301">
        <f t="shared" si="35"/>
        <v>0.17771084337349397</v>
      </c>
      <c r="P454" s="301"/>
      <c r="Q454" s="302">
        <v>1</v>
      </c>
      <c r="R454" s="303">
        <v>0.25</v>
      </c>
      <c r="S454" s="303">
        <v>0.5</v>
      </c>
      <c r="T454" s="303">
        <v>0.75</v>
      </c>
      <c r="U454" s="303">
        <v>1</v>
      </c>
      <c r="V454" s="303"/>
      <c r="W454" s="383"/>
      <c r="X454" s="302"/>
      <c r="Y454" s="305"/>
      <c r="Z454" s="306"/>
      <c r="AA454" s="307"/>
      <c r="AB454" s="307"/>
      <c r="AC454" s="306"/>
      <c r="AD454" s="307"/>
      <c r="AE454" s="307"/>
      <c r="AF454" s="306"/>
      <c r="AG454" s="307"/>
      <c r="AH454" s="307"/>
      <c r="AI454" s="308"/>
    </row>
    <row r="455" spans="1:35" ht="96" customHeight="1" outlineLevel="1" x14ac:dyDescent="0.2">
      <c r="A455" s="527"/>
      <c r="B455" s="433"/>
      <c r="C455" s="433"/>
      <c r="D455" s="600"/>
      <c r="E455" s="611"/>
      <c r="F455" s="634"/>
      <c r="G455" s="588"/>
      <c r="H455" s="14" t="s">
        <v>1104</v>
      </c>
      <c r="I455" s="636"/>
      <c r="J455" s="12" t="s">
        <v>1100</v>
      </c>
      <c r="K455" s="415">
        <v>2160000</v>
      </c>
      <c r="L455" s="321">
        <v>44593</v>
      </c>
      <c r="M455" s="321">
        <v>44925</v>
      </c>
      <c r="N455" s="300">
        <v>44652</v>
      </c>
      <c r="O455" s="301">
        <f t="shared" si="35"/>
        <v>0.17771084337349397</v>
      </c>
      <c r="P455" s="301"/>
      <c r="Q455" s="302">
        <v>1</v>
      </c>
      <c r="R455" s="303">
        <v>0.25</v>
      </c>
      <c r="S455" s="303">
        <v>0.5</v>
      </c>
      <c r="T455" s="303">
        <v>0.75</v>
      </c>
      <c r="U455" s="303">
        <v>1</v>
      </c>
      <c r="V455" s="303"/>
      <c r="W455" s="383"/>
      <c r="X455" s="302"/>
      <c r="Y455" s="305"/>
      <c r="Z455" s="306"/>
      <c r="AA455" s="307"/>
      <c r="AB455" s="307"/>
      <c r="AC455" s="306"/>
      <c r="AD455" s="307"/>
      <c r="AE455" s="307"/>
      <c r="AF455" s="306"/>
      <c r="AG455" s="307"/>
      <c r="AH455" s="307"/>
      <c r="AI455" s="308"/>
    </row>
    <row r="456" spans="1:35" ht="96" customHeight="1" outlineLevel="1" x14ac:dyDescent="0.2">
      <c r="A456" s="527"/>
      <c r="B456" s="433"/>
      <c r="C456" s="433"/>
      <c r="D456" s="600"/>
      <c r="E456" s="611"/>
      <c r="F456" s="634"/>
      <c r="G456" s="588"/>
      <c r="H456" s="14" t="s">
        <v>1105</v>
      </c>
      <c r="I456" s="636"/>
      <c r="J456" s="12" t="s">
        <v>1100</v>
      </c>
      <c r="K456" s="415">
        <v>2160000</v>
      </c>
      <c r="L456" s="321">
        <v>44593</v>
      </c>
      <c r="M456" s="321">
        <v>44925</v>
      </c>
      <c r="N456" s="300">
        <v>44652</v>
      </c>
      <c r="O456" s="301">
        <f t="shared" si="35"/>
        <v>0.17771084337349397</v>
      </c>
      <c r="P456" s="301"/>
      <c r="Q456" s="302">
        <v>1</v>
      </c>
      <c r="R456" s="303">
        <v>0.25</v>
      </c>
      <c r="S456" s="303">
        <v>0.5</v>
      </c>
      <c r="T456" s="303">
        <v>0.75</v>
      </c>
      <c r="U456" s="303">
        <v>1</v>
      </c>
      <c r="V456" s="303"/>
      <c r="W456" s="383"/>
      <c r="X456" s="302"/>
      <c r="Y456" s="305"/>
      <c r="Z456" s="306"/>
      <c r="AA456" s="307"/>
      <c r="AB456" s="307"/>
      <c r="AC456" s="306"/>
      <c r="AD456" s="307"/>
      <c r="AE456" s="307"/>
      <c r="AF456" s="306"/>
      <c r="AG456" s="307"/>
      <c r="AH456" s="307"/>
      <c r="AI456" s="308"/>
    </row>
    <row r="457" spans="1:35" ht="96" customHeight="1" outlineLevel="1" x14ac:dyDescent="0.2">
      <c r="A457" s="527"/>
      <c r="B457" s="433"/>
      <c r="C457" s="433"/>
      <c r="D457" s="600"/>
      <c r="E457" s="611"/>
      <c r="F457" s="634"/>
      <c r="G457" s="588"/>
      <c r="H457" s="14" t="s">
        <v>1106</v>
      </c>
      <c r="I457" s="636"/>
      <c r="J457" s="12" t="s">
        <v>1100</v>
      </c>
      <c r="K457" s="415">
        <v>4320000</v>
      </c>
      <c r="L457" s="321">
        <v>44593</v>
      </c>
      <c r="M457" s="321">
        <v>44925</v>
      </c>
      <c r="N457" s="300">
        <v>44652</v>
      </c>
      <c r="O457" s="301">
        <f t="shared" si="35"/>
        <v>0.17771084337349397</v>
      </c>
      <c r="P457" s="301"/>
      <c r="Q457" s="302">
        <v>1</v>
      </c>
      <c r="R457" s="303">
        <v>0.25</v>
      </c>
      <c r="S457" s="303">
        <v>0.5</v>
      </c>
      <c r="T457" s="303">
        <v>0.75</v>
      </c>
      <c r="U457" s="303">
        <v>1</v>
      </c>
      <c r="V457" s="303"/>
      <c r="W457" s="383"/>
      <c r="X457" s="302"/>
      <c r="Y457" s="305"/>
      <c r="Z457" s="306"/>
      <c r="AA457" s="307"/>
      <c r="AB457" s="307"/>
      <c r="AC457" s="306"/>
      <c r="AD457" s="307"/>
      <c r="AE457" s="307"/>
      <c r="AF457" s="306"/>
      <c r="AG457" s="307"/>
      <c r="AH457" s="307"/>
      <c r="AI457" s="308"/>
    </row>
    <row r="458" spans="1:35" ht="96" customHeight="1" outlineLevel="1" x14ac:dyDescent="0.2">
      <c r="A458" s="527"/>
      <c r="B458" s="433"/>
      <c r="C458" s="433"/>
      <c r="D458" s="600"/>
      <c r="E458" s="611"/>
      <c r="F458" s="634"/>
      <c r="G458" s="588"/>
      <c r="H458" s="14" t="s">
        <v>1107</v>
      </c>
      <c r="I458" s="636"/>
      <c r="J458" s="12" t="s">
        <v>1100</v>
      </c>
      <c r="K458" s="415">
        <v>4320000</v>
      </c>
      <c r="L458" s="321">
        <v>44593</v>
      </c>
      <c r="M458" s="321">
        <v>44925</v>
      </c>
      <c r="N458" s="300">
        <v>44652</v>
      </c>
      <c r="O458" s="301">
        <f t="shared" si="35"/>
        <v>0.17771084337349397</v>
      </c>
      <c r="P458" s="301"/>
      <c r="Q458" s="302">
        <v>1</v>
      </c>
      <c r="R458" s="303">
        <v>0.25</v>
      </c>
      <c r="S458" s="303">
        <v>0.5</v>
      </c>
      <c r="T458" s="303">
        <v>0.75</v>
      </c>
      <c r="U458" s="303">
        <v>1</v>
      </c>
      <c r="V458" s="303"/>
      <c r="W458" s="383"/>
      <c r="X458" s="302"/>
      <c r="Y458" s="305"/>
      <c r="Z458" s="306"/>
      <c r="AA458" s="307"/>
      <c r="AB458" s="307"/>
      <c r="AC458" s="306"/>
      <c r="AD458" s="307"/>
      <c r="AE458" s="307"/>
      <c r="AF458" s="306"/>
      <c r="AG458" s="307"/>
      <c r="AH458" s="307"/>
      <c r="AI458" s="308"/>
    </row>
    <row r="459" spans="1:35" ht="96" customHeight="1" outlineLevel="1" x14ac:dyDescent="0.2">
      <c r="A459" s="527"/>
      <c r="B459" s="433"/>
      <c r="C459" s="433"/>
      <c r="D459" s="600"/>
      <c r="E459" s="611"/>
      <c r="F459" s="634"/>
      <c r="G459" s="588"/>
      <c r="H459" s="14" t="s">
        <v>1108</v>
      </c>
      <c r="I459" s="636"/>
      <c r="J459" s="12" t="s">
        <v>1100</v>
      </c>
      <c r="K459" s="415">
        <v>13200000</v>
      </c>
      <c r="L459" s="321">
        <v>44593</v>
      </c>
      <c r="M459" s="321">
        <v>44925</v>
      </c>
      <c r="N459" s="300">
        <v>44652</v>
      </c>
      <c r="O459" s="301">
        <f t="shared" si="35"/>
        <v>0.17771084337349397</v>
      </c>
      <c r="P459" s="301"/>
      <c r="Q459" s="302">
        <v>1</v>
      </c>
      <c r="R459" s="303">
        <v>0.25</v>
      </c>
      <c r="S459" s="303">
        <v>0.5</v>
      </c>
      <c r="T459" s="303">
        <v>0.75</v>
      </c>
      <c r="U459" s="303">
        <v>1</v>
      </c>
      <c r="V459" s="303"/>
      <c r="W459" s="383"/>
      <c r="X459" s="302"/>
      <c r="Y459" s="305"/>
      <c r="Z459" s="306"/>
      <c r="AA459" s="307"/>
      <c r="AB459" s="307"/>
      <c r="AC459" s="306"/>
      <c r="AD459" s="307"/>
      <c r="AE459" s="307"/>
      <c r="AF459" s="306"/>
      <c r="AG459" s="307"/>
      <c r="AH459" s="307"/>
      <c r="AI459" s="308"/>
    </row>
    <row r="460" spans="1:35" ht="96" customHeight="1" outlineLevel="1" x14ac:dyDescent="0.2">
      <c r="A460" s="527"/>
      <c r="B460" s="433"/>
      <c r="C460" s="433"/>
      <c r="D460" s="600"/>
      <c r="E460" s="611"/>
      <c r="F460" s="634"/>
      <c r="G460" s="588"/>
      <c r="H460" s="14" t="s">
        <v>1109</v>
      </c>
      <c r="I460" s="636"/>
      <c r="J460" s="12" t="s">
        <v>1100</v>
      </c>
      <c r="K460" s="415">
        <v>13200000</v>
      </c>
      <c r="L460" s="321">
        <v>44593</v>
      </c>
      <c r="M460" s="321">
        <v>44925</v>
      </c>
      <c r="N460" s="300">
        <v>44652</v>
      </c>
      <c r="O460" s="301">
        <f t="shared" si="35"/>
        <v>0.17771084337349397</v>
      </c>
      <c r="P460" s="301"/>
      <c r="Q460" s="302">
        <v>1</v>
      </c>
      <c r="R460" s="303">
        <v>0.25</v>
      </c>
      <c r="S460" s="303">
        <v>0.5</v>
      </c>
      <c r="T460" s="303">
        <v>0.75</v>
      </c>
      <c r="U460" s="303">
        <v>1</v>
      </c>
      <c r="V460" s="303"/>
      <c r="W460" s="383"/>
      <c r="X460" s="302"/>
      <c r="Y460" s="305"/>
      <c r="Z460" s="306"/>
      <c r="AA460" s="307"/>
      <c r="AB460" s="307"/>
      <c r="AC460" s="306"/>
      <c r="AD460" s="307"/>
      <c r="AE460" s="307"/>
      <c r="AF460" s="306"/>
      <c r="AG460" s="307"/>
      <c r="AH460" s="307"/>
      <c r="AI460" s="308"/>
    </row>
    <row r="461" spans="1:35" ht="96" customHeight="1" outlineLevel="1" x14ac:dyDescent="0.2">
      <c r="A461" s="527"/>
      <c r="B461" s="433"/>
      <c r="C461" s="433"/>
      <c r="D461" s="600"/>
      <c r="E461" s="611"/>
      <c r="F461" s="634"/>
      <c r="G461" s="588"/>
      <c r="H461" s="14" t="s">
        <v>1110</v>
      </c>
      <c r="I461" s="636"/>
      <c r="J461" s="12" t="s">
        <v>1100</v>
      </c>
      <c r="K461" s="415">
        <v>13200000</v>
      </c>
      <c r="L461" s="321">
        <v>44593</v>
      </c>
      <c r="M461" s="321">
        <v>44925</v>
      </c>
      <c r="N461" s="300">
        <v>44652</v>
      </c>
      <c r="O461" s="301">
        <f t="shared" si="35"/>
        <v>0.17771084337349397</v>
      </c>
      <c r="P461" s="301"/>
      <c r="Q461" s="302">
        <v>1</v>
      </c>
      <c r="R461" s="303">
        <v>0.25</v>
      </c>
      <c r="S461" s="303">
        <v>0.5</v>
      </c>
      <c r="T461" s="303">
        <v>0.75</v>
      </c>
      <c r="U461" s="303">
        <v>1</v>
      </c>
      <c r="V461" s="303"/>
      <c r="W461" s="383"/>
      <c r="X461" s="302"/>
      <c r="Y461" s="305"/>
      <c r="Z461" s="306"/>
      <c r="AA461" s="307"/>
      <c r="AB461" s="307"/>
      <c r="AC461" s="306"/>
      <c r="AD461" s="307"/>
      <c r="AE461" s="307"/>
      <c r="AF461" s="306"/>
      <c r="AG461" s="307"/>
      <c r="AH461" s="307"/>
      <c r="AI461" s="308"/>
    </row>
    <row r="462" spans="1:35" ht="96" customHeight="1" outlineLevel="1" x14ac:dyDescent="0.2">
      <c r="A462" s="527"/>
      <c r="B462" s="433"/>
      <c r="C462" s="433"/>
      <c r="D462" s="600"/>
      <c r="E462" s="611"/>
      <c r="F462" s="634"/>
      <c r="G462" s="588"/>
      <c r="H462" s="14" t="s">
        <v>1111</v>
      </c>
      <c r="I462" s="636"/>
      <c r="J462" s="12" t="s">
        <v>1100</v>
      </c>
      <c r="K462" s="415">
        <v>13200000</v>
      </c>
      <c r="L462" s="321">
        <v>44593</v>
      </c>
      <c r="M462" s="321">
        <v>44925</v>
      </c>
      <c r="N462" s="300">
        <v>44652</v>
      </c>
      <c r="O462" s="301">
        <f t="shared" si="35"/>
        <v>0.17771084337349397</v>
      </c>
      <c r="P462" s="301"/>
      <c r="Q462" s="302">
        <v>1</v>
      </c>
      <c r="R462" s="303">
        <v>0.25</v>
      </c>
      <c r="S462" s="303">
        <v>0.5</v>
      </c>
      <c r="T462" s="303">
        <v>0.75</v>
      </c>
      <c r="U462" s="303">
        <v>1</v>
      </c>
      <c r="V462" s="303"/>
      <c r="W462" s="383"/>
      <c r="X462" s="302"/>
      <c r="Y462" s="305"/>
      <c r="Z462" s="306"/>
      <c r="AA462" s="307"/>
      <c r="AB462" s="307"/>
      <c r="AC462" s="306"/>
      <c r="AD462" s="307"/>
      <c r="AE462" s="307"/>
      <c r="AF462" s="306"/>
      <c r="AG462" s="307"/>
      <c r="AH462" s="307"/>
      <c r="AI462" s="308"/>
    </row>
    <row r="463" spans="1:35" ht="96" customHeight="1" outlineLevel="1" x14ac:dyDescent="0.2">
      <c r="A463" s="527"/>
      <c r="B463" s="433"/>
      <c r="C463" s="433"/>
      <c r="D463" s="600"/>
      <c r="E463" s="611"/>
      <c r="F463" s="634"/>
      <c r="G463" s="588"/>
      <c r="H463" s="14" t="s">
        <v>1112</v>
      </c>
      <c r="I463" s="636"/>
      <c r="J463" s="12" t="s">
        <v>1100</v>
      </c>
      <c r="K463" s="415">
        <v>13200000</v>
      </c>
      <c r="L463" s="321">
        <v>44593</v>
      </c>
      <c r="M463" s="321">
        <v>44925</v>
      </c>
      <c r="N463" s="300">
        <v>44652</v>
      </c>
      <c r="O463" s="301">
        <f t="shared" si="35"/>
        <v>0.17771084337349397</v>
      </c>
      <c r="P463" s="301"/>
      <c r="Q463" s="302">
        <v>1</v>
      </c>
      <c r="R463" s="303">
        <v>0.25</v>
      </c>
      <c r="S463" s="303">
        <v>0.5</v>
      </c>
      <c r="T463" s="303">
        <v>0.75</v>
      </c>
      <c r="U463" s="303">
        <v>1</v>
      </c>
      <c r="V463" s="303"/>
      <c r="W463" s="383"/>
      <c r="X463" s="302"/>
      <c r="Y463" s="305"/>
      <c r="Z463" s="306"/>
      <c r="AA463" s="307"/>
      <c r="AB463" s="307"/>
      <c r="AC463" s="306"/>
      <c r="AD463" s="307"/>
      <c r="AE463" s="307"/>
      <c r="AF463" s="306"/>
      <c r="AG463" s="307"/>
      <c r="AH463" s="307"/>
      <c r="AI463" s="308"/>
    </row>
    <row r="464" spans="1:35" ht="96" customHeight="1" outlineLevel="1" x14ac:dyDescent="0.2">
      <c r="A464" s="527"/>
      <c r="B464" s="433"/>
      <c r="C464" s="433"/>
      <c r="D464" s="600"/>
      <c r="E464" s="611"/>
      <c r="F464" s="634"/>
      <c r="G464" s="588"/>
      <c r="H464" s="14" t="s">
        <v>1113</v>
      </c>
      <c r="I464" s="636"/>
      <c r="J464" s="12" t="s">
        <v>1100</v>
      </c>
      <c r="K464" s="415">
        <v>13200000</v>
      </c>
      <c r="L464" s="321">
        <v>44593</v>
      </c>
      <c r="M464" s="321">
        <v>44925</v>
      </c>
      <c r="N464" s="300">
        <v>44652</v>
      </c>
      <c r="O464" s="301">
        <f t="shared" si="35"/>
        <v>0.17771084337349397</v>
      </c>
      <c r="P464" s="301"/>
      <c r="Q464" s="302">
        <v>1</v>
      </c>
      <c r="R464" s="303">
        <v>0.25</v>
      </c>
      <c r="S464" s="303">
        <v>0.5</v>
      </c>
      <c r="T464" s="303">
        <v>0.75</v>
      </c>
      <c r="U464" s="303">
        <v>1</v>
      </c>
      <c r="V464" s="303"/>
      <c r="W464" s="383"/>
      <c r="X464" s="302"/>
      <c r="Y464" s="305"/>
      <c r="Z464" s="306"/>
      <c r="AA464" s="307"/>
      <c r="AB464" s="307"/>
      <c r="AC464" s="306"/>
      <c r="AD464" s="307"/>
      <c r="AE464" s="307"/>
      <c r="AF464" s="306"/>
      <c r="AG464" s="307"/>
      <c r="AH464" s="307"/>
      <c r="AI464" s="308"/>
    </row>
    <row r="465" spans="1:35" ht="96" customHeight="1" outlineLevel="1" x14ac:dyDescent="0.2">
      <c r="A465" s="527"/>
      <c r="B465" s="433"/>
      <c r="C465" s="433"/>
      <c r="D465" s="600"/>
      <c r="E465" s="611"/>
      <c r="F465" s="634"/>
      <c r="G465" s="588"/>
      <c r="H465" s="14" t="s">
        <v>1114</v>
      </c>
      <c r="I465" s="636"/>
      <c r="J465" s="12" t="s">
        <v>1100</v>
      </c>
      <c r="K465" s="415">
        <v>13200000</v>
      </c>
      <c r="L465" s="321">
        <v>44593</v>
      </c>
      <c r="M465" s="321">
        <v>44925</v>
      </c>
      <c r="N465" s="300">
        <v>44652</v>
      </c>
      <c r="O465" s="301">
        <f t="shared" si="35"/>
        <v>0.17771084337349397</v>
      </c>
      <c r="P465" s="301"/>
      <c r="Q465" s="302">
        <v>1</v>
      </c>
      <c r="R465" s="303">
        <v>0.25</v>
      </c>
      <c r="S465" s="303">
        <v>0.5</v>
      </c>
      <c r="T465" s="303">
        <v>0.75</v>
      </c>
      <c r="U465" s="303">
        <v>1</v>
      </c>
      <c r="V465" s="303"/>
      <c r="W465" s="383"/>
      <c r="X465" s="302"/>
      <c r="Y465" s="305"/>
      <c r="Z465" s="306"/>
      <c r="AA465" s="307"/>
      <c r="AB465" s="307"/>
      <c r="AC465" s="306"/>
      <c r="AD465" s="307"/>
      <c r="AE465" s="307"/>
      <c r="AF465" s="306"/>
      <c r="AG465" s="307"/>
      <c r="AH465" s="307"/>
      <c r="AI465" s="308"/>
    </row>
    <row r="466" spans="1:35" ht="96" customHeight="1" outlineLevel="1" x14ac:dyDescent="0.2">
      <c r="A466" s="527"/>
      <c r="B466" s="433"/>
      <c r="C466" s="433"/>
      <c r="D466" s="600"/>
      <c r="E466" s="611"/>
      <c r="F466" s="634"/>
      <c r="G466" s="588"/>
      <c r="H466" s="14" t="s">
        <v>1115</v>
      </c>
      <c r="I466" s="636"/>
      <c r="J466" s="12" t="s">
        <v>1100</v>
      </c>
      <c r="K466" s="415">
        <v>13200000</v>
      </c>
      <c r="L466" s="321">
        <v>44593</v>
      </c>
      <c r="M466" s="321">
        <v>44925</v>
      </c>
      <c r="N466" s="300">
        <v>44652</v>
      </c>
      <c r="O466" s="301">
        <f t="shared" si="35"/>
        <v>0.17771084337349397</v>
      </c>
      <c r="P466" s="301"/>
      <c r="Q466" s="302">
        <v>1</v>
      </c>
      <c r="R466" s="303">
        <v>0.25</v>
      </c>
      <c r="S466" s="303">
        <v>0.5</v>
      </c>
      <c r="T466" s="303">
        <v>0.75</v>
      </c>
      <c r="U466" s="303">
        <v>1</v>
      </c>
      <c r="V466" s="303"/>
      <c r="W466" s="383"/>
      <c r="X466" s="302"/>
      <c r="Y466" s="305"/>
      <c r="Z466" s="306"/>
      <c r="AA466" s="307"/>
      <c r="AB466" s="307"/>
      <c r="AC466" s="306"/>
      <c r="AD466" s="307"/>
      <c r="AE466" s="307"/>
      <c r="AF466" s="306"/>
      <c r="AG466" s="307"/>
      <c r="AH466" s="307"/>
      <c r="AI466" s="308"/>
    </row>
    <row r="467" spans="1:35" ht="96" customHeight="1" outlineLevel="1" x14ac:dyDescent="0.2">
      <c r="A467" s="527"/>
      <c r="B467" s="433"/>
      <c r="C467" s="433"/>
      <c r="D467" s="600"/>
      <c r="E467" s="611"/>
      <c r="F467" s="634"/>
      <c r="G467" s="588"/>
      <c r="H467" s="14" t="s">
        <v>1116</v>
      </c>
      <c r="I467" s="636"/>
      <c r="J467" s="12" t="s">
        <v>1100</v>
      </c>
      <c r="K467" s="415">
        <v>13200000</v>
      </c>
      <c r="L467" s="321">
        <v>44593</v>
      </c>
      <c r="M467" s="321">
        <v>44925</v>
      </c>
      <c r="N467" s="300">
        <v>44652</v>
      </c>
      <c r="O467" s="301">
        <f t="shared" si="35"/>
        <v>0.17771084337349397</v>
      </c>
      <c r="P467" s="301"/>
      <c r="Q467" s="302">
        <v>1</v>
      </c>
      <c r="R467" s="303">
        <v>0.25</v>
      </c>
      <c r="S467" s="303">
        <v>0.5</v>
      </c>
      <c r="T467" s="303">
        <v>0.75</v>
      </c>
      <c r="U467" s="303">
        <v>1</v>
      </c>
      <c r="V467" s="303"/>
      <c r="W467" s="383"/>
      <c r="X467" s="302"/>
      <c r="Y467" s="305"/>
      <c r="Z467" s="306"/>
      <c r="AA467" s="307"/>
      <c r="AB467" s="307"/>
      <c r="AC467" s="306"/>
      <c r="AD467" s="307"/>
      <c r="AE467" s="307"/>
      <c r="AF467" s="306"/>
      <c r="AG467" s="307"/>
      <c r="AH467" s="307"/>
      <c r="AI467" s="308"/>
    </row>
    <row r="468" spans="1:35" ht="96" customHeight="1" outlineLevel="1" x14ac:dyDescent="0.2">
      <c r="A468" s="527"/>
      <c r="B468" s="433"/>
      <c r="C468" s="433"/>
      <c r="D468" s="600"/>
      <c r="E468" s="611"/>
      <c r="F468" s="634"/>
      <c r="G468" s="588"/>
      <c r="H468" s="14" t="s">
        <v>1117</v>
      </c>
      <c r="I468" s="636"/>
      <c r="J468" s="12" t="s">
        <v>1100</v>
      </c>
      <c r="K468" s="415">
        <v>13200000</v>
      </c>
      <c r="L468" s="321">
        <v>44593</v>
      </c>
      <c r="M468" s="321">
        <v>44925</v>
      </c>
      <c r="N468" s="300">
        <v>44652</v>
      </c>
      <c r="O468" s="301">
        <f t="shared" si="35"/>
        <v>0.17771084337349397</v>
      </c>
      <c r="P468" s="301"/>
      <c r="Q468" s="302">
        <v>1</v>
      </c>
      <c r="R468" s="303">
        <v>0.25</v>
      </c>
      <c r="S468" s="303">
        <v>0.5</v>
      </c>
      <c r="T468" s="303">
        <v>0.75</v>
      </c>
      <c r="U468" s="303">
        <v>1</v>
      </c>
      <c r="V468" s="303"/>
      <c r="W468" s="383"/>
      <c r="X468" s="302"/>
      <c r="Y468" s="305"/>
      <c r="Z468" s="306"/>
      <c r="AA468" s="307"/>
      <c r="AB468" s="307"/>
      <c r="AC468" s="306"/>
      <c r="AD468" s="307"/>
      <c r="AE468" s="307"/>
      <c r="AF468" s="306"/>
      <c r="AG468" s="307"/>
      <c r="AH468" s="307"/>
      <c r="AI468" s="308"/>
    </row>
    <row r="469" spans="1:35" ht="96" customHeight="1" outlineLevel="1" x14ac:dyDescent="0.2">
      <c r="A469" s="527"/>
      <c r="B469" s="433"/>
      <c r="C469" s="433"/>
      <c r="D469" s="600"/>
      <c r="E469" s="611"/>
      <c r="F469" s="634"/>
      <c r="G469" s="588"/>
      <c r="H469" s="14" t="s">
        <v>1118</v>
      </c>
      <c r="I469" s="636"/>
      <c r="J469" s="12" t="s">
        <v>1100</v>
      </c>
      <c r="K469" s="415">
        <v>13200000</v>
      </c>
      <c r="L469" s="321">
        <v>44593</v>
      </c>
      <c r="M469" s="321">
        <v>44925</v>
      </c>
      <c r="N469" s="300">
        <v>44652</v>
      </c>
      <c r="O469" s="301">
        <f t="shared" si="35"/>
        <v>0.17771084337349397</v>
      </c>
      <c r="P469" s="301"/>
      <c r="Q469" s="302">
        <v>1</v>
      </c>
      <c r="R469" s="303">
        <v>0.25</v>
      </c>
      <c r="S469" s="303">
        <v>0.5</v>
      </c>
      <c r="T469" s="303">
        <v>0.75</v>
      </c>
      <c r="U469" s="303">
        <v>1</v>
      </c>
      <c r="V469" s="303"/>
      <c r="W469" s="383"/>
      <c r="X469" s="302"/>
      <c r="Y469" s="305"/>
      <c r="Z469" s="306"/>
      <c r="AA469" s="307"/>
      <c r="AB469" s="307"/>
      <c r="AC469" s="306"/>
      <c r="AD469" s="307"/>
      <c r="AE469" s="307"/>
      <c r="AF469" s="306"/>
      <c r="AG469" s="307"/>
      <c r="AH469" s="307"/>
      <c r="AI469" s="308"/>
    </row>
    <row r="470" spans="1:35" ht="96" customHeight="1" outlineLevel="1" x14ac:dyDescent="0.2">
      <c r="A470" s="527"/>
      <c r="B470" s="433"/>
      <c r="C470" s="433"/>
      <c r="D470" s="600"/>
      <c r="E470" s="611"/>
      <c r="F470" s="634"/>
      <c r="G470" s="588"/>
      <c r="H470" s="14" t="s">
        <v>1119</v>
      </c>
      <c r="I470" s="636"/>
      <c r="J470" s="12" t="s">
        <v>1100</v>
      </c>
      <c r="K470" s="415">
        <v>7200000</v>
      </c>
      <c r="L470" s="321">
        <v>44593</v>
      </c>
      <c r="M470" s="321">
        <v>44925</v>
      </c>
      <c r="N470" s="300">
        <v>44652</v>
      </c>
      <c r="O470" s="301">
        <f t="shared" si="35"/>
        <v>0.17771084337349397</v>
      </c>
      <c r="P470" s="301"/>
      <c r="Q470" s="302">
        <v>1</v>
      </c>
      <c r="R470" s="303">
        <v>0.25</v>
      </c>
      <c r="S470" s="303">
        <v>0.5</v>
      </c>
      <c r="T470" s="303">
        <v>0.75</v>
      </c>
      <c r="U470" s="303">
        <v>1</v>
      </c>
      <c r="V470" s="303"/>
      <c r="W470" s="383"/>
      <c r="X470" s="302"/>
      <c r="Y470" s="305"/>
      <c r="Z470" s="306"/>
      <c r="AA470" s="307"/>
      <c r="AB470" s="307"/>
      <c r="AC470" s="306"/>
      <c r="AD470" s="307"/>
      <c r="AE470" s="307"/>
      <c r="AF470" s="306"/>
      <c r="AG470" s="307"/>
      <c r="AH470" s="307"/>
      <c r="AI470" s="308"/>
    </row>
    <row r="471" spans="1:35" ht="96" customHeight="1" outlineLevel="1" x14ac:dyDescent="0.2">
      <c r="A471" s="527"/>
      <c r="B471" s="433"/>
      <c r="C471" s="433"/>
      <c r="D471" s="600"/>
      <c r="E471" s="611"/>
      <c r="F471" s="634"/>
      <c r="G471" s="588"/>
      <c r="H471" s="14" t="s">
        <v>1120</v>
      </c>
      <c r="I471" s="636"/>
      <c r="J471" s="12" t="s">
        <v>1100</v>
      </c>
      <c r="K471" s="415">
        <v>6000000</v>
      </c>
      <c r="L471" s="321">
        <v>44593</v>
      </c>
      <c r="M471" s="321">
        <v>44925</v>
      </c>
      <c r="N471" s="300">
        <v>44652</v>
      </c>
      <c r="O471" s="301">
        <f t="shared" si="35"/>
        <v>0.17771084337349397</v>
      </c>
      <c r="P471" s="301"/>
      <c r="Q471" s="302">
        <v>1</v>
      </c>
      <c r="R471" s="303">
        <v>0.25</v>
      </c>
      <c r="S471" s="303">
        <v>0.5</v>
      </c>
      <c r="T471" s="303">
        <v>0.75</v>
      </c>
      <c r="U471" s="303">
        <v>1</v>
      </c>
      <c r="V471" s="303"/>
      <c r="W471" s="383"/>
      <c r="X471" s="302"/>
      <c r="Y471" s="305"/>
      <c r="Z471" s="306"/>
      <c r="AA471" s="307"/>
      <c r="AB471" s="307"/>
      <c r="AC471" s="306"/>
      <c r="AD471" s="307"/>
      <c r="AE471" s="307"/>
      <c r="AF471" s="306"/>
      <c r="AG471" s="307"/>
      <c r="AH471" s="307"/>
      <c r="AI471" s="308"/>
    </row>
    <row r="472" spans="1:35" ht="96" customHeight="1" outlineLevel="1" x14ac:dyDescent="0.2">
      <c r="A472" s="527"/>
      <c r="B472" s="433"/>
      <c r="C472" s="433"/>
      <c r="D472" s="600"/>
      <c r="E472" s="611"/>
      <c r="F472" s="634"/>
      <c r="G472" s="588"/>
      <c r="H472" s="14" t="s">
        <v>1121</v>
      </c>
      <c r="I472" s="636"/>
      <c r="J472" s="12" t="s">
        <v>1100</v>
      </c>
      <c r="K472" s="415">
        <v>1000000</v>
      </c>
      <c r="L472" s="321">
        <v>44593</v>
      </c>
      <c r="M472" s="321">
        <v>44925</v>
      </c>
      <c r="N472" s="300">
        <v>44652</v>
      </c>
      <c r="O472" s="301">
        <f t="shared" si="35"/>
        <v>0.17771084337349397</v>
      </c>
      <c r="P472" s="301"/>
      <c r="Q472" s="302">
        <v>1</v>
      </c>
      <c r="R472" s="303">
        <v>0.25</v>
      </c>
      <c r="S472" s="303">
        <v>0.5</v>
      </c>
      <c r="T472" s="303">
        <v>0.75</v>
      </c>
      <c r="U472" s="303">
        <v>1</v>
      </c>
      <c r="V472" s="303"/>
      <c r="W472" s="383"/>
      <c r="X472" s="302"/>
      <c r="Y472" s="305"/>
      <c r="Z472" s="306"/>
      <c r="AA472" s="307"/>
      <c r="AB472" s="307"/>
      <c r="AC472" s="306"/>
      <c r="AD472" s="307"/>
      <c r="AE472" s="307"/>
      <c r="AF472" s="306"/>
      <c r="AG472" s="307"/>
      <c r="AH472" s="307"/>
      <c r="AI472" s="308"/>
    </row>
    <row r="473" spans="1:35" ht="96" customHeight="1" outlineLevel="1" x14ac:dyDescent="0.2">
      <c r="A473" s="527"/>
      <c r="B473" s="433"/>
      <c r="C473" s="433"/>
      <c r="D473" s="600"/>
      <c r="E473" s="611"/>
      <c r="F473" s="634"/>
      <c r="G473" s="588"/>
      <c r="H473" s="14" t="s">
        <v>1122</v>
      </c>
      <c r="I473" s="636"/>
      <c r="J473" s="12" t="s">
        <v>1100</v>
      </c>
      <c r="K473" s="415">
        <v>1500000</v>
      </c>
      <c r="L473" s="321">
        <v>44593</v>
      </c>
      <c r="M473" s="321">
        <v>44925</v>
      </c>
      <c r="N473" s="300">
        <v>44652</v>
      </c>
      <c r="O473" s="301">
        <f t="shared" si="35"/>
        <v>0.17771084337349397</v>
      </c>
      <c r="P473" s="301"/>
      <c r="Q473" s="302">
        <v>1</v>
      </c>
      <c r="R473" s="303">
        <v>0.25</v>
      </c>
      <c r="S473" s="303">
        <v>0.5</v>
      </c>
      <c r="T473" s="303">
        <v>0.75</v>
      </c>
      <c r="U473" s="303">
        <v>1</v>
      </c>
      <c r="V473" s="303"/>
      <c r="W473" s="383"/>
      <c r="X473" s="302"/>
      <c r="Y473" s="305"/>
      <c r="Z473" s="306"/>
      <c r="AA473" s="307"/>
      <c r="AB473" s="307"/>
      <c r="AC473" s="306"/>
      <c r="AD473" s="307"/>
      <c r="AE473" s="307"/>
      <c r="AF473" s="306"/>
      <c r="AG473" s="307"/>
      <c r="AH473" s="307"/>
      <c r="AI473" s="308"/>
    </row>
    <row r="474" spans="1:35" ht="96" customHeight="1" outlineLevel="1" x14ac:dyDescent="0.2">
      <c r="A474" s="527"/>
      <c r="B474" s="433"/>
      <c r="C474" s="433"/>
      <c r="D474" s="600"/>
      <c r="E474" s="611"/>
      <c r="F474" s="634"/>
      <c r="G474" s="588"/>
      <c r="H474" s="14" t="s">
        <v>1123</v>
      </c>
      <c r="I474" s="636"/>
      <c r="J474" s="12" t="s">
        <v>1100</v>
      </c>
      <c r="K474" s="415">
        <v>2000000</v>
      </c>
      <c r="L474" s="321">
        <v>44593</v>
      </c>
      <c r="M474" s="321">
        <v>44925</v>
      </c>
      <c r="N474" s="300">
        <v>44652</v>
      </c>
      <c r="O474" s="301">
        <f t="shared" si="35"/>
        <v>0.17771084337349397</v>
      </c>
      <c r="P474" s="301"/>
      <c r="Q474" s="302">
        <v>1</v>
      </c>
      <c r="R474" s="303">
        <v>0.25</v>
      </c>
      <c r="S474" s="303">
        <v>0.5</v>
      </c>
      <c r="T474" s="303">
        <v>0.75</v>
      </c>
      <c r="U474" s="303">
        <v>1</v>
      </c>
      <c r="V474" s="303"/>
      <c r="W474" s="383"/>
      <c r="X474" s="302"/>
      <c r="Y474" s="305"/>
      <c r="Z474" s="306"/>
      <c r="AA474" s="307"/>
      <c r="AB474" s="307"/>
      <c r="AC474" s="306"/>
      <c r="AD474" s="307"/>
      <c r="AE474" s="307"/>
      <c r="AF474" s="306"/>
      <c r="AG474" s="307"/>
      <c r="AH474" s="307"/>
      <c r="AI474" s="308"/>
    </row>
    <row r="475" spans="1:35" ht="96" customHeight="1" outlineLevel="1" x14ac:dyDescent="0.2">
      <c r="A475" s="527"/>
      <c r="B475" s="433"/>
      <c r="C475" s="433"/>
      <c r="D475" s="600"/>
      <c r="E475" s="611"/>
      <c r="F475" s="634"/>
      <c r="G475" s="588"/>
      <c r="H475" s="14" t="s">
        <v>1124</v>
      </c>
      <c r="I475" s="636"/>
      <c r="J475" s="12" t="s">
        <v>1100</v>
      </c>
      <c r="K475" s="415">
        <v>2500000</v>
      </c>
      <c r="L475" s="321">
        <v>44593</v>
      </c>
      <c r="M475" s="321">
        <v>44925</v>
      </c>
      <c r="N475" s="300">
        <v>44652</v>
      </c>
      <c r="O475" s="301">
        <f t="shared" si="35"/>
        <v>0.17771084337349397</v>
      </c>
      <c r="P475" s="301"/>
      <c r="Q475" s="302">
        <v>1</v>
      </c>
      <c r="R475" s="303">
        <v>0.25</v>
      </c>
      <c r="S475" s="303">
        <v>0.5</v>
      </c>
      <c r="T475" s="303">
        <v>0.75</v>
      </c>
      <c r="U475" s="303">
        <v>1</v>
      </c>
      <c r="V475" s="303"/>
      <c r="W475" s="383"/>
      <c r="X475" s="302"/>
      <c r="Y475" s="305"/>
      <c r="Z475" s="306"/>
      <c r="AA475" s="307"/>
      <c r="AB475" s="307"/>
      <c r="AC475" s="306"/>
      <c r="AD475" s="307"/>
      <c r="AE475" s="307"/>
      <c r="AF475" s="306"/>
      <c r="AG475" s="307"/>
      <c r="AH475" s="307"/>
      <c r="AI475" s="308"/>
    </row>
    <row r="476" spans="1:35" ht="96" customHeight="1" outlineLevel="1" x14ac:dyDescent="0.2">
      <c r="A476" s="527"/>
      <c r="B476" s="433"/>
      <c r="C476" s="433"/>
      <c r="D476" s="600"/>
      <c r="E476" s="611"/>
      <c r="F476" s="634"/>
      <c r="G476" s="588"/>
      <c r="H476" s="14" t="s">
        <v>1125</v>
      </c>
      <c r="I476" s="636"/>
      <c r="J476" s="12" t="s">
        <v>1100</v>
      </c>
      <c r="K476" s="415">
        <v>3000000</v>
      </c>
      <c r="L476" s="321">
        <v>44593</v>
      </c>
      <c r="M476" s="321">
        <v>44925</v>
      </c>
      <c r="N476" s="300">
        <v>44652</v>
      </c>
      <c r="O476" s="301">
        <f t="shared" si="35"/>
        <v>0.17771084337349397</v>
      </c>
      <c r="P476" s="301"/>
      <c r="Q476" s="302">
        <v>1</v>
      </c>
      <c r="R476" s="303">
        <v>0.25</v>
      </c>
      <c r="S476" s="303">
        <v>0.5</v>
      </c>
      <c r="T476" s="303">
        <v>0.75</v>
      </c>
      <c r="U476" s="303">
        <v>1</v>
      </c>
      <c r="V476" s="303"/>
      <c r="W476" s="383"/>
      <c r="X476" s="302"/>
      <c r="Y476" s="305"/>
      <c r="Z476" s="306"/>
      <c r="AA476" s="307"/>
      <c r="AB476" s="307"/>
      <c r="AC476" s="306"/>
      <c r="AD476" s="307"/>
      <c r="AE476" s="307"/>
      <c r="AF476" s="306"/>
      <c r="AG476" s="307"/>
      <c r="AH476" s="307"/>
      <c r="AI476" s="308"/>
    </row>
    <row r="477" spans="1:35" ht="96" customHeight="1" outlineLevel="1" x14ac:dyDescent="0.2">
      <c r="A477" s="527"/>
      <c r="B477" s="433"/>
      <c r="C477" s="433"/>
      <c r="D477" s="600"/>
      <c r="E477" s="611"/>
      <c r="F477" s="634"/>
      <c r="G477" s="588"/>
      <c r="H477" s="14" t="s">
        <v>1126</v>
      </c>
      <c r="I477" s="636"/>
      <c r="J477" s="12" t="s">
        <v>1100</v>
      </c>
      <c r="K477" s="415">
        <v>1200000</v>
      </c>
      <c r="L477" s="321">
        <v>44593</v>
      </c>
      <c r="M477" s="321">
        <v>44925</v>
      </c>
      <c r="N477" s="300">
        <v>44652</v>
      </c>
      <c r="O477" s="301">
        <f t="shared" si="35"/>
        <v>0.17771084337349397</v>
      </c>
      <c r="P477" s="301"/>
      <c r="Q477" s="302">
        <v>1</v>
      </c>
      <c r="R477" s="303">
        <v>0.25</v>
      </c>
      <c r="S477" s="303">
        <v>0.5</v>
      </c>
      <c r="T477" s="303">
        <v>0.75</v>
      </c>
      <c r="U477" s="303">
        <v>1</v>
      </c>
      <c r="V477" s="303"/>
      <c r="W477" s="383"/>
      <c r="X477" s="302"/>
      <c r="Y477" s="305"/>
      <c r="Z477" s="306"/>
      <c r="AA477" s="307"/>
      <c r="AB477" s="307"/>
      <c r="AC477" s="306"/>
      <c r="AD477" s="307"/>
      <c r="AE477" s="307"/>
      <c r="AF477" s="306"/>
      <c r="AG477" s="307"/>
      <c r="AH477" s="307"/>
      <c r="AI477" s="308"/>
    </row>
    <row r="478" spans="1:35" ht="96" customHeight="1" outlineLevel="1" x14ac:dyDescent="0.2">
      <c r="A478" s="527"/>
      <c r="B478" s="433"/>
      <c r="C478" s="433"/>
      <c r="D478" s="600"/>
      <c r="E478" s="611"/>
      <c r="F478" s="634"/>
      <c r="G478" s="588"/>
      <c r="H478" s="14" t="s">
        <v>1127</v>
      </c>
      <c r="I478" s="636"/>
      <c r="J478" s="12" t="s">
        <v>1100</v>
      </c>
      <c r="K478" s="415">
        <v>1800000</v>
      </c>
      <c r="L478" s="321">
        <v>44593</v>
      </c>
      <c r="M478" s="321">
        <v>44925</v>
      </c>
      <c r="N478" s="300">
        <v>44652</v>
      </c>
      <c r="O478" s="301">
        <f t="shared" si="35"/>
        <v>0.17771084337349397</v>
      </c>
      <c r="P478" s="301"/>
      <c r="Q478" s="302">
        <v>1</v>
      </c>
      <c r="R478" s="303">
        <v>0.25</v>
      </c>
      <c r="S478" s="303">
        <v>0.5</v>
      </c>
      <c r="T478" s="303">
        <v>0.75</v>
      </c>
      <c r="U478" s="303">
        <v>1</v>
      </c>
      <c r="V478" s="303"/>
      <c r="W478" s="383"/>
      <c r="X478" s="302"/>
      <c r="Y478" s="305"/>
      <c r="Z478" s="306"/>
      <c r="AA478" s="307"/>
      <c r="AB478" s="307"/>
      <c r="AC478" s="306"/>
      <c r="AD478" s="307"/>
      <c r="AE478" s="307"/>
      <c r="AF478" s="306"/>
      <c r="AG478" s="307"/>
      <c r="AH478" s="307"/>
      <c r="AI478" s="308"/>
    </row>
    <row r="479" spans="1:35" ht="96" customHeight="1" outlineLevel="1" x14ac:dyDescent="0.2">
      <c r="A479" s="527"/>
      <c r="B479" s="433"/>
      <c r="C479" s="433"/>
      <c r="D479" s="600"/>
      <c r="E479" s="611"/>
      <c r="F479" s="634"/>
      <c r="G479" s="588"/>
      <c r="H479" s="14" t="s">
        <v>1128</v>
      </c>
      <c r="I479" s="636"/>
      <c r="J479" s="12" t="s">
        <v>1100</v>
      </c>
      <c r="K479" s="415">
        <v>2400000</v>
      </c>
      <c r="L479" s="321">
        <v>44593</v>
      </c>
      <c r="M479" s="321">
        <v>44925</v>
      </c>
      <c r="N479" s="300">
        <v>44652</v>
      </c>
      <c r="O479" s="301">
        <f t="shared" si="35"/>
        <v>0.17771084337349397</v>
      </c>
      <c r="P479" s="301"/>
      <c r="Q479" s="302">
        <v>1</v>
      </c>
      <c r="R479" s="303">
        <v>0.25</v>
      </c>
      <c r="S479" s="303">
        <v>0.5</v>
      </c>
      <c r="T479" s="303">
        <v>0.75</v>
      </c>
      <c r="U479" s="303">
        <v>1</v>
      </c>
      <c r="V479" s="303"/>
      <c r="W479" s="383"/>
      <c r="X479" s="302"/>
      <c r="Y479" s="305"/>
      <c r="Z479" s="306"/>
      <c r="AA479" s="307"/>
      <c r="AB479" s="307"/>
      <c r="AC479" s="306"/>
      <c r="AD479" s="307"/>
      <c r="AE479" s="307"/>
      <c r="AF479" s="306"/>
      <c r="AG479" s="307"/>
      <c r="AH479" s="307"/>
      <c r="AI479" s="308"/>
    </row>
    <row r="480" spans="1:35" ht="96" customHeight="1" outlineLevel="1" x14ac:dyDescent="0.2">
      <c r="A480" s="527"/>
      <c r="B480" s="433"/>
      <c r="C480" s="433"/>
      <c r="D480" s="600"/>
      <c r="E480" s="611"/>
      <c r="F480" s="634"/>
      <c r="G480" s="588"/>
      <c r="H480" s="14" t="s">
        <v>1129</v>
      </c>
      <c r="I480" s="636"/>
      <c r="J480" s="12" t="s">
        <v>1100</v>
      </c>
      <c r="K480" s="415">
        <v>2500000</v>
      </c>
      <c r="L480" s="321">
        <v>44593</v>
      </c>
      <c r="M480" s="321">
        <v>44925</v>
      </c>
      <c r="N480" s="300">
        <v>44652</v>
      </c>
      <c r="O480" s="301">
        <f t="shared" si="35"/>
        <v>0.17771084337349397</v>
      </c>
      <c r="P480" s="301"/>
      <c r="Q480" s="302">
        <v>1</v>
      </c>
      <c r="R480" s="303">
        <v>0.25</v>
      </c>
      <c r="S480" s="303">
        <v>0.5</v>
      </c>
      <c r="T480" s="303">
        <v>0.75</v>
      </c>
      <c r="U480" s="303">
        <v>1</v>
      </c>
      <c r="V480" s="303"/>
      <c r="W480" s="383"/>
      <c r="X480" s="302"/>
      <c r="Y480" s="305"/>
      <c r="Z480" s="306"/>
      <c r="AA480" s="307"/>
      <c r="AB480" s="307"/>
      <c r="AC480" s="306"/>
      <c r="AD480" s="307"/>
      <c r="AE480" s="307"/>
      <c r="AF480" s="306"/>
      <c r="AG480" s="307"/>
      <c r="AH480" s="307"/>
      <c r="AI480" s="308"/>
    </row>
    <row r="481" spans="1:35" ht="96" customHeight="1" outlineLevel="1" x14ac:dyDescent="0.2">
      <c r="A481" s="527"/>
      <c r="B481" s="433"/>
      <c r="C481" s="433"/>
      <c r="D481" s="600"/>
      <c r="E481" s="611"/>
      <c r="F481" s="634"/>
      <c r="G481" s="588"/>
      <c r="H481" s="14" t="s">
        <v>1130</v>
      </c>
      <c r="I481" s="636"/>
      <c r="J481" s="12" t="s">
        <v>1100</v>
      </c>
      <c r="K481" s="415">
        <v>3600000</v>
      </c>
      <c r="L481" s="321">
        <v>44593</v>
      </c>
      <c r="M481" s="321">
        <v>44925</v>
      </c>
      <c r="N481" s="300">
        <v>44652</v>
      </c>
      <c r="O481" s="301">
        <f t="shared" si="35"/>
        <v>0.17771084337349397</v>
      </c>
      <c r="P481" s="301"/>
      <c r="Q481" s="302">
        <v>1</v>
      </c>
      <c r="R481" s="303">
        <v>0.25</v>
      </c>
      <c r="S481" s="303">
        <v>0.5</v>
      </c>
      <c r="T481" s="303">
        <v>0.75</v>
      </c>
      <c r="U481" s="303">
        <v>1</v>
      </c>
      <c r="V481" s="303"/>
      <c r="W481" s="383"/>
      <c r="X481" s="302"/>
      <c r="Y481" s="305"/>
      <c r="Z481" s="306"/>
      <c r="AA481" s="307"/>
      <c r="AB481" s="307"/>
      <c r="AC481" s="306"/>
      <c r="AD481" s="307"/>
      <c r="AE481" s="307"/>
      <c r="AF481" s="306"/>
      <c r="AG481" s="307"/>
      <c r="AH481" s="307"/>
      <c r="AI481" s="308"/>
    </row>
    <row r="482" spans="1:35" ht="96" customHeight="1" outlineLevel="1" x14ac:dyDescent="0.2">
      <c r="A482" s="527"/>
      <c r="B482" s="433"/>
      <c r="C482" s="433"/>
      <c r="D482" s="600"/>
      <c r="E482" s="611"/>
      <c r="F482" s="634"/>
      <c r="G482" s="588"/>
      <c r="H482" s="14" t="s">
        <v>1131</v>
      </c>
      <c r="I482" s="636"/>
      <c r="J482" s="12" t="s">
        <v>1100</v>
      </c>
      <c r="K482" s="415">
        <v>76550000</v>
      </c>
      <c r="L482" s="321">
        <v>44593</v>
      </c>
      <c r="M482" s="321">
        <v>44925</v>
      </c>
      <c r="N482" s="300">
        <v>44652</v>
      </c>
      <c r="O482" s="301">
        <f t="shared" si="35"/>
        <v>0.17771084337349397</v>
      </c>
      <c r="P482" s="301"/>
      <c r="Q482" s="302">
        <v>1</v>
      </c>
      <c r="R482" s="303">
        <v>0.25</v>
      </c>
      <c r="S482" s="303">
        <v>0.5</v>
      </c>
      <c r="T482" s="303">
        <v>0.75</v>
      </c>
      <c r="U482" s="303">
        <v>1</v>
      </c>
      <c r="V482" s="303"/>
      <c r="W482" s="383"/>
      <c r="X482" s="302"/>
      <c r="Y482" s="305"/>
      <c r="Z482" s="306"/>
      <c r="AA482" s="307"/>
      <c r="AB482" s="307"/>
      <c r="AC482" s="306"/>
      <c r="AD482" s="307"/>
      <c r="AE482" s="307"/>
      <c r="AF482" s="306"/>
      <c r="AG482" s="307"/>
      <c r="AH482" s="307"/>
      <c r="AI482" s="308"/>
    </row>
    <row r="483" spans="1:35" ht="96" customHeight="1" outlineLevel="1" x14ac:dyDescent="0.2">
      <c r="A483" s="527"/>
      <c r="B483" s="433"/>
      <c r="C483" s="433"/>
      <c r="D483" s="600"/>
      <c r="E483" s="611"/>
      <c r="F483" s="635"/>
      <c r="G483" s="589"/>
      <c r="H483" s="14" t="s">
        <v>1132</v>
      </c>
      <c r="I483" s="636"/>
      <c r="J483" s="12" t="s">
        <v>1100</v>
      </c>
      <c r="K483" s="415">
        <v>100000000</v>
      </c>
      <c r="L483" s="321">
        <v>44593</v>
      </c>
      <c r="M483" s="321">
        <v>44925</v>
      </c>
      <c r="N483" s="300">
        <v>44652</v>
      </c>
      <c r="O483" s="301">
        <f t="shared" si="35"/>
        <v>0.17771084337349397</v>
      </c>
      <c r="P483" s="301"/>
      <c r="Q483" s="302">
        <v>1</v>
      </c>
      <c r="R483" s="303">
        <v>0.25</v>
      </c>
      <c r="S483" s="303">
        <v>0.5</v>
      </c>
      <c r="T483" s="303">
        <v>0.75</v>
      </c>
      <c r="U483" s="303">
        <v>1</v>
      </c>
      <c r="V483" s="303"/>
      <c r="W483" s="383"/>
      <c r="X483" s="302"/>
      <c r="Y483" s="305"/>
      <c r="Z483" s="306"/>
      <c r="AA483" s="307"/>
      <c r="AB483" s="307"/>
      <c r="AC483" s="306"/>
      <c r="AD483" s="307"/>
      <c r="AE483" s="307"/>
      <c r="AF483" s="306"/>
      <c r="AG483" s="307"/>
      <c r="AH483" s="307"/>
      <c r="AI483" s="308"/>
    </row>
    <row r="484" spans="1:35" ht="96" customHeight="1" outlineLevel="1" x14ac:dyDescent="0.2">
      <c r="A484" s="527"/>
      <c r="B484" s="433"/>
      <c r="C484" s="433"/>
      <c r="D484" s="600"/>
      <c r="E484" s="611"/>
      <c r="F484" s="13" t="s">
        <v>1133</v>
      </c>
      <c r="G484" s="2" t="s">
        <v>171</v>
      </c>
      <c r="H484" s="14" t="s">
        <v>1134</v>
      </c>
      <c r="I484" s="614"/>
      <c r="J484" s="12" t="s">
        <v>1135</v>
      </c>
      <c r="K484" s="415">
        <v>41800000</v>
      </c>
      <c r="L484" s="321">
        <v>44593</v>
      </c>
      <c r="M484" s="321">
        <v>44925</v>
      </c>
      <c r="N484" s="300">
        <v>44652</v>
      </c>
      <c r="O484" s="301">
        <f t="shared" si="35"/>
        <v>0.17771084337349397</v>
      </c>
      <c r="P484" s="301">
        <f t="shared" si="36"/>
        <v>0.17771084337349397</v>
      </c>
      <c r="Q484" s="302">
        <v>0.05</v>
      </c>
      <c r="R484" s="303">
        <v>0.03</v>
      </c>
      <c r="S484" s="303">
        <v>0.03</v>
      </c>
      <c r="T484" s="303">
        <v>0.04</v>
      </c>
      <c r="U484" s="303">
        <v>0.05</v>
      </c>
      <c r="V484" s="303"/>
      <c r="W484" s="383"/>
      <c r="X484" s="302"/>
      <c r="Y484" s="305"/>
      <c r="Z484" s="306"/>
      <c r="AA484" s="307"/>
      <c r="AB484" s="307"/>
      <c r="AC484" s="306"/>
      <c r="AD484" s="307"/>
      <c r="AE484" s="307"/>
      <c r="AF484" s="306"/>
      <c r="AG484" s="307"/>
      <c r="AH484" s="307"/>
      <c r="AI484" s="308"/>
    </row>
    <row r="485" spans="1:35" ht="96" customHeight="1" outlineLevel="1" x14ac:dyDescent="0.2">
      <c r="A485" s="527"/>
      <c r="B485" s="433"/>
      <c r="C485" s="433"/>
      <c r="D485" s="600"/>
      <c r="E485" s="611"/>
      <c r="F485" s="633" t="s">
        <v>1136</v>
      </c>
      <c r="G485" s="587" t="s">
        <v>171</v>
      </c>
      <c r="H485" s="14" t="s">
        <v>1137</v>
      </c>
      <c r="I485" s="613" t="s">
        <v>1138</v>
      </c>
      <c r="J485" s="12" t="s">
        <v>709</v>
      </c>
      <c r="K485" s="12" t="s">
        <v>865</v>
      </c>
      <c r="L485" s="321">
        <v>44593</v>
      </c>
      <c r="M485" s="321">
        <v>44925</v>
      </c>
      <c r="N485" s="300">
        <v>44652</v>
      </c>
      <c r="O485" s="301">
        <f t="shared" si="35"/>
        <v>0.17771084337349397</v>
      </c>
      <c r="P485" s="301">
        <f t="shared" si="36"/>
        <v>0.17771084337349397</v>
      </c>
      <c r="Q485" s="302">
        <v>1</v>
      </c>
      <c r="R485" s="303">
        <v>0.25</v>
      </c>
      <c r="S485" s="303">
        <v>0.5</v>
      </c>
      <c r="T485" s="303">
        <v>0.75</v>
      </c>
      <c r="U485" s="303">
        <v>1</v>
      </c>
      <c r="V485" s="303"/>
      <c r="W485" s="383"/>
      <c r="X485" s="302"/>
      <c r="Y485" s="305"/>
      <c r="Z485" s="306"/>
      <c r="AA485" s="307"/>
      <c r="AB485" s="307"/>
      <c r="AC485" s="306"/>
      <c r="AD485" s="307"/>
      <c r="AE485" s="307"/>
      <c r="AF485" s="306"/>
      <c r="AG485" s="307"/>
      <c r="AH485" s="307"/>
      <c r="AI485" s="308"/>
    </row>
    <row r="486" spans="1:35" ht="96" customHeight="1" outlineLevel="1" x14ac:dyDescent="0.2">
      <c r="A486" s="527"/>
      <c r="B486" s="433"/>
      <c r="C486" s="433"/>
      <c r="D486" s="600"/>
      <c r="E486" s="611"/>
      <c r="F486" s="634"/>
      <c r="G486" s="588"/>
      <c r="H486" s="14" t="s">
        <v>1139</v>
      </c>
      <c r="I486" s="636"/>
      <c r="J486" s="12" t="s">
        <v>1140</v>
      </c>
      <c r="K486" s="415">
        <v>51700000</v>
      </c>
      <c r="L486" s="321">
        <v>44593</v>
      </c>
      <c r="M486" s="321">
        <v>44925</v>
      </c>
      <c r="N486" s="300">
        <v>44652</v>
      </c>
      <c r="O486" s="301">
        <f t="shared" si="35"/>
        <v>0.17771084337349397</v>
      </c>
      <c r="P486" s="301"/>
      <c r="Q486" s="302">
        <v>1</v>
      </c>
      <c r="R486" s="303">
        <v>0.25</v>
      </c>
      <c r="S486" s="303">
        <v>0.5</v>
      </c>
      <c r="T486" s="303">
        <v>0.75</v>
      </c>
      <c r="U486" s="303">
        <v>1</v>
      </c>
      <c r="V486" s="303"/>
      <c r="W486" s="383"/>
      <c r="X486" s="302"/>
      <c r="Y486" s="305"/>
      <c r="Z486" s="306"/>
      <c r="AA486" s="307"/>
      <c r="AB486" s="307"/>
      <c r="AC486" s="306"/>
      <c r="AD486" s="307"/>
      <c r="AE486" s="307"/>
      <c r="AF486" s="306"/>
      <c r="AG486" s="307"/>
      <c r="AH486" s="307"/>
      <c r="AI486" s="308"/>
    </row>
    <row r="487" spans="1:35" ht="96" customHeight="1" outlineLevel="1" x14ac:dyDescent="0.2">
      <c r="A487" s="527"/>
      <c r="B487" s="434"/>
      <c r="C487" s="434"/>
      <c r="D487" s="601"/>
      <c r="E487" s="607"/>
      <c r="F487" s="635"/>
      <c r="G487" s="589"/>
      <c r="H487" s="14" t="s">
        <v>1141</v>
      </c>
      <c r="I487" s="614"/>
      <c r="J487" s="12" t="s">
        <v>1142</v>
      </c>
      <c r="K487" s="415">
        <v>27500000</v>
      </c>
      <c r="L487" s="321">
        <v>44593</v>
      </c>
      <c r="M487" s="321">
        <v>44925</v>
      </c>
      <c r="N487" s="300">
        <v>44652</v>
      </c>
      <c r="O487" s="301">
        <f t="shared" si="35"/>
        <v>0.17771084337349397</v>
      </c>
      <c r="P487" s="301"/>
      <c r="Q487" s="302">
        <v>1</v>
      </c>
      <c r="R487" s="303">
        <v>0.25</v>
      </c>
      <c r="S487" s="303">
        <v>0.5</v>
      </c>
      <c r="T487" s="303">
        <v>0.75</v>
      </c>
      <c r="U487" s="303">
        <v>1</v>
      </c>
      <c r="V487" s="303"/>
      <c r="W487" s="383"/>
      <c r="X487" s="302"/>
      <c r="Y487" s="305"/>
      <c r="Z487" s="306"/>
      <c r="AA487" s="307"/>
      <c r="AB487" s="307"/>
      <c r="AC487" s="306"/>
      <c r="AD487" s="307"/>
      <c r="AE487" s="307"/>
      <c r="AF487" s="306"/>
      <c r="AG487" s="307"/>
      <c r="AH487" s="307"/>
      <c r="AI487" s="308"/>
    </row>
    <row r="488" spans="1:35" ht="60" customHeight="1" outlineLevel="1" x14ac:dyDescent="0.2">
      <c r="A488" s="527"/>
      <c r="B488" s="432" t="s">
        <v>657</v>
      </c>
      <c r="C488" s="432" t="s">
        <v>503</v>
      </c>
      <c r="D488" s="448" t="s">
        <v>10</v>
      </c>
      <c r="E488" s="444" t="s">
        <v>1143</v>
      </c>
      <c r="F488" s="444" t="s">
        <v>1144</v>
      </c>
      <c r="G488" s="630" t="s">
        <v>185</v>
      </c>
      <c r="H488" s="379" t="s">
        <v>1145</v>
      </c>
      <c r="I488" s="446" t="s">
        <v>744</v>
      </c>
      <c r="J488" s="12" t="s">
        <v>163</v>
      </c>
      <c r="K488" s="415">
        <v>1800000</v>
      </c>
      <c r="L488" s="321">
        <v>44593</v>
      </c>
      <c r="M488" s="321">
        <v>44925</v>
      </c>
      <c r="N488" s="300">
        <v>44652</v>
      </c>
      <c r="O488" s="301">
        <f t="shared" si="35"/>
        <v>0.17771084337349397</v>
      </c>
      <c r="P488" s="301">
        <f t="shared" si="36"/>
        <v>0.17771084337349397</v>
      </c>
      <c r="Q488" s="302">
        <v>1</v>
      </c>
      <c r="R488" s="303">
        <v>0.25</v>
      </c>
      <c r="S488" s="303">
        <v>0.5</v>
      </c>
      <c r="T488" s="303">
        <v>0.75</v>
      </c>
      <c r="U488" s="303">
        <v>1</v>
      </c>
      <c r="V488" s="303"/>
      <c r="W488" s="383"/>
      <c r="X488" s="302"/>
      <c r="Y488" s="305"/>
      <c r="Z488" s="306"/>
      <c r="AA488" s="307"/>
      <c r="AB488" s="307"/>
      <c r="AC488" s="306"/>
      <c r="AD488" s="307"/>
      <c r="AE488" s="307"/>
      <c r="AF488" s="306"/>
      <c r="AG488" s="307"/>
      <c r="AH488" s="307"/>
      <c r="AI488" s="308"/>
    </row>
    <row r="489" spans="1:35" ht="75" customHeight="1" outlineLevel="1" x14ac:dyDescent="0.2">
      <c r="A489" s="527"/>
      <c r="B489" s="433"/>
      <c r="C489" s="433"/>
      <c r="D489" s="449"/>
      <c r="E489" s="451"/>
      <c r="F489" s="451"/>
      <c r="G489" s="631"/>
      <c r="H489" s="331" t="s">
        <v>1146</v>
      </c>
      <c r="I489" s="450"/>
      <c r="J489" s="12" t="s">
        <v>163</v>
      </c>
      <c r="K489" s="415">
        <v>3500000</v>
      </c>
      <c r="L489" s="321">
        <v>44593</v>
      </c>
      <c r="M489" s="321">
        <v>44925</v>
      </c>
      <c r="N489" s="300">
        <v>44652</v>
      </c>
      <c r="O489" s="301">
        <f t="shared" si="35"/>
        <v>0.17771084337349397</v>
      </c>
      <c r="P489" s="301">
        <f t="shared" ref="P489:P502" si="37">+IF(O489&gt;=100,100,IF(O489&lt;=0,0,O489))</f>
        <v>0.17771084337349397</v>
      </c>
      <c r="Q489" s="302">
        <v>1</v>
      </c>
      <c r="R489" s="303">
        <v>0.25</v>
      </c>
      <c r="S489" s="303">
        <v>0.5</v>
      </c>
      <c r="T489" s="303">
        <v>0.75</v>
      </c>
      <c r="U489" s="303">
        <v>1</v>
      </c>
      <c r="V489" s="303"/>
      <c r="W489" s="383"/>
      <c r="X489" s="302"/>
      <c r="Y489" s="305"/>
      <c r="Z489" s="306"/>
      <c r="AA489" s="307"/>
      <c r="AB489" s="307"/>
      <c r="AC489" s="306"/>
      <c r="AD489" s="307"/>
      <c r="AE489" s="307"/>
      <c r="AF489" s="306"/>
      <c r="AG489" s="307"/>
      <c r="AH489" s="307"/>
      <c r="AI489" s="308"/>
    </row>
    <row r="490" spans="1:35" ht="75" customHeight="1" outlineLevel="1" x14ac:dyDescent="0.2">
      <c r="A490" s="527"/>
      <c r="B490" s="433"/>
      <c r="C490" s="433"/>
      <c r="D490" s="449"/>
      <c r="E490" s="451"/>
      <c r="F490" s="451"/>
      <c r="G490" s="631"/>
      <c r="H490" s="331" t="s">
        <v>1147</v>
      </c>
      <c r="I490" s="450"/>
      <c r="J490" s="12" t="s">
        <v>163</v>
      </c>
      <c r="K490" s="415">
        <v>4200000</v>
      </c>
      <c r="L490" s="321">
        <v>44593</v>
      </c>
      <c r="M490" s="321">
        <v>44925</v>
      </c>
      <c r="N490" s="300">
        <v>44652</v>
      </c>
      <c r="O490" s="301">
        <f t="shared" ref="O490:O519" si="38">+(+_xlfn.DAYS(L490,N490))/(+_xlfn.DAYS(L490,M490))</f>
        <v>0.17771084337349397</v>
      </c>
      <c r="P490" s="301">
        <f t="shared" si="37"/>
        <v>0.17771084337349397</v>
      </c>
      <c r="Q490" s="302">
        <v>1</v>
      </c>
      <c r="R490" s="303">
        <v>0.25</v>
      </c>
      <c r="S490" s="303">
        <v>0.5</v>
      </c>
      <c r="T490" s="303">
        <v>0.75</v>
      </c>
      <c r="U490" s="303">
        <v>1</v>
      </c>
      <c r="V490" s="303"/>
      <c r="W490" s="383"/>
      <c r="X490" s="302"/>
      <c r="Y490" s="305"/>
      <c r="Z490" s="306"/>
      <c r="AA490" s="307"/>
      <c r="AB490" s="307"/>
      <c r="AC490" s="306"/>
      <c r="AD490" s="307"/>
      <c r="AE490" s="307"/>
      <c r="AF490" s="306"/>
      <c r="AG490" s="307"/>
      <c r="AH490" s="307"/>
      <c r="AI490" s="308"/>
    </row>
    <row r="491" spans="1:35" ht="75" customHeight="1" outlineLevel="1" x14ac:dyDescent="0.2">
      <c r="A491" s="527"/>
      <c r="B491" s="433"/>
      <c r="C491" s="433"/>
      <c r="D491" s="449"/>
      <c r="E491" s="451"/>
      <c r="F491" s="451"/>
      <c r="G491" s="631"/>
      <c r="H491" s="331" t="s">
        <v>1148</v>
      </c>
      <c r="I491" s="450"/>
      <c r="J491" s="12" t="s">
        <v>163</v>
      </c>
      <c r="K491" s="415">
        <v>4200000</v>
      </c>
      <c r="L491" s="321">
        <v>44593</v>
      </c>
      <c r="M491" s="321">
        <v>44925</v>
      </c>
      <c r="N491" s="300">
        <v>44652</v>
      </c>
      <c r="O491" s="301">
        <f t="shared" si="38"/>
        <v>0.17771084337349397</v>
      </c>
      <c r="P491" s="301">
        <f t="shared" si="37"/>
        <v>0.17771084337349397</v>
      </c>
      <c r="Q491" s="302">
        <v>1</v>
      </c>
      <c r="R491" s="303">
        <v>0.25</v>
      </c>
      <c r="S491" s="303">
        <v>0.5</v>
      </c>
      <c r="T491" s="303">
        <v>0.75</v>
      </c>
      <c r="U491" s="303">
        <v>1</v>
      </c>
      <c r="V491" s="303"/>
      <c r="W491" s="383"/>
      <c r="X491" s="302"/>
      <c r="Y491" s="305"/>
      <c r="Z491" s="306"/>
      <c r="AA491" s="307"/>
      <c r="AB491" s="307"/>
      <c r="AC491" s="306"/>
      <c r="AD491" s="307"/>
      <c r="AE491" s="307"/>
      <c r="AF491" s="306"/>
      <c r="AG491" s="307"/>
      <c r="AH491" s="307"/>
      <c r="AI491" s="308"/>
    </row>
    <row r="492" spans="1:35" ht="75" customHeight="1" outlineLevel="1" x14ac:dyDescent="0.2">
      <c r="A492" s="527"/>
      <c r="B492" s="433"/>
      <c r="C492" s="433"/>
      <c r="D492" s="449"/>
      <c r="E492" s="451"/>
      <c r="F492" s="451"/>
      <c r="G492" s="631"/>
      <c r="H492" s="331" t="s">
        <v>1149</v>
      </c>
      <c r="I492" s="450"/>
      <c r="J492" s="12" t="s">
        <v>163</v>
      </c>
      <c r="K492" s="415">
        <v>3500000</v>
      </c>
      <c r="L492" s="321">
        <v>44593</v>
      </c>
      <c r="M492" s="321">
        <v>44925</v>
      </c>
      <c r="N492" s="300">
        <v>44652</v>
      </c>
      <c r="O492" s="301">
        <f t="shared" si="38"/>
        <v>0.17771084337349397</v>
      </c>
      <c r="P492" s="301">
        <f t="shared" si="37"/>
        <v>0.17771084337349397</v>
      </c>
      <c r="Q492" s="302">
        <v>1</v>
      </c>
      <c r="R492" s="303">
        <v>0.25</v>
      </c>
      <c r="S492" s="303">
        <v>0.5</v>
      </c>
      <c r="T492" s="303">
        <v>0.75</v>
      </c>
      <c r="U492" s="303">
        <v>1</v>
      </c>
      <c r="V492" s="303"/>
      <c r="W492" s="383"/>
      <c r="X492" s="302"/>
      <c r="Y492" s="305"/>
      <c r="Z492" s="306"/>
      <c r="AA492" s="307"/>
      <c r="AB492" s="307"/>
      <c r="AC492" s="306"/>
      <c r="AD492" s="307"/>
      <c r="AE492" s="307"/>
      <c r="AF492" s="306"/>
      <c r="AG492" s="307"/>
      <c r="AH492" s="307"/>
      <c r="AI492" s="308"/>
    </row>
    <row r="493" spans="1:35" ht="75" customHeight="1" outlineLevel="1" x14ac:dyDescent="0.2">
      <c r="A493" s="527"/>
      <c r="B493" s="433"/>
      <c r="C493" s="433"/>
      <c r="D493" s="449"/>
      <c r="E493" s="451"/>
      <c r="F493" s="451"/>
      <c r="G493" s="631"/>
      <c r="H493" s="331" t="s">
        <v>1150</v>
      </c>
      <c r="I493" s="450"/>
      <c r="J493" s="12" t="s">
        <v>163</v>
      </c>
      <c r="K493" s="415">
        <v>3500000</v>
      </c>
      <c r="L493" s="321">
        <v>44593</v>
      </c>
      <c r="M493" s="321">
        <v>44925</v>
      </c>
      <c r="N493" s="300">
        <v>44652</v>
      </c>
      <c r="O493" s="301">
        <f t="shared" si="38"/>
        <v>0.17771084337349397</v>
      </c>
      <c r="P493" s="301">
        <f t="shared" si="37"/>
        <v>0.17771084337349397</v>
      </c>
      <c r="Q493" s="302">
        <v>1</v>
      </c>
      <c r="R493" s="303">
        <v>0.25</v>
      </c>
      <c r="S493" s="303">
        <v>0.5</v>
      </c>
      <c r="T493" s="303">
        <v>0.75</v>
      </c>
      <c r="U493" s="303">
        <v>1</v>
      </c>
      <c r="V493" s="303"/>
      <c r="W493" s="383"/>
      <c r="X493" s="302"/>
      <c r="Y493" s="305"/>
      <c r="Z493" s="306"/>
      <c r="AA493" s="307"/>
      <c r="AB493" s="307"/>
      <c r="AC493" s="306"/>
      <c r="AD493" s="307"/>
      <c r="AE493" s="307"/>
      <c r="AF493" s="306"/>
      <c r="AG493" s="307"/>
      <c r="AH493" s="307"/>
      <c r="AI493" s="308"/>
    </row>
    <row r="494" spans="1:35" ht="75" customHeight="1" outlineLevel="1" x14ac:dyDescent="0.2">
      <c r="A494" s="527"/>
      <c r="B494" s="433"/>
      <c r="C494" s="433"/>
      <c r="D494" s="449"/>
      <c r="E494" s="451"/>
      <c r="F494" s="451"/>
      <c r="G494" s="631"/>
      <c r="H494" s="331" t="s">
        <v>1151</v>
      </c>
      <c r="I494" s="450"/>
      <c r="J494" s="12" t="s">
        <v>163</v>
      </c>
      <c r="K494" s="415">
        <v>3500000</v>
      </c>
      <c r="L494" s="321">
        <v>44593</v>
      </c>
      <c r="M494" s="321">
        <v>44925</v>
      </c>
      <c r="N494" s="300">
        <v>44652</v>
      </c>
      <c r="O494" s="301">
        <f t="shared" si="38"/>
        <v>0.17771084337349397</v>
      </c>
      <c r="P494" s="301">
        <f t="shared" si="37"/>
        <v>0.17771084337349397</v>
      </c>
      <c r="Q494" s="302">
        <v>1</v>
      </c>
      <c r="R494" s="303">
        <v>0.25</v>
      </c>
      <c r="S494" s="303">
        <v>0.5</v>
      </c>
      <c r="T494" s="303">
        <v>0.75</v>
      </c>
      <c r="U494" s="303">
        <v>1</v>
      </c>
      <c r="V494" s="303"/>
      <c r="W494" s="383"/>
      <c r="X494" s="302"/>
      <c r="Y494" s="305"/>
      <c r="Z494" s="306"/>
      <c r="AA494" s="307"/>
      <c r="AB494" s="307"/>
      <c r="AC494" s="306"/>
      <c r="AD494" s="307"/>
      <c r="AE494" s="307"/>
      <c r="AF494" s="306"/>
      <c r="AG494" s="307"/>
      <c r="AH494" s="307"/>
      <c r="AI494" s="308"/>
    </row>
    <row r="495" spans="1:35" ht="75" customHeight="1" outlineLevel="1" x14ac:dyDescent="0.2">
      <c r="A495" s="527"/>
      <c r="B495" s="433"/>
      <c r="C495" s="433"/>
      <c r="D495" s="449"/>
      <c r="E495" s="451"/>
      <c r="F495" s="451"/>
      <c r="G495" s="631"/>
      <c r="H495" s="331" t="s">
        <v>1152</v>
      </c>
      <c r="I495" s="450"/>
      <c r="J495" s="12" t="s">
        <v>163</v>
      </c>
      <c r="K495" s="415">
        <v>3500000</v>
      </c>
      <c r="L495" s="321">
        <v>44593</v>
      </c>
      <c r="M495" s="321">
        <v>44925</v>
      </c>
      <c r="N495" s="300">
        <v>44652</v>
      </c>
      <c r="O495" s="301">
        <f t="shared" si="38"/>
        <v>0.17771084337349397</v>
      </c>
      <c r="P495" s="301">
        <f t="shared" si="37"/>
        <v>0.17771084337349397</v>
      </c>
      <c r="Q495" s="302">
        <v>1</v>
      </c>
      <c r="R495" s="303">
        <v>0.25</v>
      </c>
      <c r="S495" s="303">
        <v>0.5</v>
      </c>
      <c r="T495" s="303">
        <v>0.75</v>
      </c>
      <c r="U495" s="303">
        <v>1</v>
      </c>
      <c r="V495" s="303"/>
      <c r="W495" s="383"/>
      <c r="X495" s="302"/>
      <c r="Y495" s="305"/>
      <c r="Z495" s="306"/>
      <c r="AA495" s="307"/>
      <c r="AB495" s="307"/>
      <c r="AC495" s="306"/>
      <c r="AD495" s="307"/>
      <c r="AE495" s="307"/>
      <c r="AF495" s="306"/>
      <c r="AG495" s="307"/>
      <c r="AH495" s="307"/>
      <c r="AI495" s="308"/>
    </row>
    <row r="496" spans="1:35" ht="75" customHeight="1" outlineLevel="1" x14ac:dyDescent="0.2">
      <c r="A496" s="527"/>
      <c r="B496" s="433"/>
      <c r="C496" s="433"/>
      <c r="D496" s="449"/>
      <c r="E496" s="451"/>
      <c r="F496" s="451"/>
      <c r="G496" s="631"/>
      <c r="H496" s="331" t="s">
        <v>1153</v>
      </c>
      <c r="I496" s="450"/>
      <c r="J496" s="12" t="s">
        <v>163</v>
      </c>
      <c r="K496" s="415">
        <v>3500000</v>
      </c>
      <c r="L496" s="321">
        <v>44593</v>
      </c>
      <c r="M496" s="321">
        <v>44925</v>
      </c>
      <c r="N496" s="300">
        <v>44652</v>
      </c>
      <c r="O496" s="301">
        <f t="shared" si="38"/>
        <v>0.17771084337349397</v>
      </c>
      <c r="P496" s="301">
        <f t="shared" si="37"/>
        <v>0.17771084337349397</v>
      </c>
      <c r="Q496" s="302">
        <v>1</v>
      </c>
      <c r="R496" s="303">
        <v>0.25</v>
      </c>
      <c r="S496" s="303">
        <v>0.5</v>
      </c>
      <c r="T496" s="303">
        <v>0.75</v>
      </c>
      <c r="U496" s="303">
        <v>1</v>
      </c>
      <c r="V496" s="303"/>
      <c r="W496" s="383"/>
      <c r="X496" s="302"/>
      <c r="Y496" s="305"/>
      <c r="Z496" s="306"/>
      <c r="AA496" s="307"/>
      <c r="AB496" s="307"/>
      <c r="AC496" s="306"/>
      <c r="AD496" s="307"/>
      <c r="AE496" s="307"/>
      <c r="AF496" s="306"/>
      <c r="AG496" s="307"/>
      <c r="AH496" s="307"/>
      <c r="AI496" s="308"/>
    </row>
    <row r="497" spans="1:35" ht="75" customHeight="1" outlineLevel="1" x14ac:dyDescent="0.2">
      <c r="A497" s="527"/>
      <c r="B497" s="433"/>
      <c r="C497" s="433"/>
      <c r="D497" s="449"/>
      <c r="E497" s="451"/>
      <c r="F497" s="451"/>
      <c r="G497" s="631"/>
      <c r="H497" s="331" t="s">
        <v>1154</v>
      </c>
      <c r="I497" s="450"/>
      <c r="J497" s="12" t="s">
        <v>163</v>
      </c>
      <c r="K497" s="415">
        <v>3500000</v>
      </c>
      <c r="L497" s="321">
        <v>44593</v>
      </c>
      <c r="M497" s="321">
        <v>44925</v>
      </c>
      <c r="N497" s="300">
        <v>44652</v>
      </c>
      <c r="O497" s="301">
        <f t="shared" si="38"/>
        <v>0.17771084337349397</v>
      </c>
      <c r="P497" s="301">
        <f t="shared" si="37"/>
        <v>0.17771084337349397</v>
      </c>
      <c r="Q497" s="302">
        <v>1</v>
      </c>
      <c r="R497" s="303">
        <v>0.25</v>
      </c>
      <c r="S497" s="303">
        <v>0.5</v>
      </c>
      <c r="T497" s="303">
        <v>0.75</v>
      </c>
      <c r="U497" s="303">
        <v>1</v>
      </c>
      <c r="V497" s="303"/>
      <c r="W497" s="383"/>
      <c r="X497" s="302"/>
      <c r="Y497" s="305"/>
      <c r="Z497" s="306"/>
      <c r="AA497" s="307"/>
      <c r="AB497" s="307"/>
      <c r="AC497" s="306"/>
      <c r="AD497" s="307"/>
      <c r="AE497" s="307"/>
      <c r="AF497" s="306"/>
      <c r="AG497" s="307"/>
      <c r="AH497" s="307"/>
      <c r="AI497" s="308"/>
    </row>
    <row r="498" spans="1:35" ht="75" customHeight="1" outlineLevel="1" x14ac:dyDescent="0.2">
      <c r="A498" s="527"/>
      <c r="B498" s="433"/>
      <c r="C498" s="433"/>
      <c r="D498" s="449"/>
      <c r="E498" s="451"/>
      <c r="F498" s="451"/>
      <c r="G498" s="631"/>
      <c r="H498" s="331" t="s">
        <v>1155</v>
      </c>
      <c r="I498" s="450"/>
      <c r="J498" s="12" t="s">
        <v>163</v>
      </c>
      <c r="K498" s="415">
        <v>4200000</v>
      </c>
      <c r="L498" s="321">
        <v>44593</v>
      </c>
      <c r="M498" s="321">
        <v>44925</v>
      </c>
      <c r="N498" s="300">
        <v>44652</v>
      </c>
      <c r="O498" s="301">
        <f t="shared" si="38"/>
        <v>0.17771084337349397</v>
      </c>
      <c r="P498" s="301">
        <f t="shared" si="37"/>
        <v>0.17771084337349397</v>
      </c>
      <c r="Q498" s="302">
        <v>1</v>
      </c>
      <c r="R498" s="303">
        <v>0.25</v>
      </c>
      <c r="S498" s="303">
        <v>0.5</v>
      </c>
      <c r="T498" s="303">
        <v>0.75</v>
      </c>
      <c r="U498" s="303">
        <v>1</v>
      </c>
      <c r="V498" s="303"/>
      <c r="W498" s="383"/>
      <c r="X498" s="302"/>
      <c r="Y498" s="305"/>
      <c r="Z498" s="306"/>
      <c r="AA498" s="307"/>
      <c r="AB498" s="307"/>
      <c r="AC498" s="306"/>
      <c r="AD498" s="307"/>
      <c r="AE498" s="307"/>
      <c r="AF498" s="306"/>
      <c r="AG498" s="307"/>
      <c r="AH498" s="307"/>
      <c r="AI498" s="308"/>
    </row>
    <row r="499" spans="1:35" ht="75" customHeight="1" outlineLevel="1" x14ac:dyDescent="0.2">
      <c r="A499" s="527"/>
      <c r="B499" s="433"/>
      <c r="C499" s="433"/>
      <c r="D499" s="449"/>
      <c r="E499" s="451"/>
      <c r="F499" s="451"/>
      <c r="G499" s="631"/>
      <c r="H499" s="331" t="s">
        <v>1156</v>
      </c>
      <c r="I499" s="450"/>
      <c r="J499" s="12" t="s">
        <v>163</v>
      </c>
      <c r="K499" s="415">
        <v>3500000</v>
      </c>
      <c r="L499" s="321">
        <v>44593</v>
      </c>
      <c r="M499" s="321">
        <v>44925</v>
      </c>
      <c r="N499" s="300">
        <v>44652</v>
      </c>
      <c r="O499" s="301">
        <f t="shared" si="38"/>
        <v>0.17771084337349397</v>
      </c>
      <c r="P499" s="301">
        <f t="shared" si="37"/>
        <v>0.17771084337349397</v>
      </c>
      <c r="Q499" s="302">
        <v>1</v>
      </c>
      <c r="R499" s="303">
        <v>0.25</v>
      </c>
      <c r="S499" s="303">
        <v>0.5</v>
      </c>
      <c r="T499" s="303">
        <v>0.75</v>
      </c>
      <c r="U499" s="303">
        <v>1</v>
      </c>
      <c r="V499" s="303"/>
      <c r="W499" s="383"/>
      <c r="X499" s="302"/>
      <c r="Y499" s="305"/>
      <c r="Z499" s="306"/>
      <c r="AA499" s="307"/>
      <c r="AB499" s="307"/>
      <c r="AC499" s="306"/>
      <c r="AD499" s="307"/>
      <c r="AE499" s="307"/>
      <c r="AF499" s="306"/>
      <c r="AG499" s="307"/>
      <c r="AH499" s="307"/>
      <c r="AI499" s="308"/>
    </row>
    <row r="500" spans="1:35" ht="75" customHeight="1" outlineLevel="1" x14ac:dyDescent="0.2">
      <c r="A500" s="527"/>
      <c r="B500" s="433"/>
      <c r="C500" s="433"/>
      <c r="D500" s="449"/>
      <c r="E500" s="451"/>
      <c r="F500" s="451"/>
      <c r="G500" s="631"/>
      <c r="H500" s="331" t="s">
        <v>1157</v>
      </c>
      <c r="I500" s="450"/>
      <c r="J500" s="12" t="s">
        <v>163</v>
      </c>
      <c r="K500" s="415">
        <v>3500000</v>
      </c>
      <c r="L500" s="321">
        <v>44593</v>
      </c>
      <c r="M500" s="321">
        <v>44925</v>
      </c>
      <c r="N500" s="300">
        <v>44652</v>
      </c>
      <c r="O500" s="301">
        <f t="shared" si="38"/>
        <v>0.17771084337349397</v>
      </c>
      <c r="P500" s="301">
        <f t="shared" si="37"/>
        <v>0.17771084337349397</v>
      </c>
      <c r="Q500" s="302">
        <v>1</v>
      </c>
      <c r="R500" s="303">
        <v>0.25</v>
      </c>
      <c r="S500" s="303">
        <v>0.5</v>
      </c>
      <c r="T500" s="303">
        <v>0.75</v>
      </c>
      <c r="U500" s="303">
        <v>1</v>
      </c>
      <c r="V500" s="303"/>
      <c r="W500" s="383"/>
      <c r="X500" s="302"/>
      <c r="Y500" s="305"/>
      <c r="Z500" s="306"/>
      <c r="AA500" s="307"/>
      <c r="AB500" s="307"/>
      <c r="AC500" s="306"/>
      <c r="AD500" s="307"/>
      <c r="AE500" s="307"/>
      <c r="AF500" s="306"/>
      <c r="AG500" s="307"/>
      <c r="AH500" s="307"/>
      <c r="AI500" s="308"/>
    </row>
    <row r="501" spans="1:35" ht="75" customHeight="1" outlineLevel="1" x14ac:dyDescent="0.2">
      <c r="A501" s="527"/>
      <c r="B501" s="433"/>
      <c r="C501" s="433"/>
      <c r="D501" s="449"/>
      <c r="E501" s="451"/>
      <c r="F501" s="451"/>
      <c r="G501" s="631"/>
      <c r="H501" s="331" t="s">
        <v>1158</v>
      </c>
      <c r="I501" s="450"/>
      <c r="J501" s="12" t="s">
        <v>163</v>
      </c>
      <c r="K501" s="415">
        <v>3500000</v>
      </c>
      <c r="L501" s="321">
        <v>44593</v>
      </c>
      <c r="M501" s="321">
        <v>44925</v>
      </c>
      <c r="N501" s="300">
        <v>44652</v>
      </c>
      <c r="O501" s="301">
        <f t="shared" si="38"/>
        <v>0.17771084337349397</v>
      </c>
      <c r="P501" s="301">
        <f t="shared" si="37"/>
        <v>0.17771084337349397</v>
      </c>
      <c r="Q501" s="302">
        <v>1</v>
      </c>
      <c r="R501" s="303">
        <v>0.25</v>
      </c>
      <c r="S501" s="303">
        <v>0.5</v>
      </c>
      <c r="T501" s="303">
        <v>0.75</v>
      </c>
      <c r="U501" s="303">
        <v>1</v>
      </c>
      <c r="V501" s="303"/>
      <c r="W501" s="383"/>
      <c r="X501" s="302"/>
      <c r="Y501" s="305"/>
      <c r="Z501" s="306"/>
      <c r="AA501" s="307"/>
      <c r="AB501" s="307"/>
      <c r="AC501" s="306"/>
      <c r="AD501" s="307"/>
      <c r="AE501" s="307"/>
      <c r="AF501" s="306"/>
      <c r="AG501" s="307"/>
      <c r="AH501" s="307"/>
      <c r="AI501" s="308"/>
    </row>
    <row r="502" spans="1:35" ht="75" customHeight="1" outlineLevel="1" x14ac:dyDescent="0.2">
      <c r="A502" s="527"/>
      <c r="B502" s="433"/>
      <c r="C502" s="433"/>
      <c r="D502" s="449"/>
      <c r="E502" s="451"/>
      <c r="F502" s="451"/>
      <c r="G502" s="631"/>
      <c r="H502" s="331" t="s">
        <v>1159</v>
      </c>
      <c r="I502" s="450"/>
      <c r="J502" s="12" t="s">
        <v>163</v>
      </c>
      <c r="K502" s="415">
        <v>3500000</v>
      </c>
      <c r="L502" s="321">
        <v>44593</v>
      </c>
      <c r="M502" s="321">
        <v>44925</v>
      </c>
      <c r="N502" s="300">
        <v>44652</v>
      </c>
      <c r="O502" s="301">
        <f t="shared" si="38"/>
        <v>0.17771084337349397</v>
      </c>
      <c r="P502" s="301">
        <f t="shared" si="37"/>
        <v>0.17771084337349397</v>
      </c>
      <c r="Q502" s="302">
        <v>1</v>
      </c>
      <c r="R502" s="303">
        <v>0.25</v>
      </c>
      <c r="S502" s="303">
        <v>0.5</v>
      </c>
      <c r="T502" s="303">
        <v>0.75</v>
      </c>
      <c r="U502" s="303">
        <v>1</v>
      </c>
      <c r="V502" s="303"/>
      <c r="W502" s="383"/>
      <c r="X502" s="302"/>
      <c r="Y502" s="305"/>
      <c r="Z502" s="306"/>
      <c r="AA502" s="307"/>
      <c r="AB502" s="307"/>
      <c r="AC502" s="306"/>
      <c r="AD502" s="307"/>
      <c r="AE502" s="307"/>
      <c r="AF502" s="306"/>
      <c r="AG502" s="307"/>
      <c r="AH502" s="307"/>
      <c r="AI502" s="308"/>
    </row>
    <row r="503" spans="1:35" ht="75" customHeight="1" outlineLevel="1" x14ac:dyDescent="0.2">
      <c r="A503" s="527"/>
      <c r="B503" s="433"/>
      <c r="C503" s="433"/>
      <c r="D503" s="449"/>
      <c r="E503" s="451"/>
      <c r="F503" s="451"/>
      <c r="G503" s="631"/>
      <c r="H503" s="331" t="s">
        <v>1160</v>
      </c>
      <c r="I503" s="450"/>
      <c r="J503" s="12" t="s">
        <v>163</v>
      </c>
      <c r="K503" s="415">
        <v>3500000</v>
      </c>
      <c r="L503" s="321">
        <v>44593</v>
      </c>
      <c r="M503" s="321">
        <v>44925</v>
      </c>
      <c r="N503" s="300">
        <v>44652</v>
      </c>
      <c r="O503" s="301">
        <f t="shared" si="38"/>
        <v>0.17771084337349397</v>
      </c>
      <c r="P503" s="301">
        <f t="shared" si="36"/>
        <v>0.17771084337349397</v>
      </c>
      <c r="Q503" s="302">
        <v>1</v>
      </c>
      <c r="R503" s="303">
        <v>0.25</v>
      </c>
      <c r="S503" s="303">
        <v>0.5</v>
      </c>
      <c r="T503" s="303">
        <v>0.75</v>
      </c>
      <c r="U503" s="303">
        <v>1</v>
      </c>
      <c r="V503" s="303"/>
      <c r="W503" s="383"/>
      <c r="X503" s="302"/>
      <c r="Y503" s="305"/>
      <c r="Z503" s="306"/>
      <c r="AA503" s="307"/>
      <c r="AB503" s="307"/>
      <c r="AC503" s="306"/>
      <c r="AD503" s="307"/>
      <c r="AE503" s="307"/>
      <c r="AF503" s="306"/>
      <c r="AG503" s="307"/>
      <c r="AH503" s="307"/>
      <c r="AI503" s="308"/>
    </row>
    <row r="504" spans="1:35" ht="75" customHeight="1" outlineLevel="1" x14ac:dyDescent="0.2">
      <c r="A504" s="527"/>
      <c r="B504" s="433"/>
      <c r="C504" s="433"/>
      <c r="D504" s="449"/>
      <c r="E504" s="451"/>
      <c r="F504" s="451"/>
      <c r="G504" s="631"/>
      <c r="H504" s="331" t="s">
        <v>1161</v>
      </c>
      <c r="I504" s="450"/>
      <c r="J504" s="12" t="s">
        <v>163</v>
      </c>
      <c r="K504" s="415">
        <v>4200000</v>
      </c>
      <c r="L504" s="321">
        <v>44593</v>
      </c>
      <c r="M504" s="321">
        <v>44925</v>
      </c>
      <c r="N504" s="300">
        <v>44652</v>
      </c>
      <c r="O504" s="301">
        <f t="shared" si="38"/>
        <v>0.17771084337349397</v>
      </c>
      <c r="P504" s="301">
        <f t="shared" si="36"/>
        <v>0.17771084337349397</v>
      </c>
      <c r="Q504" s="302">
        <v>1</v>
      </c>
      <c r="R504" s="303">
        <v>0.25</v>
      </c>
      <c r="S504" s="303">
        <v>0.5</v>
      </c>
      <c r="T504" s="303">
        <v>0.75</v>
      </c>
      <c r="U504" s="303">
        <v>1</v>
      </c>
      <c r="V504" s="303"/>
      <c r="W504" s="383"/>
      <c r="X504" s="302"/>
      <c r="Y504" s="305"/>
      <c r="Z504" s="306"/>
      <c r="AA504" s="307"/>
      <c r="AB504" s="307"/>
      <c r="AC504" s="306"/>
      <c r="AD504" s="307"/>
      <c r="AE504" s="307"/>
      <c r="AF504" s="306"/>
      <c r="AG504" s="307"/>
      <c r="AH504" s="307"/>
      <c r="AI504" s="308"/>
    </row>
    <row r="505" spans="1:35" ht="75" customHeight="1" outlineLevel="1" x14ac:dyDescent="0.2">
      <c r="A505" s="527"/>
      <c r="B505" s="433"/>
      <c r="C505" s="433"/>
      <c r="D505" s="449"/>
      <c r="E505" s="451"/>
      <c r="F505" s="451"/>
      <c r="G505" s="631"/>
      <c r="H505" s="331" t="s">
        <v>1162</v>
      </c>
      <c r="I505" s="450"/>
      <c r="J505" s="12" t="s">
        <v>163</v>
      </c>
      <c r="K505" s="415">
        <v>3500000</v>
      </c>
      <c r="L505" s="321">
        <v>44593</v>
      </c>
      <c r="M505" s="321">
        <v>44925</v>
      </c>
      <c r="N505" s="300">
        <v>44652</v>
      </c>
      <c r="O505" s="301">
        <f t="shared" si="38"/>
        <v>0.17771084337349397</v>
      </c>
      <c r="P505" s="301">
        <f t="shared" si="36"/>
        <v>0.17771084337349397</v>
      </c>
      <c r="Q505" s="302">
        <v>1</v>
      </c>
      <c r="R505" s="303">
        <v>0.25</v>
      </c>
      <c r="S505" s="303">
        <v>0.5</v>
      </c>
      <c r="T505" s="303">
        <v>0.75</v>
      </c>
      <c r="U505" s="303">
        <v>1</v>
      </c>
      <c r="V505" s="303"/>
      <c r="W505" s="383"/>
      <c r="X505" s="302"/>
      <c r="Y505" s="305"/>
      <c r="Z505" s="306"/>
      <c r="AA505" s="307"/>
      <c r="AB505" s="307"/>
      <c r="AC505" s="306"/>
      <c r="AD505" s="307"/>
      <c r="AE505" s="307"/>
      <c r="AF505" s="306"/>
      <c r="AG505" s="307"/>
      <c r="AH505" s="307"/>
      <c r="AI505" s="308"/>
    </row>
    <row r="506" spans="1:35" ht="75" customHeight="1" outlineLevel="1" x14ac:dyDescent="0.2">
      <c r="A506" s="527"/>
      <c r="B506" s="433"/>
      <c r="C506" s="433"/>
      <c r="D506" s="449"/>
      <c r="E506" s="451"/>
      <c r="F506" s="451"/>
      <c r="G506" s="631"/>
      <c r="H506" s="331" t="s">
        <v>1163</v>
      </c>
      <c r="I506" s="450"/>
      <c r="J506" s="12" t="s">
        <v>163</v>
      </c>
      <c r="K506" s="415">
        <v>4200000</v>
      </c>
      <c r="L506" s="321">
        <v>44593</v>
      </c>
      <c r="M506" s="321">
        <v>44925</v>
      </c>
      <c r="N506" s="300">
        <v>44652</v>
      </c>
      <c r="O506" s="301">
        <f t="shared" si="38"/>
        <v>0.17771084337349397</v>
      </c>
      <c r="P506" s="301">
        <f t="shared" si="36"/>
        <v>0.17771084337349397</v>
      </c>
      <c r="Q506" s="302">
        <v>1</v>
      </c>
      <c r="R506" s="303">
        <v>0.25</v>
      </c>
      <c r="S506" s="303">
        <v>0.5</v>
      </c>
      <c r="T506" s="303">
        <v>0.75</v>
      </c>
      <c r="U506" s="303">
        <v>1</v>
      </c>
      <c r="V506" s="303"/>
      <c r="W506" s="383"/>
      <c r="X506" s="302"/>
      <c r="Y506" s="305"/>
      <c r="Z506" s="306"/>
      <c r="AA506" s="307"/>
      <c r="AB506" s="307"/>
      <c r="AC506" s="306"/>
      <c r="AD506" s="307"/>
      <c r="AE506" s="307"/>
      <c r="AF506" s="306"/>
      <c r="AG506" s="307"/>
      <c r="AH506" s="307"/>
      <c r="AI506" s="308"/>
    </row>
    <row r="507" spans="1:35" ht="56.25" customHeight="1" outlineLevel="1" x14ac:dyDescent="0.2">
      <c r="A507" s="527"/>
      <c r="B507" s="433"/>
      <c r="C507" s="433"/>
      <c r="D507" s="449"/>
      <c r="E507" s="451"/>
      <c r="F507" s="451"/>
      <c r="G507" s="631"/>
      <c r="H507" s="331" t="s">
        <v>1164</v>
      </c>
      <c r="I507" s="450"/>
      <c r="J507" s="12" t="s">
        <v>163</v>
      </c>
      <c r="K507" s="415">
        <v>1750000</v>
      </c>
      <c r="L507" s="321">
        <v>44593</v>
      </c>
      <c r="M507" s="321">
        <v>44925</v>
      </c>
      <c r="N507" s="300">
        <v>44652</v>
      </c>
      <c r="O507" s="301">
        <f t="shared" si="38"/>
        <v>0.17771084337349397</v>
      </c>
      <c r="P507" s="301">
        <f t="shared" si="36"/>
        <v>0.17771084337349397</v>
      </c>
      <c r="Q507" s="302">
        <v>1</v>
      </c>
      <c r="R507" s="303">
        <v>0.25</v>
      </c>
      <c r="S507" s="303">
        <v>0.5</v>
      </c>
      <c r="T507" s="303">
        <v>0.75</v>
      </c>
      <c r="U507" s="303">
        <v>1</v>
      </c>
      <c r="V507" s="303"/>
      <c r="W507" s="383"/>
      <c r="X507" s="302"/>
      <c r="Y507" s="305"/>
      <c r="Z507" s="306"/>
      <c r="AA507" s="307"/>
      <c r="AB507" s="307"/>
      <c r="AC507" s="306"/>
      <c r="AD507" s="307"/>
      <c r="AE507" s="307"/>
      <c r="AF507" s="306"/>
      <c r="AG507" s="307"/>
      <c r="AH507" s="307"/>
      <c r="AI507" s="308"/>
    </row>
    <row r="508" spans="1:35" ht="56.25" customHeight="1" outlineLevel="1" x14ac:dyDescent="0.2">
      <c r="A508" s="527"/>
      <c r="B508" s="433"/>
      <c r="C508" s="433"/>
      <c r="D508" s="449"/>
      <c r="E508" s="451"/>
      <c r="F508" s="451"/>
      <c r="G508" s="631"/>
      <c r="H508" s="331" t="s">
        <v>1164</v>
      </c>
      <c r="I508" s="450"/>
      <c r="J508" s="12" t="s">
        <v>163</v>
      </c>
      <c r="K508" s="415">
        <v>1750000</v>
      </c>
      <c r="L508" s="321">
        <v>44593</v>
      </c>
      <c r="M508" s="321">
        <v>44925</v>
      </c>
      <c r="N508" s="300">
        <v>44652</v>
      </c>
      <c r="O508" s="301">
        <f t="shared" si="38"/>
        <v>0.17771084337349397</v>
      </c>
      <c r="P508" s="301">
        <f t="shared" si="36"/>
        <v>0.17771084337349397</v>
      </c>
      <c r="Q508" s="302">
        <v>1</v>
      </c>
      <c r="R508" s="303">
        <v>0.25</v>
      </c>
      <c r="S508" s="303">
        <v>0.5</v>
      </c>
      <c r="T508" s="303">
        <v>0.75</v>
      </c>
      <c r="U508" s="303">
        <v>1</v>
      </c>
      <c r="V508" s="303"/>
      <c r="W508" s="383"/>
      <c r="X508" s="302"/>
      <c r="Y508" s="305"/>
      <c r="Z508" s="306"/>
      <c r="AA508" s="307"/>
      <c r="AB508" s="307"/>
      <c r="AC508" s="306"/>
      <c r="AD508" s="307"/>
      <c r="AE508" s="307"/>
      <c r="AF508" s="306"/>
      <c r="AG508" s="307"/>
      <c r="AH508" s="307"/>
      <c r="AI508" s="308"/>
    </row>
    <row r="509" spans="1:35" ht="56.25" customHeight="1" outlineLevel="1" x14ac:dyDescent="0.2">
      <c r="A509" s="527"/>
      <c r="B509" s="433"/>
      <c r="C509" s="433"/>
      <c r="D509" s="449"/>
      <c r="E509" s="451"/>
      <c r="F509" s="451"/>
      <c r="G509" s="631"/>
      <c r="H509" s="331" t="s">
        <v>1165</v>
      </c>
      <c r="I509" s="450"/>
      <c r="J509" s="12" t="s">
        <v>163</v>
      </c>
      <c r="K509" s="415">
        <v>1750000</v>
      </c>
      <c r="L509" s="321">
        <v>44593</v>
      </c>
      <c r="M509" s="321">
        <v>44925</v>
      </c>
      <c r="N509" s="300">
        <v>44652</v>
      </c>
      <c r="O509" s="301">
        <f t="shared" si="38"/>
        <v>0.17771084337349397</v>
      </c>
      <c r="P509" s="301">
        <f t="shared" si="36"/>
        <v>0.17771084337349397</v>
      </c>
      <c r="Q509" s="302">
        <v>1</v>
      </c>
      <c r="R509" s="303">
        <v>0.25</v>
      </c>
      <c r="S509" s="303">
        <v>0.5</v>
      </c>
      <c r="T509" s="303">
        <v>0.75</v>
      </c>
      <c r="U509" s="303">
        <v>1</v>
      </c>
      <c r="V509" s="303"/>
      <c r="W509" s="383"/>
      <c r="X509" s="302"/>
      <c r="Y509" s="305"/>
      <c r="Z509" s="306"/>
      <c r="AA509" s="307"/>
      <c r="AB509" s="307"/>
      <c r="AC509" s="306"/>
      <c r="AD509" s="307"/>
      <c r="AE509" s="307"/>
      <c r="AF509" s="306"/>
      <c r="AG509" s="307"/>
      <c r="AH509" s="307"/>
      <c r="AI509" s="308"/>
    </row>
    <row r="510" spans="1:35" ht="75" customHeight="1" outlineLevel="1" x14ac:dyDescent="0.2">
      <c r="A510" s="527"/>
      <c r="B510" s="433"/>
      <c r="C510" s="433"/>
      <c r="D510" s="449"/>
      <c r="E510" s="451"/>
      <c r="F510" s="451"/>
      <c r="G510" s="631"/>
      <c r="H510" s="331" t="s">
        <v>1166</v>
      </c>
      <c r="I510" s="450"/>
      <c r="J510" s="12" t="s">
        <v>163</v>
      </c>
      <c r="K510" s="415">
        <v>1750000</v>
      </c>
      <c r="L510" s="321">
        <v>44593</v>
      </c>
      <c r="M510" s="321">
        <v>44925</v>
      </c>
      <c r="N510" s="300">
        <v>44652</v>
      </c>
      <c r="O510" s="301">
        <f t="shared" si="38"/>
        <v>0.17771084337349397</v>
      </c>
      <c r="P510" s="301">
        <f t="shared" ref="P510:P511" si="39">+IF(O510&gt;=100,100,IF(O510&lt;=0,0,O510))</f>
        <v>0.17771084337349397</v>
      </c>
      <c r="Q510" s="302">
        <v>1</v>
      </c>
      <c r="R510" s="303">
        <v>0.25</v>
      </c>
      <c r="S510" s="303">
        <v>0.5</v>
      </c>
      <c r="T510" s="303">
        <v>0.75</v>
      </c>
      <c r="U510" s="303">
        <v>1</v>
      </c>
      <c r="V510" s="303"/>
      <c r="W510" s="383"/>
      <c r="X510" s="302"/>
      <c r="Y510" s="305"/>
      <c r="Z510" s="306"/>
      <c r="AA510" s="307"/>
      <c r="AB510" s="307"/>
      <c r="AC510" s="306"/>
      <c r="AD510" s="307"/>
      <c r="AE510" s="307"/>
      <c r="AF510" s="306"/>
      <c r="AG510" s="307"/>
      <c r="AH510" s="307"/>
      <c r="AI510" s="308"/>
    </row>
    <row r="511" spans="1:35" ht="46.5" customHeight="1" outlineLevel="1" x14ac:dyDescent="0.2">
      <c r="A511" s="527"/>
      <c r="B511" s="434"/>
      <c r="C511" s="434"/>
      <c r="D511" s="472"/>
      <c r="E511" s="445"/>
      <c r="F511" s="445"/>
      <c r="G511" s="632"/>
      <c r="H511" s="379" t="s">
        <v>1167</v>
      </c>
      <c r="I511" s="447"/>
      <c r="J511" s="12" t="s">
        <v>1168</v>
      </c>
      <c r="K511" s="415">
        <v>10000000</v>
      </c>
      <c r="L511" s="321">
        <v>44593</v>
      </c>
      <c r="M511" s="321">
        <v>44925</v>
      </c>
      <c r="N511" s="300">
        <v>44652</v>
      </c>
      <c r="O511" s="301">
        <f t="shared" si="38"/>
        <v>0.17771084337349397</v>
      </c>
      <c r="P511" s="301">
        <f t="shared" si="39"/>
        <v>0.17771084337349397</v>
      </c>
      <c r="Q511" s="302">
        <v>1</v>
      </c>
      <c r="R511" s="303">
        <v>0.25</v>
      </c>
      <c r="S511" s="303">
        <v>0.5</v>
      </c>
      <c r="T511" s="303">
        <v>0.75</v>
      </c>
      <c r="U511" s="303">
        <v>1</v>
      </c>
      <c r="V511" s="303"/>
      <c r="W511" s="383"/>
      <c r="X511" s="302"/>
      <c r="Y511" s="305"/>
      <c r="Z511" s="306"/>
      <c r="AA511" s="307"/>
      <c r="AB511" s="307"/>
      <c r="AC511" s="306"/>
      <c r="AD511" s="307"/>
      <c r="AE511" s="307"/>
      <c r="AF511" s="306"/>
      <c r="AG511" s="307"/>
      <c r="AH511" s="307"/>
      <c r="AI511" s="308"/>
    </row>
    <row r="512" spans="1:35" ht="93.75" customHeight="1" outlineLevel="1" x14ac:dyDescent="0.2">
      <c r="A512" s="527"/>
      <c r="B512" s="432" t="s">
        <v>958</v>
      </c>
      <c r="C512" s="432" t="s">
        <v>53</v>
      </c>
      <c r="D512" s="482" t="s">
        <v>12</v>
      </c>
      <c r="E512" s="342" t="s">
        <v>1081</v>
      </c>
      <c r="F512" s="342" t="s">
        <v>1169</v>
      </c>
      <c r="G512" s="343" t="s">
        <v>171</v>
      </c>
      <c r="H512" s="343" t="s">
        <v>1170</v>
      </c>
      <c r="I512" s="343" t="s">
        <v>875</v>
      </c>
      <c r="J512" s="12" t="s">
        <v>1171</v>
      </c>
      <c r="K512" s="12" t="s">
        <v>61</v>
      </c>
      <c r="L512" s="321">
        <v>44593</v>
      </c>
      <c r="M512" s="321">
        <v>44925</v>
      </c>
      <c r="N512" s="300">
        <v>44652</v>
      </c>
      <c r="O512" s="301">
        <f t="shared" si="38"/>
        <v>0.17771084337349397</v>
      </c>
      <c r="P512" s="301">
        <f t="shared" si="36"/>
        <v>0.17771084337349397</v>
      </c>
      <c r="Q512" s="302">
        <v>0.5</v>
      </c>
      <c r="R512" s="303">
        <v>0.01</v>
      </c>
      <c r="S512" s="303">
        <v>0.01</v>
      </c>
      <c r="T512" s="303">
        <v>0.02</v>
      </c>
      <c r="U512" s="303">
        <v>0.02</v>
      </c>
      <c r="V512" s="303"/>
      <c r="W512" s="383"/>
      <c r="X512" s="302"/>
      <c r="Y512" s="305"/>
      <c r="Z512" s="306"/>
      <c r="AA512" s="307"/>
      <c r="AB512" s="307"/>
      <c r="AC512" s="306"/>
      <c r="AD512" s="307"/>
      <c r="AE512" s="307"/>
      <c r="AF512" s="306"/>
      <c r="AG512" s="307"/>
      <c r="AH512" s="307"/>
      <c r="AI512" s="308"/>
    </row>
    <row r="513" spans="1:35" ht="96.75" customHeight="1" outlineLevel="1" x14ac:dyDescent="0.2">
      <c r="A513" s="527"/>
      <c r="B513" s="433"/>
      <c r="C513" s="433"/>
      <c r="D513" s="482"/>
      <c r="E513" s="510" t="s">
        <v>790</v>
      </c>
      <c r="F513" s="510" t="s">
        <v>838</v>
      </c>
      <c r="G513" s="467" t="s">
        <v>185</v>
      </c>
      <c r="H513" s="343" t="s">
        <v>1172</v>
      </c>
      <c r="I513" s="467" t="s">
        <v>792</v>
      </c>
      <c r="J513" s="12" t="s">
        <v>721</v>
      </c>
      <c r="K513" s="12" t="s">
        <v>61</v>
      </c>
      <c r="L513" s="321">
        <v>44593</v>
      </c>
      <c r="M513" s="321">
        <v>44925</v>
      </c>
      <c r="N513" s="300">
        <v>44652</v>
      </c>
      <c r="O513" s="301">
        <f t="shared" si="38"/>
        <v>0.17771084337349397</v>
      </c>
      <c r="P513" s="301">
        <f t="shared" si="36"/>
        <v>0.17771084337349397</v>
      </c>
      <c r="Q513" s="302" t="s">
        <v>61</v>
      </c>
      <c r="R513" s="303" t="s">
        <v>61</v>
      </c>
      <c r="S513" s="303" t="s">
        <v>61</v>
      </c>
      <c r="T513" s="303" t="s">
        <v>61</v>
      </c>
      <c r="U513" s="303" t="s">
        <v>61</v>
      </c>
      <c r="V513" s="303"/>
      <c r="W513" s="383"/>
      <c r="X513" s="302"/>
      <c r="Y513" s="305"/>
      <c r="Z513" s="306"/>
      <c r="AA513" s="307"/>
      <c r="AB513" s="307"/>
      <c r="AC513" s="306"/>
      <c r="AD513" s="307"/>
      <c r="AE513" s="307"/>
      <c r="AF513" s="306"/>
      <c r="AG513" s="307"/>
      <c r="AH513" s="307"/>
      <c r="AI513" s="308"/>
    </row>
    <row r="514" spans="1:35" ht="59.25" customHeight="1" outlineLevel="1" x14ac:dyDescent="0.2">
      <c r="A514" s="527"/>
      <c r="B514" s="433"/>
      <c r="C514" s="433"/>
      <c r="D514" s="482"/>
      <c r="E514" s="511"/>
      <c r="F514" s="511"/>
      <c r="G514" s="468"/>
      <c r="H514" s="343" t="s">
        <v>1173</v>
      </c>
      <c r="I514" s="468"/>
      <c r="J514" s="12" t="s">
        <v>163</v>
      </c>
      <c r="K514" s="415">
        <v>19000000</v>
      </c>
      <c r="L514" s="321">
        <v>44593</v>
      </c>
      <c r="M514" s="321">
        <v>44925</v>
      </c>
      <c r="N514" s="300">
        <v>44652</v>
      </c>
      <c r="O514" s="301">
        <f t="shared" si="38"/>
        <v>0.17771084337349397</v>
      </c>
      <c r="P514" s="301">
        <f t="shared" ref="P514:P519" si="40">+IF(O514&gt;=100,100,IF(O514&lt;=0,0,O514))</f>
        <v>0.17771084337349397</v>
      </c>
      <c r="Q514" s="302">
        <v>1</v>
      </c>
      <c r="R514" s="303">
        <v>0.25</v>
      </c>
      <c r="S514" s="303">
        <v>0.5</v>
      </c>
      <c r="T514" s="303">
        <v>0.75</v>
      </c>
      <c r="U514" s="303">
        <v>1</v>
      </c>
      <c r="V514" s="303"/>
      <c r="W514" s="383"/>
      <c r="X514" s="302"/>
      <c r="Y514" s="305"/>
      <c r="Z514" s="306"/>
      <c r="AA514" s="307"/>
      <c r="AB514" s="307"/>
      <c r="AC514" s="306"/>
      <c r="AD514" s="307"/>
      <c r="AE514" s="307"/>
      <c r="AF514" s="306"/>
      <c r="AG514" s="307"/>
      <c r="AH514" s="307"/>
      <c r="AI514" s="308"/>
    </row>
    <row r="515" spans="1:35" ht="46.5" customHeight="1" outlineLevel="1" x14ac:dyDescent="0.2">
      <c r="A515" s="527"/>
      <c r="B515" s="433"/>
      <c r="C515" s="433"/>
      <c r="D515" s="482"/>
      <c r="E515" s="511"/>
      <c r="F515" s="511"/>
      <c r="G515" s="468"/>
      <c r="H515" s="343" t="s">
        <v>1174</v>
      </c>
      <c r="I515" s="468"/>
      <c r="J515" s="12" t="s">
        <v>1175</v>
      </c>
      <c r="K515" s="415">
        <v>6000000</v>
      </c>
      <c r="L515" s="321">
        <v>44593</v>
      </c>
      <c r="M515" s="321">
        <v>44925</v>
      </c>
      <c r="N515" s="300">
        <v>44652</v>
      </c>
      <c r="O515" s="301">
        <f t="shared" si="38"/>
        <v>0.17771084337349397</v>
      </c>
      <c r="P515" s="301">
        <f t="shared" si="40"/>
        <v>0.17771084337349397</v>
      </c>
      <c r="Q515" s="302">
        <v>1</v>
      </c>
      <c r="R515" s="303">
        <v>0.25</v>
      </c>
      <c r="S515" s="303">
        <v>0.5</v>
      </c>
      <c r="T515" s="303">
        <v>0.75</v>
      </c>
      <c r="U515" s="303">
        <v>1</v>
      </c>
      <c r="V515" s="303"/>
      <c r="W515" s="383"/>
      <c r="X515" s="302"/>
      <c r="Y515" s="305"/>
      <c r="Z515" s="306"/>
      <c r="AA515" s="307"/>
      <c r="AB515" s="307"/>
      <c r="AC515" s="306"/>
      <c r="AD515" s="307"/>
      <c r="AE515" s="307"/>
      <c r="AF515" s="306"/>
      <c r="AG515" s="307"/>
      <c r="AH515" s="307"/>
      <c r="AI515" s="308"/>
    </row>
    <row r="516" spans="1:35" ht="72" customHeight="1" outlineLevel="1" x14ac:dyDescent="0.2">
      <c r="A516" s="527"/>
      <c r="B516" s="433"/>
      <c r="C516" s="433"/>
      <c r="D516" s="482"/>
      <c r="E516" s="511"/>
      <c r="F516" s="511"/>
      <c r="G516" s="468"/>
      <c r="H516" s="343" t="s">
        <v>1176</v>
      </c>
      <c r="I516" s="468"/>
      <c r="J516" s="12" t="s">
        <v>163</v>
      </c>
      <c r="K516" s="415">
        <v>4000000</v>
      </c>
      <c r="L516" s="321">
        <v>44593</v>
      </c>
      <c r="M516" s="321">
        <v>44925</v>
      </c>
      <c r="N516" s="300">
        <v>44652</v>
      </c>
      <c r="O516" s="301">
        <f t="shared" si="38"/>
        <v>0.17771084337349397</v>
      </c>
      <c r="P516" s="301">
        <f t="shared" si="40"/>
        <v>0.17771084337349397</v>
      </c>
      <c r="Q516" s="302">
        <v>1</v>
      </c>
      <c r="R516" s="303">
        <v>0.25</v>
      </c>
      <c r="S516" s="303">
        <v>0.5</v>
      </c>
      <c r="T516" s="303">
        <v>0.75</v>
      </c>
      <c r="U516" s="303">
        <v>1</v>
      </c>
      <c r="V516" s="303"/>
      <c r="W516" s="383"/>
      <c r="X516" s="302"/>
      <c r="Y516" s="305"/>
      <c r="Z516" s="306"/>
      <c r="AA516" s="307"/>
      <c r="AB516" s="307"/>
      <c r="AC516" s="306"/>
      <c r="AD516" s="307"/>
      <c r="AE516" s="307"/>
      <c r="AF516" s="306"/>
      <c r="AG516" s="307"/>
      <c r="AH516" s="307"/>
      <c r="AI516" s="308"/>
    </row>
    <row r="517" spans="1:35" ht="46.5" customHeight="1" outlineLevel="1" x14ac:dyDescent="0.2">
      <c r="A517" s="527"/>
      <c r="B517" s="433"/>
      <c r="C517" s="433"/>
      <c r="D517" s="482"/>
      <c r="E517" s="511"/>
      <c r="F517" s="511"/>
      <c r="G517" s="468"/>
      <c r="H517" s="343" t="s">
        <v>1177</v>
      </c>
      <c r="I517" s="468"/>
      <c r="J517" s="12" t="s">
        <v>163</v>
      </c>
      <c r="K517" s="415">
        <v>6000000</v>
      </c>
      <c r="L517" s="321">
        <v>44593</v>
      </c>
      <c r="M517" s="321">
        <v>44925</v>
      </c>
      <c r="N517" s="300">
        <v>44652</v>
      </c>
      <c r="O517" s="301">
        <f t="shared" si="38"/>
        <v>0.17771084337349397</v>
      </c>
      <c r="P517" s="301">
        <f t="shared" si="40"/>
        <v>0.17771084337349397</v>
      </c>
      <c r="Q517" s="302">
        <v>1</v>
      </c>
      <c r="R517" s="303">
        <v>0.25</v>
      </c>
      <c r="S517" s="303">
        <v>0.5</v>
      </c>
      <c r="T517" s="303">
        <v>0.75</v>
      </c>
      <c r="U517" s="303">
        <v>1</v>
      </c>
      <c r="V517" s="303"/>
      <c r="W517" s="383"/>
      <c r="X517" s="302"/>
      <c r="Y517" s="305"/>
      <c r="Z517" s="306"/>
      <c r="AA517" s="307"/>
      <c r="AB517" s="307"/>
      <c r="AC517" s="306"/>
      <c r="AD517" s="307"/>
      <c r="AE517" s="307"/>
      <c r="AF517" s="306"/>
      <c r="AG517" s="307"/>
      <c r="AH517" s="307"/>
      <c r="AI517" s="308"/>
    </row>
    <row r="518" spans="1:35" ht="161.25" customHeight="1" outlineLevel="1" x14ac:dyDescent="0.2">
      <c r="A518" s="527"/>
      <c r="B518" s="433"/>
      <c r="C518" s="433"/>
      <c r="D518" s="482"/>
      <c r="E518" s="511"/>
      <c r="F518" s="511"/>
      <c r="G518" s="468"/>
      <c r="H518" s="343" t="s">
        <v>1178</v>
      </c>
      <c r="I518" s="468"/>
      <c r="J518" s="12" t="s">
        <v>163</v>
      </c>
      <c r="K518" s="415">
        <v>20000000</v>
      </c>
      <c r="L518" s="321">
        <v>44593</v>
      </c>
      <c r="M518" s="321">
        <v>44925</v>
      </c>
      <c r="N518" s="300">
        <v>44652</v>
      </c>
      <c r="O518" s="301">
        <f t="shared" si="38"/>
        <v>0.17771084337349397</v>
      </c>
      <c r="P518" s="301">
        <f t="shared" si="40"/>
        <v>0.17771084337349397</v>
      </c>
      <c r="Q518" s="302">
        <v>1</v>
      </c>
      <c r="R518" s="303">
        <v>0.25</v>
      </c>
      <c r="S518" s="303">
        <v>0.5</v>
      </c>
      <c r="T518" s="303">
        <v>0.75</v>
      </c>
      <c r="U518" s="303">
        <v>1</v>
      </c>
      <c r="V518" s="303"/>
      <c r="W518" s="383"/>
      <c r="X518" s="302"/>
      <c r="Y518" s="305"/>
      <c r="Z518" s="306"/>
      <c r="AA518" s="307"/>
      <c r="AB518" s="307"/>
      <c r="AC518" s="306"/>
      <c r="AD518" s="307"/>
      <c r="AE518" s="307"/>
      <c r="AF518" s="306"/>
      <c r="AG518" s="307"/>
      <c r="AH518" s="307"/>
      <c r="AI518" s="308"/>
    </row>
    <row r="519" spans="1:35" ht="56.25" customHeight="1" outlineLevel="1" x14ac:dyDescent="0.2">
      <c r="A519" s="527"/>
      <c r="B519" s="433"/>
      <c r="C519" s="433"/>
      <c r="D519" s="483"/>
      <c r="E519" s="528"/>
      <c r="F519" s="528"/>
      <c r="G519" s="469"/>
      <c r="H519" s="343" t="s">
        <v>1179</v>
      </c>
      <c r="I519" s="469"/>
      <c r="J519" s="12" t="s">
        <v>1180</v>
      </c>
      <c r="K519" s="415">
        <v>25000000</v>
      </c>
      <c r="L519" s="321">
        <v>44593</v>
      </c>
      <c r="M519" s="321">
        <v>44925</v>
      </c>
      <c r="N519" s="300">
        <v>44652</v>
      </c>
      <c r="O519" s="301">
        <f t="shared" si="38"/>
        <v>0.17771084337349397</v>
      </c>
      <c r="P519" s="301">
        <f t="shared" si="40"/>
        <v>0.17771084337349397</v>
      </c>
      <c r="Q519" s="302">
        <v>1</v>
      </c>
      <c r="R519" s="303">
        <v>0.25</v>
      </c>
      <c r="S519" s="303">
        <v>0.5</v>
      </c>
      <c r="T519" s="303">
        <v>0.75</v>
      </c>
      <c r="U519" s="303">
        <v>1</v>
      </c>
      <c r="V519" s="303"/>
      <c r="W519" s="383"/>
      <c r="X519" s="302"/>
      <c r="Y519" s="305"/>
      <c r="Z519" s="306"/>
      <c r="AA519" s="307"/>
      <c r="AB519" s="307"/>
      <c r="AC519" s="306"/>
      <c r="AD519" s="307"/>
      <c r="AE519" s="307"/>
      <c r="AF519" s="306"/>
      <c r="AG519" s="307"/>
      <c r="AH519" s="307"/>
      <c r="AI519" s="308"/>
    </row>
    <row r="520" spans="1:35" ht="57" customHeight="1" thickBot="1" x14ac:dyDescent="0.25">
      <c r="A520" s="533" t="s">
        <v>1181</v>
      </c>
      <c r="B520" s="534"/>
      <c r="C520" s="534"/>
      <c r="D520" s="534"/>
      <c r="E520" s="534"/>
      <c r="F520" s="534"/>
      <c r="G520" s="534"/>
      <c r="H520" s="534"/>
      <c r="I520" s="534"/>
      <c r="J520" s="534"/>
      <c r="K520" s="534"/>
      <c r="L520" s="534"/>
      <c r="M520" s="535"/>
      <c r="N520" s="416">
        <v>44652</v>
      </c>
      <c r="O520" s="301"/>
      <c r="P520" s="315">
        <f t="array" ref="P520">+AVERAGE((P408:P513)*100)</f>
        <v>11.232666515117065</v>
      </c>
      <c r="Q520" s="316">
        <v>100</v>
      </c>
      <c r="R520" s="572"/>
      <c r="S520" s="573"/>
      <c r="T520" s="573"/>
      <c r="U520" s="574"/>
      <c r="V520" s="323"/>
      <c r="W520" s="383"/>
      <c r="X520" s="324"/>
      <c r="Y520" s="325"/>
      <c r="Z520" s="326"/>
      <c r="AA520" s="322"/>
      <c r="AB520" s="322"/>
      <c r="AC520" s="326"/>
      <c r="AD520" s="322"/>
      <c r="AE520" s="322"/>
      <c r="AF520" s="326"/>
      <c r="AG520" s="322"/>
      <c r="AH520" s="322"/>
      <c r="AI520" s="308"/>
    </row>
    <row r="521" spans="1:35" ht="18" customHeight="1" x14ac:dyDescent="0.2">
      <c r="A521" s="308"/>
      <c r="B521" s="308"/>
      <c r="C521" s="308"/>
      <c r="D521" s="308"/>
      <c r="E521" s="327"/>
      <c r="F521" s="327"/>
      <c r="G521" s="308"/>
      <c r="H521" s="308"/>
      <c r="I521" s="308"/>
      <c r="J521" s="328" t="s">
        <v>1182</v>
      </c>
      <c r="K521" s="328"/>
      <c r="L521" s="308"/>
      <c r="M521" s="308"/>
      <c r="N521" s="417"/>
      <c r="O521" s="308"/>
      <c r="P521" s="308"/>
      <c r="Q521" s="308"/>
      <c r="R521" s="308"/>
      <c r="S521" s="308"/>
      <c r="T521" s="308"/>
      <c r="U521" s="308"/>
      <c r="V521" s="329"/>
      <c r="W521" s="309"/>
      <c r="X521" s="308"/>
      <c r="Y521" s="308"/>
      <c r="Z521" s="330"/>
      <c r="AA521" s="308"/>
      <c r="AB521" s="308"/>
      <c r="AC521" s="330"/>
      <c r="AD521" s="308"/>
      <c r="AE521" s="308"/>
      <c r="AF521" s="330"/>
      <c r="AG521" s="308"/>
      <c r="AH521" s="308"/>
      <c r="AI521" s="308"/>
    </row>
    <row r="522" spans="1:35" ht="45" thickBot="1" x14ac:dyDescent="0.25">
      <c r="F522" s="283"/>
    </row>
    <row r="523" spans="1:35" ht="13.9" customHeight="1" thickTop="1" x14ac:dyDescent="0.2">
      <c r="A523" s="499" t="s">
        <v>1183</v>
      </c>
      <c r="B523" s="500"/>
      <c r="C523" s="500"/>
      <c r="D523" s="500"/>
      <c r="E523" s="500"/>
      <c r="F523" s="500"/>
      <c r="G523" s="500"/>
      <c r="H523" s="500"/>
      <c r="I523" s="521"/>
      <c r="J523" s="529" t="s">
        <v>1184</v>
      </c>
      <c r="K523" s="536"/>
      <c r="L523" s="536"/>
      <c r="M523" s="536"/>
      <c r="N523" s="536"/>
      <c r="O523" s="536"/>
      <c r="P523" s="536"/>
      <c r="Q523" s="537"/>
      <c r="R523" s="529" t="s">
        <v>1185</v>
      </c>
      <c r="S523" s="530"/>
      <c r="T523" s="499" t="s">
        <v>1186</v>
      </c>
      <c r="U523" s="500"/>
      <c r="V523" s="500"/>
      <c r="W523" s="500"/>
      <c r="X523" s="501"/>
      <c r="Y523" s="518">
        <v>1</v>
      </c>
    </row>
    <row r="524" spans="1:35" ht="13.15" customHeight="1" thickBot="1" x14ac:dyDescent="0.25">
      <c r="A524" s="502"/>
      <c r="B524" s="503"/>
      <c r="C524" s="503"/>
      <c r="D524" s="503"/>
      <c r="E524" s="503"/>
      <c r="F524" s="503"/>
      <c r="G524" s="503"/>
      <c r="H524" s="503"/>
      <c r="I524" s="522"/>
      <c r="J524" s="531"/>
      <c r="K524" s="538"/>
      <c r="L524" s="538"/>
      <c r="M524" s="538"/>
      <c r="N524" s="538"/>
      <c r="O524" s="538"/>
      <c r="P524" s="538"/>
      <c r="Q524" s="539"/>
      <c r="R524" s="531"/>
      <c r="S524" s="532"/>
      <c r="T524" s="502"/>
      <c r="U524" s="503"/>
      <c r="V524" s="503"/>
      <c r="W524" s="503"/>
      <c r="X524" s="504"/>
      <c r="Y524" s="519"/>
    </row>
    <row r="525" spans="1:35" ht="1.9" customHeight="1" x14ac:dyDescent="0.2">
      <c r="F525" s="283"/>
    </row>
    <row r="526" spans="1:35" x14ac:dyDescent="0.2">
      <c r="F526" s="283"/>
    </row>
    <row r="527" spans="1:35" x14ac:dyDescent="0.2">
      <c r="F527" s="283"/>
    </row>
    <row r="528" spans="1:35" x14ac:dyDescent="0.2">
      <c r="F528" s="283"/>
    </row>
    <row r="529" spans="6:6" x14ac:dyDescent="0.2">
      <c r="F529" s="283"/>
    </row>
    <row r="530" spans="6:6" x14ac:dyDescent="0.2">
      <c r="F530" s="283"/>
    </row>
    <row r="531" spans="6:6" x14ac:dyDescent="0.2">
      <c r="F531" s="283"/>
    </row>
    <row r="532" spans="6:6" x14ac:dyDescent="0.2">
      <c r="F532" s="283"/>
    </row>
    <row r="533" spans="6:6" x14ac:dyDescent="0.2">
      <c r="F533" s="283"/>
    </row>
    <row r="534" spans="6:6" x14ac:dyDescent="0.2">
      <c r="F534" s="283"/>
    </row>
    <row r="535" spans="6:6" x14ac:dyDescent="0.2">
      <c r="F535" s="283"/>
    </row>
    <row r="536" spans="6:6" x14ac:dyDescent="0.2">
      <c r="F536" s="283"/>
    </row>
    <row r="537" spans="6:6" x14ac:dyDescent="0.2">
      <c r="F537" s="283"/>
    </row>
    <row r="538" spans="6:6" x14ac:dyDescent="0.2">
      <c r="F538" s="283"/>
    </row>
    <row r="539" spans="6:6" x14ac:dyDescent="0.2">
      <c r="F539" s="283"/>
    </row>
    <row r="540" spans="6:6" x14ac:dyDescent="0.2">
      <c r="F540" s="283"/>
    </row>
    <row r="541" spans="6:6" x14ac:dyDescent="0.2">
      <c r="F541" s="283"/>
    </row>
    <row r="542" spans="6:6" x14ac:dyDescent="0.2">
      <c r="F542" s="283"/>
    </row>
    <row r="543" spans="6:6" x14ac:dyDescent="0.2">
      <c r="F543" s="283"/>
    </row>
    <row r="544" spans="6:6" x14ac:dyDescent="0.2">
      <c r="F544" s="283"/>
    </row>
    <row r="545" spans="6:6" x14ac:dyDescent="0.2">
      <c r="F545" s="283"/>
    </row>
    <row r="546" spans="6:6" x14ac:dyDescent="0.2">
      <c r="F546" s="283"/>
    </row>
    <row r="547" spans="6:6" x14ac:dyDescent="0.2">
      <c r="F547" s="283"/>
    </row>
    <row r="548" spans="6:6" x14ac:dyDescent="0.2">
      <c r="F548" s="283"/>
    </row>
    <row r="549" spans="6:6" x14ac:dyDescent="0.2">
      <c r="F549" s="283"/>
    </row>
    <row r="550" spans="6:6" x14ac:dyDescent="0.2">
      <c r="F550" s="283"/>
    </row>
    <row r="551" spans="6:6" x14ac:dyDescent="0.2">
      <c r="F551" s="283"/>
    </row>
    <row r="552" spans="6:6" x14ac:dyDescent="0.2">
      <c r="F552" s="283"/>
    </row>
    <row r="553" spans="6:6" x14ac:dyDescent="0.2">
      <c r="F553" s="283"/>
    </row>
    <row r="554" spans="6:6" x14ac:dyDescent="0.2">
      <c r="F554" s="283"/>
    </row>
    <row r="555" spans="6:6" x14ac:dyDescent="0.2">
      <c r="F555" s="283"/>
    </row>
    <row r="556" spans="6:6" x14ac:dyDescent="0.2">
      <c r="F556" s="283"/>
    </row>
    <row r="557" spans="6:6" x14ac:dyDescent="0.2">
      <c r="F557" s="283"/>
    </row>
    <row r="558" spans="6:6" x14ac:dyDescent="0.2">
      <c r="F558" s="283"/>
    </row>
    <row r="559" spans="6:6" x14ac:dyDescent="0.2">
      <c r="F559" s="283"/>
    </row>
    <row r="560" spans="6:6" x14ac:dyDescent="0.2">
      <c r="F560" s="283"/>
    </row>
    <row r="561" spans="6:6" x14ac:dyDescent="0.2">
      <c r="F561" s="283"/>
    </row>
    <row r="562" spans="6:6" x14ac:dyDescent="0.2">
      <c r="F562" s="283"/>
    </row>
    <row r="563" spans="6:6" x14ac:dyDescent="0.2">
      <c r="F563" s="283"/>
    </row>
    <row r="564" spans="6:6" x14ac:dyDescent="0.2">
      <c r="F564" s="283"/>
    </row>
    <row r="565" spans="6:6" x14ac:dyDescent="0.2">
      <c r="F565" s="283"/>
    </row>
    <row r="566" spans="6:6" x14ac:dyDescent="0.2">
      <c r="F566" s="283"/>
    </row>
    <row r="567" spans="6:6" x14ac:dyDescent="0.2">
      <c r="F567" s="283"/>
    </row>
    <row r="568" spans="6:6" x14ac:dyDescent="0.2">
      <c r="F568" s="283"/>
    </row>
    <row r="569" spans="6:6" x14ac:dyDescent="0.2">
      <c r="F569" s="283"/>
    </row>
    <row r="570" spans="6:6" x14ac:dyDescent="0.2">
      <c r="F570" s="283"/>
    </row>
    <row r="571" spans="6:6" x14ac:dyDescent="0.2">
      <c r="F571" s="283"/>
    </row>
    <row r="572" spans="6:6" x14ac:dyDescent="0.2">
      <c r="F572" s="283"/>
    </row>
    <row r="573" spans="6:6" x14ac:dyDescent="0.2">
      <c r="F573" s="283"/>
    </row>
    <row r="574" spans="6:6" x14ac:dyDescent="0.2">
      <c r="F574" s="283"/>
    </row>
    <row r="575" spans="6:6" x14ac:dyDescent="0.2">
      <c r="F575" s="283"/>
    </row>
    <row r="576" spans="6:6" x14ac:dyDescent="0.2">
      <c r="F576" s="283"/>
    </row>
    <row r="577" spans="6:6" x14ac:dyDescent="0.2">
      <c r="F577" s="283"/>
    </row>
    <row r="578" spans="6:6" x14ac:dyDescent="0.2">
      <c r="F578" s="283"/>
    </row>
    <row r="579" spans="6:6" x14ac:dyDescent="0.2">
      <c r="F579" s="283"/>
    </row>
    <row r="580" spans="6:6" x14ac:dyDescent="0.2">
      <c r="F580" s="283"/>
    </row>
    <row r="581" spans="6:6" x14ac:dyDescent="0.2">
      <c r="F581" s="283"/>
    </row>
    <row r="582" spans="6:6" x14ac:dyDescent="0.2">
      <c r="F582" s="283"/>
    </row>
    <row r="583" spans="6:6" x14ac:dyDescent="0.2">
      <c r="F583" s="283"/>
    </row>
    <row r="584" spans="6:6" x14ac:dyDescent="0.2">
      <c r="F584" s="283"/>
    </row>
    <row r="585" spans="6:6" x14ac:dyDescent="0.2">
      <c r="F585" s="283"/>
    </row>
    <row r="586" spans="6:6" x14ac:dyDescent="0.2">
      <c r="F586" s="283"/>
    </row>
    <row r="587" spans="6:6" x14ac:dyDescent="0.2">
      <c r="F587" s="283"/>
    </row>
    <row r="588" spans="6:6" x14ac:dyDescent="0.2">
      <c r="F588" s="283"/>
    </row>
    <row r="589" spans="6:6" x14ac:dyDescent="0.2">
      <c r="F589" s="283"/>
    </row>
    <row r="590" spans="6:6" x14ac:dyDescent="0.2">
      <c r="F590" s="283"/>
    </row>
    <row r="591" spans="6:6" x14ac:dyDescent="0.2">
      <c r="F591" s="283"/>
    </row>
    <row r="592" spans="6:6" x14ac:dyDescent="0.2">
      <c r="F592" s="283"/>
    </row>
    <row r="593" spans="6:6" x14ac:dyDescent="0.2">
      <c r="F593" s="283"/>
    </row>
    <row r="594" spans="6:6" x14ac:dyDescent="0.2">
      <c r="F594" s="283"/>
    </row>
    <row r="595" spans="6:6" x14ac:dyDescent="0.2">
      <c r="F595" s="283"/>
    </row>
    <row r="596" spans="6:6" x14ac:dyDescent="0.2">
      <c r="F596" s="283"/>
    </row>
    <row r="597" spans="6:6" x14ac:dyDescent="0.2">
      <c r="F597" s="283"/>
    </row>
    <row r="598" spans="6:6" x14ac:dyDescent="0.2">
      <c r="F598" s="283"/>
    </row>
    <row r="599" spans="6:6" x14ac:dyDescent="0.2">
      <c r="F599" s="283"/>
    </row>
    <row r="600" spans="6:6" x14ac:dyDescent="0.2">
      <c r="F600" s="283"/>
    </row>
    <row r="601" spans="6:6" x14ac:dyDescent="0.2">
      <c r="F601" s="283"/>
    </row>
    <row r="602" spans="6:6" x14ac:dyDescent="0.2">
      <c r="F602" s="283"/>
    </row>
    <row r="603" spans="6:6" x14ac:dyDescent="0.2">
      <c r="F603" s="283"/>
    </row>
    <row r="604" spans="6:6" x14ac:dyDescent="0.2">
      <c r="F604" s="283"/>
    </row>
    <row r="605" spans="6:6" x14ac:dyDescent="0.2">
      <c r="F605" s="283"/>
    </row>
    <row r="606" spans="6:6" x14ac:dyDescent="0.2">
      <c r="F606" s="283"/>
    </row>
    <row r="607" spans="6:6" x14ac:dyDescent="0.2">
      <c r="F607" s="283"/>
    </row>
    <row r="608" spans="6:6" x14ac:dyDescent="0.2">
      <c r="F608" s="283"/>
    </row>
    <row r="609" spans="6:6" x14ac:dyDescent="0.2">
      <c r="F609" s="283"/>
    </row>
    <row r="610" spans="6:6" x14ac:dyDescent="0.2">
      <c r="F610" s="283"/>
    </row>
    <row r="611" spans="6:6" x14ac:dyDescent="0.2">
      <c r="F611" s="283"/>
    </row>
    <row r="612" spans="6:6" x14ac:dyDescent="0.2">
      <c r="F612" s="283"/>
    </row>
    <row r="613" spans="6:6" x14ac:dyDescent="0.2">
      <c r="F613" s="283"/>
    </row>
    <row r="614" spans="6:6" x14ac:dyDescent="0.2">
      <c r="F614" s="283"/>
    </row>
    <row r="615" spans="6:6" x14ac:dyDescent="0.2">
      <c r="F615" s="283"/>
    </row>
    <row r="616" spans="6:6" x14ac:dyDescent="0.2">
      <c r="F616" s="283"/>
    </row>
    <row r="617" spans="6:6" x14ac:dyDescent="0.2">
      <c r="F617" s="283"/>
    </row>
    <row r="618" spans="6:6" x14ac:dyDescent="0.2">
      <c r="F618" s="283"/>
    </row>
    <row r="619" spans="6:6" x14ac:dyDescent="0.2">
      <c r="F619" s="283"/>
    </row>
    <row r="620" spans="6:6" x14ac:dyDescent="0.2">
      <c r="F620" s="283"/>
    </row>
    <row r="621" spans="6:6" x14ac:dyDescent="0.2">
      <c r="F621" s="283"/>
    </row>
    <row r="622" spans="6:6" x14ac:dyDescent="0.2">
      <c r="F622" s="283"/>
    </row>
    <row r="623" spans="6:6" x14ac:dyDescent="0.2">
      <c r="F623" s="283"/>
    </row>
    <row r="624" spans="6:6" x14ac:dyDescent="0.2">
      <c r="F624" s="283"/>
    </row>
    <row r="625" spans="6:6" x14ac:dyDescent="0.2">
      <c r="F625" s="283"/>
    </row>
    <row r="626" spans="6:6" x14ac:dyDescent="0.2">
      <c r="F626" s="283"/>
    </row>
    <row r="627" spans="6:6" x14ac:dyDescent="0.2">
      <c r="F627" s="283"/>
    </row>
    <row r="628" spans="6:6" x14ac:dyDescent="0.2">
      <c r="F628" s="283"/>
    </row>
    <row r="629" spans="6:6" x14ac:dyDescent="0.2">
      <c r="F629" s="283"/>
    </row>
    <row r="630" spans="6:6" x14ac:dyDescent="0.2">
      <c r="F630" s="283"/>
    </row>
    <row r="631" spans="6:6" x14ac:dyDescent="0.2">
      <c r="F631" s="283"/>
    </row>
    <row r="632" spans="6:6" x14ac:dyDescent="0.2">
      <c r="F632" s="283"/>
    </row>
    <row r="633" spans="6:6" x14ac:dyDescent="0.2">
      <c r="F633" s="283"/>
    </row>
    <row r="634" spans="6:6" x14ac:dyDescent="0.2">
      <c r="F634" s="283"/>
    </row>
    <row r="635" spans="6:6" x14ac:dyDescent="0.2">
      <c r="F635" s="283"/>
    </row>
    <row r="636" spans="6:6" x14ac:dyDescent="0.2">
      <c r="F636" s="283"/>
    </row>
    <row r="637" spans="6:6" x14ac:dyDescent="0.2">
      <c r="F637" s="283"/>
    </row>
    <row r="638" spans="6:6" x14ac:dyDescent="0.2">
      <c r="F638" s="283"/>
    </row>
    <row r="639" spans="6:6" x14ac:dyDescent="0.2">
      <c r="F639" s="283"/>
    </row>
    <row r="640" spans="6:6" x14ac:dyDescent="0.2">
      <c r="F640" s="283"/>
    </row>
    <row r="641" spans="6:6" x14ac:dyDescent="0.2">
      <c r="F641" s="283"/>
    </row>
    <row r="642" spans="6:6" x14ac:dyDescent="0.2">
      <c r="F642" s="283"/>
    </row>
    <row r="643" spans="6:6" x14ac:dyDescent="0.2">
      <c r="F643" s="283"/>
    </row>
    <row r="644" spans="6:6" x14ac:dyDescent="0.2">
      <c r="F644" s="283"/>
    </row>
    <row r="645" spans="6:6" x14ac:dyDescent="0.2">
      <c r="F645" s="283"/>
    </row>
    <row r="646" spans="6:6" x14ac:dyDescent="0.2">
      <c r="F646" s="283"/>
    </row>
    <row r="647" spans="6:6" x14ac:dyDescent="0.2">
      <c r="F647" s="283"/>
    </row>
    <row r="648" spans="6:6" x14ac:dyDescent="0.2">
      <c r="F648" s="283"/>
    </row>
    <row r="649" spans="6:6" x14ac:dyDescent="0.2">
      <c r="F649" s="283"/>
    </row>
    <row r="650" spans="6:6" x14ac:dyDescent="0.2">
      <c r="F650" s="283"/>
    </row>
    <row r="651" spans="6:6" x14ac:dyDescent="0.2">
      <c r="F651" s="283"/>
    </row>
    <row r="652" spans="6:6" x14ac:dyDescent="0.2">
      <c r="F652" s="283"/>
    </row>
    <row r="653" spans="6:6" x14ac:dyDescent="0.2">
      <c r="F653" s="283"/>
    </row>
    <row r="654" spans="6:6" x14ac:dyDescent="0.2">
      <c r="F654" s="283"/>
    </row>
    <row r="655" spans="6:6" x14ac:dyDescent="0.2">
      <c r="F655" s="283"/>
    </row>
    <row r="656" spans="6:6" x14ac:dyDescent="0.2">
      <c r="F656" s="283"/>
    </row>
    <row r="657" spans="6:6" x14ac:dyDescent="0.2">
      <c r="F657" s="283"/>
    </row>
    <row r="658" spans="6:6" x14ac:dyDescent="0.2">
      <c r="F658" s="283"/>
    </row>
    <row r="659" spans="6:6" x14ac:dyDescent="0.2">
      <c r="F659" s="283"/>
    </row>
    <row r="660" spans="6:6" x14ac:dyDescent="0.2">
      <c r="F660" s="283"/>
    </row>
    <row r="661" spans="6:6" x14ac:dyDescent="0.2">
      <c r="F661" s="283"/>
    </row>
    <row r="662" spans="6:6" x14ac:dyDescent="0.2">
      <c r="F662" s="283"/>
    </row>
    <row r="663" spans="6:6" x14ac:dyDescent="0.2">
      <c r="F663" s="283"/>
    </row>
    <row r="664" spans="6:6" x14ac:dyDescent="0.2">
      <c r="F664" s="283"/>
    </row>
    <row r="665" spans="6:6" x14ac:dyDescent="0.2">
      <c r="F665" s="283"/>
    </row>
    <row r="666" spans="6:6" x14ac:dyDescent="0.2">
      <c r="F666" s="283"/>
    </row>
    <row r="667" spans="6:6" x14ac:dyDescent="0.2">
      <c r="F667" s="283"/>
    </row>
    <row r="668" spans="6:6" x14ac:dyDescent="0.2">
      <c r="F668" s="283"/>
    </row>
    <row r="669" spans="6:6" x14ac:dyDescent="0.2">
      <c r="F669" s="283"/>
    </row>
    <row r="670" spans="6:6" x14ac:dyDescent="0.2">
      <c r="F670" s="283"/>
    </row>
    <row r="671" spans="6:6" x14ac:dyDescent="0.2">
      <c r="F671" s="283"/>
    </row>
    <row r="672" spans="6:6" x14ac:dyDescent="0.2">
      <c r="F672" s="283"/>
    </row>
    <row r="673" spans="6:6" x14ac:dyDescent="0.2">
      <c r="F673" s="283"/>
    </row>
    <row r="674" spans="6:6" x14ac:dyDescent="0.2">
      <c r="F674" s="283"/>
    </row>
    <row r="675" spans="6:6" x14ac:dyDescent="0.2">
      <c r="F675" s="283"/>
    </row>
    <row r="676" spans="6:6" x14ac:dyDescent="0.2">
      <c r="F676" s="283"/>
    </row>
    <row r="677" spans="6:6" x14ac:dyDescent="0.2">
      <c r="F677" s="283"/>
    </row>
    <row r="678" spans="6:6" x14ac:dyDescent="0.2">
      <c r="F678" s="283"/>
    </row>
    <row r="679" spans="6:6" x14ac:dyDescent="0.2">
      <c r="F679" s="283"/>
    </row>
    <row r="680" spans="6:6" x14ac:dyDescent="0.2">
      <c r="F680" s="283"/>
    </row>
    <row r="681" spans="6:6" x14ac:dyDescent="0.2">
      <c r="F681" s="283"/>
    </row>
    <row r="682" spans="6:6" x14ac:dyDescent="0.2">
      <c r="F682" s="283"/>
    </row>
    <row r="683" spans="6:6" x14ac:dyDescent="0.2">
      <c r="F683" s="283"/>
    </row>
    <row r="684" spans="6:6" x14ac:dyDescent="0.2">
      <c r="F684" s="283"/>
    </row>
    <row r="685" spans="6:6" x14ac:dyDescent="0.2">
      <c r="F685" s="283"/>
    </row>
    <row r="686" spans="6:6" x14ac:dyDescent="0.2">
      <c r="F686" s="283"/>
    </row>
    <row r="687" spans="6:6" x14ac:dyDescent="0.2">
      <c r="F687" s="283"/>
    </row>
    <row r="688" spans="6:6" x14ac:dyDescent="0.2">
      <c r="F688" s="283"/>
    </row>
    <row r="689" spans="6:6" x14ac:dyDescent="0.2">
      <c r="F689" s="283"/>
    </row>
    <row r="690" spans="6:6" x14ac:dyDescent="0.2">
      <c r="F690" s="283"/>
    </row>
    <row r="691" spans="6:6" x14ac:dyDescent="0.2">
      <c r="F691" s="283"/>
    </row>
    <row r="692" spans="6:6" x14ac:dyDescent="0.2">
      <c r="F692" s="283"/>
    </row>
    <row r="693" spans="6:6" x14ac:dyDescent="0.2">
      <c r="F693" s="283"/>
    </row>
    <row r="694" spans="6:6" x14ac:dyDescent="0.2">
      <c r="F694" s="283"/>
    </row>
    <row r="695" spans="6:6" x14ac:dyDescent="0.2">
      <c r="F695" s="283"/>
    </row>
    <row r="696" spans="6:6" x14ac:dyDescent="0.2">
      <c r="F696" s="283"/>
    </row>
    <row r="697" spans="6:6" x14ac:dyDescent="0.2">
      <c r="F697" s="283"/>
    </row>
    <row r="698" spans="6:6" x14ac:dyDescent="0.2">
      <c r="F698" s="283"/>
    </row>
    <row r="699" spans="6:6" x14ac:dyDescent="0.2">
      <c r="F699" s="283"/>
    </row>
    <row r="700" spans="6:6" x14ac:dyDescent="0.2">
      <c r="F700" s="283"/>
    </row>
    <row r="701" spans="6:6" x14ac:dyDescent="0.2">
      <c r="F701" s="283"/>
    </row>
    <row r="702" spans="6:6" x14ac:dyDescent="0.2">
      <c r="F702" s="283"/>
    </row>
    <row r="703" spans="6:6" x14ac:dyDescent="0.2">
      <c r="F703" s="283"/>
    </row>
    <row r="704" spans="6:6" x14ac:dyDescent="0.2">
      <c r="F704" s="283"/>
    </row>
    <row r="705" spans="6:6" x14ac:dyDescent="0.2">
      <c r="F705" s="283"/>
    </row>
    <row r="706" spans="6:6" x14ac:dyDescent="0.2">
      <c r="F706" s="283"/>
    </row>
    <row r="707" spans="6:6" x14ac:dyDescent="0.2">
      <c r="F707" s="283"/>
    </row>
    <row r="708" spans="6:6" x14ac:dyDescent="0.2">
      <c r="F708" s="283"/>
    </row>
    <row r="709" spans="6:6" x14ac:dyDescent="0.2">
      <c r="F709" s="283"/>
    </row>
    <row r="710" spans="6:6" x14ac:dyDescent="0.2">
      <c r="F710" s="283"/>
    </row>
    <row r="711" spans="6:6" x14ac:dyDescent="0.2">
      <c r="F711" s="283"/>
    </row>
    <row r="712" spans="6:6" x14ac:dyDescent="0.2">
      <c r="F712" s="283"/>
    </row>
    <row r="713" spans="6:6" x14ac:dyDescent="0.2">
      <c r="F713" s="283"/>
    </row>
    <row r="714" spans="6:6" x14ac:dyDescent="0.2">
      <c r="F714" s="283"/>
    </row>
    <row r="715" spans="6:6" x14ac:dyDescent="0.2">
      <c r="F715" s="283"/>
    </row>
    <row r="716" spans="6:6" x14ac:dyDescent="0.2">
      <c r="F716" s="283"/>
    </row>
    <row r="717" spans="6:6" x14ac:dyDescent="0.2">
      <c r="F717" s="283"/>
    </row>
    <row r="718" spans="6:6" x14ac:dyDescent="0.2">
      <c r="F718" s="283"/>
    </row>
    <row r="719" spans="6:6" x14ac:dyDescent="0.2">
      <c r="F719" s="283"/>
    </row>
    <row r="720" spans="6:6" x14ac:dyDescent="0.2">
      <c r="F720" s="283"/>
    </row>
    <row r="721" spans="6:6" x14ac:dyDescent="0.2">
      <c r="F721" s="283"/>
    </row>
    <row r="722" spans="6:6" x14ac:dyDescent="0.2">
      <c r="F722" s="283"/>
    </row>
    <row r="723" spans="6:6" x14ac:dyDescent="0.2">
      <c r="F723" s="283"/>
    </row>
    <row r="724" spans="6:6" x14ac:dyDescent="0.2">
      <c r="F724" s="283"/>
    </row>
    <row r="725" spans="6:6" x14ac:dyDescent="0.2">
      <c r="F725" s="283"/>
    </row>
    <row r="726" spans="6:6" x14ac:dyDescent="0.2">
      <c r="F726" s="283"/>
    </row>
    <row r="727" spans="6:6" x14ac:dyDescent="0.2">
      <c r="F727" s="283"/>
    </row>
    <row r="728" spans="6:6" x14ac:dyDescent="0.2">
      <c r="F728" s="283"/>
    </row>
    <row r="729" spans="6:6" x14ac:dyDescent="0.2">
      <c r="F729" s="283"/>
    </row>
    <row r="730" spans="6:6" x14ac:dyDescent="0.2">
      <c r="F730" s="283"/>
    </row>
    <row r="731" spans="6:6" x14ac:dyDescent="0.2">
      <c r="F731" s="283"/>
    </row>
    <row r="732" spans="6:6" x14ac:dyDescent="0.2">
      <c r="F732" s="283"/>
    </row>
    <row r="733" spans="6:6" x14ac:dyDescent="0.2">
      <c r="F733" s="283"/>
    </row>
    <row r="734" spans="6:6" x14ac:dyDescent="0.2">
      <c r="F734" s="283"/>
    </row>
    <row r="735" spans="6:6" x14ac:dyDescent="0.2">
      <c r="F735" s="283"/>
    </row>
    <row r="736" spans="6:6" x14ac:dyDescent="0.2">
      <c r="F736" s="283"/>
    </row>
    <row r="737" spans="6:6" x14ac:dyDescent="0.2">
      <c r="F737" s="283"/>
    </row>
    <row r="738" spans="6:6" x14ac:dyDescent="0.2">
      <c r="F738" s="283"/>
    </row>
    <row r="739" spans="6:6" x14ac:dyDescent="0.2">
      <c r="F739" s="283"/>
    </row>
    <row r="740" spans="6:6" x14ac:dyDescent="0.2">
      <c r="F740" s="283"/>
    </row>
    <row r="741" spans="6:6" x14ac:dyDescent="0.2">
      <c r="F741" s="283"/>
    </row>
    <row r="742" spans="6:6" x14ac:dyDescent="0.2">
      <c r="F742" s="283"/>
    </row>
    <row r="743" spans="6:6" x14ac:dyDescent="0.2">
      <c r="F743" s="283"/>
    </row>
    <row r="744" spans="6:6" x14ac:dyDescent="0.2">
      <c r="F744" s="283"/>
    </row>
    <row r="745" spans="6:6" x14ac:dyDescent="0.2">
      <c r="F745" s="283"/>
    </row>
    <row r="746" spans="6:6" x14ac:dyDescent="0.2">
      <c r="F746" s="283"/>
    </row>
    <row r="747" spans="6:6" x14ac:dyDescent="0.2">
      <c r="F747" s="283"/>
    </row>
    <row r="748" spans="6:6" x14ac:dyDescent="0.2">
      <c r="F748" s="283"/>
    </row>
    <row r="749" spans="6:6" x14ac:dyDescent="0.2">
      <c r="F749" s="283"/>
    </row>
    <row r="750" spans="6:6" x14ac:dyDescent="0.2">
      <c r="F750" s="283"/>
    </row>
    <row r="751" spans="6:6" x14ac:dyDescent="0.2">
      <c r="F751" s="283"/>
    </row>
    <row r="752" spans="6:6" x14ac:dyDescent="0.2">
      <c r="F752" s="283"/>
    </row>
    <row r="753" spans="6:6" x14ac:dyDescent="0.2">
      <c r="F753" s="283"/>
    </row>
    <row r="754" spans="6:6" x14ac:dyDescent="0.2">
      <c r="F754" s="283"/>
    </row>
    <row r="755" spans="6:6" x14ac:dyDescent="0.2">
      <c r="F755" s="283"/>
    </row>
    <row r="756" spans="6:6" x14ac:dyDescent="0.2">
      <c r="F756" s="283"/>
    </row>
    <row r="757" spans="6:6" x14ac:dyDescent="0.2">
      <c r="F757" s="283"/>
    </row>
    <row r="758" spans="6:6" x14ac:dyDescent="0.2">
      <c r="F758" s="283"/>
    </row>
    <row r="759" spans="6:6" x14ac:dyDescent="0.2">
      <c r="F759" s="283"/>
    </row>
    <row r="760" spans="6:6" x14ac:dyDescent="0.2">
      <c r="F760" s="283"/>
    </row>
    <row r="761" spans="6:6" x14ac:dyDescent="0.2">
      <c r="F761" s="283"/>
    </row>
    <row r="762" spans="6:6" x14ac:dyDescent="0.2">
      <c r="F762" s="283"/>
    </row>
    <row r="763" spans="6:6" x14ac:dyDescent="0.2">
      <c r="F763" s="283"/>
    </row>
    <row r="764" spans="6:6" x14ac:dyDescent="0.2">
      <c r="F764" s="283"/>
    </row>
    <row r="765" spans="6:6" x14ac:dyDescent="0.2">
      <c r="F765" s="283"/>
    </row>
    <row r="766" spans="6:6" x14ac:dyDescent="0.2">
      <c r="F766" s="283"/>
    </row>
    <row r="767" spans="6:6" x14ac:dyDescent="0.2">
      <c r="F767" s="283"/>
    </row>
    <row r="768" spans="6:6" x14ac:dyDescent="0.2">
      <c r="F768" s="283"/>
    </row>
    <row r="769" spans="6:6" x14ac:dyDescent="0.2">
      <c r="F769" s="283"/>
    </row>
    <row r="770" spans="6:6" x14ac:dyDescent="0.2">
      <c r="F770" s="283"/>
    </row>
    <row r="771" spans="6:6" x14ac:dyDescent="0.2">
      <c r="F771" s="283"/>
    </row>
    <row r="772" spans="6:6" x14ac:dyDescent="0.2">
      <c r="F772" s="283"/>
    </row>
    <row r="773" spans="6:6" x14ac:dyDescent="0.2">
      <c r="F773" s="283"/>
    </row>
    <row r="774" spans="6:6" x14ac:dyDescent="0.2">
      <c r="F774" s="283"/>
    </row>
    <row r="775" spans="6:6" x14ac:dyDescent="0.2">
      <c r="F775" s="283"/>
    </row>
    <row r="776" spans="6:6" x14ac:dyDescent="0.2">
      <c r="F776" s="283"/>
    </row>
    <row r="777" spans="6:6" x14ac:dyDescent="0.2">
      <c r="F777" s="283"/>
    </row>
    <row r="778" spans="6:6" x14ac:dyDescent="0.2">
      <c r="F778" s="283"/>
    </row>
    <row r="779" spans="6:6" x14ac:dyDescent="0.2">
      <c r="F779" s="283"/>
    </row>
    <row r="780" spans="6:6" x14ac:dyDescent="0.2">
      <c r="F780" s="283"/>
    </row>
    <row r="781" spans="6:6" x14ac:dyDescent="0.2">
      <c r="F781" s="283"/>
    </row>
    <row r="782" spans="6:6" x14ac:dyDescent="0.2">
      <c r="F782" s="283"/>
    </row>
    <row r="783" spans="6:6" x14ac:dyDescent="0.2">
      <c r="F783" s="283"/>
    </row>
    <row r="784" spans="6:6" x14ac:dyDescent="0.2">
      <c r="F784" s="283"/>
    </row>
    <row r="785" spans="6:6" x14ac:dyDescent="0.2">
      <c r="F785" s="283"/>
    </row>
    <row r="786" spans="6:6" x14ac:dyDescent="0.2">
      <c r="F786" s="283"/>
    </row>
    <row r="787" spans="6:6" x14ac:dyDescent="0.2">
      <c r="F787" s="283"/>
    </row>
    <row r="788" spans="6:6" x14ac:dyDescent="0.2">
      <c r="F788" s="283"/>
    </row>
    <row r="789" spans="6:6" x14ac:dyDescent="0.2">
      <c r="F789" s="283"/>
    </row>
    <row r="790" spans="6:6" x14ac:dyDescent="0.2">
      <c r="F790" s="283"/>
    </row>
    <row r="791" spans="6:6" x14ac:dyDescent="0.2">
      <c r="F791" s="283"/>
    </row>
    <row r="792" spans="6:6" x14ac:dyDescent="0.2">
      <c r="F792" s="283"/>
    </row>
    <row r="793" spans="6:6" x14ac:dyDescent="0.2">
      <c r="F793" s="283"/>
    </row>
    <row r="794" spans="6:6" x14ac:dyDescent="0.2">
      <c r="F794" s="283"/>
    </row>
    <row r="795" spans="6:6" x14ac:dyDescent="0.2">
      <c r="F795" s="283"/>
    </row>
    <row r="796" spans="6:6" x14ac:dyDescent="0.2">
      <c r="F796" s="283"/>
    </row>
    <row r="797" spans="6:6" x14ac:dyDescent="0.2">
      <c r="F797" s="283"/>
    </row>
    <row r="798" spans="6:6" x14ac:dyDescent="0.2">
      <c r="F798" s="283"/>
    </row>
    <row r="799" spans="6:6" x14ac:dyDescent="0.2">
      <c r="F799" s="283"/>
    </row>
    <row r="800" spans="6:6" x14ac:dyDescent="0.2">
      <c r="F800" s="283"/>
    </row>
    <row r="801" spans="6:6" x14ac:dyDescent="0.2">
      <c r="F801" s="283"/>
    </row>
    <row r="802" spans="6:6" x14ac:dyDescent="0.2">
      <c r="F802" s="283"/>
    </row>
    <row r="803" spans="6:6" x14ac:dyDescent="0.2">
      <c r="F803" s="283"/>
    </row>
    <row r="804" spans="6:6" x14ac:dyDescent="0.2">
      <c r="F804" s="283"/>
    </row>
    <row r="805" spans="6:6" x14ac:dyDescent="0.2">
      <c r="F805" s="283"/>
    </row>
    <row r="806" spans="6:6" x14ac:dyDescent="0.2">
      <c r="F806" s="283"/>
    </row>
    <row r="807" spans="6:6" x14ac:dyDescent="0.2">
      <c r="F807" s="283"/>
    </row>
    <row r="808" spans="6:6" x14ac:dyDescent="0.2">
      <c r="F808" s="283"/>
    </row>
    <row r="809" spans="6:6" x14ac:dyDescent="0.2">
      <c r="F809" s="283"/>
    </row>
    <row r="810" spans="6:6" x14ac:dyDescent="0.2">
      <c r="F810" s="283"/>
    </row>
    <row r="811" spans="6:6" x14ac:dyDescent="0.2">
      <c r="F811" s="283"/>
    </row>
    <row r="812" spans="6:6" x14ac:dyDescent="0.2">
      <c r="F812" s="283"/>
    </row>
    <row r="813" spans="6:6" x14ac:dyDescent="0.2">
      <c r="F813" s="283"/>
    </row>
    <row r="814" spans="6:6" x14ac:dyDescent="0.2">
      <c r="F814" s="283"/>
    </row>
    <row r="815" spans="6:6" x14ac:dyDescent="0.2">
      <c r="F815" s="283"/>
    </row>
    <row r="816" spans="6:6" x14ac:dyDescent="0.2">
      <c r="F816" s="283"/>
    </row>
    <row r="817" spans="6:6" x14ac:dyDescent="0.2">
      <c r="F817" s="283"/>
    </row>
    <row r="818" spans="6:6" x14ac:dyDescent="0.2">
      <c r="F818" s="283"/>
    </row>
    <row r="819" spans="6:6" x14ac:dyDescent="0.2">
      <c r="F819" s="283"/>
    </row>
    <row r="820" spans="6:6" x14ac:dyDescent="0.2">
      <c r="F820" s="283"/>
    </row>
    <row r="821" spans="6:6" x14ac:dyDescent="0.2">
      <c r="F821" s="283"/>
    </row>
    <row r="822" spans="6:6" x14ac:dyDescent="0.2">
      <c r="F822" s="283"/>
    </row>
    <row r="823" spans="6:6" x14ac:dyDescent="0.2">
      <c r="F823" s="283"/>
    </row>
    <row r="824" spans="6:6" x14ac:dyDescent="0.2">
      <c r="F824" s="283"/>
    </row>
    <row r="825" spans="6:6" x14ac:dyDescent="0.2">
      <c r="F825" s="283"/>
    </row>
    <row r="826" spans="6:6" x14ac:dyDescent="0.2">
      <c r="F826" s="283"/>
    </row>
    <row r="827" spans="6:6" x14ac:dyDescent="0.2">
      <c r="F827" s="283"/>
    </row>
    <row r="828" spans="6:6" x14ac:dyDescent="0.2">
      <c r="F828" s="283"/>
    </row>
    <row r="829" spans="6:6" x14ac:dyDescent="0.2">
      <c r="F829" s="283"/>
    </row>
    <row r="830" spans="6:6" x14ac:dyDescent="0.2">
      <c r="F830" s="283"/>
    </row>
    <row r="831" spans="6:6" x14ac:dyDescent="0.2">
      <c r="F831" s="283"/>
    </row>
    <row r="832" spans="6:6" x14ac:dyDescent="0.2">
      <c r="F832" s="283"/>
    </row>
    <row r="833" spans="6:6" x14ac:dyDescent="0.2">
      <c r="F833" s="283"/>
    </row>
    <row r="834" spans="6:6" x14ac:dyDescent="0.2">
      <c r="F834" s="283"/>
    </row>
    <row r="835" spans="6:6" x14ac:dyDescent="0.2">
      <c r="F835" s="283"/>
    </row>
    <row r="836" spans="6:6" x14ac:dyDescent="0.2">
      <c r="F836" s="283"/>
    </row>
    <row r="837" spans="6:6" x14ac:dyDescent="0.2">
      <c r="F837" s="283"/>
    </row>
    <row r="838" spans="6:6" x14ac:dyDescent="0.2">
      <c r="F838" s="283"/>
    </row>
    <row r="839" spans="6:6" x14ac:dyDescent="0.2">
      <c r="F839" s="283"/>
    </row>
    <row r="840" spans="6:6" x14ac:dyDescent="0.2">
      <c r="F840" s="283"/>
    </row>
    <row r="841" spans="6:6" x14ac:dyDescent="0.2">
      <c r="F841" s="283"/>
    </row>
    <row r="842" spans="6:6" x14ac:dyDescent="0.2">
      <c r="F842" s="283"/>
    </row>
    <row r="843" spans="6:6" x14ac:dyDescent="0.2">
      <c r="F843" s="283"/>
    </row>
    <row r="844" spans="6:6" x14ac:dyDescent="0.2">
      <c r="F844" s="283"/>
    </row>
    <row r="845" spans="6:6" x14ac:dyDescent="0.2">
      <c r="F845" s="283"/>
    </row>
    <row r="846" spans="6:6" x14ac:dyDescent="0.2">
      <c r="F846" s="283"/>
    </row>
    <row r="847" spans="6:6" x14ac:dyDescent="0.2">
      <c r="F847" s="283"/>
    </row>
    <row r="848" spans="6:6" x14ac:dyDescent="0.2">
      <c r="F848" s="283"/>
    </row>
    <row r="849" spans="6:6" x14ac:dyDescent="0.2">
      <c r="F849" s="283"/>
    </row>
    <row r="850" spans="6:6" x14ac:dyDescent="0.2">
      <c r="F850" s="283"/>
    </row>
    <row r="851" spans="6:6" x14ac:dyDescent="0.2">
      <c r="F851" s="283"/>
    </row>
    <row r="852" spans="6:6" x14ac:dyDescent="0.2">
      <c r="F852" s="283"/>
    </row>
    <row r="853" spans="6:6" x14ac:dyDescent="0.2">
      <c r="F853" s="283"/>
    </row>
    <row r="854" spans="6:6" x14ac:dyDescent="0.2">
      <c r="F854" s="283"/>
    </row>
    <row r="855" spans="6:6" x14ac:dyDescent="0.2">
      <c r="F855" s="283"/>
    </row>
    <row r="856" spans="6:6" x14ac:dyDescent="0.2">
      <c r="F856" s="283"/>
    </row>
    <row r="857" spans="6:6" x14ac:dyDescent="0.2">
      <c r="F857" s="283"/>
    </row>
    <row r="858" spans="6:6" x14ac:dyDescent="0.2">
      <c r="F858" s="283"/>
    </row>
    <row r="859" spans="6:6" x14ac:dyDescent="0.2">
      <c r="F859" s="283"/>
    </row>
    <row r="860" spans="6:6" x14ac:dyDescent="0.2">
      <c r="F860" s="283"/>
    </row>
    <row r="861" spans="6:6" x14ac:dyDescent="0.2">
      <c r="F861" s="283"/>
    </row>
    <row r="862" spans="6:6" x14ac:dyDescent="0.2">
      <c r="F862" s="283"/>
    </row>
    <row r="863" spans="6:6" x14ac:dyDescent="0.2">
      <c r="F863" s="283"/>
    </row>
    <row r="864" spans="6:6" x14ac:dyDescent="0.2">
      <c r="F864" s="283"/>
    </row>
    <row r="865" spans="6:6" x14ac:dyDescent="0.2">
      <c r="F865" s="283"/>
    </row>
    <row r="866" spans="6:6" x14ac:dyDescent="0.2">
      <c r="F866" s="283"/>
    </row>
    <row r="867" spans="6:6" x14ac:dyDescent="0.2">
      <c r="F867" s="283"/>
    </row>
    <row r="868" spans="6:6" x14ac:dyDescent="0.2">
      <c r="F868" s="283"/>
    </row>
    <row r="869" spans="6:6" x14ac:dyDescent="0.2">
      <c r="F869" s="283"/>
    </row>
    <row r="870" spans="6:6" x14ac:dyDescent="0.2">
      <c r="F870" s="283"/>
    </row>
    <row r="871" spans="6:6" x14ac:dyDescent="0.2">
      <c r="F871" s="283"/>
    </row>
    <row r="872" spans="6:6" x14ac:dyDescent="0.2">
      <c r="F872" s="283"/>
    </row>
    <row r="873" spans="6:6" x14ac:dyDescent="0.2">
      <c r="F873" s="283"/>
    </row>
    <row r="874" spans="6:6" x14ac:dyDescent="0.2">
      <c r="F874" s="283"/>
    </row>
    <row r="875" spans="6:6" x14ac:dyDescent="0.2">
      <c r="F875" s="283"/>
    </row>
    <row r="876" spans="6:6" x14ac:dyDescent="0.2">
      <c r="F876" s="283"/>
    </row>
    <row r="877" spans="6:6" x14ac:dyDescent="0.2">
      <c r="F877" s="283"/>
    </row>
    <row r="878" spans="6:6" x14ac:dyDescent="0.2">
      <c r="F878" s="283"/>
    </row>
    <row r="879" spans="6:6" x14ac:dyDescent="0.2">
      <c r="F879" s="283"/>
    </row>
    <row r="880" spans="6:6" x14ac:dyDescent="0.2">
      <c r="F880" s="283"/>
    </row>
    <row r="881" spans="6:6" x14ac:dyDescent="0.2">
      <c r="F881" s="283"/>
    </row>
    <row r="882" spans="6:6" x14ac:dyDescent="0.2">
      <c r="F882" s="283"/>
    </row>
    <row r="883" spans="6:6" x14ac:dyDescent="0.2">
      <c r="F883" s="283"/>
    </row>
    <row r="884" spans="6:6" x14ac:dyDescent="0.2">
      <c r="F884" s="283"/>
    </row>
    <row r="885" spans="6:6" x14ac:dyDescent="0.2">
      <c r="F885" s="283"/>
    </row>
    <row r="886" spans="6:6" x14ac:dyDescent="0.2">
      <c r="F886" s="283"/>
    </row>
    <row r="887" spans="6:6" x14ac:dyDescent="0.2">
      <c r="F887" s="283"/>
    </row>
    <row r="888" spans="6:6" x14ac:dyDescent="0.2">
      <c r="F888" s="283"/>
    </row>
    <row r="889" spans="6:6" x14ac:dyDescent="0.2">
      <c r="F889" s="283"/>
    </row>
    <row r="890" spans="6:6" x14ac:dyDescent="0.2">
      <c r="F890" s="283"/>
    </row>
    <row r="891" spans="6:6" x14ac:dyDescent="0.2">
      <c r="F891" s="283"/>
    </row>
    <row r="892" spans="6:6" x14ac:dyDescent="0.2">
      <c r="F892" s="283"/>
    </row>
    <row r="893" spans="6:6" x14ac:dyDescent="0.2">
      <c r="F893" s="283"/>
    </row>
    <row r="894" spans="6:6" x14ac:dyDescent="0.2">
      <c r="F894" s="283"/>
    </row>
    <row r="895" spans="6:6" x14ac:dyDescent="0.2">
      <c r="F895" s="283"/>
    </row>
    <row r="896" spans="6:6" x14ac:dyDescent="0.2">
      <c r="F896" s="283"/>
    </row>
    <row r="897" spans="6:6" x14ac:dyDescent="0.2">
      <c r="F897" s="283"/>
    </row>
    <row r="898" spans="6:6" x14ac:dyDescent="0.2">
      <c r="F898" s="283"/>
    </row>
    <row r="899" spans="6:6" x14ac:dyDescent="0.2">
      <c r="F899" s="283"/>
    </row>
    <row r="900" spans="6:6" x14ac:dyDescent="0.2">
      <c r="F900" s="283"/>
    </row>
    <row r="901" spans="6:6" x14ac:dyDescent="0.2">
      <c r="F901" s="283"/>
    </row>
    <row r="902" spans="6:6" x14ac:dyDescent="0.2">
      <c r="F902" s="283"/>
    </row>
    <row r="903" spans="6:6" x14ac:dyDescent="0.2">
      <c r="F903" s="283"/>
    </row>
    <row r="904" spans="6:6" x14ac:dyDescent="0.2">
      <c r="F904" s="283"/>
    </row>
    <row r="905" spans="6:6" x14ac:dyDescent="0.2">
      <c r="F905" s="283"/>
    </row>
    <row r="906" spans="6:6" x14ac:dyDescent="0.2">
      <c r="F906" s="283"/>
    </row>
    <row r="907" spans="6:6" x14ac:dyDescent="0.2">
      <c r="F907" s="283"/>
    </row>
    <row r="908" spans="6:6" x14ac:dyDescent="0.2">
      <c r="F908" s="283"/>
    </row>
    <row r="909" spans="6:6" x14ac:dyDescent="0.2">
      <c r="F909" s="283"/>
    </row>
    <row r="910" spans="6:6" x14ac:dyDescent="0.2">
      <c r="F910" s="283"/>
    </row>
    <row r="911" spans="6:6" x14ac:dyDescent="0.2">
      <c r="F911" s="283"/>
    </row>
    <row r="912" spans="6:6" x14ac:dyDescent="0.2">
      <c r="F912" s="283"/>
    </row>
    <row r="913" spans="6:6" x14ac:dyDescent="0.2">
      <c r="F913" s="283"/>
    </row>
    <row r="914" spans="6:6" x14ac:dyDescent="0.2">
      <c r="F914" s="283"/>
    </row>
    <row r="915" spans="6:6" x14ac:dyDescent="0.2">
      <c r="F915" s="283"/>
    </row>
    <row r="916" spans="6:6" x14ac:dyDescent="0.2">
      <c r="F916" s="283"/>
    </row>
    <row r="917" spans="6:6" x14ac:dyDescent="0.2">
      <c r="F917" s="283"/>
    </row>
    <row r="918" spans="6:6" x14ac:dyDescent="0.2">
      <c r="F918" s="283"/>
    </row>
    <row r="919" spans="6:6" x14ac:dyDescent="0.2">
      <c r="F919" s="283"/>
    </row>
    <row r="920" spans="6:6" x14ac:dyDescent="0.2">
      <c r="F920" s="283"/>
    </row>
    <row r="921" spans="6:6" x14ac:dyDescent="0.2">
      <c r="F921" s="283"/>
    </row>
    <row r="922" spans="6:6" x14ac:dyDescent="0.2">
      <c r="F922" s="283"/>
    </row>
    <row r="923" spans="6:6" x14ac:dyDescent="0.2">
      <c r="F923" s="283"/>
    </row>
    <row r="924" spans="6:6" x14ac:dyDescent="0.2">
      <c r="F924" s="283"/>
    </row>
    <row r="925" spans="6:6" x14ac:dyDescent="0.2">
      <c r="F925" s="283"/>
    </row>
    <row r="926" spans="6:6" x14ac:dyDescent="0.2">
      <c r="F926" s="283"/>
    </row>
    <row r="927" spans="6:6" x14ac:dyDescent="0.2">
      <c r="F927" s="283"/>
    </row>
    <row r="928" spans="6:6" x14ac:dyDescent="0.2">
      <c r="F928" s="283"/>
    </row>
    <row r="929" spans="6:6" x14ac:dyDescent="0.2">
      <c r="F929" s="283"/>
    </row>
    <row r="930" spans="6:6" x14ac:dyDescent="0.2">
      <c r="F930" s="283"/>
    </row>
    <row r="931" spans="6:6" x14ac:dyDescent="0.2">
      <c r="F931" s="283"/>
    </row>
    <row r="932" spans="6:6" x14ac:dyDescent="0.2">
      <c r="F932" s="283"/>
    </row>
    <row r="933" spans="6:6" x14ac:dyDescent="0.2">
      <c r="F933" s="283"/>
    </row>
    <row r="934" spans="6:6" x14ac:dyDescent="0.2">
      <c r="F934" s="283"/>
    </row>
    <row r="935" spans="6:6" x14ac:dyDescent="0.2">
      <c r="F935" s="283"/>
    </row>
    <row r="936" spans="6:6" x14ac:dyDescent="0.2">
      <c r="F936" s="283"/>
    </row>
    <row r="937" spans="6:6" x14ac:dyDescent="0.2">
      <c r="F937" s="283"/>
    </row>
    <row r="938" spans="6:6" x14ac:dyDescent="0.2">
      <c r="F938" s="283"/>
    </row>
    <row r="939" spans="6:6" x14ac:dyDescent="0.2">
      <c r="F939" s="283"/>
    </row>
    <row r="940" spans="6:6" x14ac:dyDescent="0.2">
      <c r="F940" s="283"/>
    </row>
    <row r="941" spans="6:6" x14ac:dyDescent="0.2">
      <c r="F941" s="283"/>
    </row>
    <row r="942" spans="6:6" x14ac:dyDescent="0.2">
      <c r="F942" s="283"/>
    </row>
    <row r="943" spans="6:6" x14ac:dyDescent="0.2">
      <c r="F943" s="283"/>
    </row>
    <row r="944" spans="6:6" x14ac:dyDescent="0.2">
      <c r="F944" s="283"/>
    </row>
    <row r="945" spans="6:6" x14ac:dyDescent="0.2">
      <c r="F945" s="283"/>
    </row>
    <row r="946" spans="6:6" x14ac:dyDescent="0.2">
      <c r="F946" s="283"/>
    </row>
    <row r="947" spans="6:6" x14ac:dyDescent="0.2">
      <c r="F947" s="283"/>
    </row>
    <row r="948" spans="6:6" x14ac:dyDescent="0.2">
      <c r="F948" s="283"/>
    </row>
    <row r="949" spans="6:6" x14ac:dyDescent="0.2">
      <c r="F949" s="283"/>
    </row>
    <row r="950" spans="6:6" x14ac:dyDescent="0.2">
      <c r="F950" s="283"/>
    </row>
    <row r="951" spans="6:6" x14ac:dyDescent="0.2">
      <c r="F951" s="283"/>
    </row>
    <row r="952" spans="6:6" x14ac:dyDescent="0.2">
      <c r="F952" s="283"/>
    </row>
    <row r="953" spans="6:6" x14ac:dyDescent="0.2">
      <c r="F953" s="283"/>
    </row>
    <row r="954" spans="6:6" x14ac:dyDescent="0.2">
      <c r="F954" s="283"/>
    </row>
    <row r="955" spans="6:6" x14ac:dyDescent="0.2">
      <c r="F955" s="283"/>
    </row>
    <row r="956" spans="6:6" x14ac:dyDescent="0.2">
      <c r="F956" s="283"/>
    </row>
    <row r="957" spans="6:6" x14ac:dyDescent="0.2">
      <c r="F957" s="283"/>
    </row>
    <row r="958" spans="6:6" x14ac:dyDescent="0.2">
      <c r="F958" s="283"/>
    </row>
    <row r="959" spans="6:6" x14ac:dyDescent="0.2">
      <c r="F959" s="283"/>
    </row>
    <row r="960" spans="6:6" x14ac:dyDescent="0.2">
      <c r="F960" s="283"/>
    </row>
    <row r="961" spans="6:6" x14ac:dyDescent="0.2">
      <c r="F961" s="283"/>
    </row>
    <row r="962" spans="6:6" x14ac:dyDescent="0.2">
      <c r="F962" s="283"/>
    </row>
    <row r="963" spans="6:6" x14ac:dyDescent="0.2">
      <c r="F963" s="283"/>
    </row>
    <row r="964" spans="6:6" x14ac:dyDescent="0.2">
      <c r="F964" s="283"/>
    </row>
    <row r="965" spans="6:6" x14ac:dyDescent="0.2">
      <c r="F965" s="283"/>
    </row>
    <row r="966" spans="6:6" x14ac:dyDescent="0.2">
      <c r="F966" s="283"/>
    </row>
    <row r="967" spans="6:6" x14ac:dyDescent="0.2">
      <c r="F967" s="283"/>
    </row>
    <row r="968" spans="6:6" x14ac:dyDescent="0.2">
      <c r="F968" s="283"/>
    </row>
    <row r="969" spans="6:6" x14ac:dyDescent="0.2">
      <c r="F969" s="283"/>
    </row>
    <row r="970" spans="6:6" x14ac:dyDescent="0.2">
      <c r="F970" s="283"/>
    </row>
    <row r="971" spans="6:6" x14ac:dyDescent="0.2">
      <c r="F971" s="283"/>
    </row>
    <row r="972" spans="6:6" x14ac:dyDescent="0.2">
      <c r="F972" s="283"/>
    </row>
    <row r="973" spans="6:6" x14ac:dyDescent="0.2">
      <c r="F973" s="283"/>
    </row>
    <row r="974" spans="6:6" x14ac:dyDescent="0.2">
      <c r="F974" s="283"/>
    </row>
    <row r="975" spans="6:6" x14ac:dyDescent="0.2">
      <c r="F975" s="283"/>
    </row>
    <row r="976" spans="6:6" x14ac:dyDescent="0.2">
      <c r="F976" s="283"/>
    </row>
    <row r="977" spans="6:6" x14ac:dyDescent="0.2">
      <c r="F977" s="283"/>
    </row>
    <row r="978" spans="6:6" x14ac:dyDescent="0.2">
      <c r="F978" s="283"/>
    </row>
    <row r="979" spans="6:6" x14ac:dyDescent="0.2">
      <c r="F979" s="283"/>
    </row>
    <row r="980" spans="6:6" x14ac:dyDescent="0.2">
      <c r="F980" s="283"/>
    </row>
    <row r="981" spans="6:6" x14ac:dyDescent="0.2">
      <c r="F981" s="283"/>
    </row>
    <row r="982" spans="6:6" x14ac:dyDescent="0.2">
      <c r="F982" s="283"/>
    </row>
    <row r="983" spans="6:6" x14ac:dyDescent="0.2">
      <c r="F983" s="283"/>
    </row>
    <row r="984" spans="6:6" x14ac:dyDescent="0.2">
      <c r="F984" s="283"/>
    </row>
    <row r="985" spans="6:6" x14ac:dyDescent="0.2">
      <c r="F985" s="283"/>
    </row>
    <row r="986" spans="6:6" x14ac:dyDescent="0.2">
      <c r="F986" s="283"/>
    </row>
    <row r="987" spans="6:6" x14ac:dyDescent="0.2">
      <c r="F987" s="283"/>
    </row>
    <row r="988" spans="6:6" x14ac:dyDescent="0.2">
      <c r="F988" s="283"/>
    </row>
    <row r="989" spans="6:6" x14ac:dyDescent="0.2">
      <c r="F989" s="283"/>
    </row>
    <row r="990" spans="6:6" x14ac:dyDescent="0.2">
      <c r="F990" s="283"/>
    </row>
    <row r="991" spans="6:6" x14ac:dyDescent="0.2">
      <c r="F991" s="283"/>
    </row>
    <row r="992" spans="6:6" x14ac:dyDescent="0.2">
      <c r="F992" s="283"/>
    </row>
    <row r="993" spans="6:6" x14ac:dyDescent="0.2">
      <c r="F993" s="283"/>
    </row>
    <row r="994" spans="6:6" x14ac:dyDescent="0.2">
      <c r="F994" s="283"/>
    </row>
    <row r="995" spans="6:6" x14ac:dyDescent="0.2">
      <c r="F995" s="283"/>
    </row>
    <row r="996" spans="6:6" x14ac:dyDescent="0.2">
      <c r="F996" s="283"/>
    </row>
    <row r="997" spans="6:6" x14ac:dyDescent="0.2">
      <c r="F997" s="283"/>
    </row>
    <row r="998" spans="6:6" x14ac:dyDescent="0.2">
      <c r="F998" s="283"/>
    </row>
    <row r="999" spans="6:6" x14ac:dyDescent="0.2">
      <c r="F999" s="283"/>
    </row>
    <row r="1000" spans="6:6" x14ac:dyDescent="0.2">
      <c r="F1000" s="283"/>
    </row>
    <row r="1001" spans="6:6" x14ac:dyDescent="0.2">
      <c r="F1001" s="283"/>
    </row>
    <row r="1002" spans="6:6" x14ac:dyDescent="0.2">
      <c r="F1002" s="283"/>
    </row>
    <row r="1003" spans="6:6" x14ac:dyDescent="0.2">
      <c r="F1003" s="283"/>
    </row>
    <row r="1004" spans="6:6" x14ac:dyDescent="0.2">
      <c r="F1004" s="283"/>
    </row>
    <row r="1005" spans="6:6" x14ac:dyDescent="0.2">
      <c r="F1005" s="283"/>
    </row>
    <row r="1006" spans="6:6" x14ac:dyDescent="0.2">
      <c r="F1006" s="283"/>
    </row>
    <row r="1007" spans="6:6" x14ac:dyDescent="0.2">
      <c r="F1007" s="283"/>
    </row>
    <row r="1008" spans="6:6" x14ac:dyDescent="0.2">
      <c r="F1008" s="283"/>
    </row>
    <row r="1009" spans="6:6" x14ac:dyDescent="0.2">
      <c r="F1009" s="283"/>
    </row>
    <row r="1010" spans="6:6" x14ac:dyDescent="0.2">
      <c r="F1010" s="283"/>
    </row>
    <row r="1011" spans="6:6" x14ac:dyDescent="0.2">
      <c r="F1011" s="283"/>
    </row>
    <row r="1012" spans="6:6" x14ac:dyDescent="0.2">
      <c r="F1012" s="283"/>
    </row>
    <row r="1013" spans="6:6" x14ac:dyDescent="0.2">
      <c r="F1013" s="283"/>
    </row>
    <row r="1014" spans="6:6" x14ac:dyDescent="0.2">
      <c r="F1014" s="283"/>
    </row>
    <row r="1015" spans="6:6" x14ac:dyDescent="0.2">
      <c r="F1015" s="283"/>
    </row>
    <row r="1016" spans="6:6" x14ac:dyDescent="0.2">
      <c r="F1016" s="283"/>
    </row>
    <row r="1017" spans="6:6" x14ac:dyDescent="0.2">
      <c r="F1017" s="283"/>
    </row>
    <row r="1018" spans="6:6" x14ac:dyDescent="0.2">
      <c r="F1018" s="283"/>
    </row>
    <row r="1019" spans="6:6" x14ac:dyDescent="0.2">
      <c r="F1019" s="283"/>
    </row>
    <row r="1020" spans="6:6" x14ac:dyDescent="0.2">
      <c r="F1020" s="283"/>
    </row>
    <row r="1021" spans="6:6" x14ac:dyDescent="0.2">
      <c r="F1021" s="283"/>
    </row>
    <row r="1022" spans="6:6" x14ac:dyDescent="0.2">
      <c r="F1022" s="283"/>
    </row>
    <row r="1023" spans="6:6" x14ac:dyDescent="0.2">
      <c r="F1023" s="283"/>
    </row>
    <row r="1024" spans="6:6" x14ac:dyDescent="0.2">
      <c r="F1024" s="283"/>
    </row>
    <row r="1025" spans="6:6" x14ac:dyDescent="0.2">
      <c r="F1025" s="283"/>
    </row>
    <row r="1026" spans="6:6" x14ac:dyDescent="0.2">
      <c r="F1026" s="283"/>
    </row>
    <row r="1027" spans="6:6" x14ac:dyDescent="0.2">
      <c r="F1027" s="283"/>
    </row>
    <row r="1028" spans="6:6" x14ac:dyDescent="0.2">
      <c r="F1028" s="283"/>
    </row>
    <row r="1029" spans="6:6" x14ac:dyDescent="0.2">
      <c r="F1029" s="283"/>
    </row>
    <row r="1030" spans="6:6" x14ac:dyDescent="0.2">
      <c r="F1030" s="283"/>
    </row>
    <row r="1031" spans="6:6" x14ac:dyDescent="0.2">
      <c r="F1031" s="283"/>
    </row>
    <row r="1032" spans="6:6" x14ac:dyDescent="0.2">
      <c r="F1032" s="283"/>
    </row>
    <row r="1033" spans="6:6" x14ac:dyDescent="0.2">
      <c r="F1033" s="283"/>
    </row>
    <row r="1034" spans="6:6" x14ac:dyDescent="0.2">
      <c r="F1034" s="283"/>
    </row>
    <row r="1035" spans="6:6" x14ac:dyDescent="0.2">
      <c r="F1035" s="283"/>
    </row>
    <row r="1036" spans="6:6" x14ac:dyDescent="0.2">
      <c r="F1036" s="283"/>
    </row>
    <row r="1037" spans="6:6" x14ac:dyDescent="0.2">
      <c r="F1037" s="283"/>
    </row>
    <row r="1038" spans="6:6" x14ac:dyDescent="0.2">
      <c r="F1038" s="283"/>
    </row>
    <row r="1039" spans="6:6" x14ac:dyDescent="0.2">
      <c r="F1039" s="283"/>
    </row>
    <row r="1040" spans="6:6" x14ac:dyDescent="0.2">
      <c r="F1040" s="283"/>
    </row>
    <row r="1041" spans="6:6" x14ac:dyDescent="0.2">
      <c r="F1041" s="283"/>
    </row>
    <row r="1042" spans="6:6" x14ac:dyDescent="0.2">
      <c r="F1042" s="283"/>
    </row>
    <row r="1043" spans="6:6" x14ac:dyDescent="0.2">
      <c r="F1043" s="283"/>
    </row>
    <row r="1044" spans="6:6" x14ac:dyDescent="0.2">
      <c r="F1044" s="283"/>
    </row>
    <row r="1045" spans="6:6" x14ac:dyDescent="0.2">
      <c r="F1045" s="283"/>
    </row>
    <row r="1046" spans="6:6" x14ac:dyDescent="0.2">
      <c r="F1046" s="283"/>
    </row>
    <row r="1047" spans="6:6" x14ac:dyDescent="0.2">
      <c r="F1047" s="283"/>
    </row>
    <row r="1048" spans="6:6" x14ac:dyDescent="0.2">
      <c r="F1048" s="283"/>
    </row>
    <row r="1049" spans="6:6" x14ac:dyDescent="0.2">
      <c r="F1049" s="283"/>
    </row>
    <row r="1050" spans="6:6" x14ac:dyDescent="0.2">
      <c r="F1050" s="283"/>
    </row>
    <row r="1051" spans="6:6" x14ac:dyDescent="0.2">
      <c r="F1051" s="283"/>
    </row>
    <row r="1052" spans="6:6" x14ac:dyDescent="0.2">
      <c r="F1052" s="283"/>
    </row>
    <row r="1053" spans="6:6" x14ac:dyDescent="0.2">
      <c r="F1053" s="283"/>
    </row>
    <row r="1054" spans="6:6" x14ac:dyDescent="0.2">
      <c r="F1054" s="283"/>
    </row>
    <row r="1055" spans="6:6" x14ac:dyDescent="0.2">
      <c r="F1055" s="283"/>
    </row>
    <row r="1056" spans="6:6" x14ac:dyDescent="0.2">
      <c r="F1056" s="283"/>
    </row>
    <row r="1057" spans="6:6" x14ac:dyDescent="0.2">
      <c r="F1057" s="283"/>
    </row>
    <row r="1058" spans="6:6" x14ac:dyDescent="0.2">
      <c r="F1058" s="283"/>
    </row>
    <row r="1059" spans="6:6" x14ac:dyDescent="0.2">
      <c r="F1059" s="283"/>
    </row>
    <row r="1060" spans="6:6" x14ac:dyDescent="0.2">
      <c r="F1060" s="283"/>
    </row>
    <row r="1061" spans="6:6" x14ac:dyDescent="0.2">
      <c r="F1061" s="283"/>
    </row>
    <row r="1062" spans="6:6" x14ac:dyDescent="0.2">
      <c r="F1062" s="283"/>
    </row>
    <row r="1063" spans="6:6" x14ac:dyDescent="0.2">
      <c r="F1063" s="283"/>
    </row>
    <row r="1064" spans="6:6" x14ac:dyDescent="0.2">
      <c r="F1064" s="283"/>
    </row>
    <row r="1065" spans="6:6" x14ac:dyDescent="0.2">
      <c r="F1065" s="283"/>
    </row>
    <row r="1066" spans="6:6" x14ac:dyDescent="0.2">
      <c r="F1066" s="283"/>
    </row>
    <row r="1067" spans="6:6" x14ac:dyDescent="0.2">
      <c r="F1067" s="283"/>
    </row>
    <row r="1068" spans="6:6" x14ac:dyDescent="0.2">
      <c r="F1068" s="283"/>
    </row>
    <row r="1069" spans="6:6" x14ac:dyDescent="0.2">
      <c r="F1069" s="283"/>
    </row>
    <row r="1070" spans="6:6" x14ac:dyDescent="0.2">
      <c r="F1070" s="283"/>
    </row>
    <row r="1071" spans="6:6" x14ac:dyDescent="0.2">
      <c r="F1071" s="283"/>
    </row>
    <row r="1072" spans="6:6" x14ac:dyDescent="0.2">
      <c r="F1072" s="283"/>
    </row>
    <row r="1073" spans="6:6" x14ac:dyDescent="0.2">
      <c r="F1073" s="283"/>
    </row>
    <row r="1074" spans="6:6" x14ac:dyDescent="0.2">
      <c r="F1074" s="283"/>
    </row>
    <row r="1075" spans="6:6" x14ac:dyDescent="0.2">
      <c r="F1075" s="283"/>
    </row>
    <row r="1076" spans="6:6" x14ac:dyDescent="0.2">
      <c r="F1076" s="283"/>
    </row>
    <row r="1077" spans="6:6" x14ac:dyDescent="0.2">
      <c r="F1077" s="283"/>
    </row>
    <row r="1078" spans="6:6" x14ac:dyDescent="0.2">
      <c r="F1078" s="283"/>
    </row>
    <row r="1079" spans="6:6" x14ac:dyDescent="0.2">
      <c r="F1079" s="283"/>
    </row>
    <row r="1080" spans="6:6" x14ac:dyDescent="0.2">
      <c r="F1080" s="283"/>
    </row>
    <row r="1081" spans="6:6" x14ac:dyDescent="0.2">
      <c r="F1081" s="283"/>
    </row>
    <row r="1082" spans="6:6" x14ac:dyDescent="0.2">
      <c r="F1082" s="283"/>
    </row>
    <row r="1083" spans="6:6" x14ac:dyDescent="0.2">
      <c r="F1083" s="283"/>
    </row>
    <row r="1084" spans="6:6" x14ac:dyDescent="0.2">
      <c r="F1084" s="283"/>
    </row>
    <row r="1085" spans="6:6" x14ac:dyDescent="0.2">
      <c r="F1085" s="283"/>
    </row>
    <row r="1086" spans="6:6" x14ac:dyDescent="0.2">
      <c r="F1086" s="283"/>
    </row>
    <row r="1087" spans="6:6" x14ac:dyDescent="0.2">
      <c r="F1087" s="283"/>
    </row>
    <row r="1088" spans="6:6" x14ac:dyDescent="0.2">
      <c r="F1088" s="283"/>
    </row>
    <row r="1089" spans="6:6" x14ac:dyDescent="0.2">
      <c r="F1089" s="283"/>
    </row>
    <row r="1090" spans="6:6" x14ac:dyDescent="0.2">
      <c r="F1090" s="283"/>
    </row>
    <row r="1091" spans="6:6" x14ac:dyDescent="0.2">
      <c r="F1091" s="283"/>
    </row>
    <row r="1092" spans="6:6" x14ac:dyDescent="0.2">
      <c r="F1092" s="283"/>
    </row>
    <row r="1093" spans="6:6" x14ac:dyDescent="0.2">
      <c r="F1093" s="283"/>
    </row>
    <row r="1094" spans="6:6" x14ac:dyDescent="0.2">
      <c r="F1094" s="283"/>
    </row>
    <row r="1095" spans="6:6" x14ac:dyDescent="0.2">
      <c r="F1095" s="283"/>
    </row>
    <row r="1096" spans="6:6" x14ac:dyDescent="0.2">
      <c r="F1096" s="283"/>
    </row>
    <row r="1097" spans="6:6" x14ac:dyDescent="0.2">
      <c r="F1097" s="283"/>
    </row>
    <row r="1098" spans="6:6" x14ac:dyDescent="0.2">
      <c r="F1098" s="283"/>
    </row>
    <row r="1099" spans="6:6" x14ac:dyDescent="0.2">
      <c r="F1099" s="283"/>
    </row>
    <row r="1100" spans="6:6" x14ac:dyDescent="0.2">
      <c r="F1100" s="283"/>
    </row>
    <row r="1101" spans="6:6" x14ac:dyDescent="0.2">
      <c r="F1101" s="283"/>
    </row>
    <row r="1102" spans="6:6" x14ac:dyDescent="0.2">
      <c r="F1102" s="283"/>
    </row>
    <row r="1103" spans="6:6" x14ac:dyDescent="0.2">
      <c r="F1103" s="283"/>
    </row>
    <row r="1104" spans="6:6" x14ac:dyDescent="0.2">
      <c r="F1104" s="283"/>
    </row>
    <row r="1105" spans="6:6" x14ac:dyDescent="0.2">
      <c r="F1105" s="283"/>
    </row>
    <row r="1106" spans="6:6" x14ac:dyDescent="0.2">
      <c r="F1106" s="283"/>
    </row>
    <row r="1107" spans="6:6" x14ac:dyDescent="0.2">
      <c r="F1107" s="283"/>
    </row>
    <row r="1108" spans="6:6" x14ac:dyDescent="0.2">
      <c r="F1108" s="283"/>
    </row>
    <row r="1109" spans="6:6" x14ac:dyDescent="0.2">
      <c r="F1109" s="283"/>
    </row>
    <row r="1110" spans="6:6" x14ac:dyDescent="0.2">
      <c r="F1110" s="283"/>
    </row>
    <row r="1111" spans="6:6" x14ac:dyDescent="0.2">
      <c r="F1111" s="283"/>
    </row>
    <row r="1112" spans="6:6" x14ac:dyDescent="0.2">
      <c r="F1112" s="283"/>
    </row>
    <row r="1113" spans="6:6" x14ac:dyDescent="0.2">
      <c r="F1113" s="283"/>
    </row>
    <row r="1114" spans="6:6" x14ac:dyDescent="0.2">
      <c r="F1114" s="283"/>
    </row>
    <row r="1115" spans="6:6" x14ac:dyDescent="0.2">
      <c r="F1115" s="283"/>
    </row>
    <row r="1116" spans="6:6" x14ac:dyDescent="0.2">
      <c r="F1116" s="283"/>
    </row>
    <row r="1117" spans="6:6" x14ac:dyDescent="0.2">
      <c r="F1117" s="283"/>
    </row>
    <row r="1118" spans="6:6" x14ac:dyDescent="0.2">
      <c r="F1118" s="283"/>
    </row>
    <row r="1119" spans="6:6" x14ac:dyDescent="0.2">
      <c r="F1119" s="283"/>
    </row>
    <row r="1120" spans="6:6" x14ac:dyDescent="0.2">
      <c r="F1120" s="283"/>
    </row>
    <row r="1121" spans="6:6" x14ac:dyDescent="0.2">
      <c r="F1121" s="283"/>
    </row>
    <row r="1122" spans="6:6" x14ac:dyDescent="0.2">
      <c r="F1122" s="283"/>
    </row>
    <row r="1123" spans="6:6" x14ac:dyDescent="0.2">
      <c r="F1123" s="283"/>
    </row>
    <row r="1124" spans="6:6" x14ac:dyDescent="0.2">
      <c r="F1124" s="283"/>
    </row>
    <row r="1125" spans="6:6" x14ac:dyDescent="0.2">
      <c r="F1125" s="283"/>
    </row>
    <row r="1126" spans="6:6" x14ac:dyDescent="0.2">
      <c r="F1126" s="283"/>
    </row>
    <row r="1127" spans="6:6" x14ac:dyDescent="0.2">
      <c r="F1127" s="283"/>
    </row>
    <row r="1128" spans="6:6" x14ac:dyDescent="0.2">
      <c r="F1128" s="283"/>
    </row>
    <row r="1129" spans="6:6" x14ac:dyDescent="0.2">
      <c r="F1129" s="283"/>
    </row>
    <row r="1130" spans="6:6" x14ac:dyDescent="0.2">
      <c r="F1130" s="283"/>
    </row>
    <row r="1131" spans="6:6" x14ac:dyDescent="0.2">
      <c r="F1131" s="283"/>
    </row>
    <row r="1132" spans="6:6" x14ac:dyDescent="0.2">
      <c r="F1132" s="283"/>
    </row>
    <row r="1133" spans="6:6" x14ac:dyDescent="0.2">
      <c r="F1133" s="283"/>
    </row>
    <row r="1134" spans="6:6" x14ac:dyDescent="0.2">
      <c r="F1134" s="283"/>
    </row>
    <row r="1135" spans="6:6" x14ac:dyDescent="0.2">
      <c r="F1135" s="283"/>
    </row>
    <row r="1136" spans="6:6" x14ac:dyDescent="0.2">
      <c r="F1136" s="283"/>
    </row>
    <row r="1137" spans="6:6" x14ac:dyDescent="0.2">
      <c r="F1137" s="283"/>
    </row>
    <row r="1138" spans="6:6" x14ac:dyDescent="0.2">
      <c r="F1138" s="283"/>
    </row>
    <row r="1139" spans="6:6" x14ac:dyDescent="0.2">
      <c r="F1139" s="283"/>
    </row>
    <row r="1140" spans="6:6" x14ac:dyDescent="0.2">
      <c r="F1140" s="283"/>
    </row>
    <row r="1141" spans="6:6" x14ac:dyDescent="0.2">
      <c r="F1141" s="283"/>
    </row>
    <row r="1142" spans="6:6" x14ac:dyDescent="0.2">
      <c r="F1142" s="283"/>
    </row>
    <row r="1143" spans="6:6" x14ac:dyDescent="0.2">
      <c r="F1143" s="283"/>
    </row>
    <row r="1144" spans="6:6" x14ac:dyDescent="0.2">
      <c r="F1144" s="283"/>
    </row>
    <row r="1145" spans="6:6" x14ac:dyDescent="0.2">
      <c r="F1145" s="283"/>
    </row>
    <row r="1146" spans="6:6" x14ac:dyDescent="0.2">
      <c r="F1146" s="283"/>
    </row>
    <row r="1147" spans="6:6" x14ac:dyDescent="0.2">
      <c r="F1147" s="283"/>
    </row>
    <row r="1148" spans="6:6" x14ac:dyDescent="0.2">
      <c r="F1148" s="283"/>
    </row>
    <row r="1149" spans="6:6" x14ac:dyDescent="0.2">
      <c r="F1149" s="283"/>
    </row>
    <row r="1150" spans="6:6" x14ac:dyDescent="0.2">
      <c r="F1150" s="283"/>
    </row>
    <row r="1151" spans="6:6" x14ac:dyDescent="0.2">
      <c r="F1151" s="283"/>
    </row>
    <row r="1152" spans="6:6" x14ac:dyDescent="0.2">
      <c r="F1152" s="283"/>
    </row>
    <row r="1153" spans="6:6" x14ac:dyDescent="0.2">
      <c r="F1153" s="283"/>
    </row>
    <row r="1154" spans="6:6" x14ac:dyDescent="0.2">
      <c r="F1154" s="283"/>
    </row>
    <row r="1155" spans="6:6" x14ac:dyDescent="0.2">
      <c r="F1155" s="283"/>
    </row>
    <row r="1156" spans="6:6" x14ac:dyDescent="0.2">
      <c r="F1156" s="283"/>
    </row>
    <row r="1157" spans="6:6" x14ac:dyDescent="0.2">
      <c r="F1157" s="283"/>
    </row>
    <row r="1158" spans="6:6" x14ac:dyDescent="0.2">
      <c r="F1158" s="283"/>
    </row>
    <row r="1159" spans="6:6" x14ac:dyDescent="0.2">
      <c r="F1159" s="283"/>
    </row>
    <row r="1160" spans="6:6" x14ac:dyDescent="0.2">
      <c r="F1160" s="283"/>
    </row>
    <row r="1161" spans="6:6" x14ac:dyDescent="0.2">
      <c r="F1161" s="283"/>
    </row>
    <row r="1162" spans="6:6" x14ac:dyDescent="0.2">
      <c r="F1162" s="283"/>
    </row>
    <row r="1163" spans="6:6" x14ac:dyDescent="0.2">
      <c r="F1163" s="283"/>
    </row>
    <row r="1164" spans="6:6" x14ac:dyDescent="0.2">
      <c r="F1164" s="283"/>
    </row>
    <row r="1165" spans="6:6" x14ac:dyDescent="0.2">
      <c r="F1165" s="283"/>
    </row>
    <row r="1166" spans="6:6" x14ac:dyDescent="0.2">
      <c r="F1166" s="283"/>
    </row>
    <row r="1167" spans="6:6" x14ac:dyDescent="0.2">
      <c r="F1167" s="283"/>
    </row>
    <row r="1168" spans="6:6" x14ac:dyDescent="0.2">
      <c r="F1168" s="283"/>
    </row>
    <row r="1169" spans="6:6" x14ac:dyDescent="0.2">
      <c r="F1169" s="283"/>
    </row>
    <row r="1170" spans="6:6" x14ac:dyDescent="0.2">
      <c r="F1170" s="283"/>
    </row>
    <row r="1171" spans="6:6" x14ac:dyDescent="0.2">
      <c r="F1171" s="283"/>
    </row>
    <row r="1172" spans="6:6" x14ac:dyDescent="0.2">
      <c r="F1172" s="283"/>
    </row>
    <row r="1173" spans="6:6" x14ac:dyDescent="0.2">
      <c r="F1173" s="283"/>
    </row>
    <row r="1174" spans="6:6" x14ac:dyDescent="0.2">
      <c r="F1174" s="283"/>
    </row>
    <row r="1175" spans="6:6" x14ac:dyDescent="0.2">
      <c r="F1175" s="283"/>
    </row>
    <row r="1176" spans="6:6" x14ac:dyDescent="0.2">
      <c r="F1176" s="283"/>
    </row>
    <row r="1177" spans="6:6" x14ac:dyDescent="0.2">
      <c r="F1177" s="283"/>
    </row>
    <row r="1178" spans="6:6" x14ac:dyDescent="0.2">
      <c r="F1178" s="283"/>
    </row>
    <row r="1179" spans="6:6" x14ac:dyDescent="0.2">
      <c r="F1179" s="283"/>
    </row>
    <row r="1180" spans="6:6" x14ac:dyDescent="0.2">
      <c r="F1180" s="283"/>
    </row>
    <row r="1181" spans="6:6" x14ac:dyDescent="0.2">
      <c r="F1181" s="283"/>
    </row>
    <row r="1182" spans="6:6" x14ac:dyDescent="0.2">
      <c r="F1182" s="283"/>
    </row>
    <row r="1183" spans="6:6" x14ac:dyDescent="0.2">
      <c r="F1183" s="283"/>
    </row>
    <row r="1184" spans="6:6" x14ac:dyDescent="0.2">
      <c r="F1184" s="283"/>
    </row>
    <row r="1185" spans="6:6" x14ac:dyDescent="0.2">
      <c r="F1185" s="283"/>
    </row>
    <row r="1186" spans="6:6" x14ac:dyDescent="0.2">
      <c r="F1186" s="283"/>
    </row>
    <row r="1187" spans="6:6" x14ac:dyDescent="0.2">
      <c r="F1187" s="283"/>
    </row>
    <row r="1188" spans="6:6" x14ac:dyDescent="0.2">
      <c r="F1188" s="283"/>
    </row>
    <row r="1189" spans="6:6" x14ac:dyDescent="0.2">
      <c r="F1189" s="283"/>
    </row>
    <row r="1190" spans="6:6" x14ac:dyDescent="0.2">
      <c r="F1190" s="283"/>
    </row>
    <row r="1191" spans="6:6" x14ac:dyDescent="0.2">
      <c r="F1191" s="283"/>
    </row>
    <row r="1192" spans="6:6" x14ac:dyDescent="0.2">
      <c r="F1192" s="283"/>
    </row>
    <row r="1193" spans="6:6" x14ac:dyDescent="0.2">
      <c r="F1193" s="283"/>
    </row>
    <row r="1194" spans="6:6" x14ac:dyDescent="0.2">
      <c r="F1194" s="283"/>
    </row>
    <row r="1195" spans="6:6" x14ac:dyDescent="0.2">
      <c r="F1195" s="283"/>
    </row>
    <row r="1196" spans="6:6" x14ac:dyDescent="0.2">
      <c r="F1196" s="283"/>
    </row>
    <row r="1197" spans="6:6" x14ac:dyDescent="0.2">
      <c r="F1197" s="283"/>
    </row>
    <row r="1198" spans="6:6" x14ac:dyDescent="0.2">
      <c r="F1198" s="283"/>
    </row>
    <row r="1199" spans="6:6" x14ac:dyDescent="0.2">
      <c r="F1199" s="283"/>
    </row>
    <row r="1200" spans="6:6" x14ac:dyDescent="0.2">
      <c r="F1200" s="283"/>
    </row>
    <row r="1201" spans="6:6" x14ac:dyDescent="0.2">
      <c r="F1201" s="283"/>
    </row>
    <row r="1202" spans="6:6" x14ac:dyDescent="0.2">
      <c r="F1202" s="283"/>
    </row>
    <row r="1203" spans="6:6" x14ac:dyDescent="0.2">
      <c r="F1203" s="283"/>
    </row>
    <row r="1204" spans="6:6" x14ac:dyDescent="0.2">
      <c r="F1204" s="283"/>
    </row>
    <row r="1205" spans="6:6" x14ac:dyDescent="0.2">
      <c r="F1205" s="283"/>
    </row>
    <row r="1206" spans="6:6" x14ac:dyDescent="0.2">
      <c r="F1206" s="283"/>
    </row>
    <row r="1207" spans="6:6" x14ac:dyDescent="0.2">
      <c r="F1207" s="283"/>
    </row>
    <row r="1208" spans="6:6" x14ac:dyDescent="0.2">
      <c r="F1208" s="283"/>
    </row>
    <row r="1209" spans="6:6" x14ac:dyDescent="0.2">
      <c r="F1209" s="283"/>
    </row>
    <row r="1210" spans="6:6" x14ac:dyDescent="0.2">
      <c r="F1210" s="283"/>
    </row>
    <row r="1211" spans="6:6" x14ac:dyDescent="0.2">
      <c r="F1211" s="283"/>
    </row>
    <row r="1212" spans="6:6" x14ac:dyDescent="0.2">
      <c r="F1212" s="283"/>
    </row>
    <row r="1213" spans="6:6" x14ac:dyDescent="0.2">
      <c r="F1213" s="283"/>
    </row>
    <row r="1214" spans="6:6" x14ac:dyDescent="0.2">
      <c r="F1214" s="283"/>
    </row>
    <row r="1215" spans="6:6" x14ac:dyDescent="0.2">
      <c r="F1215" s="283"/>
    </row>
    <row r="1216" spans="6:6" x14ac:dyDescent="0.2">
      <c r="F1216" s="283"/>
    </row>
    <row r="1217" spans="6:6" x14ac:dyDescent="0.2">
      <c r="F1217" s="283"/>
    </row>
    <row r="1218" spans="6:6" x14ac:dyDescent="0.2">
      <c r="F1218" s="283"/>
    </row>
    <row r="1219" spans="6:6" x14ac:dyDescent="0.2">
      <c r="F1219" s="283"/>
    </row>
    <row r="1220" spans="6:6" x14ac:dyDescent="0.2">
      <c r="F1220" s="283"/>
    </row>
    <row r="1221" spans="6:6" x14ac:dyDescent="0.2">
      <c r="F1221" s="283"/>
    </row>
    <row r="1222" spans="6:6" x14ac:dyDescent="0.2">
      <c r="F1222" s="283"/>
    </row>
    <row r="1223" spans="6:6" x14ac:dyDescent="0.2">
      <c r="F1223" s="283"/>
    </row>
    <row r="1224" spans="6:6" x14ac:dyDescent="0.2">
      <c r="F1224" s="283"/>
    </row>
    <row r="1225" spans="6:6" x14ac:dyDescent="0.2">
      <c r="F1225" s="283"/>
    </row>
    <row r="1226" spans="6:6" x14ac:dyDescent="0.2">
      <c r="F1226" s="283"/>
    </row>
    <row r="1227" spans="6:6" x14ac:dyDescent="0.2">
      <c r="F1227" s="283"/>
    </row>
    <row r="1228" spans="6:6" x14ac:dyDescent="0.2">
      <c r="F1228" s="283"/>
    </row>
    <row r="1229" spans="6:6" x14ac:dyDescent="0.2">
      <c r="F1229" s="283"/>
    </row>
    <row r="1230" spans="6:6" x14ac:dyDescent="0.2">
      <c r="F1230" s="283"/>
    </row>
    <row r="1231" spans="6:6" x14ac:dyDescent="0.2">
      <c r="F1231" s="283"/>
    </row>
    <row r="1232" spans="6:6" x14ac:dyDescent="0.2">
      <c r="F1232" s="283"/>
    </row>
    <row r="1233" spans="6:6" x14ac:dyDescent="0.2">
      <c r="F1233" s="283"/>
    </row>
    <row r="1234" spans="6:6" x14ac:dyDescent="0.2">
      <c r="F1234" s="283"/>
    </row>
    <row r="1235" spans="6:6" x14ac:dyDescent="0.2">
      <c r="F1235" s="283"/>
    </row>
    <row r="1236" spans="6:6" x14ac:dyDescent="0.2">
      <c r="F1236" s="283"/>
    </row>
    <row r="1237" spans="6:6" x14ac:dyDescent="0.2">
      <c r="F1237" s="283"/>
    </row>
    <row r="1238" spans="6:6" x14ac:dyDescent="0.2">
      <c r="F1238" s="283"/>
    </row>
    <row r="1239" spans="6:6" x14ac:dyDescent="0.2">
      <c r="F1239" s="283"/>
    </row>
    <row r="1240" spans="6:6" x14ac:dyDescent="0.2">
      <c r="F1240" s="283"/>
    </row>
    <row r="1241" spans="6:6" x14ac:dyDescent="0.2">
      <c r="F1241" s="283"/>
    </row>
    <row r="1242" spans="6:6" x14ac:dyDescent="0.2">
      <c r="F1242" s="283"/>
    </row>
    <row r="1243" spans="6:6" x14ac:dyDescent="0.2">
      <c r="F1243" s="283"/>
    </row>
    <row r="1244" spans="6:6" x14ac:dyDescent="0.2">
      <c r="F1244" s="283"/>
    </row>
    <row r="1245" spans="6:6" x14ac:dyDescent="0.2">
      <c r="F1245" s="283"/>
    </row>
    <row r="1246" spans="6:6" x14ac:dyDescent="0.2">
      <c r="F1246" s="283"/>
    </row>
    <row r="1247" spans="6:6" x14ac:dyDescent="0.2">
      <c r="F1247" s="283"/>
    </row>
    <row r="1248" spans="6:6" x14ac:dyDescent="0.2">
      <c r="F1248" s="283"/>
    </row>
    <row r="1249" spans="6:6" x14ac:dyDescent="0.2">
      <c r="F1249" s="283"/>
    </row>
    <row r="1250" spans="6:6" x14ac:dyDescent="0.2">
      <c r="F1250" s="283"/>
    </row>
    <row r="1251" spans="6:6" x14ac:dyDescent="0.2">
      <c r="F1251" s="283"/>
    </row>
    <row r="1252" spans="6:6" x14ac:dyDescent="0.2">
      <c r="F1252" s="283"/>
    </row>
    <row r="1253" spans="6:6" x14ac:dyDescent="0.2">
      <c r="F1253" s="283"/>
    </row>
    <row r="1254" spans="6:6" x14ac:dyDescent="0.2">
      <c r="F1254" s="283"/>
    </row>
    <row r="1255" spans="6:6" x14ac:dyDescent="0.2">
      <c r="F1255" s="283"/>
    </row>
    <row r="1256" spans="6:6" x14ac:dyDescent="0.2">
      <c r="F1256" s="283"/>
    </row>
    <row r="1257" spans="6:6" x14ac:dyDescent="0.2">
      <c r="F1257" s="283"/>
    </row>
    <row r="1258" spans="6:6" x14ac:dyDescent="0.2">
      <c r="F1258" s="283"/>
    </row>
    <row r="1259" spans="6:6" x14ac:dyDescent="0.2">
      <c r="F1259" s="283"/>
    </row>
    <row r="1260" spans="6:6" x14ac:dyDescent="0.2">
      <c r="F1260" s="283"/>
    </row>
    <row r="1261" spans="6:6" x14ac:dyDescent="0.2">
      <c r="F1261" s="283"/>
    </row>
    <row r="1262" spans="6:6" x14ac:dyDescent="0.2">
      <c r="F1262" s="283"/>
    </row>
    <row r="1263" spans="6:6" x14ac:dyDescent="0.2">
      <c r="F1263" s="283"/>
    </row>
    <row r="1264" spans="6:6" x14ac:dyDescent="0.2">
      <c r="F1264" s="283"/>
    </row>
    <row r="1265" spans="6:6" x14ac:dyDescent="0.2">
      <c r="F1265" s="283"/>
    </row>
    <row r="1266" spans="6:6" x14ac:dyDescent="0.2">
      <c r="F1266" s="283"/>
    </row>
    <row r="1267" spans="6:6" x14ac:dyDescent="0.2">
      <c r="F1267" s="283"/>
    </row>
    <row r="1268" spans="6:6" x14ac:dyDescent="0.2">
      <c r="F1268" s="283"/>
    </row>
    <row r="1269" spans="6:6" x14ac:dyDescent="0.2">
      <c r="F1269" s="283"/>
    </row>
    <row r="1270" spans="6:6" x14ac:dyDescent="0.2">
      <c r="F1270" s="283"/>
    </row>
    <row r="1271" spans="6:6" x14ac:dyDescent="0.2">
      <c r="F1271" s="283"/>
    </row>
    <row r="1272" spans="6:6" x14ac:dyDescent="0.2">
      <c r="F1272" s="283"/>
    </row>
    <row r="1273" spans="6:6" x14ac:dyDescent="0.2">
      <c r="F1273" s="283"/>
    </row>
    <row r="1274" spans="6:6" x14ac:dyDescent="0.2">
      <c r="F1274" s="283"/>
    </row>
    <row r="1275" spans="6:6" x14ac:dyDescent="0.2">
      <c r="F1275" s="283"/>
    </row>
    <row r="1276" spans="6:6" x14ac:dyDescent="0.2">
      <c r="F1276" s="283"/>
    </row>
    <row r="1277" spans="6:6" x14ac:dyDescent="0.2">
      <c r="F1277" s="283"/>
    </row>
    <row r="1278" spans="6:6" x14ac:dyDescent="0.2">
      <c r="F1278" s="283"/>
    </row>
    <row r="1279" spans="6:6" x14ac:dyDescent="0.2">
      <c r="F1279" s="283"/>
    </row>
    <row r="1280" spans="6:6" x14ac:dyDescent="0.2">
      <c r="F1280" s="283"/>
    </row>
    <row r="1281" spans="6:6" x14ac:dyDescent="0.2">
      <c r="F1281" s="283"/>
    </row>
    <row r="1282" spans="6:6" x14ac:dyDescent="0.2">
      <c r="F1282" s="283"/>
    </row>
    <row r="1283" spans="6:6" x14ac:dyDescent="0.2">
      <c r="F1283" s="283"/>
    </row>
    <row r="1284" spans="6:6" x14ac:dyDescent="0.2">
      <c r="F1284" s="283"/>
    </row>
    <row r="1285" spans="6:6" x14ac:dyDescent="0.2">
      <c r="F1285" s="283"/>
    </row>
    <row r="1286" spans="6:6" x14ac:dyDescent="0.2">
      <c r="F1286" s="283"/>
    </row>
    <row r="1287" spans="6:6" x14ac:dyDescent="0.2">
      <c r="F1287" s="283"/>
    </row>
    <row r="1288" spans="6:6" x14ac:dyDescent="0.2">
      <c r="F1288" s="283"/>
    </row>
    <row r="1289" spans="6:6" x14ac:dyDescent="0.2">
      <c r="F1289" s="283"/>
    </row>
    <row r="1290" spans="6:6" x14ac:dyDescent="0.2">
      <c r="F1290" s="283"/>
    </row>
    <row r="1291" spans="6:6" x14ac:dyDescent="0.2">
      <c r="F1291" s="283"/>
    </row>
    <row r="1292" spans="6:6" x14ac:dyDescent="0.2">
      <c r="F1292" s="283"/>
    </row>
    <row r="1293" spans="6:6" x14ac:dyDescent="0.2">
      <c r="F1293" s="283"/>
    </row>
    <row r="1294" spans="6:6" x14ac:dyDescent="0.2">
      <c r="F1294" s="283"/>
    </row>
    <row r="1295" spans="6:6" x14ac:dyDescent="0.2">
      <c r="F1295" s="283"/>
    </row>
    <row r="1296" spans="6:6" x14ac:dyDescent="0.2">
      <c r="F1296" s="283"/>
    </row>
    <row r="1297" spans="6:6" x14ac:dyDescent="0.2">
      <c r="F1297" s="283"/>
    </row>
    <row r="1298" spans="6:6" x14ac:dyDescent="0.2">
      <c r="F1298" s="283"/>
    </row>
    <row r="1299" spans="6:6" x14ac:dyDescent="0.2">
      <c r="F1299" s="283"/>
    </row>
    <row r="1300" spans="6:6" x14ac:dyDescent="0.2">
      <c r="F1300" s="283"/>
    </row>
    <row r="1301" spans="6:6" x14ac:dyDescent="0.2">
      <c r="F1301" s="283"/>
    </row>
    <row r="1302" spans="6:6" x14ac:dyDescent="0.2">
      <c r="F1302" s="283"/>
    </row>
    <row r="1303" spans="6:6" x14ac:dyDescent="0.2">
      <c r="F1303" s="283"/>
    </row>
    <row r="1304" spans="6:6" x14ac:dyDescent="0.2">
      <c r="F1304" s="283"/>
    </row>
    <row r="1305" spans="6:6" x14ac:dyDescent="0.2">
      <c r="F1305" s="283"/>
    </row>
    <row r="1306" spans="6:6" x14ac:dyDescent="0.2">
      <c r="F1306" s="283"/>
    </row>
    <row r="1307" spans="6:6" x14ac:dyDescent="0.2">
      <c r="F1307" s="283"/>
    </row>
    <row r="1308" spans="6:6" x14ac:dyDescent="0.2">
      <c r="F1308" s="283"/>
    </row>
    <row r="1309" spans="6:6" x14ac:dyDescent="0.2">
      <c r="F1309" s="283"/>
    </row>
    <row r="1310" spans="6:6" x14ac:dyDescent="0.2">
      <c r="F1310" s="283"/>
    </row>
    <row r="1311" spans="6:6" x14ac:dyDescent="0.2">
      <c r="F1311" s="283"/>
    </row>
    <row r="1312" spans="6:6" x14ac:dyDescent="0.2">
      <c r="F1312" s="283"/>
    </row>
    <row r="1313" spans="6:6" x14ac:dyDescent="0.2">
      <c r="F1313" s="283"/>
    </row>
    <row r="1314" spans="6:6" x14ac:dyDescent="0.2">
      <c r="F1314" s="283"/>
    </row>
    <row r="1315" spans="6:6" x14ac:dyDescent="0.2">
      <c r="F1315" s="283"/>
    </row>
    <row r="1316" spans="6:6" x14ac:dyDescent="0.2">
      <c r="F1316" s="283"/>
    </row>
    <row r="1317" spans="6:6" x14ac:dyDescent="0.2">
      <c r="F1317" s="283"/>
    </row>
    <row r="1318" spans="6:6" x14ac:dyDescent="0.2">
      <c r="F1318" s="283"/>
    </row>
    <row r="1319" spans="6:6" x14ac:dyDescent="0.2">
      <c r="F1319" s="283"/>
    </row>
    <row r="1320" spans="6:6" x14ac:dyDescent="0.2">
      <c r="F1320" s="283"/>
    </row>
    <row r="1321" spans="6:6" x14ac:dyDescent="0.2">
      <c r="F1321" s="283"/>
    </row>
    <row r="1322" spans="6:6" x14ac:dyDescent="0.2">
      <c r="F1322" s="283"/>
    </row>
    <row r="1323" spans="6:6" x14ac:dyDescent="0.2">
      <c r="F1323" s="283"/>
    </row>
    <row r="1324" spans="6:6" x14ac:dyDescent="0.2">
      <c r="F1324" s="283"/>
    </row>
    <row r="1325" spans="6:6" x14ac:dyDescent="0.2">
      <c r="F1325" s="283"/>
    </row>
    <row r="1326" spans="6:6" x14ac:dyDescent="0.2">
      <c r="F1326" s="283"/>
    </row>
    <row r="1327" spans="6:6" x14ac:dyDescent="0.2">
      <c r="F1327" s="283"/>
    </row>
    <row r="1328" spans="6:6" x14ac:dyDescent="0.2">
      <c r="F1328" s="283"/>
    </row>
    <row r="1329" spans="6:6" x14ac:dyDescent="0.2">
      <c r="F1329" s="283"/>
    </row>
    <row r="1330" spans="6:6" x14ac:dyDescent="0.2">
      <c r="F1330" s="283"/>
    </row>
    <row r="1331" spans="6:6" x14ac:dyDescent="0.2">
      <c r="F1331" s="283"/>
    </row>
    <row r="1332" spans="6:6" x14ac:dyDescent="0.2">
      <c r="F1332" s="283"/>
    </row>
    <row r="1333" spans="6:6" x14ac:dyDescent="0.2">
      <c r="F1333" s="283"/>
    </row>
    <row r="1334" spans="6:6" x14ac:dyDescent="0.2">
      <c r="F1334" s="283"/>
    </row>
    <row r="1335" spans="6:6" x14ac:dyDescent="0.2">
      <c r="F1335" s="283"/>
    </row>
    <row r="1336" spans="6:6" x14ac:dyDescent="0.2">
      <c r="F1336" s="283"/>
    </row>
    <row r="1337" spans="6:6" x14ac:dyDescent="0.2">
      <c r="F1337" s="283"/>
    </row>
    <row r="1338" spans="6:6" x14ac:dyDescent="0.2">
      <c r="F1338" s="283"/>
    </row>
    <row r="1339" spans="6:6" x14ac:dyDescent="0.2">
      <c r="F1339" s="283"/>
    </row>
    <row r="1340" spans="6:6" x14ac:dyDescent="0.2">
      <c r="F1340" s="283"/>
    </row>
    <row r="1341" spans="6:6" x14ac:dyDescent="0.2">
      <c r="F1341" s="283"/>
    </row>
    <row r="1342" spans="6:6" x14ac:dyDescent="0.2">
      <c r="F1342" s="283"/>
    </row>
    <row r="1343" spans="6:6" x14ac:dyDescent="0.2">
      <c r="F1343" s="283"/>
    </row>
    <row r="1344" spans="6:6" x14ac:dyDescent="0.2">
      <c r="F1344" s="283"/>
    </row>
    <row r="1345" spans="6:6" x14ac:dyDescent="0.2">
      <c r="F1345" s="283"/>
    </row>
    <row r="1346" spans="6:6" x14ac:dyDescent="0.2">
      <c r="F1346" s="283"/>
    </row>
    <row r="1347" spans="6:6" x14ac:dyDescent="0.2">
      <c r="F1347" s="283"/>
    </row>
    <row r="1348" spans="6:6" x14ac:dyDescent="0.2">
      <c r="F1348" s="283"/>
    </row>
    <row r="1349" spans="6:6" x14ac:dyDescent="0.2">
      <c r="F1349" s="283"/>
    </row>
    <row r="1350" spans="6:6" x14ac:dyDescent="0.2">
      <c r="F1350" s="283"/>
    </row>
    <row r="1351" spans="6:6" x14ac:dyDescent="0.2">
      <c r="F1351" s="283"/>
    </row>
    <row r="1352" spans="6:6" x14ac:dyDescent="0.2">
      <c r="F1352" s="283"/>
    </row>
    <row r="1353" spans="6:6" x14ac:dyDescent="0.2">
      <c r="F1353" s="283"/>
    </row>
    <row r="1354" spans="6:6" x14ac:dyDescent="0.2">
      <c r="F1354" s="283"/>
    </row>
    <row r="1355" spans="6:6" x14ac:dyDescent="0.2">
      <c r="F1355" s="283"/>
    </row>
    <row r="1356" spans="6:6" x14ac:dyDescent="0.2">
      <c r="F1356" s="283"/>
    </row>
    <row r="1357" spans="6:6" x14ac:dyDescent="0.2">
      <c r="F1357" s="283"/>
    </row>
    <row r="1358" spans="6:6" x14ac:dyDescent="0.2">
      <c r="F1358" s="283"/>
    </row>
    <row r="1359" spans="6:6" x14ac:dyDescent="0.2">
      <c r="F1359" s="283"/>
    </row>
    <row r="1360" spans="6:6" x14ac:dyDescent="0.2">
      <c r="F1360" s="283"/>
    </row>
    <row r="1361" spans="6:6" x14ac:dyDescent="0.2">
      <c r="F1361" s="283"/>
    </row>
    <row r="1362" spans="6:6" x14ac:dyDescent="0.2">
      <c r="F1362" s="283"/>
    </row>
    <row r="1363" spans="6:6" x14ac:dyDescent="0.2">
      <c r="F1363" s="283"/>
    </row>
    <row r="1364" spans="6:6" x14ac:dyDescent="0.2">
      <c r="F1364" s="283"/>
    </row>
    <row r="1365" spans="6:6" x14ac:dyDescent="0.2">
      <c r="F1365" s="283"/>
    </row>
    <row r="1366" spans="6:6" x14ac:dyDescent="0.2">
      <c r="F1366" s="283"/>
    </row>
    <row r="1367" spans="6:6" x14ac:dyDescent="0.2">
      <c r="F1367" s="283"/>
    </row>
    <row r="1368" spans="6:6" x14ac:dyDescent="0.2">
      <c r="F1368" s="283"/>
    </row>
    <row r="1369" spans="6:6" x14ac:dyDescent="0.2">
      <c r="F1369" s="283"/>
    </row>
    <row r="1370" spans="6:6" x14ac:dyDescent="0.2">
      <c r="F1370" s="283"/>
    </row>
    <row r="1371" spans="6:6" x14ac:dyDescent="0.2">
      <c r="F1371" s="283"/>
    </row>
    <row r="1372" spans="6:6" x14ac:dyDescent="0.2">
      <c r="F1372" s="283"/>
    </row>
    <row r="1373" spans="6:6" x14ac:dyDescent="0.2">
      <c r="F1373" s="283"/>
    </row>
    <row r="1374" spans="6:6" x14ac:dyDescent="0.2">
      <c r="F1374" s="283"/>
    </row>
    <row r="1375" spans="6:6" x14ac:dyDescent="0.2">
      <c r="F1375" s="283"/>
    </row>
    <row r="1376" spans="6:6" x14ac:dyDescent="0.2">
      <c r="F1376" s="283"/>
    </row>
    <row r="1377" spans="6:6" x14ac:dyDescent="0.2">
      <c r="F1377" s="283"/>
    </row>
    <row r="1378" spans="6:6" x14ac:dyDescent="0.2">
      <c r="F1378" s="283"/>
    </row>
    <row r="1379" spans="6:6" x14ac:dyDescent="0.2">
      <c r="F1379" s="283"/>
    </row>
    <row r="1380" spans="6:6" x14ac:dyDescent="0.2">
      <c r="F1380" s="283"/>
    </row>
    <row r="1381" spans="6:6" x14ac:dyDescent="0.2">
      <c r="F1381" s="283"/>
    </row>
    <row r="1382" spans="6:6" x14ac:dyDescent="0.2">
      <c r="F1382" s="283"/>
    </row>
    <row r="1383" spans="6:6" x14ac:dyDescent="0.2">
      <c r="F1383" s="283"/>
    </row>
    <row r="1384" spans="6:6" x14ac:dyDescent="0.2">
      <c r="F1384" s="283"/>
    </row>
    <row r="1385" spans="6:6" x14ac:dyDescent="0.2">
      <c r="F1385" s="283"/>
    </row>
    <row r="1386" spans="6:6" x14ac:dyDescent="0.2">
      <c r="F1386" s="283"/>
    </row>
    <row r="1387" spans="6:6" x14ac:dyDescent="0.2">
      <c r="F1387" s="283"/>
    </row>
    <row r="1388" spans="6:6" x14ac:dyDescent="0.2">
      <c r="F1388" s="283"/>
    </row>
    <row r="1389" spans="6:6" x14ac:dyDescent="0.2">
      <c r="F1389" s="283"/>
    </row>
    <row r="1390" spans="6:6" x14ac:dyDescent="0.2">
      <c r="F1390" s="283"/>
    </row>
    <row r="1391" spans="6:6" x14ac:dyDescent="0.2">
      <c r="F1391" s="283"/>
    </row>
    <row r="1392" spans="6:6" x14ac:dyDescent="0.2">
      <c r="F1392" s="283"/>
    </row>
    <row r="1393" spans="6:6" x14ac:dyDescent="0.2">
      <c r="F1393" s="283"/>
    </row>
    <row r="1394" spans="6:6" x14ac:dyDescent="0.2">
      <c r="F1394" s="283"/>
    </row>
    <row r="1395" spans="6:6" x14ac:dyDescent="0.2">
      <c r="F1395" s="283"/>
    </row>
    <row r="1396" spans="6:6" x14ac:dyDescent="0.2">
      <c r="F1396" s="283"/>
    </row>
    <row r="1397" spans="6:6" x14ac:dyDescent="0.2">
      <c r="F1397" s="283"/>
    </row>
    <row r="1398" spans="6:6" x14ac:dyDescent="0.2">
      <c r="F1398" s="283"/>
    </row>
    <row r="1399" spans="6:6" x14ac:dyDescent="0.2">
      <c r="F1399" s="283"/>
    </row>
    <row r="1400" spans="6:6" x14ac:dyDescent="0.2">
      <c r="F1400" s="283"/>
    </row>
    <row r="1401" spans="6:6" x14ac:dyDescent="0.2">
      <c r="F1401" s="283"/>
    </row>
    <row r="1402" spans="6:6" x14ac:dyDescent="0.2">
      <c r="F1402" s="283"/>
    </row>
    <row r="1403" spans="6:6" x14ac:dyDescent="0.2">
      <c r="F1403" s="283"/>
    </row>
    <row r="1404" spans="6:6" x14ac:dyDescent="0.2">
      <c r="F1404" s="283"/>
    </row>
    <row r="1405" spans="6:6" x14ac:dyDescent="0.2">
      <c r="F1405" s="283"/>
    </row>
    <row r="1406" spans="6:6" x14ac:dyDescent="0.2">
      <c r="F1406" s="283"/>
    </row>
    <row r="1407" spans="6:6" x14ac:dyDescent="0.2">
      <c r="F1407" s="283"/>
    </row>
    <row r="1408" spans="6:6" x14ac:dyDescent="0.2">
      <c r="F1408" s="283"/>
    </row>
    <row r="1409" spans="6:6" x14ac:dyDescent="0.2">
      <c r="F1409" s="283"/>
    </row>
    <row r="1410" spans="6:6" x14ac:dyDescent="0.2">
      <c r="F1410" s="283"/>
    </row>
    <row r="1411" spans="6:6" x14ac:dyDescent="0.2">
      <c r="F1411" s="283"/>
    </row>
    <row r="1412" spans="6:6" x14ac:dyDescent="0.2">
      <c r="F1412" s="283"/>
    </row>
    <row r="1413" spans="6:6" x14ac:dyDescent="0.2">
      <c r="F1413" s="283"/>
    </row>
    <row r="1414" spans="6:6" x14ac:dyDescent="0.2">
      <c r="F1414" s="283"/>
    </row>
    <row r="1415" spans="6:6" x14ac:dyDescent="0.2">
      <c r="F1415" s="283"/>
    </row>
    <row r="1416" spans="6:6" x14ac:dyDescent="0.2">
      <c r="F1416" s="283"/>
    </row>
    <row r="1417" spans="6:6" x14ac:dyDescent="0.2">
      <c r="F1417" s="283"/>
    </row>
    <row r="1418" spans="6:6" x14ac:dyDescent="0.2">
      <c r="F1418" s="283"/>
    </row>
    <row r="1419" spans="6:6" x14ac:dyDescent="0.2">
      <c r="F1419" s="283"/>
    </row>
    <row r="1420" spans="6:6" x14ac:dyDescent="0.2">
      <c r="F1420" s="283"/>
    </row>
    <row r="1421" spans="6:6" x14ac:dyDescent="0.2">
      <c r="F1421" s="283"/>
    </row>
    <row r="1422" spans="6:6" x14ac:dyDescent="0.2">
      <c r="F1422" s="283"/>
    </row>
    <row r="1423" spans="6:6" x14ac:dyDescent="0.2">
      <c r="F1423" s="283"/>
    </row>
    <row r="1424" spans="6:6" x14ac:dyDescent="0.2">
      <c r="F1424" s="283"/>
    </row>
    <row r="1425" spans="6:6" x14ac:dyDescent="0.2">
      <c r="F1425" s="283"/>
    </row>
    <row r="1426" spans="6:6" x14ac:dyDescent="0.2">
      <c r="F1426" s="283"/>
    </row>
    <row r="1427" spans="6:6" x14ac:dyDescent="0.2">
      <c r="F1427" s="283"/>
    </row>
    <row r="1428" spans="6:6" x14ac:dyDescent="0.2">
      <c r="F1428" s="283"/>
    </row>
    <row r="1429" spans="6:6" x14ac:dyDescent="0.2">
      <c r="F1429" s="283"/>
    </row>
    <row r="1430" spans="6:6" x14ac:dyDescent="0.2">
      <c r="F1430" s="283"/>
    </row>
    <row r="1431" spans="6:6" x14ac:dyDescent="0.2">
      <c r="F1431" s="283"/>
    </row>
    <row r="1432" spans="6:6" x14ac:dyDescent="0.2">
      <c r="F1432" s="283"/>
    </row>
    <row r="1433" spans="6:6" x14ac:dyDescent="0.2">
      <c r="F1433" s="283"/>
    </row>
    <row r="1434" spans="6:6" x14ac:dyDescent="0.2">
      <c r="F1434" s="283"/>
    </row>
    <row r="1435" spans="6:6" x14ac:dyDescent="0.2">
      <c r="F1435" s="283"/>
    </row>
    <row r="1436" spans="6:6" x14ac:dyDescent="0.2">
      <c r="F1436" s="283"/>
    </row>
    <row r="1437" spans="6:6" x14ac:dyDescent="0.2">
      <c r="F1437" s="283"/>
    </row>
    <row r="1438" spans="6:6" x14ac:dyDescent="0.2">
      <c r="F1438" s="283"/>
    </row>
    <row r="1439" spans="6:6" x14ac:dyDescent="0.2">
      <c r="F1439" s="283"/>
    </row>
    <row r="1440" spans="6:6" x14ac:dyDescent="0.2">
      <c r="F1440" s="283"/>
    </row>
    <row r="1441" spans="6:6" x14ac:dyDescent="0.2">
      <c r="F1441" s="283"/>
    </row>
    <row r="1442" spans="6:6" x14ac:dyDescent="0.2">
      <c r="F1442" s="283"/>
    </row>
    <row r="1443" spans="6:6" x14ac:dyDescent="0.2">
      <c r="F1443" s="283"/>
    </row>
    <row r="1444" spans="6:6" x14ac:dyDescent="0.2">
      <c r="F1444" s="283"/>
    </row>
    <row r="1445" spans="6:6" x14ac:dyDescent="0.2">
      <c r="F1445" s="283"/>
    </row>
    <row r="1446" spans="6:6" x14ac:dyDescent="0.2">
      <c r="F1446" s="283"/>
    </row>
    <row r="1447" spans="6:6" x14ac:dyDescent="0.2">
      <c r="F1447" s="283"/>
    </row>
    <row r="1448" spans="6:6" x14ac:dyDescent="0.2">
      <c r="F1448" s="283"/>
    </row>
    <row r="1449" spans="6:6" x14ac:dyDescent="0.2">
      <c r="F1449" s="283"/>
    </row>
    <row r="1450" spans="6:6" x14ac:dyDescent="0.2">
      <c r="F1450" s="283"/>
    </row>
    <row r="1451" spans="6:6" x14ac:dyDescent="0.2">
      <c r="F1451" s="283"/>
    </row>
    <row r="1452" spans="6:6" x14ac:dyDescent="0.2">
      <c r="F1452" s="283"/>
    </row>
    <row r="1453" spans="6:6" x14ac:dyDescent="0.2">
      <c r="F1453" s="283"/>
    </row>
    <row r="1454" spans="6:6" x14ac:dyDescent="0.2">
      <c r="F1454" s="283"/>
    </row>
    <row r="1455" spans="6:6" x14ac:dyDescent="0.2">
      <c r="F1455" s="283"/>
    </row>
    <row r="1456" spans="6:6" x14ac:dyDescent="0.2">
      <c r="F1456" s="283"/>
    </row>
    <row r="1457" spans="6:6" x14ac:dyDescent="0.2">
      <c r="F1457" s="283"/>
    </row>
    <row r="1458" spans="6:6" x14ac:dyDescent="0.2">
      <c r="F1458" s="283"/>
    </row>
    <row r="1459" spans="6:6" x14ac:dyDescent="0.2">
      <c r="F1459" s="283"/>
    </row>
    <row r="1460" spans="6:6" x14ac:dyDescent="0.2">
      <c r="F1460" s="283"/>
    </row>
    <row r="1461" spans="6:6" x14ac:dyDescent="0.2">
      <c r="F1461" s="283"/>
    </row>
    <row r="1462" spans="6:6" x14ac:dyDescent="0.2">
      <c r="F1462" s="283"/>
    </row>
    <row r="1463" spans="6:6" x14ac:dyDescent="0.2">
      <c r="F1463" s="283"/>
    </row>
    <row r="1464" spans="6:6" x14ac:dyDescent="0.2">
      <c r="F1464" s="283"/>
    </row>
    <row r="1465" spans="6:6" x14ac:dyDescent="0.2">
      <c r="F1465" s="283"/>
    </row>
    <row r="1466" spans="6:6" x14ac:dyDescent="0.2">
      <c r="F1466" s="283"/>
    </row>
    <row r="1467" spans="6:6" x14ac:dyDescent="0.2">
      <c r="F1467" s="283"/>
    </row>
    <row r="1468" spans="6:6" x14ac:dyDescent="0.2">
      <c r="F1468" s="283"/>
    </row>
    <row r="1469" spans="6:6" x14ac:dyDescent="0.2">
      <c r="F1469" s="283"/>
    </row>
    <row r="1470" spans="6:6" x14ac:dyDescent="0.2">
      <c r="F1470" s="283"/>
    </row>
    <row r="1471" spans="6:6" x14ac:dyDescent="0.2">
      <c r="F1471" s="283"/>
    </row>
    <row r="1472" spans="6:6" x14ac:dyDescent="0.2">
      <c r="F1472" s="283"/>
    </row>
    <row r="1473" spans="6:6" x14ac:dyDescent="0.2">
      <c r="F1473" s="283"/>
    </row>
    <row r="1474" spans="6:6" x14ac:dyDescent="0.2">
      <c r="F1474" s="283"/>
    </row>
    <row r="1475" spans="6:6" x14ac:dyDescent="0.2">
      <c r="F1475" s="283"/>
    </row>
    <row r="1476" spans="6:6" x14ac:dyDescent="0.2">
      <c r="F1476" s="283"/>
    </row>
    <row r="1477" spans="6:6" x14ac:dyDescent="0.2">
      <c r="F1477" s="283"/>
    </row>
    <row r="1478" spans="6:6" x14ac:dyDescent="0.2">
      <c r="F1478" s="283"/>
    </row>
    <row r="1479" spans="6:6" x14ac:dyDescent="0.2">
      <c r="F1479" s="283"/>
    </row>
    <row r="1480" spans="6:6" x14ac:dyDescent="0.2">
      <c r="F1480" s="283"/>
    </row>
    <row r="1481" spans="6:6" x14ac:dyDescent="0.2">
      <c r="F1481" s="283"/>
    </row>
    <row r="1482" spans="6:6" x14ac:dyDescent="0.2">
      <c r="F1482" s="283"/>
    </row>
    <row r="1483" spans="6:6" x14ac:dyDescent="0.2">
      <c r="F1483" s="283"/>
    </row>
    <row r="1484" spans="6:6" x14ac:dyDescent="0.2">
      <c r="F1484" s="283"/>
    </row>
    <row r="1485" spans="6:6" x14ac:dyDescent="0.2">
      <c r="F1485" s="283"/>
    </row>
    <row r="1486" spans="6:6" x14ac:dyDescent="0.2">
      <c r="F1486" s="283"/>
    </row>
    <row r="1487" spans="6:6" x14ac:dyDescent="0.2">
      <c r="F1487" s="283"/>
    </row>
    <row r="1488" spans="6:6" x14ac:dyDescent="0.2">
      <c r="F1488" s="283"/>
    </row>
    <row r="1489" spans="6:6" x14ac:dyDescent="0.2">
      <c r="F1489" s="283"/>
    </row>
    <row r="1490" spans="6:6" x14ac:dyDescent="0.2">
      <c r="F1490" s="283"/>
    </row>
    <row r="1491" spans="6:6" x14ac:dyDescent="0.2">
      <c r="F1491" s="283"/>
    </row>
    <row r="1492" spans="6:6" x14ac:dyDescent="0.2">
      <c r="F1492" s="283"/>
    </row>
    <row r="1493" spans="6:6" x14ac:dyDescent="0.2">
      <c r="F1493" s="283"/>
    </row>
    <row r="1494" spans="6:6" x14ac:dyDescent="0.2">
      <c r="F1494" s="283"/>
    </row>
    <row r="1495" spans="6:6" x14ac:dyDescent="0.2">
      <c r="F1495" s="283"/>
    </row>
    <row r="1496" spans="6:6" x14ac:dyDescent="0.2">
      <c r="F1496" s="283"/>
    </row>
    <row r="1497" spans="6:6" x14ac:dyDescent="0.2">
      <c r="F1497" s="283"/>
    </row>
    <row r="1498" spans="6:6" x14ac:dyDescent="0.2">
      <c r="F1498" s="283"/>
    </row>
    <row r="1499" spans="6:6" x14ac:dyDescent="0.2">
      <c r="F1499" s="283"/>
    </row>
    <row r="1500" spans="6:6" x14ac:dyDescent="0.2">
      <c r="F1500" s="283"/>
    </row>
    <row r="1501" spans="6:6" x14ac:dyDescent="0.2">
      <c r="F1501" s="283"/>
    </row>
    <row r="1502" spans="6:6" x14ac:dyDescent="0.2">
      <c r="F1502" s="283"/>
    </row>
    <row r="1503" spans="6:6" x14ac:dyDescent="0.2">
      <c r="F1503" s="283"/>
    </row>
    <row r="1504" spans="6:6" x14ac:dyDescent="0.2">
      <c r="F1504" s="283"/>
    </row>
    <row r="1505" spans="6:6" x14ac:dyDescent="0.2">
      <c r="F1505" s="283"/>
    </row>
    <row r="1506" spans="6:6" x14ac:dyDescent="0.2">
      <c r="F1506" s="283"/>
    </row>
    <row r="1507" spans="6:6" x14ac:dyDescent="0.2">
      <c r="F1507" s="283"/>
    </row>
    <row r="1508" spans="6:6" x14ac:dyDescent="0.2">
      <c r="F1508" s="283"/>
    </row>
    <row r="1509" spans="6:6" x14ac:dyDescent="0.2">
      <c r="F1509" s="283"/>
    </row>
    <row r="1510" spans="6:6" x14ac:dyDescent="0.2">
      <c r="F1510" s="283"/>
    </row>
    <row r="1511" spans="6:6" x14ac:dyDescent="0.2">
      <c r="F1511" s="283"/>
    </row>
    <row r="1512" spans="6:6" x14ac:dyDescent="0.2">
      <c r="F1512" s="283"/>
    </row>
    <row r="1513" spans="6:6" x14ac:dyDescent="0.2">
      <c r="F1513" s="283"/>
    </row>
    <row r="1514" spans="6:6" x14ac:dyDescent="0.2">
      <c r="F1514" s="283"/>
    </row>
    <row r="1515" spans="6:6" x14ac:dyDescent="0.2">
      <c r="F1515" s="283"/>
    </row>
    <row r="1516" spans="6:6" x14ac:dyDescent="0.2">
      <c r="F1516" s="283"/>
    </row>
    <row r="1517" spans="6:6" x14ac:dyDescent="0.2">
      <c r="F1517" s="283"/>
    </row>
    <row r="1518" spans="6:6" x14ac:dyDescent="0.2">
      <c r="F1518" s="283"/>
    </row>
    <row r="1519" spans="6:6" x14ac:dyDescent="0.2">
      <c r="F1519" s="283"/>
    </row>
    <row r="1520" spans="6:6" x14ac:dyDescent="0.2">
      <c r="F1520" s="283"/>
    </row>
    <row r="1521" spans="6:6" x14ac:dyDescent="0.2">
      <c r="F1521" s="283"/>
    </row>
    <row r="1522" spans="6:6" x14ac:dyDescent="0.2">
      <c r="F1522" s="283"/>
    </row>
    <row r="1523" spans="6:6" x14ac:dyDescent="0.2">
      <c r="F1523" s="283"/>
    </row>
    <row r="1524" spans="6:6" x14ac:dyDescent="0.2">
      <c r="F1524" s="283"/>
    </row>
    <row r="1525" spans="6:6" x14ac:dyDescent="0.2">
      <c r="F1525" s="283"/>
    </row>
    <row r="1526" spans="6:6" x14ac:dyDescent="0.2">
      <c r="F1526" s="283"/>
    </row>
    <row r="1527" spans="6:6" x14ac:dyDescent="0.2">
      <c r="F1527" s="283"/>
    </row>
    <row r="1528" spans="6:6" x14ac:dyDescent="0.2">
      <c r="F1528" s="283"/>
    </row>
    <row r="1529" spans="6:6" x14ac:dyDescent="0.2">
      <c r="F1529" s="283"/>
    </row>
    <row r="1530" spans="6:6" x14ac:dyDescent="0.2">
      <c r="F1530" s="283"/>
    </row>
    <row r="1531" spans="6:6" x14ac:dyDescent="0.2">
      <c r="F1531" s="283"/>
    </row>
    <row r="1532" spans="6:6" x14ac:dyDescent="0.2">
      <c r="F1532" s="283"/>
    </row>
    <row r="1533" spans="6:6" x14ac:dyDescent="0.2">
      <c r="F1533" s="283"/>
    </row>
    <row r="1534" spans="6:6" x14ac:dyDescent="0.2">
      <c r="F1534" s="283"/>
    </row>
    <row r="1535" spans="6:6" x14ac:dyDescent="0.2">
      <c r="F1535" s="283"/>
    </row>
    <row r="1536" spans="6:6" x14ac:dyDescent="0.2">
      <c r="F1536" s="283"/>
    </row>
    <row r="1537" spans="6:6" x14ac:dyDescent="0.2">
      <c r="F1537" s="283"/>
    </row>
    <row r="1538" spans="6:6" x14ac:dyDescent="0.2">
      <c r="F1538" s="283"/>
    </row>
    <row r="1539" spans="6:6" x14ac:dyDescent="0.2">
      <c r="F1539" s="283"/>
    </row>
    <row r="1540" spans="6:6" x14ac:dyDescent="0.2">
      <c r="F1540" s="283"/>
    </row>
    <row r="1541" spans="6:6" x14ac:dyDescent="0.2">
      <c r="F1541" s="283"/>
    </row>
    <row r="1542" spans="6:6" x14ac:dyDescent="0.2">
      <c r="F1542" s="283"/>
    </row>
    <row r="1543" spans="6:6" x14ac:dyDescent="0.2">
      <c r="F1543" s="283"/>
    </row>
    <row r="1544" spans="6:6" x14ac:dyDescent="0.2">
      <c r="F1544" s="283"/>
    </row>
    <row r="1545" spans="6:6" x14ac:dyDescent="0.2">
      <c r="F1545" s="283"/>
    </row>
    <row r="1546" spans="6:6" x14ac:dyDescent="0.2">
      <c r="F1546" s="283"/>
    </row>
    <row r="1547" spans="6:6" x14ac:dyDescent="0.2">
      <c r="F1547" s="283"/>
    </row>
    <row r="1548" spans="6:6" x14ac:dyDescent="0.2">
      <c r="F1548" s="283"/>
    </row>
    <row r="1549" spans="6:6" x14ac:dyDescent="0.2">
      <c r="F1549" s="283"/>
    </row>
    <row r="1550" spans="6:6" x14ac:dyDescent="0.2">
      <c r="F1550" s="283"/>
    </row>
    <row r="1551" spans="6:6" x14ac:dyDescent="0.2">
      <c r="F1551" s="283"/>
    </row>
    <row r="1552" spans="6:6" x14ac:dyDescent="0.2">
      <c r="F1552" s="283"/>
    </row>
    <row r="1553" spans="6:6" x14ac:dyDescent="0.2">
      <c r="F1553" s="283"/>
    </row>
    <row r="1554" spans="6:6" x14ac:dyDescent="0.2">
      <c r="F1554" s="283"/>
    </row>
    <row r="1555" spans="6:6" x14ac:dyDescent="0.2">
      <c r="F1555" s="283"/>
    </row>
    <row r="1556" spans="6:6" x14ac:dyDescent="0.2">
      <c r="F1556" s="283"/>
    </row>
    <row r="1557" spans="6:6" x14ac:dyDescent="0.2">
      <c r="F1557" s="283"/>
    </row>
    <row r="1558" spans="6:6" x14ac:dyDescent="0.2">
      <c r="F1558" s="283"/>
    </row>
    <row r="1559" spans="6:6" x14ac:dyDescent="0.2">
      <c r="F1559" s="283"/>
    </row>
    <row r="1560" spans="6:6" x14ac:dyDescent="0.2">
      <c r="F1560" s="283"/>
    </row>
    <row r="1561" spans="6:6" x14ac:dyDescent="0.2">
      <c r="F1561" s="283"/>
    </row>
    <row r="1562" spans="6:6" x14ac:dyDescent="0.2">
      <c r="F1562" s="283"/>
    </row>
    <row r="1563" spans="6:6" x14ac:dyDescent="0.2">
      <c r="F1563" s="283"/>
    </row>
    <row r="1564" spans="6:6" x14ac:dyDescent="0.2">
      <c r="F1564" s="283"/>
    </row>
    <row r="1565" spans="6:6" x14ac:dyDescent="0.2">
      <c r="F1565" s="283"/>
    </row>
    <row r="1566" spans="6:6" x14ac:dyDescent="0.2">
      <c r="F1566" s="283"/>
    </row>
    <row r="1567" spans="6:6" x14ac:dyDescent="0.2">
      <c r="F1567" s="283"/>
    </row>
    <row r="1568" spans="6:6" x14ac:dyDescent="0.2">
      <c r="F1568" s="283"/>
    </row>
    <row r="1569" spans="6:6" x14ac:dyDescent="0.2">
      <c r="F1569" s="283"/>
    </row>
    <row r="1570" spans="6:6" x14ac:dyDescent="0.2">
      <c r="F1570" s="283"/>
    </row>
    <row r="1571" spans="6:6" x14ac:dyDescent="0.2">
      <c r="F1571" s="283"/>
    </row>
    <row r="1572" spans="6:6" x14ac:dyDescent="0.2">
      <c r="F1572" s="283"/>
    </row>
    <row r="1573" spans="6:6" x14ac:dyDescent="0.2">
      <c r="F1573" s="283"/>
    </row>
    <row r="1574" spans="6:6" x14ac:dyDescent="0.2">
      <c r="F1574" s="283"/>
    </row>
    <row r="1575" spans="6:6" x14ac:dyDescent="0.2">
      <c r="F1575" s="283"/>
    </row>
    <row r="1576" spans="6:6" x14ac:dyDescent="0.2">
      <c r="F1576" s="283"/>
    </row>
    <row r="1577" spans="6:6" x14ac:dyDescent="0.2">
      <c r="F1577" s="283"/>
    </row>
    <row r="1578" spans="6:6" x14ac:dyDescent="0.2">
      <c r="F1578" s="283"/>
    </row>
    <row r="1579" spans="6:6" x14ac:dyDescent="0.2">
      <c r="F1579" s="283"/>
    </row>
    <row r="1580" spans="6:6" x14ac:dyDescent="0.2">
      <c r="F1580" s="283"/>
    </row>
    <row r="1581" spans="6:6" x14ac:dyDescent="0.2">
      <c r="F1581" s="283"/>
    </row>
    <row r="1582" spans="6:6" x14ac:dyDescent="0.2">
      <c r="F1582" s="283"/>
    </row>
    <row r="1583" spans="6:6" x14ac:dyDescent="0.2">
      <c r="F1583" s="283"/>
    </row>
    <row r="1584" spans="6:6" x14ac:dyDescent="0.2">
      <c r="F1584" s="283"/>
    </row>
    <row r="1585" spans="6:6" x14ac:dyDescent="0.2">
      <c r="F1585" s="283"/>
    </row>
    <row r="1586" spans="6:6" x14ac:dyDescent="0.2">
      <c r="F1586" s="283"/>
    </row>
    <row r="1587" spans="6:6" x14ac:dyDescent="0.2">
      <c r="F1587" s="283"/>
    </row>
    <row r="1588" spans="6:6" x14ac:dyDescent="0.2">
      <c r="F1588" s="283"/>
    </row>
    <row r="1589" spans="6:6" x14ac:dyDescent="0.2">
      <c r="F1589" s="283"/>
    </row>
    <row r="1590" spans="6:6" x14ac:dyDescent="0.2">
      <c r="F1590" s="283"/>
    </row>
    <row r="1591" spans="6:6" x14ac:dyDescent="0.2">
      <c r="F1591" s="283"/>
    </row>
    <row r="1592" spans="6:6" x14ac:dyDescent="0.2">
      <c r="F1592" s="283"/>
    </row>
    <row r="1593" spans="6:6" x14ac:dyDescent="0.2">
      <c r="F1593" s="283"/>
    </row>
    <row r="1594" spans="6:6" x14ac:dyDescent="0.2">
      <c r="F1594" s="283"/>
    </row>
    <row r="1595" spans="6:6" x14ac:dyDescent="0.2">
      <c r="F1595" s="283"/>
    </row>
    <row r="1596" spans="6:6" x14ac:dyDescent="0.2">
      <c r="F1596" s="283"/>
    </row>
    <row r="1597" spans="6:6" x14ac:dyDescent="0.2">
      <c r="F1597" s="283"/>
    </row>
    <row r="1598" spans="6:6" x14ac:dyDescent="0.2">
      <c r="F1598" s="283"/>
    </row>
    <row r="1599" spans="6:6" x14ac:dyDescent="0.2">
      <c r="F1599" s="283"/>
    </row>
    <row r="1600" spans="6:6" x14ac:dyDescent="0.2">
      <c r="F1600" s="283"/>
    </row>
    <row r="1601" spans="6:6" x14ac:dyDescent="0.2">
      <c r="F1601" s="283"/>
    </row>
    <row r="1602" spans="6:6" x14ac:dyDescent="0.2">
      <c r="F1602" s="283"/>
    </row>
    <row r="1603" spans="6:6" x14ac:dyDescent="0.2">
      <c r="F1603" s="283"/>
    </row>
    <row r="1604" spans="6:6" x14ac:dyDescent="0.2">
      <c r="F1604" s="283"/>
    </row>
    <row r="1605" spans="6:6" x14ac:dyDescent="0.2">
      <c r="F1605" s="283"/>
    </row>
    <row r="1606" spans="6:6" x14ac:dyDescent="0.2">
      <c r="F1606" s="283"/>
    </row>
    <row r="1607" spans="6:6" x14ac:dyDescent="0.2">
      <c r="F1607" s="283"/>
    </row>
    <row r="1608" spans="6:6" x14ac:dyDescent="0.2">
      <c r="F1608" s="283"/>
    </row>
    <row r="1609" spans="6:6" x14ac:dyDescent="0.2">
      <c r="F1609" s="283"/>
    </row>
    <row r="1610" spans="6:6" x14ac:dyDescent="0.2">
      <c r="F1610" s="283"/>
    </row>
    <row r="1611" spans="6:6" x14ac:dyDescent="0.2">
      <c r="F1611" s="283"/>
    </row>
    <row r="1612" spans="6:6" x14ac:dyDescent="0.2">
      <c r="F1612" s="283"/>
    </row>
    <row r="1613" spans="6:6" x14ac:dyDescent="0.2">
      <c r="F1613" s="283"/>
    </row>
    <row r="1614" spans="6:6" x14ac:dyDescent="0.2">
      <c r="F1614" s="283"/>
    </row>
    <row r="1615" spans="6:6" x14ac:dyDescent="0.2">
      <c r="F1615" s="283"/>
    </row>
    <row r="1616" spans="6:6" x14ac:dyDescent="0.2">
      <c r="F1616" s="283"/>
    </row>
    <row r="1617" spans="6:6" x14ac:dyDescent="0.2">
      <c r="F1617" s="283"/>
    </row>
    <row r="1618" spans="6:6" x14ac:dyDescent="0.2">
      <c r="F1618" s="283"/>
    </row>
    <row r="1619" spans="6:6" x14ac:dyDescent="0.2">
      <c r="F1619" s="283"/>
    </row>
    <row r="1620" spans="6:6" x14ac:dyDescent="0.2">
      <c r="F1620" s="283"/>
    </row>
    <row r="1621" spans="6:6" x14ac:dyDescent="0.2">
      <c r="F1621" s="283"/>
    </row>
    <row r="1622" spans="6:6" x14ac:dyDescent="0.2">
      <c r="F1622" s="283"/>
    </row>
    <row r="1623" spans="6:6" x14ac:dyDescent="0.2">
      <c r="F1623" s="283"/>
    </row>
    <row r="1624" spans="6:6" x14ac:dyDescent="0.2">
      <c r="F1624" s="283"/>
    </row>
    <row r="1625" spans="6:6" x14ac:dyDescent="0.2">
      <c r="F1625" s="283"/>
    </row>
    <row r="1626" spans="6:6" x14ac:dyDescent="0.2">
      <c r="F1626" s="283"/>
    </row>
    <row r="1627" spans="6:6" x14ac:dyDescent="0.2">
      <c r="F1627" s="283"/>
    </row>
    <row r="1628" spans="6:6" x14ac:dyDescent="0.2">
      <c r="F1628" s="283"/>
    </row>
    <row r="1629" spans="6:6" x14ac:dyDescent="0.2">
      <c r="F1629" s="283"/>
    </row>
    <row r="1630" spans="6:6" x14ac:dyDescent="0.2">
      <c r="F1630" s="283"/>
    </row>
    <row r="1631" spans="6:6" x14ac:dyDescent="0.2">
      <c r="F1631" s="283"/>
    </row>
    <row r="1632" spans="6:6" x14ac:dyDescent="0.2">
      <c r="F1632" s="283"/>
    </row>
    <row r="1633" spans="6:6" x14ac:dyDescent="0.2">
      <c r="F1633" s="283"/>
    </row>
    <row r="1634" spans="6:6" x14ac:dyDescent="0.2">
      <c r="F1634" s="283"/>
    </row>
    <row r="1635" spans="6:6" x14ac:dyDescent="0.2">
      <c r="F1635" s="283"/>
    </row>
    <row r="1636" spans="6:6" x14ac:dyDescent="0.2">
      <c r="F1636" s="283"/>
    </row>
    <row r="1637" spans="6:6" x14ac:dyDescent="0.2">
      <c r="F1637" s="283"/>
    </row>
    <row r="1638" spans="6:6" x14ac:dyDescent="0.2">
      <c r="F1638" s="283"/>
    </row>
    <row r="1639" spans="6:6" x14ac:dyDescent="0.2">
      <c r="F1639" s="283"/>
    </row>
    <row r="1640" spans="6:6" x14ac:dyDescent="0.2">
      <c r="F1640" s="283"/>
    </row>
    <row r="1641" spans="6:6" x14ac:dyDescent="0.2">
      <c r="F1641" s="283"/>
    </row>
    <row r="1642" spans="6:6" x14ac:dyDescent="0.2">
      <c r="F1642" s="283"/>
    </row>
    <row r="1643" spans="6:6" x14ac:dyDescent="0.2">
      <c r="F1643" s="283"/>
    </row>
    <row r="1644" spans="6:6" x14ac:dyDescent="0.2">
      <c r="F1644" s="283"/>
    </row>
    <row r="1645" spans="6:6" x14ac:dyDescent="0.2">
      <c r="F1645" s="283"/>
    </row>
    <row r="1646" spans="6:6" x14ac:dyDescent="0.2">
      <c r="F1646" s="283"/>
    </row>
    <row r="1647" spans="6:6" x14ac:dyDescent="0.2">
      <c r="F1647" s="283"/>
    </row>
    <row r="1648" spans="6:6" x14ac:dyDescent="0.2">
      <c r="F1648" s="283"/>
    </row>
    <row r="1649" spans="6:6" x14ac:dyDescent="0.2">
      <c r="F1649" s="283"/>
    </row>
    <row r="1650" spans="6:6" x14ac:dyDescent="0.2">
      <c r="F1650" s="283"/>
    </row>
    <row r="1651" spans="6:6" x14ac:dyDescent="0.2">
      <c r="F1651" s="283"/>
    </row>
    <row r="1652" spans="6:6" x14ac:dyDescent="0.2">
      <c r="F1652" s="283"/>
    </row>
    <row r="1653" spans="6:6" x14ac:dyDescent="0.2">
      <c r="F1653" s="283"/>
    </row>
    <row r="1654" spans="6:6" x14ac:dyDescent="0.2">
      <c r="F1654" s="283"/>
    </row>
    <row r="1655" spans="6:6" x14ac:dyDescent="0.2">
      <c r="F1655" s="283"/>
    </row>
    <row r="1656" spans="6:6" x14ac:dyDescent="0.2">
      <c r="F1656" s="283"/>
    </row>
    <row r="1657" spans="6:6" x14ac:dyDescent="0.2">
      <c r="F1657" s="283"/>
    </row>
    <row r="1658" spans="6:6" x14ac:dyDescent="0.2">
      <c r="F1658" s="283"/>
    </row>
    <row r="1659" spans="6:6" x14ac:dyDescent="0.2">
      <c r="F1659" s="283"/>
    </row>
    <row r="1660" spans="6:6" x14ac:dyDescent="0.2">
      <c r="F1660" s="283"/>
    </row>
    <row r="1661" spans="6:6" x14ac:dyDescent="0.2">
      <c r="F1661" s="283"/>
    </row>
    <row r="1662" spans="6:6" x14ac:dyDescent="0.2">
      <c r="F1662" s="283"/>
    </row>
    <row r="1663" spans="6:6" x14ac:dyDescent="0.2">
      <c r="F1663" s="283"/>
    </row>
    <row r="1664" spans="6:6" x14ac:dyDescent="0.2">
      <c r="F1664" s="283"/>
    </row>
    <row r="1665" spans="6:6" x14ac:dyDescent="0.2">
      <c r="F1665" s="283"/>
    </row>
    <row r="1666" spans="6:6" x14ac:dyDescent="0.2">
      <c r="F1666" s="283"/>
    </row>
    <row r="1667" spans="6:6" x14ac:dyDescent="0.2">
      <c r="F1667" s="283"/>
    </row>
    <row r="1668" spans="6:6" x14ac:dyDescent="0.2">
      <c r="F1668" s="283"/>
    </row>
    <row r="1669" spans="6:6" x14ac:dyDescent="0.2">
      <c r="F1669" s="283"/>
    </row>
    <row r="1670" spans="6:6" x14ac:dyDescent="0.2">
      <c r="F1670" s="283"/>
    </row>
    <row r="1671" spans="6:6" x14ac:dyDescent="0.2">
      <c r="F1671" s="283"/>
    </row>
    <row r="1672" spans="6:6" x14ac:dyDescent="0.2">
      <c r="F1672" s="283"/>
    </row>
    <row r="1673" spans="6:6" x14ac:dyDescent="0.2">
      <c r="F1673" s="283"/>
    </row>
    <row r="1674" spans="6:6" x14ac:dyDescent="0.2">
      <c r="F1674" s="283"/>
    </row>
    <row r="1675" spans="6:6" x14ac:dyDescent="0.2">
      <c r="F1675" s="283"/>
    </row>
    <row r="1676" spans="6:6" x14ac:dyDescent="0.2">
      <c r="F1676" s="283"/>
    </row>
    <row r="1677" spans="6:6" x14ac:dyDescent="0.2">
      <c r="F1677" s="283"/>
    </row>
    <row r="1678" spans="6:6" x14ac:dyDescent="0.2">
      <c r="F1678" s="283"/>
    </row>
    <row r="1679" spans="6:6" x14ac:dyDescent="0.2">
      <c r="F1679" s="283"/>
    </row>
    <row r="1680" spans="6:6" x14ac:dyDescent="0.2">
      <c r="F1680" s="283"/>
    </row>
    <row r="1681" spans="6:6" x14ac:dyDescent="0.2">
      <c r="F1681" s="283"/>
    </row>
    <row r="1682" spans="6:6" x14ac:dyDescent="0.2">
      <c r="F1682" s="283"/>
    </row>
    <row r="1683" spans="6:6" x14ac:dyDescent="0.2">
      <c r="F1683" s="283"/>
    </row>
    <row r="1684" spans="6:6" x14ac:dyDescent="0.2">
      <c r="F1684" s="283"/>
    </row>
    <row r="1685" spans="6:6" x14ac:dyDescent="0.2">
      <c r="F1685" s="283"/>
    </row>
    <row r="1686" spans="6:6" x14ac:dyDescent="0.2">
      <c r="F1686" s="283"/>
    </row>
    <row r="1687" spans="6:6" x14ac:dyDescent="0.2">
      <c r="F1687" s="283"/>
    </row>
    <row r="1688" spans="6:6" x14ac:dyDescent="0.2">
      <c r="F1688" s="283"/>
    </row>
    <row r="1689" spans="6:6" x14ac:dyDescent="0.2">
      <c r="F1689" s="283"/>
    </row>
    <row r="1690" spans="6:6" x14ac:dyDescent="0.2">
      <c r="F1690" s="283"/>
    </row>
    <row r="1691" spans="6:6" x14ac:dyDescent="0.2">
      <c r="F1691" s="283"/>
    </row>
    <row r="1692" spans="6:6" x14ac:dyDescent="0.2">
      <c r="F1692" s="283"/>
    </row>
    <row r="1693" spans="6:6" x14ac:dyDescent="0.2">
      <c r="F1693" s="283"/>
    </row>
    <row r="1694" spans="6:6" x14ac:dyDescent="0.2">
      <c r="F1694" s="283"/>
    </row>
    <row r="1695" spans="6:6" x14ac:dyDescent="0.2">
      <c r="F1695" s="283"/>
    </row>
    <row r="1696" spans="6:6" x14ac:dyDescent="0.2">
      <c r="F1696" s="283"/>
    </row>
    <row r="1697" spans="6:6" x14ac:dyDescent="0.2">
      <c r="F1697" s="283"/>
    </row>
    <row r="1698" spans="6:6" x14ac:dyDescent="0.2">
      <c r="F1698" s="283"/>
    </row>
    <row r="1699" spans="6:6" x14ac:dyDescent="0.2">
      <c r="F1699" s="283"/>
    </row>
    <row r="1700" spans="6:6" x14ac:dyDescent="0.2">
      <c r="F1700" s="283"/>
    </row>
    <row r="1701" spans="6:6" x14ac:dyDescent="0.2">
      <c r="F1701" s="283"/>
    </row>
    <row r="1702" spans="6:6" x14ac:dyDescent="0.2">
      <c r="F1702" s="283"/>
    </row>
    <row r="1703" spans="6:6" x14ac:dyDescent="0.2">
      <c r="F1703" s="283"/>
    </row>
    <row r="1704" spans="6:6" x14ac:dyDescent="0.2">
      <c r="F1704" s="283"/>
    </row>
    <row r="1705" spans="6:6" x14ac:dyDescent="0.2">
      <c r="F1705" s="283"/>
    </row>
    <row r="1706" spans="6:6" x14ac:dyDescent="0.2">
      <c r="F1706" s="283"/>
    </row>
    <row r="1707" spans="6:6" x14ac:dyDescent="0.2">
      <c r="F1707" s="283"/>
    </row>
    <row r="1708" spans="6:6" x14ac:dyDescent="0.2">
      <c r="F1708" s="283"/>
    </row>
    <row r="1709" spans="6:6" x14ac:dyDescent="0.2">
      <c r="F1709" s="283"/>
    </row>
    <row r="1710" spans="6:6" x14ac:dyDescent="0.2">
      <c r="F1710" s="283"/>
    </row>
    <row r="1711" spans="6:6" x14ac:dyDescent="0.2">
      <c r="F1711" s="283"/>
    </row>
    <row r="1712" spans="6:6" x14ac:dyDescent="0.2">
      <c r="F1712" s="283"/>
    </row>
    <row r="1713" spans="6:6" x14ac:dyDescent="0.2">
      <c r="F1713" s="283"/>
    </row>
    <row r="1714" spans="6:6" x14ac:dyDescent="0.2">
      <c r="F1714" s="283"/>
    </row>
    <row r="1715" spans="6:6" x14ac:dyDescent="0.2">
      <c r="F1715" s="283"/>
    </row>
    <row r="1716" spans="6:6" x14ac:dyDescent="0.2">
      <c r="F1716" s="283"/>
    </row>
    <row r="1717" spans="6:6" x14ac:dyDescent="0.2">
      <c r="F1717" s="283"/>
    </row>
    <row r="1718" spans="6:6" x14ac:dyDescent="0.2">
      <c r="F1718" s="283"/>
    </row>
    <row r="1719" spans="6:6" x14ac:dyDescent="0.2">
      <c r="F1719" s="283"/>
    </row>
    <row r="1720" spans="6:6" x14ac:dyDescent="0.2">
      <c r="F1720" s="283"/>
    </row>
    <row r="1721" spans="6:6" x14ac:dyDescent="0.2">
      <c r="F1721" s="283"/>
    </row>
    <row r="1722" spans="6:6" x14ac:dyDescent="0.2">
      <c r="F1722" s="283"/>
    </row>
    <row r="1723" spans="6:6" x14ac:dyDescent="0.2">
      <c r="F1723" s="283"/>
    </row>
    <row r="1724" spans="6:6" x14ac:dyDescent="0.2">
      <c r="F1724" s="283"/>
    </row>
    <row r="1725" spans="6:6" x14ac:dyDescent="0.2">
      <c r="F1725" s="283"/>
    </row>
    <row r="1726" spans="6:6" x14ac:dyDescent="0.2">
      <c r="F1726" s="283"/>
    </row>
    <row r="1727" spans="6:6" x14ac:dyDescent="0.2">
      <c r="F1727" s="283"/>
    </row>
    <row r="1728" spans="6:6" x14ac:dyDescent="0.2">
      <c r="F1728" s="283"/>
    </row>
    <row r="1729" spans="6:6" x14ac:dyDescent="0.2">
      <c r="F1729" s="283"/>
    </row>
    <row r="1730" spans="6:6" x14ac:dyDescent="0.2">
      <c r="F1730" s="283"/>
    </row>
    <row r="1731" spans="6:6" x14ac:dyDescent="0.2">
      <c r="F1731" s="283"/>
    </row>
    <row r="1732" spans="6:6" x14ac:dyDescent="0.2">
      <c r="F1732" s="283"/>
    </row>
    <row r="1733" spans="6:6" x14ac:dyDescent="0.2">
      <c r="F1733" s="283"/>
    </row>
    <row r="1734" spans="6:6" x14ac:dyDescent="0.2">
      <c r="F1734" s="283"/>
    </row>
    <row r="1735" spans="6:6" x14ac:dyDescent="0.2">
      <c r="F1735" s="283"/>
    </row>
    <row r="1736" spans="6:6" x14ac:dyDescent="0.2">
      <c r="F1736" s="283"/>
    </row>
    <row r="1737" spans="6:6" x14ac:dyDescent="0.2">
      <c r="F1737" s="283"/>
    </row>
    <row r="1738" spans="6:6" x14ac:dyDescent="0.2">
      <c r="F1738" s="283"/>
    </row>
    <row r="1739" spans="6:6" x14ac:dyDescent="0.2">
      <c r="F1739" s="283"/>
    </row>
    <row r="1740" spans="6:6" x14ac:dyDescent="0.2">
      <c r="F1740" s="283"/>
    </row>
    <row r="1741" spans="6:6" x14ac:dyDescent="0.2">
      <c r="F1741" s="283"/>
    </row>
    <row r="1742" spans="6:6" x14ac:dyDescent="0.2">
      <c r="F1742" s="283"/>
    </row>
    <row r="1743" spans="6:6" x14ac:dyDescent="0.2">
      <c r="F1743" s="283"/>
    </row>
    <row r="1744" spans="6:6" x14ac:dyDescent="0.2">
      <c r="F1744" s="283"/>
    </row>
    <row r="1745" spans="6:6" x14ac:dyDescent="0.2">
      <c r="F1745" s="283"/>
    </row>
    <row r="1746" spans="6:6" x14ac:dyDescent="0.2">
      <c r="F1746" s="283"/>
    </row>
    <row r="1747" spans="6:6" x14ac:dyDescent="0.2">
      <c r="F1747" s="283"/>
    </row>
    <row r="1748" spans="6:6" x14ac:dyDescent="0.2">
      <c r="F1748" s="283"/>
    </row>
    <row r="1749" spans="6:6" x14ac:dyDescent="0.2">
      <c r="F1749" s="283"/>
    </row>
    <row r="1750" spans="6:6" x14ac:dyDescent="0.2">
      <c r="F1750" s="283"/>
    </row>
    <row r="1751" spans="6:6" x14ac:dyDescent="0.2">
      <c r="F1751" s="283"/>
    </row>
    <row r="1752" spans="6:6" x14ac:dyDescent="0.2">
      <c r="F1752" s="283"/>
    </row>
    <row r="1753" spans="6:6" x14ac:dyDescent="0.2">
      <c r="F1753" s="283"/>
    </row>
    <row r="1754" spans="6:6" x14ac:dyDescent="0.2">
      <c r="F1754" s="283"/>
    </row>
    <row r="1755" spans="6:6" x14ac:dyDescent="0.2">
      <c r="F1755" s="283"/>
    </row>
    <row r="1756" spans="6:6" x14ac:dyDescent="0.2">
      <c r="F1756" s="283"/>
    </row>
    <row r="1757" spans="6:6" x14ac:dyDescent="0.2">
      <c r="F1757" s="283"/>
    </row>
    <row r="1758" spans="6:6" x14ac:dyDescent="0.2">
      <c r="F1758" s="283"/>
    </row>
    <row r="1759" spans="6:6" x14ac:dyDescent="0.2">
      <c r="F1759" s="283"/>
    </row>
    <row r="1760" spans="6:6" x14ac:dyDescent="0.2">
      <c r="F1760" s="283"/>
    </row>
    <row r="1761" spans="6:6" x14ac:dyDescent="0.2">
      <c r="F1761" s="283"/>
    </row>
    <row r="1762" spans="6:6" x14ac:dyDescent="0.2">
      <c r="F1762" s="283"/>
    </row>
    <row r="1763" spans="6:6" x14ac:dyDescent="0.2">
      <c r="F1763" s="283"/>
    </row>
    <row r="1764" spans="6:6" x14ac:dyDescent="0.2">
      <c r="F1764" s="283"/>
    </row>
    <row r="1765" spans="6:6" x14ac:dyDescent="0.2">
      <c r="F1765" s="283"/>
    </row>
    <row r="1766" spans="6:6" x14ac:dyDescent="0.2">
      <c r="F1766" s="283"/>
    </row>
    <row r="1767" spans="6:6" x14ac:dyDescent="0.2">
      <c r="F1767" s="283"/>
    </row>
    <row r="1768" spans="6:6" x14ac:dyDescent="0.2">
      <c r="F1768" s="283"/>
    </row>
    <row r="1769" spans="6:6" x14ac:dyDescent="0.2">
      <c r="F1769" s="283"/>
    </row>
    <row r="1770" spans="6:6" x14ac:dyDescent="0.2">
      <c r="F1770" s="283"/>
    </row>
    <row r="1771" spans="6:6" x14ac:dyDescent="0.2">
      <c r="F1771" s="283"/>
    </row>
    <row r="1772" spans="6:6" x14ac:dyDescent="0.2">
      <c r="F1772" s="283"/>
    </row>
    <row r="1773" spans="6:6" x14ac:dyDescent="0.2">
      <c r="F1773" s="283"/>
    </row>
    <row r="1774" spans="6:6" x14ac:dyDescent="0.2">
      <c r="F1774" s="283"/>
    </row>
    <row r="1775" spans="6:6" x14ac:dyDescent="0.2">
      <c r="F1775" s="283"/>
    </row>
    <row r="1776" spans="6:6" x14ac:dyDescent="0.2">
      <c r="F1776" s="283"/>
    </row>
    <row r="1777" spans="6:6" x14ac:dyDescent="0.2">
      <c r="F1777" s="283"/>
    </row>
    <row r="1778" spans="6:6" x14ac:dyDescent="0.2">
      <c r="F1778" s="283"/>
    </row>
    <row r="1779" spans="6:6" x14ac:dyDescent="0.2">
      <c r="F1779" s="283"/>
    </row>
    <row r="1780" spans="6:6" x14ac:dyDescent="0.2">
      <c r="F1780" s="283"/>
    </row>
    <row r="1781" spans="6:6" x14ac:dyDescent="0.2">
      <c r="F1781" s="283"/>
    </row>
    <row r="1782" spans="6:6" x14ac:dyDescent="0.2">
      <c r="F1782" s="283"/>
    </row>
    <row r="1783" spans="6:6" x14ac:dyDescent="0.2">
      <c r="F1783" s="283"/>
    </row>
    <row r="1784" spans="6:6" x14ac:dyDescent="0.2">
      <c r="F1784" s="283"/>
    </row>
    <row r="1785" spans="6:6" x14ac:dyDescent="0.2">
      <c r="F1785" s="283"/>
    </row>
    <row r="1786" spans="6:6" x14ac:dyDescent="0.2">
      <c r="F1786" s="283"/>
    </row>
    <row r="1787" spans="6:6" x14ac:dyDescent="0.2">
      <c r="F1787" s="283"/>
    </row>
    <row r="1788" spans="6:6" x14ac:dyDescent="0.2">
      <c r="F1788" s="283"/>
    </row>
    <row r="1789" spans="6:6" x14ac:dyDescent="0.2">
      <c r="F1789" s="283"/>
    </row>
    <row r="1790" spans="6:6" x14ac:dyDescent="0.2">
      <c r="F1790" s="283"/>
    </row>
    <row r="1791" spans="6:6" x14ac:dyDescent="0.2">
      <c r="F1791" s="283"/>
    </row>
    <row r="1792" spans="6:6" x14ac:dyDescent="0.2">
      <c r="F1792" s="283"/>
    </row>
    <row r="1793" spans="6:6" x14ac:dyDescent="0.2">
      <c r="F1793" s="283"/>
    </row>
    <row r="1794" spans="6:6" x14ac:dyDescent="0.2">
      <c r="F1794" s="283"/>
    </row>
    <row r="1795" spans="6:6" x14ac:dyDescent="0.2">
      <c r="F1795" s="283"/>
    </row>
    <row r="1796" spans="6:6" x14ac:dyDescent="0.2">
      <c r="F1796" s="283"/>
    </row>
    <row r="1797" spans="6:6" x14ac:dyDescent="0.2">
      <c r="F1797" s="283"/>
    </row>
    <row r="1798" spans="6:6" x14ac:dyDescent="0.2">
      <c r="F1798" s="283"/>
    </row>
    <row r="1799" spans="6:6" x14ac:dyDescent="0.2">
      <c r="F1799" s="283"/>
    </row>
    <row r="1800" spans="6:6" x14ac:dyDescent="0.2">
      <c r="F1800" s="283"/>
    </row>
    <row r="1801" spans="6:6" x14ac:dyDescent="0.2">
      <c r="F1801" s="283"/>
    </row>
    <row r="1802" spans="6:6" x14ac:dyDescent="0.2">
      <c r="F1802" s="283"/>
    </row>
    <row r="1803" spans="6:6" x14ac:dyDescent="0.2">
      <c r="F1803" s="283"/>
    </row>
    <row r="1804" spans="6:6" x14ac:dyDescent="0.2">
      <c r="F1804" s="283"/>
    </row>
    <row r="1805" spans="6:6" x14ac:dyDescent="0.2">
      <c r="F1805" s="283"/>
    </row>
    <row r="1806" spans="6:6" x14ac:dyDescent="0.2">
      <c r="F1806" s="283"/>
    </row>
    <row r="1807" spans="6:6" x14ac:dyDescent="0.2">
      <c r="F1807" s="283"/>
    </row>
    <row r="1808" spans="6:6" x14ac:dyDescent="0.2">
      <c r="F1808" s="283"/>
    </row>
    <row r="1809" spans="6:6" x14ac:dyDescent="0.2">
      <c r="F1809" s="283"/>
    </row>
    <row r="1810" spans="6:6" x14ac:dyDescent="0.2">
      <c r="F1810" s="283"/>
    </row>
    <row r="1811" spans="6:6" x14ac:dyDescent="0.2">
      <c r="F1811" s="283"/>
    </row>
    <row r="1812" spans="6:6" x14ac:dyDescent="0.2">
      <c r="F1812" s="283"/>
    </row>
    <row r="1813" spans="6:6" x14ac:dyDescent="0.2">
      <c r="F1813" s="283"/>
    </row>
    <row r="1814" spans="6:6" x14ac:dyDescent="0.2">
      <c r="F1814" s="283"/>
    </row>
    <row r="1815" spans="6:6" x14ac:dyDescent="0.2">
      <c r="F1815" s="283"/>
    </row>
    <row r="1816" spans="6:6" x14ac:dyDescent="0.2">
      <c r="F1816" s="283"/>
    </row>
    <row r="1817" spans="6:6" x14ac:dyDescent="0.2">
      <c r="F1817" s="283"/>
    </row>
    <row r="1818" spans="6:6" x14ac:dyDescent="0.2">
      <c r="F1818" s="283"/>
    </row>
    <row r="1819" spans="6:6" x14ac:dyDescent="0.2">
      <c r="F1819" s="283"/>
    </row>
    <row r="1820" spans="6:6" x14ac:dyDescent="0.2">
      <c r="F1820" s="283"/>
    </row>
    <row r="1821" spans="6:6" x14ac:dyDescent="0.2">
      <c r="F1821" s="283"/>
    </row>
    <row r="1822" spans="6:6" x14ac:dyDescent="0.2">
      <c r="F1822" s="283"/>
    </row>
    <row r="1823" spans="6:6" x14ac:dyDescent="0.2">
      <c r="F1823" s="283"/>
    </row>
    <row r="1824" spans="6:6" x14ac:dyDescent="0.2">
      <c r="F1824" s="283"/>
    </row>
    <row r="1825" spans="6:6" x14ac:dyDescent="0.2">
      <c r="F1825" s="283"/>
    </row>
    <row r="1826" spans="6:6" x14ac:dyDescent="0.2">
      <c r="F1826" s="283"/>
    </row>
    <row r="1827" spans="6:6" x14ac:dyDescent="0.2">
      <c r="F1827" s="283"/>
    </row>
    <row r="1828" spans="6:6" x14ac:dyDescent="0.2">
      <c r="F1828" s="283"/>
    </row>
    <row r="1829" spans="6:6" x14ac:dyDescent="0.2">
      <c r="F1829" s="283"/>
    </row>
    <row r="1830" spans="6:6" x14ac:dyDescent="0.2">
      <c r="F1830" s="283"/>
    </row>
    <row r="1831" spans="6:6" x14ac:dyDescent="0.2">
      <c r="F1831" s="283"/>
    </row>
    <row r="1832" spans="6:6" x14ac:dyDescent="0.2">
      <c r="F1832" s="283"/>
    </row>
    <row r="1833" spans="6:6" x14ac:dyDescent="0.2">
      <c r="F1833" s="283"/>
    </row>
    <row r="1834" spans="6:6" x14ac:dyDescent="0.2">
      <c r="F1834" s="283"/>
    </row>
    <row r="1835" spans="6:6" x14ac:dyDescent="0.2">
      <c r="F1835" s="283"/>
    </row>
    <row r="1836" spans="6:6" x14ac:dyDescent="0.2">
      <c r="F1836" s="283"/>
    </row>
    <row r="1837" spans="6:6" x14ac:dyDescent="0.2">
      <c r="F1837" s="283"/>
    </row>
    <row r="1838" spans="6:6" x14ac:dyDescent="0.2">
      <c r="F1838" s="283"/>
    </row>
    <row r="1839" spans="6:6" x14ac:dyDescent="0.2">
      <c r="F1839" s="283"/>
    </row>
    <row r="1840" spans="6:6" x14ac:dyDescent="0.2">
      <c r="F1840" s="283"/>
    </row>
    <row r="1841" spans="6:6" x14ac:dyDescent="0.2">
      <c r="F1841" s="283"/>
    </row>
    <row r="1842" spans="6:6" x14ac:dyDescent="0.2">
      <c r="F1842" s="283"/>
    </row>
    <row r="1843" spans="6:6" x14ac:dyDescent="0.2">
      <c r="F1843" s="283"/>
    </row>
    <row r="1844" spans="6:6" x14ac:dyDescent="0.2">
      <c r="F1844" s="283"/>
    </row>
    <row r="1845" spans="6:6" x14ac:dyDescent="0.2">
      <c r="F1845" s="283"/>
    </row>
    <row r="1846" spans="6:6" x14ac:dyDescent="0.2">
      <c r="F1846" s="283"/>
    </row>
    <row r="1847" spans="6:6" x14ac:dyDescent="0.2">
      <c r="F1847" s="283"/>
    </row>
    <row r="1848" spans="6:6" x14ac:dyDescent="0.2">
      <c r="F1848" s="283"/>
    </row>
    <row r="1849" spans="6:6" x14ac:dyDescent="0.2">
      <c r="F1849" s="283"/>
    </row>
    <row r="1850" spans="6:6" x14ac:dyDescent="0.2">
      <c r="F1850" s="283"/>
    </row>
    <row r="1851" spans="6:6" x14ac:dyDescent="0.2">
      <c r="F1851" s="283"/>
    </row>
    <row r="1852" spans="6:6" x14ac:dyDescent="0.2">
      <c r="F1852" s="283"/>
    </row>
    <row r="1853" spans="6:6" x14ac:dyDescent="0.2">
      <c r="F1853" s="283"/>
    </row>
    <row r="1854" spans="6:6" x14ac:dyDescent="0.2">
      <c r="F1854" s="283"/>
    </row>
    <row r="1855" spans="6:6" x14ac:dyDescent="0.2">
      <c r="F1855" s="283"/>
    </row>
    <row r="1856" spans="6:6" x14ac:dyDescent="0.2">
      <c r="F1856" s="283"/>
    </row>
    <row r="1857" spans="6:6" x14ac:dyDescent="0.2">
      <c r="F1857" s="283"/>
    </row>
    <row r="1858" spans="6:6" x14ac:dyDescent="0.2">
      <c r="F1858" s="283"/>
    </row>
    <row r="1859" spans="6:6" x14ac:dyDescent="0.2">
      <c r="F1859" s="283"/>
    </row>
    <row r="1860" spans="6:6" x14ac:dyDescent="0.2">
      <c r="F1860" s="283"/>
    </row>
    <row r="1861" spans="6:6" x14ac:dyDescent="0.2">
      <c r="F1861" s="283"/>
    </row>
    <row r="1862" spans="6:6" x14ac:dyDescent="0.2">
      <c r="F1862" s="283"/>
    </row>
    <row r="1863" spans="6:6" x14ac:dyDescent="0.2">
      <c r="F1863" s="283"/>
    </row>
    <row r="1864" spans="6:6" x14ac:dyDescent="0.2">
      <c r="F1864" s="283"/>
    </row>
    <row r="1865" spans="6:6" x14ac:dyDescent="0.2">
      <c r="F1865" s="283"/>
    </row>
    <row r="1866" spans="6:6" x14ac:dyDescent="0.2">
      <c r="F1866" s="283"/>
    </row>
    <row r="1867" spans="6:6" x14ac:dyDescent="0.2">
      <c r="F1867" s="283"/>
    </row>
    <row r="1868" spans="6:6" x14ac:dyDescent="0.2">
      <c r="F1868" s="283"/>
    </row>
    <row r="1869" spans="6:6" x14ac:dyDescent="0.2">
      <c r="F1869" s="283"/>
    </row>
    <row r="1870" spans="6:6" x14ac:dyDescent="0.2">
      <c r="F1870" s="283"/>
    </row>
    <row r="1871" spans="6:6" x14ac:dyDescent="0.2">
      <c r="F1871" s="283"/>
    </row>
    <row r="1872" spans="6:6" x14ac:dyDescent="0.2">
      <c r="F1872" s="283"/>
    </row>
    <row r="1873" spans="6:6" x14ac:dyDescent="0.2">
      <c r="F1873" s="283"/>
    </row>
    <row r="1874" spans="6:6" x14ac:dyDescent="0.2">
      <c r="F1874" s="283"/>
    </row>
    <row r="1875" spans="6:6" x14ac:dyDescent="0.2">
      <c r="F1875" s="283"/>
    </row>
    <row r="1876" spans="6:6" x14ac:dyDescent="0.2">
      <c r="F1876" s="283"/>
    </row>
    <row r="1877" spans="6:6" x14ac:dyDescent="0.2">
      <c r="F1877" s="283"/>
    </row>
    <row r="1878" spans="6:6" x14ac:dyDescent="0.2">
      <c r="F1878" s="283"/>
    </row>
    <row r="1879" spans="6:6" x14ac:dyDescent="0.2">
      <c r="F1879" s="283"/>
    </row>
    <row r="1880" spans="6:6" x14ac:dyDescent="0.2">
      <c r="F1880" s="283"/>
    </row>
    <row r="1881" spans="6:6" x14ac:dyDescent="0.2">
      <c r="F1881" s="283"/>
    </row>
    <row r="1882" spans="6:6" x14ac:dyDescent="0.2">
      <c r="F1882" s="283"/>
    </row>
    <row r="1883" spans="6:6" x14ac:dyDescent="0.2">
      <c r="F1883" s="283"/>
    </row>
    <row r="1884" spans="6:6" x14ac:dyDescent="0.2">
      <c r="F1884" s="283"/>
    </row>
    <row r="1885" spans="6:6" x14ac:dyDescent="0.2">
      <c r="F1885" s="283"/>
    </row>
    <row r="1886" spans="6:6" x14ac:dyDescent="0.2">
      <c r="F1886" s="283"/>
    </row>
    <row r="1887" spans="6:6" x14ac:dyDescent="0.2">
      <c r="F1887" s="283"/>
    </row>
    <row r="1888" spans="6:6" x14ac:dyDescent="0.2">
      <c r="F1888" s="283"/>
    </row>
    <row r="1889" spans="6:6" x14ac:dyDescent="0.2">
      <c r="F1889" s="283"/>
    </row>
    <row r="1890" spans="6:6" x14ac:dyDescent="0.2">
      <c r="F1890" s="283"/>
    </row>
    <row r="1891" spans="6:6" x14ac:dyDescent="0.2">
      <c r="F1891" s="283"/>
    </row>
    <row r="1892" spans="6:6" x14ac:dyDescent="0.2">
      <c r="F1892" s="283"/>
    </row>
    <row r="1893" spans="6:6" x14ac:dyDescent="0.2">
      <c r="F1893" s="283"/>
    </row>
    <row r="1894" spans="6:6" x14ac:dyDescent="0.2">
      <c r="F1894" s="283"/>
    </row>
    <row r="1895" spans="6:6" x14ac:dyDescent="0.2">
      <c r="F1895" s="283"/>
    </row>
    <row r="1896" spans="6:6" x14ac:dyDescent="0.2">
      <c r="F1896" s="283"/>
    </row>
    <row r="1897" spans="6:6" x14ac:dyDescent="0.2">
      <c r="F1897" s="283"/>
    </row>
    <row r="1898" spans="6:6" x14ac:dyDescent="0.2">
      <c r="F1898" s="283"/>
    </row>
    <row r="1899" spans="6:6" x14ac:dyDescent="0.2">
      <c r="F1899" s="283"/>
    </row>
    <row r="1900" spans="6:6" x14ac:dyDescent="0.2">
      <c r="F1900" s="283"/>
    </row>
    <row r="1901" spans="6:6" x14ac:dyDescent="0.2">
      <c r="F1901" s="283"/>
    </row>
    <row r="1902" spans="6:6" x14ac:dyDescent="0.2">
      <c r="F1902" s="283"/>
    </row>
    <row r="1903" spans="6:6" x14ac:dyDescent="0.2">
      <c r="F1903" s="283"/>
    </row>
    <row r="1904" spans="6:6" x14ac:dyDescent="0.2">
      <c r="F1904" s="283"/>
    </row>
    <row r="1905" spans="6:6" x14ac:dyDescent="0.2">
      <c r="F1905" s="283"/>
    </row>
    <row r="1906" spans="6:6" x14ac:dyDescent="0.2">
      <c r="F1906" s="283"/>
    </row>
    <row r="1907" spans="6:6" x14ac:dyDescent="0.2">
      <c r="F1907" s="283"/>
    </row>
    <row r="1908" spans="6:6" x14ac:dyDescent="0.2">
      <c r="F1908" s="283"/>
    </row>
    <row r="1909" spans="6:6" x14ac:dyDescent="0.2">
      <c r="F1909" s="283"/>
    </row>
    <row r="1910" spans="6:6" x14ac:dyDescent="0.2">
      <c r="F1910" s="283"/>
    </row>
    <row r="1911" spans="6:6" x14ac:dyDescent="0.2">
      <c r="F1911" s="283"/>
    </row>
    <row r="1912" spans="6:6" x14ac:dyDescent="0.2">
      <c r="F1912" s="283"/>
    </row>
    <row r="1913" spans="6:6" x14ac:dyDescent="0.2">
      <c r="F1913" s="283"/>
    </row>
    <row r="1914" spans="6:6" x14ac:dyDescent="0.2">
      <c r="F1914" s="283"/>
    </row>
    <row r="1915" spans="6:6" x14ac:dyDescent="0.2">
      <c r="F1915" s="283"/>
    </row>
    <row r="1916" spans="6:6" x14ac:dyDescent="0.2">
      <c r="F1916" s="283"/>
    </row>
    <row r="1917" spans="6:6" x14ac:dyDescent="0.2">
      <c r="F1917" s="283"/>
    </row>
    <row r="1918" spans="6:6" x14ac:dyDescent="0.2">
      <c r="F1918" s="283"/>
    </row>
    <row r="1919" spans="6:6" x14ac:dyDescent="0.2">
      <c r="F1919" s="283"/>
    </row>
    <row r="1920" spans="6:6" x14ac:dyDescent="0.2">
      <c r="F1920" s="283"/>
    </row>
    <row r="1921" spans="6:6" x14ac:dyDescent="0.2">
      <c r="F1921" s="283"/>
    </row>
    <row r="1922" spans="6:6" x14ac:dyDescent="0.2">
      <c r="F1922" s="283"/>
    </row>
    <row r="1923" spans="6:6" x14ac:dyDescent="0.2">
      <c r="F1923" s="283"/>
    </row>
    <row r="1924" spans="6:6" x14ac:dyDescent="0.2">
      <c r="F1924" s="283"/>
    </row>
    <row r="1925" spans="6:6" x14ac:dyDescent="0.2">
      <c r="F1925" s="283"/>
    </row>
    <row r="1926" spans="6:6" x14ac:dyDescent="0.2">
      <c r="F1926" s="283"/>
    </row>
    <row r="1927" spans="6:6" x14ac:dyDescent="0.2">
      <c r="F1927" s="283"/>
    </row>
    <row r="1928" spans="6:6" x14ac:dyDescent="0.2">
      <c r="F1928" s="283"/>
    </row>
    <row r="1929" spans="6:6" x14ac:dyDescent="0.2">
      <c r="F1929" s="283"/>
    </row>
    <row r="1930" spans="6:6" x14ac:dyDescent="0.2">
      <c r="F1930" s="283"/>
    </row>
    <row r="1931" spans="6:6" x14ac:dyDescent="0.2">
      <c r="F1931" s="283"/>
    </row>
    <row r="1932" spans="6:6" x14ac:dyDescent="0.2">
      <c r="F1932" s="283"/>
    </row>
    <row r="1933" spans="6:6" x14ac:dyDescent="0.2">
      <c r="F1933" s="283"/>
    </row>
    <row r="1934" spans="6:6" x14ac:dyDescent="0.2">
      <c r="F1934" s="283"/>
    </row>
    <row r="1935" spans="6:6" x14ac:dyDescent="0.2">
      <c r="F1935" s="283"/>
    </row>
    <row r="1936" spans="6:6" x14ac:dyDescent="0.2">
      <c r="F1936" s="283"/>
    </row>
    <row r="1937" spans="6:6" x14ac:dyDescent="0.2">
      <c r="F1937" s="283"/>
    </row>
    <row r="1938" spans="6:6" x14ac:dyDescent="0.2">
      <c r="F1938" s="283"/>
    </row>
    <row r="1939" spans="6:6" x14ac:dyDescent="0.2">
      <c r="F1939" s="283"/>
    </row>
    <row r="1940" spans="6:6" x14ac:dyDescent="0.2">
      <c r="F1940" s="283"/>
    </row>
    <row r="1941" spans="6:6" x14ac:dyDescent="0.2">
      <c r="F1941" s="283"/>
    </row>
    <row r="1942" spans="6:6" x14ac:dyDescent="0.2">
      <c r="F1942" s="283"/>
    </row>
    <row r="1943" spans="6:6" x14ac:dyDescent="0.2">
      <c r="F1943" s="283"/>
    </row>
    <row r="1944" spans="6:6" x14ac:dyDescent="0.2">
      <c r="F1944" s="283"/>
    </row>
    <row r="1945" spans="6:6" x14ac:dyDescent="0.2">
      <c r="F1945" s="283"/>
    </row>
    <row r="1946" spans="6:6" x14ac:dyDescent="0.2">
      <c r="F1946" s="283"/>
    </row>
    <row r="1947" spans="6:6" x14ac:dyDescent="0.2">
      <c r="F1947" s="283"/>
    </row>
    <row r="1948" spans="6:6" x14ac:dyDescent="0.2">
      <c r="F1948" s="283"/>
    </row>
    <row r="1949" spans="6:6" x14ac:dyDescent="0.2">
      <c r="F1949" s="283"/>
    </row>
    <row r="1950" spans="6:6" x14ac:dyDescent="0.2">
      <c r="F1950" s="283"/>
    </row>
    <row r="1951" spans="6:6" x14ac:dyDescent="0.2">
      <c r="F1951" s="283"/>
    </row>
    <row r="1952" spans="6:6" x14ac:dyDescent="0.2">
      <c r="F1952" s="283"/>
    </row>
    <row r="1953" spans="6:6" x14ac:dyDescent="0.2">
      <c r="F1953" s="283"/>
    </row>
    <row r="1954" spans="6:6" x14ac:dyDescent="0.2">
      <c r="F1954" s="283"/>
    </row>
    <row r="1955" spans="6:6" x14ac:dyDescent="0.2">
      <c r="F1955" s="283"/>
    </row>
    <row r="1956" spans="6:6" x14ac:dyDescent="0.2">
      <c r="F1956" s="283"/>
    </row>
    <row r="1957" spans="6:6" x14ac:dyDescent="0.2">
      <c r="F1957" s="283"/>
    </row>
    <row r="1958" spans="6:6" x14ac:dyDescent="0.2">
      <c r="F1958" s="283"/>
    </row>
    <row r="1959" spans="6:6" x14ac:dyDescent="0.2">
      <c r="F1959" s="283"/>
    </row>
    <row r="1960" spans="6:6" x14ac:dyDescent="0.2">
      <c r="F1960" s="283"/>
    </row>
    <row r="1961" spans="6:6" x14ac:dyDescent="0.2">
      <c r="F1961" s="283"/>
    </row>
    <row r="1962" spans="6:6" x14ac:dyDescent="0.2">
      <c r="F1962" s="283"/>
    </row>
    <row r="1963" spans="6:6" x14ac:dyDescent="0.2">
      <c r="F1963" s="283"/>
    </row>
    <row r="1964" spans="6:6" x14ac:dyDescent="0.2">
      <c r="F1964" s="283"/>
    </row>
    <row r="1965" spans="6:6" x14ac:dyDescent="0.2">
      <c r="F1965" s="283"/>
    </row>
    <row r="1966" spans="6:6" x14ac:dyDescent="0.2">
      <c r="F1966" s="283"/>
    </row>
    <row r="1967" spans="6:6" x14ac:dyDescent="0.2">
      <c r="F1967" s="283"/>
    </row>
    <row r="1968" spans="6:6" x14ac:dyDescent="0.2">
      <c r="F1968" s="283"/>
    </row>
    <row r="1969" spans="6:6" x14ac:dyDescent="0.2">
      <c r="F1969" s="283"/>
    </row>
    <row r="1970" spans="6:6" x14ac:dyDescent="0.2">
      <c r="F1970" s="283"/>
    </row>
    <row r="1971" spans="6:6" x14ac:dyDescent="0.2">
      <c r="F1971" s="283"/>
    </row>
    <row r="1972" spans="6:6" x14ac:dyDescent="0.2">
      <c r="F1972" s="283"/>
    </row>
    <row r="1973" spans="6:6" x14ac:dyDescent="0.2">
      <c r="F1973" s="283"/>
    </row>
    <row r="1974" spans="6:6" x14ac:dyDescent="0.2">
      <c r="F1974" s="283"/>
    </row>
    <row r="1975" spans="6:6" x14ac:dyDescent="0.2">
      <c r="F1975" s="283"/>
    </row>
    <row r="1976" spans="6:6" x14ac:dyDescent="0.2">
      <c r="F1976" s="283"/>
    </row>
    <row r="1977" spans="6:6" x14ac:dyDescent="0.2">
      <c r="F1977" s="283"/>
    </row>
    <row r="1978" spans="6:6" x14ac:dyDescent="0.2">
      <c r="F1978" s="283"/>
    </row>
    <row r="1979" spans="6:6" x14ac:dyDescent="0.2">
      <c r="F1979" s="283"/>
    </row>
    <row r="1980" spans="6:6" x14ac:dyDescent="0.2">
      <c r="F1980" s="283"/>
    </row>
    <row r="1981" spans="6:6" x14ac:dyDescent="0.2">
      <c r="F1981" s="283"/>
    </row>
    <row r="1982" spans="6:6" x14ac:dyDescent="0.2">
      <c r="F1982" s="283"/>
    </row>
    <row r="1983" spans="6:6" x14ac:dyDescent="0.2">
      <c r="F1983" s="283"/>
    </row>
    <row r="1984" spans="6:6" x14ac:dyDescent="0.2">
      <c r="F1984" s="283"/>
    </row>
    <row r="1985" spans="6:6" x14ac:dyDescent="0.2">
      <c r="F1985" s="283"/>
    </row>
    <row r="1986" spans="6:6" x14ac:dyDescent="0.2">
      <c r="F1986" s="283"/>
    </row>
    <row r="1987" spans="6:6" x14ac:dyDescent="0.2">
      <c r="F1987" s="283"/>
    </row>
    <row r="1988" spans="6:6" x14ac:dyDescent="0.2">
      <c r="F1988" s="283"/>
    </row>
    <row r="1989" spans="6:6" x14ac:dyDescent="0.2">
      <c r="F1989" s="283"/>
    </row>
    <row r="1990" spans="6:6" x14ac:dyDescent="0.2">
      <c r="F1990" s="283"/>
    </row>
    <row r="1991" spans="6:6" x14ac:dyDescent="0.2">
      <c r="F1991" s="283"/>
    </row>
    <row r="1992" spans="6:6" x14ac:dyDescent="0.2">
      <c r="F1992" s="283"/>
    </row>
    <row r="1993" spans="6:6" x14ac:dyDescent="0.2">
      <c r="F1993" s="283"/>
    </row>
    <row r="1994" spans="6:6" x14ac:dyDescent="0.2">
      <c r="F1994" s="283"/>
    </row>
    <row r="1995" spans="6:6" x14ac:dyDescent="0.2">
      <c r="F1995" s="283"/>
    </row>
    <row r="1996" spans="6:6" x14ac:dyDescent="0.2">
      <c r="F1996" s="283"/>
    </row>
    <row r="1997" spans="6:6" x14ac:dyDescent="0.2">
      <c r="F1997" s="283"/>
    </row>
    <row r="1998" spans="6:6" x14ac:dyDescent="0.2">
      <c r="F1998" s="283"/>
    </row>
    <row r="1999" spans="6:6" x14ac:dyDescent="0.2">
      <c r="F1999" s="283"/>
    </row>
    <row r="2000" spans="6:6" x14ac:dyDescent="0.2">
      <c r="F2000" s="283"/>
    </row>
    <row r="2001" spans="6:6" x14ac:dyDescent="0.2">
      <c r="F2001" s="283"/>
    </row>
    <row r="2002" spans="6:6" x14ac:dyDescent="0.2">
      <c r="F2002" s="283"/>
    </row>
    <row r="2003" spans="6:6" x14ac:dyDescent="0.2">
      <c r="F2003" s="283"/>
    </row>
    <row r="2004" spans="6:6" x14ac:dyDescent="0.2">
      <c r="F2004" s="283"/>
    </row>
    <row r="2005" spans="6:6" x14ac:dyDescent="0.2">
      <c r="F2005" s="283"/>
    </row>
    <row r="2006" spans="6:6" x14ac:dyDescent="0.2">
      <c r="F2006" s="283"/>
    </row>
    <row r="2007" spans="6:6" x14ac:dyDescent="0.2">
      <c r="F2007" s="283"/>
    </row>
    <row r="2008" spans="6:6" x14ac:dyDescent="0.2">
      <c r="F2008" s="283"/>
    </row>
    <row r="2009" spans="6:6" x14ac:dyDescent="0.2">
      <c r="F2009" s="283"/>
    </row>
    <row r="2010" spans="6:6" x14ac:dyDescent="0.2">
      <c r="F2010" s="283"/>
    </row>
    <row r="2011" spans="6:6" x14ac:dyDescent="0.2">
      <c r="F2011" s="283"/>
    </row>
    <row r="2012" spans="6:6" x14ac:dyDescent="0.2">
      <c r="F2012" s="283"/>
    </row>
    <row r="2013" spans="6:6" x14ac:dyDescent="0.2">
      <c r="F2013" s="283"/>
    </row>
    <row r="2014" spans="6:6" x14ac:dyDescent="0.2">
      <c r="F2014" s="283"/>
    </row>
    <row r="2015" spans="6:6" x14ac:dyDescent="0.2">
      <c r="F2015" s="283"/>
    </row>
    <row r="2016" spans="6:6" x14ac:dyDescent="0.2">
      <c r="F2016" s="283"/>
    </row>
    <row r="2017" spans="6:6" x14ac:dyDescent="0.2">
      <c r="F2017" s="283"/>
    </row>
    <row r="2018" spans="6:6" x14ac:dyDescent="0.2">
      <c r="F2018" s="283"/>
    </row>
    <row r="2019" spans="6:6" x14ac:dyDescent="0.2">
      <c r="F2019" s="283"/>
    </row>
    <row r="2020" spans="6:6" x14ac:dyDescent="0.2">
      <c r="F2020" s="283"/>
    </row>
    <row r="2021" spans="6:6" x14ac:dyDescent="0.2">
      <c r="F2021" s="283"/>
    </row>
    <row r="2022" spans="6:6" x14ac:dyDescent="0.2">
      <c r="F2022" s="283"/>
    </row>
    <row r="2023" spans="6:6" x14ac:dyDescent="0.2">
      <c r="F2023" s="283"/>
    </row>
    <row r="2024" spans="6:6" x14ac:dyDescent="0.2">
      <c r="F2024" s="283"/>
    </row>
    <row r="2025" spans="6:6" x14ac:dyDescent="0.2">
      <c r="F2025" s="283"/>
    </row>
    <row r="2026" spans="6:6" x14ac:dyDescent="0.2">
      <c r="F2026" s="283"/>
    </row>
    <row r="2027" spans="6:6" x14ac:dyDescent="0.2">
      <c r="F2027" s="283"/>
    </row>
    <row r="2028" spans="6:6" x14ac:dyDescent="0.2">
      <c r="F2028" s="283"/>
    </row>
    <row r="2029" spans="6:6" x14ac:dyDescent="0.2">
      <c r="F2029" s="283"/>
    </row>
    <row r="2030" spans="6:6" x14ac:dyDescent="0.2">
      <c r="F2030" s="283"/>
    </row>
    <row r="2031" spans="6:6" x14ac:dyDescent="0.2">
      <c r="F2031" s="283"/>
    </row>
    <row r="2032" spans="6:6" x14ac:dyDescent="0.2">
      <c r="F2032" s="283"/>
    </row>
    <row r="2033" spans="6:6" x14ac:dyDescent="0.2">
      <c r="F2033" s="283"/>
    </row>
    <row r="2034" spans="6:6" x14ac:dyDescent="0.2">
      <c r="F2034" s="283"/>
    </row>
    <row r="2035" spans="6:6" x14ac:dyDescent="0.2">
      <c r="F2035" s="283"/>
    </row>
    <row r="2036" spans="6:6" x14ac:dyDescent="0.2">
      <c r="F2036" s="283"/>
    </row>
    <row r="2037" spans="6:6" x14ac:dyDescent="0.2">
      <c r="F2037" s="283"/>
    </row>
    <row r="2038" spans="6:6" x14ac:dyDescent="0.2">
      <c r="F2038" s="283"/>
    </row>
    <row r="2039" spans="6:6" x14ac:dyDescent="0.2">
      <c r="F2039" s="283"/>
    </row>
    <row r="2040" spans="6:6" x14ac:dyDescent="0.2">
      <c r="F2040" s="283"/>
    </row>
    <row r="2041" spans="6:6" x14ac:dyDescent="0.2">
      <c r="F2041" s="283"/>
    </row>
    <row r="2042" spans="6:6" x14ac:dyDescent="0.2">
      <c r="F2042" s="283"/>
    </row>
    <row r="2043" spans="6:6" x14ac:dyDescent="0.2">
      <c r="F2043" s="283"/>
    </row>
    <row r="2044" spans="6:6" x14ac:dyDescent="0.2">
      <c r="F2044" s="283"/>
    </row>
    <row r="2045" spans="6:6" x14ac:dyDescent="0.2">
      <c r="F2045" s="283"/>
    </row>
    <row r="2046" spans="6:6" x14ac:dyDescent="0.2">
      <c r="F2046" s="283"/>
    </row>
    <row r="2047" spans="6:6" x14ac:dyDescent="0.2">
      <c r="F2047" s="283"/>
    </row>
    <row r="2048" spans="6:6" x14ac:dyDescent="0.2">
      <c r="F2048" s="283"/>
    </row>
    <row r="2049" spans="6:6" x14ac:dyDescent="0.2">
      <c r="F2049" s="283"/>
    </row>
    <row r="2050" spans="6:6" x14ac:dyDescent="0.2">
      <c r="F2050" s="283"/>
    </row>
    <row r="2051" spans="6:6" x14ac:dyDescent="0.2">
      <c r="F2051" s="283"/>
    </row>
    <row r="2052" spans="6:6" x14ac:dyDescent="0.2">
      <c r="F2052" s="283"/>
    </row>
    <row r="2053" spans="6:6" x14ac:dyDescent="0.2">
      <c r="F2053" s="283"/>
    </row>
    <row r="2054" spans="6:6" x14ac:dyDescent="0.2">
      <c r="F2054" s="283"/>
    </row>
    <row r="2055" spans="6:6" x14ac:dyDescent="0.2">
      <c r="F2055" s="283"/>
    </row>
    <row r="2056" spans="6:6" x14ac:dyDescent="0.2">
      <c r="F2056" s="283"/>
    </row>
    <row r="2057" spans="6:6" x14ac:dyDescent="0.2">
      <c r="F2057" s="283"/>
    </row>
    <row r="2058" spans="6:6" x14ac:dyDescent="0.2">
      <c r="F2058" s="283"/>
    </row>
    <row r="2059" spans="6:6" x14ac:dyDescent="0.2">
      <c r="F2059" s="283"/>
    </row>
    <row r="2060" spans="6:6" x14ac:dyDescent="0.2">
      <c r="F2060" s="283"/>
    </row>
    <row r="2061" spans="6:6" x14ac:dyDescent="0.2">
      <c r="F2061" s="283"/>
    </row>
    <row r="2062" spans="6:6" x14ac:dyDescent="0.2">
      <c r="F2062" s="283"/>
    </row>
    <row r="2063" spans="6:6" x14ac:dyDescent="0.2">
      <c r="F2063" s="283"/>
    </row>
    <row r="2064" spans="6:6" x14ac:dyDescent="0.2">
      <c r="F2064" s="283"/>
    </row>
    <row r="2065" spans="6:6" x14ac:dyDescent="0.2">
      <c r="F2065" s="283"/>
    </row>
    <row r="2066" spans="6:6" x14ac:dyDescent="0.2">
      <c r="F2066" s="283"/>
    </row>
    <row r="2067" spans="6:6" x14ac:dyDescent="0.2">
      <c r="F2067" s="283"/>
    </row>
    <row r="2068" spans="6:6" x14ac:dyDescent="0.2">
      <c r="F2068" s="283"/>
    </row>
    <row r="2069" spans="6:6" x14ac:dyDescent="0.2">
      <c r="F2069" s="283"/>
    </row>
    <row r="2070" spans="6:6" x14ac:dyDescent="0.2">
      <c r="F2070" s="283"/>
    </row>
    <row r="2071" spans="6:6" x14ac:dyDescent="0.2">
      <c r="F2071" s="283"/>
    </row>
    <row r="2072" spans="6:6" x14ac:dyDescent="0.2">
      <c r="F2072" s="283"/>
    </row>
    <row r="2073" spans="6:6" x14ac:dyDescent="0.2">
      <c r="F2073" s="283"/>
    </row>
    <row r="2074" spans="6:6" x14ac:dyDescent="0.2">
      <c r="F2074" s="283"/>
    </row>
    <row r="2075" spans="6:6" x14ac:dyDescent="0.2">
      <c r="F2075" s="283"/>
    </row>
    <row r="2076" spans="6:6" x14ac:dyDescent="0.2">
      <c r="F2076" s="283"/>
    </row>
    <row r="2077" spans="6:6" x14ac:dyDescent="0.2">
      <c r="F2077" s="283"/>
    </row>
    <row r="2078" spans="6:6" x14ac:dyDescent="0.2">
      <c r="F2078" s="283"/>
    </row>
    <row r="2079" spans="6:6" x14ac:dyDescent="0.2">
      <c r="F2079" s="283"/>
    </row>
    <row r="2080" spans="6:6" x14ac:dyDescent="0.2">
      <c r="F2080" s="283"/>
    </row>
    <row r="2081" spans="6:6" x14ac:dyDescent="0.2">
      <c r="F2081" s="283"/>
    </row>
    <row r="2082" spans="6:6" x14ac:dyDescent="0.2">
      <c r="F2082" s="283"/>
    </row>
    <row r="2083" spans="6:6" x14ac:dyDescent="0.2">
      <c r="F2083" s="283"/>
    </row>
    <row r="2084" spans="6:6" x14ac:dyDescent="0.2">
      <c r="F2084" s="283"/>
    </row>
    <row r="2085" spans="6:6" x14ac:dyDescent="0.2">
      <c r="F2085" s="283"/>
    </row>
    <row r="2086" spans="6:6" x14ac:dyDescent="0.2">
      <c r="F2086" s="283"/>
    </row>
    <row r="2087" spans="6:6" x14ac:dyDescent="0.2">
      <c r="F2087" s="283"/>
    </row>
    <row r="2088" spans="6:6" x14ac:dyDescent="0.2">
      <c r="F2088" s="283"/>
    </row>
    <row r="2089" spans="6:6" x14ac:dyDescent="0.2">
      <c r="F2089" s="283"/>
    </row>
    <row r="2090" spans="6:6" x14ac:dyDescent="0.2">
      <c r="F2090" s="283"/>
    </row>
    <row r="2091" spans="6:6" x14ac:dyDescent="0.2">
      <c r="F2091" s="283"/>
    </row>
    <row r="2092" spans="6:6" x14ac:dyDescent="0.2">
      <c r="F2092" s="283"/>
    </row>
    <row r="2093" spans="6:6" x14ac:dyDescent="0.2">
      <c r="F2093" s="283"/>
    </row>
    <row r="2094" spans="6:6" x14ac:dyDescent="0.2">
      <c r="F2094" s="283"/>
    </row>
    <row r="2095" spans="6:6" x14ac:dyDescent="0.2">
      <c r="F2095" s="283"/>
    </row>
    <row r="2096" spans="6:6" x14ac:dyDescent="0.2">
      <c r="F2096" s="283"/>
    </row>
    <row r="2097" spans="6:6" x14ac:dyDescent="0.2">
      <c r="F2097" s="283"/>
    </row>
    <row r="2098" spans="6:6" x14ac:dyDescent="0.2">
      <c r="F2098" s="283"/>
    </row>
    <row r="2099" spans="6:6" x14ac:dyDescent="0.2">
      <c r="F2099" s="283"/>
    </row>
    <row r="2100" spans="6:6" x14ac:dyDescent="0.2">
      <c r="F2100" s="283"/>
    </row>
    <row r="2101" spans="6:6" x14ac:dyDescent="0.2">
      <c r="F2101" s="283"/>
    </row>
    <row r="2102" spans="6:6" x14ac:dyDescent="0.2">
      <c r="F2102" s="283"/>
    </row>
    <row r="2103" spans="6:6" x14ac:dyDescent="0.2">
      <c r="F2103" s="283"/>
    </row>
    <row r="2104" spans="6:6" x14ac:dyDescent="0.2">
      <c r="F2104" s="283"/>
    </row>
    <row r="2105" spans="6:6" x14ac:dyDescent="0.2">
      <c r="F2105" s="283"/>
    </row>
    <row r="2106" spans="6:6" x14ac:dyDescent="0.2">
      <c r="F2106" s="283"/>
    </row>
    <row r="2107" spans="6:6" x14ac:dyDescent="0.2">
      <c r="F2107" s="283"/>
    </row>
    <row r="2108" spans="6:6" x14ac:dyDescent="0.2">
      <c r="F2108" s="283"/>
    </row>
    <row r="2109" spans="6:6" x14ac:dyDescent="0.2">
      <c r="F2109" s="283"/>
    </row>
    <row r="2110" spans="6:6" x14ac:dyDescent="0.2">
      <c r="F2110" s="283"/>
    </row>
    <row r="2111" spans="6:6" x14ac:dyDescent="0.2">
      <c r="F2111" s="283"/>
    </row>
    <row r="2112" spans="6:6" x14ac:dyDescent="0.2">
      <c r="F2112" s="283"/>
    </row>
    <row r="2113" spans="6:6" x14ac:dyDescent="0.2">
      <c r="F2113" s="283"/>
    </row>
    <row r="2114" spans="6:6" x14ac:dyDescent="0.2">
      <c r="F2114" s="283"/>
    </row>
    <row r="2115" spans="6:6" x14ac:dyDescent="0.2">
      <c r="F2115" s="283"/>
    </row>
    <row r="2116" spans="6:6" x14ac:dyDescent="0.2">
      <c r="F2116" s="283"/>
    </row>
    <row r="2117" spans="6:6" x14ac:dyDescent="0.2">
      <c r="F2117" s="283"/>
    </row>
    <row r="2118" spans="6:6" x14ac:dyDescent="0.2">
      <c r="F2118" s="283"/>
    </row>
    <row r="2119" spans="6:6" x14ac:dyDescent="0.2">
      <c r="F2119" s="283"/>
    </row>
    <row r="2120" spans="6:6" x14ac:dyDescent="0.2">
      <c r="F2120" s="283"/>
    </row>
    <row r="2121" spans="6:6" x14ac:dyDescent="0.2">
      <c r="F2121" s="283"/>
    </row>
    <row r="2122" spans="6:6" x14ac:dyDescent="0.2">
      <c r="F2122" s="283"/>
    </row>
    <row r="2123" spans="6:6" x14ac:dyDescent="0.2">
      <c r="F2123" s="283"/>
    </row>
    <row r="2124" spans="6:6" x14ac:dyDescent="0.2">
      <c r="F2124" s="283"/>
    </row>
    <row r="2125" spans="6:6" x14ac:dyDescent="0.2">
      <c r="F2125" s="283"/>
    </row>
    <row r="2126" spans="6:6" x14ac:dyDescent="0.2">
      <c r="F2126" s="283"/>
    </row>
    <row r="2127" spans="6:6" x14ac:dyDescent="0.2">
      <c r="F2127" s="283"/>
    </row>
    <row r="2128" spans="6:6" x14ac:dyDescent="0.2">
      <c r="F2128" s="283"/>
    </row>
    <row r="2129" spans="6:6" x14ac:dyDescent="0.2">
      <c r="F2129" s="283"/>
    </row>
    <row r="2130" spans="6:6" x14ac:dyDescent="0.2">
      <c r="F2130" s="283"/>
    </row>
    <row r="2131" spans="6:6" x14ac:dyDescent="0.2">
      <c r="F2131" s="283"/>
    </row>
    <row r="2132" spans="6:6" x14ac:dyDescent="0.2">
      <c r="F2132" s="283"/>
    </row>
    <row r="2133" spans="6:6" x14ac:dyDescent="0.2">
      <c r="F2133" s="283"/>
    </row>
    <row r="2134" spans="6:6" x14ac:dyDescent="0.2">
      <c r="F2134" s="283"/>
    </row>
    <row r="2135" spans="6:6" x14ac:dyDescent="0.2">
      <c r="F2135" s="283"/>
    </row>
    <row r="2136" spans="6:6" x14ac:dyDescent="0.2">
      <c r="F2136" s="283"/>
    </row>
    <row r="2137" spans="6:6" x14ac:dyDescent="0.2">
      <c r="F2137" s="283"/>
    </row>
    <row r="2138" spans="6:6" x14ac:dyDescent="0.2">
      <c r="F2138" s="283"/>
    </row>
    <row r="2139" spans="6:6" x14ac:dyDescent="0.2">
      <c r="F2139" s="283"/>
    </row>
    <row r="2140" spans="6:6" x14ac:dyDescent="0.2">
      <c r="F2140" s="283"/>
    </row>
    <row r="2141" spans="6:6" x14ac:dyDescent="0.2">
      <c r="F2141" s="283"/>
    </row>
    <row r="2142" spans="6:6" x14ac:dyDescent="0.2">
      <c r="F2142" s="283"/>
    </row>
    <row r="2143" spans="6:6" x14ac:dyDescent="0.2">
      <c r="F2143" s="283"/>
    </row>
    <row r="2144" spans="6:6" x14ac:dyDescent="0.2">
      <c r="F2144" s="283"/>
    </row>
    <row r="2145" spans="6:6" x14ac:dyDescent="0.2">
      <c r="F2145" s="283"/>
    </row>
    <row r="2146" spans="6:6" x14ac:dyDescent="0.2">
      <c r="F2146" s="283"/>
    </row>
    <row r="2147" spans="6:6" x14ac:dyDescent="0.2">
      <c r="F2147" s="283"/>
    </row>
    <row r="2148" spans="6:6" x14ac:dyDescent="0.2">
      <c r="F2148" s="283"/>
    </row>
    <row r="2149" spans="6:6" x14ac:dyDescent="0.2">
      <c r="F2149" s="283"/>
    </row>
    <row r="2150" spans="6:6" x14ac:dyDescent="0.2">
      <c r="F2150" s="283"/>
    </row>
    <row r="2151" spans="6:6" x14ac:dyDescent="0.2">
      <c r="F2151" s="283"/>
    </row>
    <row r="2152" spans="6:6" x14ac:dyDescent="0.2">
      <c r="F2152" s="283"/>
    </row>
    <row r="2153" spans="6:6" x14ac:dyDescent="0.2">
      <c r="F2153" s="283"/>
    </row>
    <row r="2154" spans="6:6" x14ac:dyDescent="0.2">
      <c r="F2154" s="283"/>
    </row>
    <row r="2155" spans="6:6" x14ac:dyDescent="0.2">
      <c r="F2155" s="283"/>
    </row>
    <row r="2156" spans="6:6" x14ac:dyDescent="0.2">
      <c r="F2156" s="283"/>
    </row>
    <row r="2157" spans="6:6" x14ac:dyDescent="0.2">
      <c r="F2157" s="283"/>
    </row>
    <row r="2158" spans="6:6" x14ac:dyDescent="0.2">
      <c r="F2158" s="283"/>
    </row>
    <row r="2159" spans="6:6" x14ac:dyDescent="0.2">
      <c r="F2159" s="283"/>
    </row>
    <row r="2160" spans="6:6" x14ac:dyDescent="0.2">
      <c r="F2160" s="283"/>
    </row>
    <row r="2161" spans="6:6" x14ac:dyDescent="0.2">
      <c r="F2161" s="283"/>
    </row>
    <row r="2162" spans="6:6" x14ac:dyDescent="0.2">
      <c r="F2162" s="283"/>
    </row>
    <row r="2163" spans="6:6" x14ac:dyDescent="0.2">
      <c r="F2163" s="283"/>
    </row>
    <row r="2164" spans="6:6" x14ac:dyDescent="0.2">
      <c r="F2164" s="283"/>
    </row>
    <row r="2165" spans="6:6" x14ac:dyDescent="0.2">
      <c r="F2165" s="283"/>
    </row>
    <row r="2166" spans="6:6" x14ac:dyDescent="0.2">
      <c r="F2166" s="283"/>
    </row>
    <row r="2167" spans="6:6" x14ac:dyDescent="0.2">
      <c r="F2167" s="283"/>
    </row>
    <row r="2168" spans="6:6" x14ac:dyDescent="0.2">
      <c r="F2168" s="283"/>
    </row>
    <row r="2169" spans="6:6" x14ac:dyDescent="0.2">
      <c r="F2169" s="283"/>
    </row>
    <row r="2170" spans="6:6" x14ac:dyDescent="0.2">
      <c r="F2170" s="283"/>
    </row>
    <row r="2171" spans="6:6" x14ac:dyDescent="0.2">
      <c r="F2171" s="283"/>
    </row>
    <row r="2172" spans="6:6" x14ac:dyDescent="0.2">
      <c r="F2172" s="283"/>
    </row>
    <row r="2173" spans="6:6" x14ac:dyDescent="0.2">
      <c r="F2173" s="283"/>
    </row>
    <row r="2174" spans="6:6" x14ac:dyDescent="0.2">
      <c r="F2174" s="283"/>
    </row>
    <row r="2175" spans="6:6" x14ac:dyDescent="0.2">
      <c r="F2175" s="283"/>
    </row>
    <row r="2176" spans="6:6" x14ac:dyDescent="0.2">
      <c r="F2176" s="283"/>
    </row>
    <row r="2177" spans="6:6" x14ac:dyDescent="0.2">
      <c r="F2177" s="283"/>
    </row>
    <row r="2178" spans="6:6" x14ac:dyDescent="0.2">
      <c r="F2178" s="283"/>
    </row>
    <row r="2179" spans="6:6" x14ac:dyDescent="0.2">
      <c r="F2179" s="283"/>
    </row>
    <row r="2180" spans="6:6" x14ac:dyDescent="0.2">
      <c r="F2180" s="283"/>
    </row>
    <row r="2181" spans="6:6" x14ac:dyDescent="0.2">
      <c r="F2181" s="283"/>
    </row>
    <row r="2182" spans="6:6" x14ac:dyDescent="0.2">
      <c r="F2182" s="283"/>
    </row>
    <row r="2183" spans="6:6" x14ac:dyDescent="0.2">
      <c r="F2183" s="283"/>
    </row>
    <row r="2184" spans="6:6" x14ac:dyDescent="0.2">
      <c r="F2184" s="283"/>
    </row>
    <row r="2185" spans="6:6" x14ac:dyDescent="0.2">
      <c r="F2185" s="283"/>
    </row>
    <row r="2186" spans="6:6" x14ac:dyDescent="0.2">
      <c r="F2186" s="283"/>
    </row>
    <row r="2187" spans="6:6" x14ac:dyDescent="0.2">
      <c r="F2187" s="283"/>
    </row>
    <row r="2188" spans="6:6" x14ac:dyDescent="0.2">
      <c r="F2188" s="283"/>
    </row>
    <row r="2189" spans="6:6" x14ac:dyDescent="0.2">
      <c r="F2189" s="283"/>
    </row>
    <row r="2190" spans="6:6" x14ac:dyDescent="0.2">
      <c r="F2190" s="283"/>
    </row>
    <row r="2191" spans="6:6" x14ac:dyDescent="0.2">
      <c r="F2191" s="283"/>
    </row>
    <row r="2192" spans="6:6" x14ac:dyDescent="0.2">
      <c r="F2192" s="283"/>
    </row>
    <row r="2193" spans="6:6" x14ac:dyDescent="0.2">
      <c r="F2193" s="283"/>
    </row>
    <row r="2194" spans="6:6" x14ac:dyDescent="0.2">
      <c r="F2194" s="283"/>
    </row>
    <row r="2195" spans="6:6" x14ac:dyDescent="0.2">
      <c r="F2195" s="283"/>
    </row>
    <row r="2196" spans="6:6" x14ac:dyDescent="0.2">
      <c r="F2196" s="283"/>
    </row>
    <row r="2197" spans="6:6" x14ac:dyDescent="0.2">
      <c r="F2197" s="283"/>
    </row>
    <row r="2198" spans="6:6" x14ac:dyDescent="0.2">
      <c r="F2198" s="283"/>
    </row>
    <row r="2199" spans="6:6" x14ac:dyDescent="0.2">
      <c r="F2199" s="283"/>
    </row>
    <row r="2200" spans="6:6" x14ac:dyDescent="0.2">
      <c r="F2200" s="283"/>
    </row>
    <row r="2201" spans="6:6" x14ac:dyDescent="0.2">
      <c r="F2201" s="283"/>
    </row>
    <row r="2202" spans="6:6" x14ac:dyDescent="0.2">
      <c r="F2202" s="283"/>
    </row>
    <row r="2203" spans="6:6" x14ac:dyDescent="0.2">
      <c r="F2203" s="283"/>
    </row>
    <row r="2204" spans="6:6" x14ac:dyDescent="0.2">
      <c r="F2204" s="283"/>
    </row>
    <row r="2205" spans="6:6" x14ac:dyDescent="0.2">
      <c r="F2205" s="283"/>
    </row>
    <row r="2206" spans="6:6" x14ac:dyDescent="0.2">
      <c r="F2206" s="283"/>
    </row>
    <row r="2207" spans="6:6" x14ac:dyDescent="0.2">
      <c r="F2207" s="283"/>
    </row>
    <row r="2208" spans="6:6" x14ac:dyDescent="0.2">
      <c r="F2208" s="283"/>
    </row>
    <row r="2209" spans="6:6" x14ac:dyDescent="0.2">
      <c r="F2209" s="283"/>
    </row>
    <row r="2210" spans="6:6" x14ac:dyDescent="0.2">
      <c r="F2210" s="283"/>
    </row>
    <row r="2211" spans="6:6" x14ac:dyDescent="0.2">
      <c r="F2211" s="283"/>
    </row>
    <row r="2212" spans="6:6" x14ac:dyDescent="0.2">
      <c r="F2212" s="283"/>
    </row>
    <row r="2213" spans="6:6" x14ac:dyDescent="0.2">
      <c r="F2213" s="283"/>
    </row>
    <row r="2214" spans="6:6" x14ac:dyDescent="0.2">
      <c r="F2214" s="283"/>
    </row>
    <row r="2215" spans="6:6" x14ac:dyDescent="0.2">
      <c r="F2215" s="283"/>
    </row>
    <row r="2216" spans="6:6" x14ac:dyDescent="0.2">
      <c r="F2216" s="283"/>
    </row>
    <row r="2217" spans="6:6" x14ac:dyDescent="0.2">
      <c r="F2217" s="283"/>
    </row>
    <row r="2218" spans="6:6" x14ac:dyDescent="0.2">
      <c r="F2218" s="283"/>
    </row>
    <row r="2219" spans="6:6" x14ac:dyDescent="0.2">
      <c r="F2219" s="283"/>
    </row>
    <row r="2220" spans="6:6" x14ac:dyDescent="0.2">
      <c r="F2220" s="283"/>
    </row>
    <row r="2221" spans="6:6" x14ac:dyDescent="0.2">
      <c r="F2221" s="283"/>
    </row>
    <row r="2222" spans="6:6" x14ac:dyDescent="0.2">
      <c r="F2222" s="283"/>
    </row>
    <row r="2223" spans="6:6" x14ac:dyDescent="0.2">
      <c r="F2223" s="283"/>
    </row>
    <row r="2224" spans="6:6" x14ac:dyDescent="0.2">
      <c r="F2224" s="283"/>
    </row>
    <row r="2225" spans="6:6" x14ac:dyDescent="0.2">
      <c r="F2225" s="283"/>
    </row>
    <row r="2226" spans="6:6" x14ac:dyDescent="0.2">
      <c r="F2226" s="283"/>
    </row>
    <row r="2227" spans="6:6" x14ac:dyDescent="0.2">
      <c r="F2227" s="283"/>
    </row>
    <row r="2228" spans="6:6" x14ac:dyDescent="0.2">
      <c r="F2228" s="283"/>
    </row>
    <row r="2229" spans="6:6" x14ac:dyDescent="0.2">
      <c r="F2229" s="283"/>
    </row>
    <row r="2230" spans="6:6" x14ac:dyDescent="0.2">
      <c r="F2230" s="283"/>
    </row>
    <row r="2231" spans="6:6" x14ac:dyDescent="0.2">
      <c r="F2231" s="283"/>
    </row>
    <row r="2232" spans="6:6" x14ac:dyDescent="0.2">
      <c r="F2232" s="283"/>
    </row>
    <row r="2233" spans="6:6" x14ac:dyDescent="0.2">
      <c r="F2233" s="283"/>
    </row>
    <row r="2234" spans="6:6" x14ac:dyDescent="0.2">
      <c r="F2234" s="283"/>
    </row>
    <row r="2235" spans="6:6" x14ac:dyDescent="0.2">
      <c r="F2235" s="283"/>
    </row>
    <row r="2236" spans="6:6" x14ac:dyDescent="0.2">
      <c r="F2236" s="283"/>
    </row>
    <row r="2237" spans="6:6" x14ac:dyDescent="0.2">
      <c r="F2237" s="283"/>
    </row>
    <row r="2238" spans="6:6" x14ac:dyDescent="0.2">
      <c r="F2238" s="283"/>
    </row>
    <row r="2239" spans="6:6" x14ac:dyDescent="0.2">
      <c r="F2239" s="283"/>
    </row>
    <row r="2240" spans="6:6" x14ac:dyDescent="0.2">
      <c r="F2240" s="283"/>
    </row>
    <row r="2241" spans="6:6" x14ac:dyDescent="0.2">
      <c r="F2241" s="283"/>
    </row>
    <row r="2242" spans="6:6" x14ac:dyDescent="0.2">
      <c r="F2242" s="283"/>
    </row>
    <row r="2243" spans="6:6" x14ac:dyDescent="0.2">
      <c r="F2243" s="283"/>
    </row>
    <row r="2244" spans="6:6" x14ac:dyDescent="0.2">
      <c r="F2244" s="283"/>
    </row>
    <row r="2245" spans="6:6" x14ac:dyDescent="0.2">
      <c r="F2245" s="283"/>
    </row>
    <row r="2246" spans="6:6" x14ac:dyDescent="0.2">
      <c r="F2246" s="283"/>
    </row>
    <row r="2247" spans="6:6" x14ac:dyDescent="0.2">
      <c r="F2247" s="283"/>
    </row>
    <row r="2248" spans="6:6" x14ac:dyDescent="0.2">
      <c r="F2248" s="283"/>
    </row>
    <row r="2249" spans="6:6" x14ac:dyDescent="0.2">
      <c r="F2249" s="283"/>
    </row>
    <row r="2250" spans="6:6" x14ac:dyDescent="0.2">
      <c r="F2250" s="283"/>
    </row>
    <row r="2251" spans="6:6" x14ac:dyDescent="0.2">
      <c r="F2251" s="283"/>
    </row>
    <row r="2252" spans="6:6" x14ac:dyDescent="0.2">
      <c r="F2252" s="283"/>
    </row>
    <row r="2253" spans="6:6" x14ac:dyDescent="0.2">
      <c r="F2253" s="283"/>
    </row>
    <row r="2254" spans="6:6" x14ac:dyDescent="0.2">
      <c r="F2254" s="283"/>
    </row>
    <row r="2255" spans="6:6" x14ac:dyDescent="0.2">
      <c r="F2255" s="283"/>
    </row>
    <row r="2256" spans="6:6" x14ac:dyDescent="0.2">
      <c r="F2256" s="283"/>
    </row>
    <row r="2257" spans="6:6" x14ac:dyDescent="0.2">
      <c r="F2257" s="283"/>
    </row>
    <row r="2258" spans="6:6" x14ac:dyDescent="0.2">
      <c r="F2258" s="283"/>
    </row>
    <row r="2259" spans="6:6" x14ac:dyDescent="0.2">
      <c r="F2259" s="283"/>
    </row>
    <row r="2260" spans="6:6" x14ac:dyDescent="0.2">
      <c r="F2260" s="283"/>
    </row>
    <row r="2261" spans="6:6" x14ac:dyDescent="0.2">
      <c r="F2261" s="283"/>
    </row>
    <row r="2262" spans="6:6" x14ac:dyDescent="0.2">
      <c r="F2262" s="283"/>
    </row>
    <row r="2263" spans="6:6" x14ac:dyDescent="0.2">
      <c r="F2263" s="283"/>
    </row>
    <row r="2264" spans="6:6" x14ac:dyDescent="0.2">
      <c r="F2264" s="283"/>
    </row>
    <row r="2265" spans="6:6" x14ac:dyDescent="0.2">
      <c r="F2265" s="283"/>
    </row>
    <row r="2266" spans="6:6" x14ac:dyDescent="0.2">
      <c r="F2266" s="283"/>
    </row>
    <row r="2267" spans="6:6" x14ac:dyDescent="0.2">
      <c r="F2267" s="283"/>
    </row>
    <row r="2268" spans="6:6" x14ac:dyDescent="0.2">
      <c r="F2268" s="283"/>
    </row>
    <row r="2269" spans="6:6" x14ac:dyDescent="0.2">
      <c r="F2269" s="283"/>
    </row>
    <row r="2270" spans="6:6" x14ac:dyDescent="0.2">
      <c r="F2270" s="283"/>
    </row>
    <row r="2271" spans="6:6" x14ac:dyDescent="0.2">
      <c r="F2271" s="283"/>
    </row>
    <row r="2272" spans="6:6" x14ac:dyDescent="0.2">
      <c r="F2272" s="283"/>
    </row>
    <row r="2273" spans="6:6" x14ac:dyDescent="0.2">
      <c r="F2273" s="283"/>
    </row>
    <row r="2274" spans="6:6" x14ac:dyDescent="0.2">
      <c r="F2274" s="283"/>
    </row>
    <row r="2275" spans="6:6" x14ac:dyDescent="0.2">
      <c r="F2275" s="283"/>
    </row>
    <row r="2276" spans="6:6" x14ac:dyDescent="0.2">
      <c r="F2276" s="283"/>
    </row>
    <row r="2277" spans="6:6" x14ac:dyDescent="0.2">
      <c r="F2277" s="283"/>
    </row>
    <row r="2278" spans="6:6" x14ac:dyDescent="0.2">
      <c r="F2278" s="283"/>
    </row>
    <row r="2279" spans="6:6" x14ac:dyDescent="0.2">
      <c r="F2279" s="283"/>
    </row>
    <row r="2280" spans="6:6" x14ac:dyDescent="0.2">
      <c r="F2280" s="283"/>
    </row>
    <row r="2281" spans="6:6" x14ac:dyDescent="0.2">
      <c r="F2281" s="283"/>
    </row>
    <row r="2282" spans="6:6" x14ac:dyDescent="0.2">
      <c r="F2282" s="283"/>
    </row>
    <row r="2283" spans="6:6" x14ac:dyDescent="0.2">
      <c r="F2283" s="283"/>
    </row>
    <row r="2284" spans="6:6" x14ac:dyDescent="0.2">
      <c r="F2284" s="283"/>
    </row>
    <row r="2285" spans="6:6" x14ac:dyDescent="0.2">
      <c r="F2285" s="283"/>
    </row>
    <row r="2286" spans="6:6" x14ac:dyDescent="0.2">
      <c r="F2286" s="283"/>
    </row>
    <row r="2287" spans="6:6" x14ac:dyDescent="0.2">
      <c r="F2287" s="283"/>
    </row>
    <row r="2288" spans="6:6" x14ac:dyDescent="0.2">
      <c r="F2288" s="283"/>
    </row>
    <row r="2289" spans="6:6" x14ac:dyDescent="0.2">
      <c r="F2289" s="283"/>
    </row>
    <row r="2290" spans="6:6" x14ac:dyDescent="0.2">
      <c r="F2290" s="283"/>
    </row>
    <row r="2291" spans="6:6" x14ac:dyDescent="0.2">
      <c r="F2291" s="283"/>
    </row>
    <row r="2292" spans="6:6" x14ac:dyDescent="0.2">
      <c r="F2292" s="283"/>
    </row>
    <row r="2293" spans="6:6" x14ac:dyDescent="0.2">
      <c r="F2293" s="283"/>
    </row>
    <row r="2294" spans="6:6" x14ac:dyDescent="0.2">
      <c r="F2294" s="283"/>
    </row>
    <row r="2295" spans="6:6" x14ac:dyDescent="0.2">
      <c r="F2295" s="283"/>
    </row>
    <row r="2296" spans="6:6" x14ac:dyDescent="0.2">
      <c r="F2296" s="283"/>
    </row>
    <row r="2297" spans="6:6" x14ac:dyDescent="0.2">
      <c r="F2297" s="283"/>
    </row>
    <row r="2298" spans="6:6" x14ac:dyDescent="0.2">
      <c r="F2298" s="283"/>
    </row>
    <row r="2299" spans="6:6" x14ac:dyDescent="0.2">
      <c r="F2299" s="283"/>
    </row>
    <row r="2300" spans="6:6" x14ac:dyDescent="0.2">
      <c r="F2300" s="283"/>
    </row>
    <row r="2301" spans="6:6" x14ac:dyDescent="0.2">
      <c r="F2301" s="283"/>
    </row>
    <row r="2302" spans="6:6" x14ac:dyDescent="0.2">
      <c r="F2302" s="283"/>
    </row>
    <row r="2303" spans="6:6" x14ac:dyDescent="0.2">
      <c r="F2303" s="283"/>
    </row>
    <row r="2304" spans="6:6" x14ac:dyDescent="0.2">
      <c r="F2304" s="283"/>
    </row>
    <row r="2305" spans="6:6" x14ac:dyDescent="0.2">
      <c r="F2305" s="283"/>
    </row>
    <row r="2306" spans="6:6" x14ac:dyDescent="0.2">
      <c r="F2306" s="283"/>
    </row>
    <row r="2307" spans="6:6" x14ac:dyDescent="0.2">
      <c r="F2307" s="283"/>
    </row>
    <row r="2308" spans="6:6" x14ac:dyDescent="0.2">
      <c r="F2308" s="283"/>
    </row>
    <row r="2309" spans="6:6" x14ac:dyDescent="0.2">
      <c r="F2309" s="283"/>
    </row>
    <row r="2310" spans="6:6" x14ac:dyDescent="0.2">
      <c r="F2310" s="283"/>
    </row>
    <row r="2311" spans="6:6" x14ac:dyDescent="0.2">
      <c r="F2311" s="283"/>
    </row>
    <row r="2312" spans="6:6" x14ac:dyDescent="0.2">
      <c r="F2312" s="283"/>
    </row>
    <row r="2313" spans="6:6" x14ac:dyDescent="0.2">
      <c r="F2313" s="283"/>
    </row>
    <row r="2314" spans="6:6" x14ac:dyDescent="0.2">
      <c r="F2314" s="283"/>
    </row>
    <row r="2315" spans="6:6" x14ac:dyDescent="0.2">
      <c r="F2315" s="283"/>
    </row>
    <row r="2316" spans="6:6" x14ac:dyDescent="0.2">
      <c r="F2316" s="283"/>
    </row>
    <row r="2317" spans="6:6" x14ac:dyDescent="0.2">
      <c r="F2317" s="283"/>
    </row>
    <row r="2318" spans="6:6" x14ac:dyDescent="0.2">
      <c r="F2318" s="283"/>
    </row>
    <row r="2319" spans="6:6" x14ac:dyDescent="0.2">
      <c r="F2319" s="283"/>
    </row>
    <row r="2320" spans="6:6" x14ac:dyDescent="0.2">
      <c r="F2320" s="283"/>
    </row>
    <row r="2321" spans="6:6" x14ac:dyDescent="0.2">
      <c r="F2321" s="283"/>
    </row>
    <row r="2322" spans="6:6" x14ac:dyDescent="0.2">
      <c r="F2322" s="283"/>
    </row>
    <row r="2323" spans="6:6" x14ac:dyDescent="0.2">
      <c r="F2323" s="283"/>
    </row>
    <row r="2324" spans="6:6" x14ac:dyDescent="0.2">
      <c r="F2324" s="283"/>
    </row>
    <row r="2325" spans="6:6" x14ac:dyDescent="0.2">
      <c r="F2325" s="283"/>
    </row>
    <row r="2326" spans="6:6" x14ac:dyDescent="0.2">
      <c r="F2326" s="283"/>
    </row>
    <row r="2327" spans="6:6" x14ac:dyDescent="0.2">
      <c r="F2327" s="283"/>
    </row>
    <row r="2328" spans="6:6" x14ac:dyDescent="0.2">
      <c r="F2328" s="283"/>
    </row>
    <row r="2329" spans="6:6" x14ac:dyDescent="0.2">
      <c r="F2329" s="283"/>
    </row>
    <row r="2330" spans="6:6" x14ac:dyDescent="0.2">
      <c r="F2330" s="283"/>
    </row>
    <row r="2331" spans="6:6" x14ac:dyDescent="0.2">
      <c r="F2331" s="283"/>
    </row>
    <row r="2332" spans="6:6" x14ac:dyDescent="0.2">
      <c r="F2332" s="283"/>
    </row>
    <row r="2333" spans="6:6" x14ac:dyDescent="0.2">
      <c r="F2333" s="283"/>
    </row>
    <row r="2334" spans="6:6" x14ac:dyDescent="0.2">
      <c r="F2334" s="283"/>
    </row>
    <row r="2335" spans="6:6" x14ac:dyDescent="0.2">
      <c r="F2335" s="283"/>
    </row>
    <row r="2336" spans="6:6" x14ac:dyDescent="0.2">
      <c r="F2336" s="283"/>
    </row>
    <row r="2337" spans="6:6" x14ac:dyDescent="0.2">
      <c r="F2337" s="283"/>
    </row>
    <row r="2338" spans="6:6" x14ac:dyDescent="0.2">
      <c r="F2338" s="283"/>
    </row>
    <row r="2339" spans="6:6" x14ac:dyDescent="0.2">
      <c r="F2339" s="283"/>
    </row>
    <row r="2340" spans="6:6" x14ac:dyDescent="0.2">
      <c r="F2340" s="283"/>
    </row>
    <row r="2341" spans="6:6" x14ac:dyDescent="0.2">
      <c r="F2341" s="283"/>
    </row>
    <row r="2342" spans="6:6" x14ac:dyDescent="0.2">
      <c r="F2342" s="283"/>
    </row>
    <row r="2343" spans="6:6" x14ac:dyDescent="0.2">
      <c r="F2343" s="283"/>
    </row>
    <row r="2344" spans="6:6" x14ac:dyDescent="0.2">
      <c r="F2344" s="283"/>
    </row>
    <row r="2345" spans="6:6" x14ac:dyDescent="0.2">
      <c r="F2345" s="283"/>
    </row>
    <row r="2346" spans="6:6" x14ac:dyDescent="0.2">
      <c r="F2346" s="283"/>
    </row>
    <row r="2347" spans="6:6" x14ac:dyDescent="0.2">
      <c r="F2347" s="283"/>
    </row>
    <row r="2348" spans="6:6" x14ac:dyDescent="0.2">
      <c r="F2348" s="283"/>
    </row>
    <row r="2349" spans="6:6" x14ac:dyDescent="0.2">
      <c r="F2349" s="283"/>
    </row>
    <row r="2350" spans="6:6" x14ac:dyDescent="0.2">
      <c r="F2350" s="283"/>
    </row>
    <row r="2351" spans="6:6" x14ac:dyDescent="0.2">
      <c r="F2351" s="283"/>
    </row>
    <row r="2352" spans="6:6" x14ac:dyDescent="0.2">
      <c r="F2352" s="283"/>
    </row>
    <row r="2353" spans="6:6" x14ac:dyDescent="0.2">
      <c r="F2353" s="283"/>
    </row>
    <row r="2354" spans="6:6" x14ac:dyDescent="0.2">
      <c r="F2354" s="283"/>
    </row>
    <row r="2355" spans="6:6" x14ac:dyDescent="0.2">
      <c r="F2355" s="283"/>
    </row>
    <row r="2356" spans="6:6" x14ac:dyDescent="0.2">
      <c r="F2356" s="283"/>
    </row>
    <row r="2357" spans="6:6" x14ac:dyDescent="0.2">
      <c r="F2357" s="283"/>
    </row>
    <row r="2358" spans="6:6" x14ac:dyDescent="0.2">
      <c r="F2358" s="283"/>
    </row>
    <row r="2359" spans="6:6" x14ac:dyDescent="0.2">
      <c r="F2359" s="283"/>
    </row>
    <row r="2360" spans="6:6" x14ac:dyDescent="0.2">
      <c r="F2360" s="283"/>
    </row>
    <row r="2361" spans="6:6" x14ac:dyDescent="0.2">
      <c r="F2361" s="283"/>
    </row>
    <row r="2362" spans="6:6" x14ac:dyDescent="0.2">
      <c r="F2362" s="283"/>
    </row>
    <row r="2363" spans="6:6" x14ac:dyDescent="0.2">
      <c r="F2363" s="283"/>
    </row>
    <row r="2364" spans="6:6" x14ac:dyDescent="0.2">
      <c r="F2364" s="283"/>
    </row>
    <row r="2365" spans="6:6" x14ac:dyDescent="0.2">
      <c r="F2365" s="283"/>
    </row>
    <row r="2366" spans="6:6" x14ac:dyDescent="0.2">
      <c r="F2366" s="283"/>
    </row>
    <row r="2367" spans="6:6" x14ac:dyDescent="0.2">
      <c r="F2367" s="283"/>
    </row>
    <row r="2368" spans="6:6" x14ac:dyDescent="0.2">
      <c r="F2368" s="283"/>
    </row>
    <row r="2369" spans="6:6" x14ac:dyDescent="0.2">
      <c r="F2369" s="283"/>
    </row>
    <row r="2370" spans="6:6" x14ac:dyDescent="0.2">
      <c r="F2370" s="283"/>
    </row>
    <row r="2371" spans="6:6" x14ac:dyDescent="0.2">
      <c r="F2371" s="283"/>
    </row>
    <row r="2372" spans="6:6" x14ac:dyDescent="0.2">
      <c r="F2372" s="283"/>
    </row>
    <row r="2373" spans="6:6" x14ac:dyDescent="0.2">
      <c r="F2373" s="283"/>
    </row>
    <row r="2374" spans="6:6" x14ac:dyDescent="0.2">
      <c r="F2374" s="283"/>
    </row>
    <row r="2375" spans="6:6" x14ac:dyDescent="0.2">
      <c r="F2375" s="283"/>
    </row>
    <row r="2376" spans="6:6" x14ac:dyDescent="0.2">
      <c r="F2376" s="283"/>
    </row>
    <row r="2377" spans="6:6" x14ac:dyDescent="0.2">
      <c r="F2377" s="283"/>
    </row>
    <row r="2378" spans="6:6" x14ac:dyDescent="0.2">
      <c r="F2378" s="283"/>
    </row>
    <row r="2379" spans="6:6" x14ac:dyDescent="0.2">
      <c r="F2379" s="283"/>
    </row>
    <row r="2380" spans="6:6" x14ac:dyDescent="0.2">
      <c r="F2380" s="283"/>
    </row>
    <row r="2381" spans="6:6" x14ac:dyDescent="0.2">
      <c r="F2381" s="283"/>
    </row>
    <row r="2382" spans="6:6" x14ac:dyDescent="0.2">
      <c r="F2382" s="283"/>
    </row>
    <row r="2383" spans="6:6" x14ac:dyDescent="0.2">
      <c r="F2383" s="283"/>
    </row>
    <row r="2384" spans="6:6" x14ac:dyDescent="0.2">
      <c r="F2384" s="283"/>
    </row>
    <row r="2385" spans="6:6" x14ac:dyDescent="0.2">
      <c r="F2385" s="283"/>
    </row>
    <row r="2386" spans="6:6" x14ac:dyDescent="0.2">
      <c r="F2386" s="283"/>
    </row>
    <row r="2387" spans="6:6" x14ac:dyDescent="0.2">
      <c r="F2387" s="283"/>
    </row>
    <row r="2388" spans="6:6" x14ac:dyDescent="0.2">
      <c r="F2388" s="283"/>
    </row>
    <row r="2389" spans="6:6" x14ac:dyDescent="0.2">
      <c r="F2389" s="283"/>
    </row>
    <row r="2390" spans="6:6" x14ac:dyDescent="0.2">
      <c r="F2390" s="283"/>
    </row>
    <row r="2391" spans="6:6" x14ac:dyDescent="0.2">
      <c r="F2391" s="283"/>
    </row>
    <row r="2392" spans="6:6" x14ac:dyDescent="0.2">
      <c r="F2392" s="283"/>
    </row>
    <row r="2393" spans="6:6" x14ac:dyDescent="0.2">
      <c r="F2393" s="283"/>
    </row>
    <row r="2394" spans="6:6" x14ac:dyDescent="0.2">
      <c r="F2394" s="283"/>
    </row>
    <row r="2395" spans="6:6" x14ac:dyDescent="0.2">
      <c r="F2395" s="283"/>
    </row>
    <row r="2396" spans="6:6" x14ac:dyDescent="0.2">
      <c r="F2396" s="283"/>
    </row>
    <row r="2397" spans="6:6" x14ac:dyDescent="0.2">
      <c r="F2397" s="283"/>
    </row>
    <row r="2398" spans="6:6" x14ac:dyDescent="0.2">
      <c r="F2398" s="283"/>
    </row>
    <row r="2399" spans="6:6" x14ac:dyDescent="0.2">
      <c r="F2399" s="283"/>
    </row>
    <row r="2400" spans="6:6" x14ac:dyDescent="0.2">
      <c r="F2400" s="283"/>
    </row>
    <row r="2401" spans="6:6" x14ac:dyDescent="0.2">
      <c r="F2401" s="283"/>
    </row>
    <row r="2402" spans="6:6" x14ac:dyDescent="0.2">
      <c r="F2402" s="283"/>
    </row>
    <row r="2403" spans="6:6" x14ac:dyDescent="0.2">
      <c r="F2403" s="283"/>
    </row>
    <row r="2404" spans="6:6" x14ac:dyDescent="0.2">
      <c r="F2404" s="283"/>
    </row>
    <row r="2405" spans="6:6" x14ac:dyDescent="0.2">
      <c r="F2405" s="283"/>
    </row>
    <row r="2406" spans="6:6" x14ac:dyDescent="0.2">
      <c r="F2406" s="283"/>
    </row>
    <row r="2407" spans="6:6" x14ac:dyDescent="0.2">
      <c r="F2407" s="283"/>
    </row>
    <row r="2408" spans="6:6" x14ac:dyDescent="0.2">
      <c r="F2408" s="283"/>
    </row>
    <row r="2409" spans="6:6" x14ac:dyDescent="0.2">
      <c r="F2409" s="283"/>
    </row>
    <row r="2410" spans="6:6" x14ac:dyDescent="0.2">
      <c r="F2410" s="283"/>
    </row>
    <row r="2411" spans="6:6" x14ac:dyDescent="0.2">
      <c r="F2411" s="283"/>
    </row>
    <row r="2412" spans="6:6" x14ac:dyDescent="0.2">
      <c r="F2412" s="283"/>
    </row>
    <row r="2413" spans="6:6" x14ac:dyDescent="0.2">
      <c r="F2413" s="283"/>
    </row>
    <row r="2414" spans="6:6" x14ac:dyDescent="0.2">
      <c r="F2414" s="283"/>
    </row>
    <row r="2415" spans="6:6" x14ac:dyDescent="0.2">
      <c r="F2415" s="283"/>
    </row>
    <row r="2416" spans="6:6" x14ac:dyDescent="0.2">
      <c r="F2416" s="283"/>
    </row>
    <row r="2417" spans="6:6" x14ac:dyDescent="0.2">
      <c r="F2417" s="283"/>
    </row>
    <row r="2418" spans="6:6" x14ac:dyDescent="0.2">
      <c r="F2418" s="283"/>
    </row>
    <row r="2419" spans="6:6" x14ac:dyDescent="0.2">
      <c r="F2419" s="283"/>
    </row>
    <row r="2420" spans="6:6" x14ac:dyDescent="0.2">
      <c r="F2420" s="283"/>
    </row>
    <row r="2421" spans="6:6" x14ac:dyDescent="0.2">
      <c r="F2421" s="283"/>
    </row>
    <row r="2422" spans="6:6" x14ac:dyDescent="0.2">
      <c r="F2422" s="283"/>
    </row>
    <row r="2423" spans="6:6" x14ac:dyDescent="0.2">
      <c r="F2423" s="283"/>
    </row>
    <row r="2424" spans="6:6" x14ac:dyDescent="0.2">
      <c r="F2424" s="283"/>
    </row>
    <row r="2425" spans="6:6" x14ac:dyDescent="0.2">
      <c r="F2425" s="283"/>
    </row>
    <row r="2426" spans="6:6" x14ac:dyDescent="0.2">
      <c r="F2426" s="283"/>
    </row>
    <row r="2427" spans="6:6" x14ac:dyDescent="0.2">
      <c r="F2427" s="283"/>
    </row>
    <row r="2428" spans="6:6" x14ac:dyDescent="0.2">
      <c r="F2428" s="283"/>
    </row>
    <row r="2429" spans="6:6" x14ac:dyDescent="0.2">
      <c r="F2429" s="283"/>
    </row>
    <row r="2430" spans="6:6" x14ac:dyDescent="0.2">
      <c r="F2430" s="283"/>
    </row>
    <row r="2431" spans="6:6" x14ac:dyDescent="0.2">
      <c r="F2431" s="283"/>
    </row>
    <row r="2432" spans="6:6" x14ac:dyDescent="0.2">
      <c r="F2432" s="283"/>
    </row>
    <row r="2433" spans="6:6" x14ac:dyDescent="0.2">
      <c r="F2433" s="283"/>
    </row>
    <row r="2434" spans="6:6" x14ac:dyDescent="0.2">
      <c r="F2434" s="283"/>
    </row>
    <row r="2435" spans="6:6" x14ac:dyDescent="0.2">
      <c r="F2435" s="283"/>
    </row>
    <row r="2436" spans="6:6" x14ac:dyDescent="0.2">
      <c r="F2436" s="283"/>
    </row>
    <row r="2437" spans="6:6" x14ac:dyDescent="0.2">
      <c r="F2437" s="283"/>
    </row>
    <row r="2438" spans="6:6" x14ac:dyDescent="0.2">
      <c r="F2438" s="283"/>
    </row>
    <row r="2439" spans="6:6" x14ac:dyDescent="0.2">
      <c r="F2439" s="283"/>
    </row>
    <row r="2440" spans="6:6" x14ac:dyDescent="0.2">
      <c r="F2440" s="283"/>
    </row>
    <row r="2441" spans="6:6" x14ac:dyDescent="0.2">
      <c r="F2441" s="283"/>
    </row>
    <row r="2442" spans="6:6" x14ac:dyDescent="0.2">
      <c r="F2442" s="283"/>
    </row>
    <row r="2443" spans="6:6" x14ac:dyDescent="0.2">
      <c r="F2443" s="283"/>
    </row>
    <row r="2444" spans="6:6" x14ac:dyDescent="0.2">
      <c r="F2444" s="283"/>
    </row>
    <row r="2445" spans="6:6" x14ac:dyDescent="0.2">
      <c r="F2445" s="283"/>
    </row>
    <row r="2446" spans="6:6" x14ac:dyDescent="0.2">
      <c r="F2446" s="283"/>
    </row>
    <row r="2447" spans="6:6" x14ac:dyDescent="0.2">
      <c r="F2447" s="283"/>
    </row>
    <row r="2448" spans="6:6" x14ac:dyDescent="0.2">
      <c r="F2448" s="283"/>
    </row>
    <row r="2449" spans="6:6" x14ac:dyDescent="0.2">
      <c r="F2449" s="283"/>
    </row>
    <row r="2450" spans="6:6" x14ac:dyDescent="0.2">
      <c r="F2450" s="283"/>
    </row>
    <row r="2451" spans="6:6" x14ac:dyDescent="0.2">
      <c r="F2451" s="283"/>
    </row>
    <row r="2452" spans="6:6" x14ac:dyDescent="0.2">
      <c r="F2452" s="283"/>
    </row>
    <row r="2453" spans="6:6" x14ac:dyDescent="0.2">
      <c r="F2453" s="283"/>
    </row>
    <row r="2454" spans="6:6" x14ac:dyDescent="0.2">
      <c r="F2454" s="283"/>
    </row>
    <row r="2455" spans="6:6" x14ac:dyDescent="0.2">
      <c r="F2455" s="283"/>
    </row>
    <row r="2456" spans="6:6" x14ac:dyDescent="0.2">
      <c r="F2456" s="283"/>
    </row>
    <row r="2457" spans="6:6" x14ac:dyDescent="0.2">
      <c r="F2457" s="283"/>
    </row>
    <row r="2458" spans="6:6" x14ac:dyDescent="0.2">
      <c r="F2458" s="283"/>
    </row>
    <row r="2459" spans="6:6" x14ac:dyDescent="0.2">
      <c r="F2459" s="283"/>
    </row>
    <row r="2460" spans="6:6" x14ac:dyDescent="0.2">
      <c r="F2460" s="283"/>
    </row>
    <row r="2461" spans="6:6" x14ac:dyDescent="0.2">
      <c r="F2461" s="283"/>
    </row>
    <row r="2462" spans="6:6" x14ac:dyDescent="0.2">
      <c r="F2462" s="283"/>
    </row>
    <row r="2463" spans="6:6" x14ac:dyDescent="0.2">
      <c r="F2463" s="283"/>
    </row>
    <row r="2464" spans="6:6" x14ac:dyDescent="0.2">
      <c r="F2464" s="283"/>
    </row>
    <row r="2465" spans="6:6" x14ac:dyDescent="0.2">
      <c r="F2465" s="283"/>
    </row>
    <row r="2466" spans="6:6" x14ac:dyDescent="0.2">
      <c r="F2466" s="283"/>
    </row>
    <row r="2467" spans="6:6" x14ac:dyDescent="0.2">
      <c r="F2467" s="283"/>
    </row>
    <row r="2468" spans="6:6" x14ac:dyDescent="0.2">
      <c r="F2468" s="283"/>
    </row>
    <row r="2469" spans="6:6" x14ac:dyDescent="0.2">
      <c r="F2469" s="283"/>
    </row>
    <row r="2470" spans="6:6" x14ac:dyDescent="0.2">
      <c r="F2470" s="283"/>
    </row>
    <row r="2471" spans="6:6" x14ac:dyDescent="0.2">
      <c r="F2471" s="283"/>
    </row>
    <row r="2472" spans="6:6" x14ac:dyDescent="0.2">
      <c r="F2472" s="283"/>
    </row>
    <row r="2473" spans="6:6" x14ac:dyDescent="0.2">
      <c r="F2473" s="283"/>
    </row>
    <row r="2474" spans="6:6" x14ac:dyDescent="0.2">
      <c r="F2474" s="283"/>
    </row>
    <row r="2475" spans="6:6" x14ac:dyDescent="0.2">
      <c r="F2475" s="283"/>
    </row>
    <row r="2476" spans="6:6" x14ac:dyDescent="0.2">
      <c r="F2476" s="283"/>
    </row>
    <row r="2477" spans="6:6" x14ac:dyDescent="0.2">
      <c r="F2477" s="283"/>
    </row>
    <row r="2478" spans="6:6" x14ac:dyDescent="0.2">
      <c r="F2478" s="283"/>
    </row>
    <row r="2479" spans="6:6" x14ac:dyDescent="0.2">
      <c r="F2479" s="283"/>
    </row>
    <row r="2480" spans="6:6" x14ac:dyDescent="0.2">
      <c r="F2480" s="283"/>
    </row>
    <row r="2481" spans="6:6" x14ac:dyDescent="0.2">
      <c r="F2481" s="283"/>
    </row>
    <row r="2482" spans="6:6" x14ac:dyDescent="0.2">
      <c r="F2482" s="283"/>
    </row>
    <row r="2483" spans="6:6" x14ac:dyDescent="0.2">
      <c r="F2483" s="283"/>
    </row>
    <row r="2484" spans="6:6" x14ac:dyDescent="0.2">
      <c r="F2484" s="283"/>
    </row>
    <row r="2485" spans="6:6" x14ac:dyDescent="0.2">
      <c r="F2485" s="283"/>
    </row>
    <row r="2486" spans="6:6" x14ac:dyDescent="0.2">
      <c r="F2486" s="283"/>
    </row>
    <row r="2487" spans="6:6" x14ac:dyDescent="0.2">
      <c r="F2487" s="283"/>
    </row>
    <row r="2488" spans="6:6" x14ac:dyDescent="0.2">
      <c r="F2488" s="283"/>
    </row>
    <row r="2489" spans="6:6" x14ac:dyDescent="0.2">
      <c r="F2489" s="283"/>
    </row>
    <row r="2490" spans="6:6" x14ac:dyDescent="0.2">
      <c r="F2490" s="283"/>
    </row>
    <row r="2491" spans="6:6" x14ac:dyDescent="0.2">
      <c r="F2491" s="283"/>
    </row>
    <row r="2492" spans="6:6" x14ac:dyDescent="0.2">
      <c r="F2492" s="283"/>
    </row>
    <row r="2493" spans="6:6" x14ac:dyDescent="0.2">
      <c r="F2493" s="283"/>
    </row>
    <row r="2494" spans="6:6" x14ac:dyDescent="0.2">
      <c r="F2494" s="283"/>
    </row>
    <row r="2495" spans="6:6" x14ac:dyDescent="0.2">
      <c r="F2495" s="283"/>
    </row>
    <row r="2496" spans="6:6" x14ac:dyDescent="0.2">
      <c r="F2496" s="283"/>
    </row>
    <row r="2497" spans="6:6" x14ac:dyDescent="0.2">
      <c r="F2497" s="283"/>
    </row>
    <row r="2498" spans="6:6" x14ac:dyDescent="0.2">
      <c r="F2498" s="283"/>
    </row>
    <row r="2499" spans="6:6" x14ac:dyDescent="0.2">
      <c r="F2499" s="283"/>
    </row>
    <row r="2500" spans="6:6" x14ac:dyDescent="0.2">
      <c r="F2500" s="283"/>
    </row>
    <row r="2501" spans="6:6" x14ac:dyDescent="0.2">
      <c r="F2501" s="283"/>
    </row>
    <row r="2502" spans="6:6" x14ac:dyDescent="0.2">
      <c r="F2502" s="283"/>
    </row>
    <row r="2503" spans="6:6" x14ac:dyDescent="0.2">
      <c r="F2503" s="283"/>
    </row>
    <row r="2504" spans="6:6" x14ac:dyDescent="0.2">
      <c r="F2504" s="283"/>
    </row>
    <row r="2505" spans="6:6" x14ac:dyDescent="0.2">
      <c r="F2505" s="283"/>
    </row>
    <row r="2506" spans="6:6" x14ac:dyDescent="0.2">
      <c r="F2506" s="283"/>
    </row>
    <row r="2507" spans="6:6" x14ac:dyDescent="0.2">
      <c r="F2507" s="283"/>
    </row>
    <row r="2508" spans="6:6" x14ac:dyDescent="0.2">
      <c r="F2508" s="283"/>
    </row>
    <row r="2509" spans="6:6" x14ac:dyDescent="0.2">
      <c r="F2509" s="283"/>
    </row>
    <row r="2510" spans="6:6" x14ac:dyDescent="0.2">
      <c r="F2510" s="283"/>
    </row>
    <row r="2511" spans="6:6" x14ac:dyDescent="0.2">
      <c r="F2511" s="283"/>
    </row>
    <row r="2512" spans="6:6" x14ac:dyDescent="0.2">
      <c r="F2512" s="283"/>
    </row>
    <row r="2513" spans="6:6" x14ac:dyDescent="0.2">
      <c r="F2513" s="283"/>
    </row>
    <row r="2514" spans="6:6" x14ac:dyDescent="0.2">
      <c r="F2514" s="283"/>
    </row>
    <row r="2515" spans="6:6" x14ac:dyDescent="0.2">
      <c r="F2515" s="283"/>
    </row>
    <row r="2516" spans="6:6" x14ac:dyDescent="0.2">
      <c r="F2516" s="283"/>
    </row>
    <row r="2517" spans="6:6" x14ac:dyDescent="0.2">
      <c r="F2517" s="283"/>
    </row>
    <row r="2518" spans="6:6" x14ac:dyDescent="0.2">
      <c r="F2518" s="283"/>
    </row>
    <row r="2519" spans="6:6" x14ac:dyDescent="0.2">
      <c r="F2519" s="283"/>
    </row>
    <row r="2520" spans="6:6" x14ac:dyDescent="0.2">
      <c r="F2520" s="283"/>
    </row>
    <row r="2521" spans="6:6" x14ac:dyDescent="0.2">
      <c r="F2521" s="283"/>
    </row>
    <row r="2522" spans="6:6" x14ac:dyDescent="0.2">
      <c r="F2522" s="283"/>
    </row>
    <row r="2523" spans="6:6" x14ac:dyDescent="0.2">
      <c r="F2523" s="283"/>
    </row>
    <row r="2524" spans="6:6" x14ac:dyDescent="0.2">
      <c r="F2524" s="283"/>
    </row>
    <row r="2525" spans="6:6" x14ac:dyDescent="0.2">
      <c r="F2525" s="283"/>
    </row>
    <row r="2526" spans="6:6" x14ac:dyDescent="0.2">
      <c r="F2526" s="283"/>
    </row>
    <row r="2527" spans="6:6" x14ac:dyDescent="0.2">
      <c r="F2527" s="283"/>
    </row>
    <row r="2528" spans="6:6" x14ac:dyDescent="0.2">
      <c r="F2528" s="283"/>
    </row>
    <row r="2529" spans="6:6" x14ac:dyDescent="0.2">
      <c r="F2529" s="283"/>
    </row>
    <row r="2530" spans="6:6" x14ac:dyDescent="0.2">
      <c r="F2530" s="283"/>
    </row>
    <row r="2531" spans="6:6" x14ac:dyDescent="0.2">
      <c r="F2531" s="283"/>
    </row>
    <row r="2532" spans="6:6" x14ac:dyDescent="0.2">
      <c r="F2532" s="283"/>
    </row>
    <row r="2533" spans="6:6" x14ac:dyDescent="0.2">
      <c r="F2533" s="283"/>
    </row>
    <row r="2534" spans="6:6" x14ac:dyDescent="0.2">
      <c r="F2534" s="283"/>
    </row>
    <row r="2535" spans="6:6" x14ac:dyDescent="0.2">
      <c r="F2535" s="283"/>
    </row>
    <row r="2536" spans="6:6" x14ac:dyDescent="0.2">
      <c r="F2536" s="283"/>
    </row>
    <row r="2537" spans="6:6" x14ac:dyDescent="0.2">
      <c r="F2537" s="283"/>
    </row>
    <row r="2538" spans="6:6" x14ac:dyDescent="0.2">
      <c r="F2538" s="283"/>
    </row>
    <row r="2539" spans="6:6" x14ac:dyDescent="0.2">
      <c r="F2539" s="283"/>
    </row>
    <row r="2540" spans="6:6" x14ac:dyDescent="0.2">
      <c r="F2540" s="283"/>
    </row>
    <row r="2541" spans="6:6" x14ac:dyDescent="0.2">
      <c r="F2541" s="283"/>
    </row>
    <row r="2542" spans="6:6" x14ac:dyDescent="0.2">
      <c r="F2542" s="283"/>
    </row>
    <row r="2543" spans="6:6" x14ac:dyDescent="0.2">
      <c r="F2543" s="283"/>
    </row>
    <row r="2544" spans="6:6" x14ac:dyDescent="0.2">
      <c r="F2544" s="283"/>
    </row>
    <row r="2545" spans="6:6" x14ac:dyDescent="0.2">
      <c r="F2545" s="283"/>
    </row>
    <row r="2546" spans="6:6" x14ac:dyDescent="0.2">
      <c r="F2546" s="283"/>
    </row>
    <row r="2547" spans="6:6" x14ac:dyDescent="0.2">
      <c r="F2547" s="283"/>
    </row>
    <row r="2548" spans="6:6" x14ac:dyDescent="0.2">
      <c r="F2548" s="283"/>
    </row>
    <row r="2549" spans="6:6" x14ac:dyDescent="0.2">
      <c r="F2549" s="283"/>
    </row>
    <row r="2550" spans="6:6" x14ac:dyDescent="0.2">
      <c r="F2550" s="283"/>
    </row>
    <row r="2551" spans="6:6" x14ac:dyDescent="0.2">
      <c r="F2551" s="283"/>
    </row>
    <row r="2552" spans="6:6" x14ac:dyDescent="0.2">
      <c r="F2552" s="283"/>
    </row>
    <row r="2553" spans="6:6" x14ac:dyDescent="0.2">
      <c r="F2553" s="283"/>
    </row>
    <row r="2554" spans="6:6" x14ac:dyDescent="0.2">
      <c r="F2554" s="283"/>
    </row>
    <row r="2555" spans="6:6" x14ac:dyDescent="0.2">
      <c r="F2555" s="283"/>
    </row>
    <row r="2556" spans="6:6" x14ac:dyDescent="0.2">
      <c r="F2556" s="283"/>
    </row>
    <row r="2557" spans="6:6" x14ac:dyDescent="0.2">
      <c r="F2557" s="283"/>
    </row>
    <row r="2558" spans="6:6" x14ac:dyDescent="0.2">
      <c r="F2558" s="283"/>
    </row>
    <row r="2559" spans="6:6" x14ac:dyDescent="0.2">
      <c r="F2559" s="283"/>
    </row>
    <row r="2560" spans="6:6" x14ac:dyDescent="0.2">
      <c r="F2560" s="283"/>
    </row>
    <row r="2561" spans="6:6" x14ac:dyDescent="0.2">
      <c r="F2561" s="283"/>
    </row>
    <row r="2562" spans="6:6" x14ac:dyDescent="0.2">
      <c r="F2562" s="283"/>
    </row>
    <row r="2563" spans="6:6" x14ac:dyDescent="0.2">
      <c r="F2563" s="283"/>
    </row>
    <row r="2564" spans="6:6" x14ac:dyDescent="0.2">
      <c r="F2564" s="283"/>
    </row>
    <row r="2565" spans="6:6" x14ac:dyDescent="0.2">
      <c r="F2565" s="283"/>
    </row>
    <row r="2566" spans="6:6" x14ac:dyDescent="0.2">
      <c r="F2566" s="283"/>
    </row>
    <row r="2567" spans="6:6" x14ac:dyDescent="0.2">
      <c r="F2567" s="283"/>
    </row>
    <row r="2568" spans="6:6" x14ac:dyDescent="0.2">
      <c r="F2568" s="283"/>
    </row>
    <row r="2569" spans="6:6" x14ac:dyDescent="0.2">
      <c r="F2569" s="283"/>
    </row>
    <row r="2570" spans="6:6" x14ac:dyDescent="0.2">
      <c r="F2570" s="283"/>
    </row>
    <row r="2571" spans="6:6" x14ac:dyDescent="0.2">
      <c r="F2571" s="283"/>
    </row>
    <row r="2572" spans="6:6" x14ac:dyDescent="0.2">
      <c r="F2572" s="283"/>
    </row>
    <row r="2573" spans="6:6" x14ac:dyDescent="0.2">
      <c r="F2573" s="283"/>
    </row>
    <row r="2574" spans="6:6" x14ac:dyDescent="0.2">
      <c r="F2574" s="283"/>
    </row>
    <row r="2575" spans="6:6" x14ac:dyDescent="0.2">
      <c r="F2575" s="283"/>
    </row>
    <row r="2576" spans="6:6" x14ac:dyDescent="0.2">
      <c r="F2576" s="283"/>
    </row>
    <row r="2577" spans="6:6" x14ac:dyDescent="0.2">
      <c r="F2577" s="283"/>
    </row>
    <row r="2578" spans="6:6" x14ac:dyDescent="0.2">
      <c r="F2578" s="283"/>
    </row>
    <row r="2579" spans="6:6" x14ac:dyDescent="0.2">
      <c r="F2579" s="283"/>
    </row>
    <row r="2580" spans="6:6" x14ac:dyDescent="0.2">
      <c r="F2580" s="283"/>
    </row>
    <row r="2581" spans="6:6" x14ac:dyDescent="0.2">
      <c r="F2581" s="283"/>
    </row>
    <row r="2582" spans="6:6" x14ac:dyDescent="0.2">
      <c r="F2582" s="283"/>
    </row>
    <row r="2583" spans="6:6" x14ac:dyDescent="0.2">
      <c r="F2583" s="283"/>
    </row>
    <row r="2584" spans="6:6" x14ac:dyDescent="0.2">
      <c r="F2584" s="283"/>
    </row>
    <row r="2585" spans="6:6" x14ac:dyDescent="0.2">
      <c r="F2585" s="283"/>
    </row>
    <row r="2586" spans="6:6" x14ac:dyDescent="0.2">
      <c r="F2586" s="283"/>
    </row>
    <row r="2587" spans="6:6" x14ac:dyDescent="0.2">
      <c r="F2587" s="283"/>
    </row>
    <row r="2588" spans="6:6" x14ac:dyDescent="0.2">
      <c r="F2588" s="283"/>
    </row>
    <row r="2589" spans="6:6" x14ac:dyDescent="0.2">
      <c r="F2589" s="283"/>
    </row>
    <row r="2590" spans="6:6" x14ac:dyDescent="0.2">
      <c r="F2590" s="283"/>
    </row>
    <row r="2591" spans="6:6" x14ac:dyDescent="0.2">
      <c r="F2591" s="283"/>
    </row>
    <row r="2592" spans="6:6" x14ac:dyDescent="0.2">
      <c r="F2592" s="283"/>
    </row>
    <row r="2593" spans="6:6" x14ac:dyDescent="0.2">
      <c r="F2593" s="283"/>
    </row>
    <row r="2594" spans="6:6" x14ac:dyDescent="0.2">
      <c r="F2594" s="283"/>
    </row>
    <row r="2595" spans="6:6" x14ac:dyDescent="0.2">
      <c r="F2595" s="283"/>
    </row>
    <row r="2596" spans="6:6" x14ac:dyDescent="0.2">
      <c r="F2596" s="283"/>
    </row>
    <row r="2597" spans="6:6" x14ac:dyDescent="0.2">
      <c r="F2597" s="283"/>
    </row>
    <row r="2598" spans="6:6" x14ac:dyDescent="0.2">
      <c r="F2598" s="283"/>
    </row>
    <row r="2599" spans="6:6" x14ac:dyDescent="0.2">
      <c r="F2599" s="283"/>
    </row>
    <row r="2600" spans="6:6" x14ac:dyDescent="0.2">
      <c r="F2600" s="283"/>
    </row>
    <row r="2601" spans="6:6" x14ac:dyDescent="0.2">
      <c r="F2601" s="283"/>
    </row>
    <row r="2602" spans="6:6" x14ac:dyDescent="0.2">
      <c r="F2602" s="283"/>
    </row>
    <row r="2603" spans="6:6" x14ac:dyDescent="0.2">
      <c r="F2603" s="283"/>
    </row>
    <row r="2604" spans="6:6" x14ac:dyDescent="0.2">
      <c r="F2604" s="283"/>
    </row>
    <row r="2605" spans="6:6" x14ac:dyDescent="0.2">
      <c r="F2605" s="283"/>
    </row>
    <row r="2606" spans="6:6" x14ac:dyDescent="0.2">
      <c r="F2606" s="283"/>
    </row>
    <row r="2607" spans="6:6" x14ac:dyDescent="0.2">
      <c r="F2607" s="283"/>
    </row>
    <row r="2608" spans="6:6" x14ac:dyDescent="0.2">
      <c r="F2608" s="283"/>
    </row>
    <row r="2609" spans="6:6" x14ac:dyDescent="0.2">
      <c r="F2609" s="283"/>
    </row>
    <row r="2610" spans="6:6" x14ac:dyDescent="0.2">
      <c r="F2610" s="283"/>
    </row>
    <row r="2611" spans="6:6" x14ac:dyDescent="0.2">
      <c r="F2611" s="283"/>
    </row>
    <row r="2612" spans="6:6" x14ac:dyDescent="0.2">
      <c r="F2612" s="283"/>
    </row>
    <row r="2613" spans="6:6" x14ac:dyDescent="0.2">
      <c r="F2613" s="283"/>
    </row>
    <row r="2614" spans="6:6" x14ac:dyDescent="0.2">
      <c r="F2614" s="283"/>
    </row>
    <row r="2615" spans="6:6" x14ac:dyDescent="0.2">
      <c r="F2615" s="283"/>
    </row>
    <row r="2616" spans="6:6" x14ac:dyDescent="0.2">
      <c r="F2616" s="283"/>
    </row>
    <row r="2617" spans="6:6" x14ac:dyDescent="0.2">
      <c r="F2617" s="283"/>
    </row>
    <row r="2618" spans="6:6" x14ac:dyDescent="0.2">
      <c r="F2618" s="283"/>
    </row>
    <row r="2619" spans="6:6" x14ac:dyDescent="0.2">
      <c r="F2619" s="283"/>
    </row>
    <row r="2620" spans="6:6" x14ac:dyDescent="0.2">
      <c r="F2620" s="283"/>
    </row>
    <row r="2621" spans="6:6" x14ac:dyDescent="0.2">
      <c r="F2621" s="283"/>
    </row>
    <row r="2622" spans="6:6" x14ac:dyDescent="0.2">
      <c r="F2622" s="283"/>
    </row>
    <row r="2623" spans="6:6" x14ac:dyDescent="0.2">
      <c r="F2623" s="283"/>
    </row>
    <row r="2624" spans="6:6" x14ac:dyDescent="0.2">
      <c r="F2624" s="283"/>
    </row>
    <row r="2625" spans="6:6" x14ac:dyDescent="0.2">
      <c r="F2625" s="283"/>
    </row>
    <row r="2626" spans="6:6" x14ac:dyDescent="0.2">
      <c r="F2626" s="283"/>
    </row>
    <row r="2627" spans="6:6" x14ac:dyDescent="0.2">
      <c r="F2627" s="283"/>
    </row>
    <row r="2628" spans="6:6" x14ac:dyDescent="0.2">
      <c r="F2628" s="283"/>
    </row>
    <row r="2629" spans="6:6" x14ac:dyDescent="0.2">
      <c r="F2629" s="283"/>
    </row>
    <row r="2630" spans="6:6" x14ac:dyDescent="0.2">
      <c r="F2630" s="283"/>
    </row>
    <row r="2631" spans="6:6" x14ac:dyDescent="0.2">
      <c r="F2631" s="283"/>
    </row>
    <row r="2632" spans="6:6" x14ac:dyDescent="0.2">
      <c r="F2632" s="283"/>
    </row>
    <row r="2633" spans="6:6" x14ac:dyDescent="0.2">
      <c r="F2633" s="283"/>
    </row>
    <row r="2634" spans="6:6" x14ac:dyDescent="0.2">
      <c r="F2634" s="283"/>
    </row>
    <row r="2635" spans="6:6" x14ac:dyDescent="0.2">
      <c r="F2635" s="283"/>
    </row>
    <row r="2636" spans="6:6" x14ac:dyDescent="0.2">
      <c r="F2636" s="283"/>
    </row>
    <row r="2637" spans="6:6" x14ac:dyDescent="0.2">
      <c r="F2637" s="283"/>
    </row>
    <row r="2638" spans="6:6" x14ac:dyDescent="0.2">
      <c r="F2638" s="283"/>
    </row>
    <row r="2639" spans="6:6" x14ac:dyDescent="0.2">
      <c r="F2639" s="283"/>
    </row>
    <row r="2640" spans="6:6" x14ac:dyDescent="0.2">
      <c r="F2640" s="283"/>
    </row>
    <row r="2641" spans="6:6" x14ac:dyDescent="0.2">
      <c r="F2641" s="283"/>
    </row>
    <row r="2642" spans="6:6" x14ac:dyDescent="0.2">
      <c r="F2642" s="283"/>
    </row>
    <row r="2643" spans="6:6" x14ac:dyDescent="0.2">
      <c r="F2643" s="283"/>
    </row>
    <row r="2644" spans="6:6" x14ac:dyDescent="0.2">
      <c r="F2644" s="283"/>
    </row>
    <row r="2645" spans="6:6" x14ac:dyDescent="0.2">
      <c r="F2645" s="283"/>
    </row>
    <row r="2646" spans="6:6" x14ac:dyDescent="0.2">
      <c r="F2646" s="283"/>
    </row>
    <row r="2647" spans="6:6" x14ac:dyDescent="0.2">
      <c r="F2647" s="283"/>
    </row>
    <row r="2648" spans="6:6" x14ac:dyDescent="0.2">
      <c r="F2648" s="283"/>
    </row>
    <row r="2649" spans="6:6" x14ac:dyDescent="0.2">
      <c r="F2649" s="283"/>
    </row>
    <row r="2650" spans="6:6" x14ac:dyDescent="0.2">
      <c r="F2650" s="283"/>
    </row>
    <row r="2651" spans="6:6" x14ac:dyDescent="0.2">
      <c r="F2651" s="283"/>
    </row>
    <row r="2652" spans="6:6" x14ac:dyDescent="0.2">
      <c r="F2652" s="283"/>
    </row>
    <row r="2653" spans="6:6" x14ac:dyDescent="0.2">
      <c r="F2653" s="283"/>
    </row>
    <row r="2654" spans="6:6" x14ac:dyDescent="0.2">
      <c r="F2654" s="283"/>
    </row>
    <row r="2655" spans="6:6" x14ac:dyDescent="0.2">
      <c r="F2655" s="283"/>
    </row>
    <row r="2656" spans="6:6" x14ac:dyDescent="0.2">
      <c r="F2656" s="283"/>
    </row>
    <row r="2657" spans="6:6" x14ac:dyDescent="0.2">
      <c r="F2657" s="283"/>
    </row>
    <row r="2658" spans="6:6" x14ac:dyDescent="0.2">
      <c r="F2658" s="283"/>
    </row>
    <row r="2659" spans="6:6" x14ac:dyDescent="0.2">
      <c r="F2659" s="283"/>
    </row>
    <row r="2660" spans="6:6" x14ac:dyDescent="0.2">
      <c r="F2660" s="283"/>
    </row>
    <row r="2661" spans="6:6" x14ac:dyDescent="0.2">
      <c r="F2661" s="283"/>
    </row>
    <row r="2662" spans="6:6" x14ac:dyDescent="0.2">
      <c r="F2662" s="283"/>
    </row>
    <row r="2663" spans="6:6" x14ac:dyDescent="0.2">
      <c r="F2663" s="283"/>
    </row>
    <row r="2664" spans="6:6" x14ac:dyDescent="0.2">
      <c r="F2664" s="283"/>
    </row>
    <row r="2665" spans="6:6" x14ac:dyDescent="0.2">
      <c r="F2665" s="283"/>
    </row>
    <row r="2666" spans="6:6" x14ac:dyDescent="0.2">
      <c r="F2666" s="283"/>
    </row>
    <row r="2667" spans="6:6" x14ac:dyDescent="0.2">
      <c r="F2667" s="283"/>
    </row>
    <row r="2668" spans="6:6" x14ac:dyDescent="0.2">
      <c r="F2668" s="283"/>
    </row>
    <row r="2669" spans="6:6" x14ac:dyDescent="0.2">
      <c r="F2669" s="283"/>
    </row>
    <row r="2670" spans="6:6" x14ac:dyDescent="0.2">
      <c r="F2670" s="283"/>
    </row>
    <row r="2671" spans="6:6" x14ac:dyDescent="0.2">
      <c r="F2671" s="283"/>
    </row>
    <row r="2672" spans="6:6" x14ac:dyDescent="0.2">
      <c r="F2672" s="283"/>
    </row>
    <row r="2673" spans="6:6" x14ac:dyDescent="0.2">
      <c r="F2673" s="283"/>
    </row>
    <row r="2674" spans="6:6" x14ac:dyDescent="0.2">
      <c r="F2674" s="283"/>
    </row>
    <row r="2675" spans="6:6" x14ac:dyDescent="0.2">
      <c r="F2675" s="283"/>
    </row>
    <row r="2676" spans="6:6" x14ac:dyDescent="0.2">
      <c r="F2676" s="283"/>
    </row>
    <row r="2677" spans="6:6" x14ac:dyDescent="0.2">
      <c r="F2677" s="283"/>
    </row>
    <row r="2678" spans="6:6" x14ac:dyDescent="0.2">
      <c r="F2678" s="283"/>
    </row>
    <row r="2679" spans="6:6" x14ac:dyDescent="0.2">
      <c r="F2679" s="283"/>
    </row>
    <row r="2680" spans="6:6" x14ac:dyDescent="0.2">
      <c r="F2680" s="283"/>
    </row>
    <row r="2681" spans="6:6" x14ac:dyDescent="0.2">
      <c r="F2681" s="283"/>
    </row>
    <row r="2682" spans="6:6" x14ac:dyDescent="0.2">
      <c r="F2682" s="283"/>
    </row>
    <row r="2683" spans="6:6" x14ac:dyDescent="0.2">
      <c r="F2683" s="283"/>
    </row>
    <row r="2684" spans="6:6" x14ac:dyDescent="0.2">
      <c r="F2684" s="283"/>
    </row>
    <row r="2685" spans="6:6" x14ac:dyDescent="0.2">
      <c r="F2685" s="283"/>
    </row>
    <row r="2686" spans="6:6" x14ac:dyDescent="0.2">
      <c r="F2686" s="283"/>
    </row>
    <row r="2687" spans="6:6" x14ac:dyDescent="0.2">
      <c r="F2687" s="283"/>
    </row>
    <row r="2688" spans="6:6" x14ac:dyDescent="0.2">
      <c r="F2688" s="283"/>
    </row>
    <row r="2689" spans="6:6" x14ac:dyDescent="0.2">
      <c r="F2689" s="283"/>
    </row>
    <row r="2690" spans="6:6" x14ac:dyDescent="0.2">
      <c r="F2690" s="283"/>
    </row>
    <row r="2691" spans="6:6" x14ac:dyDescent="0.2">
      <c r="F2691" s="283"/>
    </row>
    <row r="2692" spans="6:6" x14ac:dyDescent="0.2">
      <c r="F2692" s="283"/>
    </row>
    <row r="2693" spans="6:6" x14ac:dyDescent="0.2">
      <c r="F2693" s="283"/>
    </row>
    <row r="2694" spans="6:6" x14ac:dyDescent="0.2">
      <c r="F2694" s="283"/>
    </row>
    <row r="2695" spans="6:6" x14ac:dyDescent="0.2">
      <c r="F2695" s="283"/>
    </row>
    <row r="2696" spans="6:6" x14ac:dyDescent="0.2">
      <c r="F2696" s="283"/>
    </row>
    <row r="2697" spans="6:6" x14ac:dyDescent="0.2">
      <c r="F2697" s="283"/>
    </row>
    <row r="2698" spans="6:6" x14ac:dyDescent="0.2">
      <c r="F2698" s="283"/>
    </row>
    <row r="2699" spans="6:6" x14ac:dyDescent="0.2">
      <c r="F2699" s="283"/>
    </row>
    <row r="2700" spans="6:6" x14ac:dyDescent="0.2">
      <c r="F2700" s="283"/>
    </row>
    <row r="2701" spans="6:6" x14ac:dyDescent="0.2">
      <c r="F2701" s="283"/>
    </row>
    <row r="2702" spans="6:6" x14ac:dyDescent="0.2">
      <c r="F2702" s="283"/>
    </row>
    <row r="2703" spans="6:6" x14ac:dyDescent="0.2">
      <c r="F2703" s="283"/>
    </row>
    <row r="2704" spans="6:6" x14ac:dyDescent="0.2">
      <c r="F2704" s="283"/>
    </row>
    <row r="2705" spans="6:6" x14ac:dyDescent="0.2">
      <c r="F2705" s="283"/>
    </row>
    <row r="2706" spans="6:6" x14ac:dyDescent="0.2">
      <c r="F2706" s="283"/>
    </row>
    <row r="2707" spans="6:6" x14ac:dyDescent="0.2">
      <c r="F2707" s="283"/>
    </row>
    <row r="2708" spans="6:6" x14ac:dyDescent="0.2">
      <c r="F2708" s="283"/>
    </row>
    <row r="2709" spans="6:6" x14ac:dyDescent="0.2">
      <c r="F2709" s="283"/>
    </row>
    <row r="2710" spans="6:6" x14ac:dyDescent="0.2">
      <c r="F2710" s="283"/>
    </row>
    <row r="2711" spans="6:6" x14ac:dyDescent="0.2">
      <c r="F2711" s="283"/>
    </row>
    <row r="2712" spans="6:6" x14ac:dyDescent="0.2">
      <c r="F2712" s="283"/>
    </row>
    <row r="2713" spans="6:6" x14ac:dyDescent="0.2">
      <c r="F2713" s="283"/>
    </row>
    <row r="2714" spans="6:6" x14ac:dyDescent="0.2">
      <c r="F2714" s="283"/>
    </row>
    <row r="2715" spans="6:6" x14ac:dyDescent="0.2">
      <c r="F2715" s="283"/>
    </row>
    <row r="2716" spans="6:6" x14ac:dyDescent="0.2">
      <c r="F2716" s="283"/>
    </row>
    <row r="2717" spans="6:6" x14ac:dyDescent="0.2">
      <c r="F2717" s="283"/>
    </row>
    <row r="2718" spans="6:6" x14ac:dyDescent="0.2">
      <c r="F2718" s="283"/>
    </row>
    <row r="2719" spans="6:6" x14ac:dyDescent="0.2">
      <c r="F2719" s="283"/>
    </row>
    <row r="2720" spans="6:6" x14ac:dyDescent="0.2">
      <c r="F2720" s="283"/>
    </row>
    <row r="2721" spans="6:6" x14ac:dyDescent="0.2">
      <c r="F2721" s="283"/>
    </row>
    <row r="2722" spans="6:6" x14ac:dyDescent="0.2">
      <c r="F2722" s="283"/>
    </row>
    <row r="2723" spans="6:6" x14ac:dyDescent="0.2">
      <c r="F2723" s="283"/>
    </row>
    <row r="2724" spans="6:6" x14ac:dyDescent="0.2">
      <c r="F2724" s="283"/>
    </row>
    <row r="2725" spans="6:6" x14ac:dyDescent="0.2">
      <c r="F2725" s="283"/>
    </row>
    <row r="2726" spans="6:6" x14ac:dyDescent="0.2">
      <c r="F2726" s="283"/>
    </row>
    <row r="2727" spans="6:6" x14ac:dyDescent="0.2">
      <c r="F2727" s="283"/>
    </row>
    <row r="2728" spans="6:6" x14ac:dyDescent="0.2">
      <c r="F2728" s="283"/>
    </row>
    <row r="2729" spans="6:6" x14ac:dyDescent="0.2">
      <c r="F2729" s="283"/>
    </row>
    <row r="2730" spans="6:6" x14ac:dyDescent="0.2">
      <c r="F2730" s="283"/>
    </row>
    <row r="2731" spans="6:6" x14ac:dyDescent="0.2">
      <c r="F2731" s="283"/>
    </row>
    <row r="2732" spans="6:6" x14ac:dyDescent="0.2">
      <c r="F2732" s="283"/>
    </row>
    <row r="2733" spans="6:6" x14ac:dyDescent="0.2">
      <c r="F2733" s="283"/>
    </row>
    <row r="2734" spans="6:6" x14ac:dyDescent="0.2">
      <c r="F2734" s="283"/>
    </row>
    <row r="2735" spans="6:6" x14ac:dyDescent="0.2">
      <c r="F2735" s="283"/>
    </row>
    <row r="2736" spans="6:6" x14ac:dyDescent="0.2">
      <c r="F2736" s="283"/>
    </row>
    <row r="2737" spans="6:6" x14ac:dyDescent="0.2">
      <c r="F2737" s="283"/>
    </row>
    <row r="2738" spans="6:6" x14ac:dyDescent="0.2">
      <c r="F2738" s="283"/>
    </row>
    <row r="2739" spans="6:6" x14ac:dyDescent="0.2">
      <c r="F2739" s="283"/>
    </row>
    <row r="2740" spans="6:6" x14ac:dyDescent="0.2">
      <c r="F2740" s="283"/>
    </row>
    <row r="2741" spans="6:6" x14ac:dyDescent="0.2">
      <c r="F2741" s="283"/>
    </row>
    <row r="2742" spans="6:6" x14ac:dyDescent="0.2">
      <c r="F2742" s="283"/>
    </row>
    <row r="2743" spans="6:6" x14ac:dyDescent="0.2">
      <c r="F2743" s="283"/>
    </row>
    <row r="2744" spans="6:6" x14ac:dyDescent="0.2">
      <c r="F2744" s="283"/>
    </row>
    <row r="2745" spans="6:6" x14ac:dyDescent="0.2">
      <c r="F2745" s="283"/>
    </row>
    <row r="2746" spans="6:6" x14ac:dyDescent="0.2">
      <c r="F2746" s="283"/>
    </row>
    <row r="2747" spans="6:6" x14ac:dyDescent="0.2">
      <c r="F2747" s="283"/>
    </row>
    <row r="2748" spans="6:6" x14ac:dyDescent="0.2">
      <c r="F2748" s="283"/>
    </row>
    <row r="2749" spans="6:6" x14ac:dyDescent="0.2">
      <c r="F2749" s="283"/>
    </row>
    <row r="2750" spans="6:6" x14ac:dyDescent="0.2">
      <c r="F2750" s="283"/>
    </row>
    <row r="2751" spans="6:6" x14ac:dyDescent="0.2">
      <c r="F2751" s="283"/>
    </row>
    <row r="2752" spans="6:6" x14ac:dyDescent="0.2">
      <c r="F2752" s="283"/>
    </row>
    <row r="2753" spans="6:6" x14ac:dyDescent="0.2">
      <c r="F2753" s="283"/>
    </row>
    <row r="2754" spans="6:6" x14ac:dyDescent="0.2">
      <c r="F2754" s="283"/>
    </row>
    <row r="2755" spans="6:6" x14ac:dyDescent="0.2">
      <c r="F2755" s="283"/>
    </row>
    <row r="2756" spans="6:6" x14ac:dyDescent="0.2">
      <c r="F2756" s="283"/>
    </row>
    <row r="2757" spans="6:6" x14ac:dyDescent="0.2">
      <c r="F2757" s="283"/>
    </row>
    <row r="2758" spans="6:6" x14ac:dyDescent="0.2">
      <c r="F2758" s="283"/>
    </row>
    <row r="2759" spans="6:6" x14ac:dyDescent="0.2">
      <c r="F2759" s="283"/>
    </row>
    <row r="2760" spans="6:6" x14ac:dyDescent="0.2">
      <c r="F2760" s="283"/>
    </row>
    <row r="2761" spans="6:6" x14ac:dyDescent="0.2">
      <c r="F2761" s="283"/>
    </row>
    <row r="2762" spans="6:6" x14ac:dyDescent="0.2">
      <c r="F2762" s="283"/>
    </row>
    <row r="2763" spans="6:6" x14ac:dyDescent="0.2">
      <c r="F2763" s="283"/>
    </row>
    <row r="2764" spans="6:6" x14ac:dyDescent="0.2">
      <c r="F2764" s="283"/>
    </row>
    <row r="2765" spans="6:6" x14ac:dyDescent="0.2">
      <c r="F2765" s="283"/>
    </row>
    <row r="2766" spans="6:6" x14ac:dyDescent="0.2">
      <c r="F2766" s="283"/>
    </row>
    <row r="2767" spans="6:6" x14ac:dyDescent="0.2">
      <c r="F2767" s="283"/>
    </row>
    <row r="2768" spans="6:6" x14ac:dyDescent="0.2">
      <c r="F2768" s="283"/>
    </row>
    <row r="2769" spans="6:6" x14ac:dyDescent="0.2">
      <c r="F2769" s="283"/>
    </row>
    <row r="2770" spans="6:6" x14ac:dyDescent="0.2">
      <c r="F2770" s="283"/>
    </row>
    <row r="2771" spans="6:6" x14ac:dyDescent="0.2">
      <c r="F2771" s="283"/>
    </row>
    <row r="2772" spans="6:6" x14ac:dyDescent="0.2">
      <c r="F2772" s="283"/>
    </row>
    <row r="2773" spans="6:6" x14ac:dyDescent="0.2">
      <c r="F2773" s="283"/>
    </row>
    <row r="2774" spans="6:6" x14ac:dyDescent="0.2">
      <c r="F2774" s="283"/>
    </row>
    <row r="2775" spans="6:6" x14ac:dyDescent="0.2">
      <c r="F2775" s="283"/>
    </row>
    <row r="2776" spans="6:6" x14ac:dyDescent="0.2">
      <c r="F2776" s="283"/>
    </row>
    <row r="2777" spans="6:6" x14ac:dyDescent="0.2">
      <c r="F2777" s="283"/>
    </row>
    <row r="2778" spans="6:6" x14ac:dyDescent="0.2">
      <c r="F2778" s="283"/>
    </row>
    <row r="2779" spans="6:6" x14ac:dyDescent="0.2">
      <c r="F2779" s="283"/>
    </row>
    <row r="2780" spans="6:6" x14ac:dyDescent="0.2">
      <c r="F2780" s="283"/>
    </row>
    <row r="2781" spans="6:6" x14ac:dyDescent="0.2">
      <c r="F2781" s="283"/>
    </row>
    <row r="2782" spans="6:6" x14ac:dyDescent="0.2">
      <c r="F2782" s="283"/>
    </row>
    <row r="2783" spans="6:6" x14ac:dyDescent="0.2">
      <c r="F2783" s="283"/>
    </row>
    <row r="2784" spans="6:6" x14ac:dyDescent="0.2">
      <c r="F2784" s="283"/>
    </row>
    <row r="2785" spans="6:6" x14ac:dyDescent="0.2">
      <c r="F2785" s="283"/>
    </row>
    <row r="2786" spans="6:6" x14ac:dyDescent="0.2">
      <c r="F2786" s="283"/>
    </row>
    <row r="2787" spans="6:6" x14ac:dyDescent="0.2">
      <c r="F2787" s="283"/>
    </row>
    <row r="2788" spans="6:6" x14ac:dyDescent="0.2">
      <c r="F2788" s="283"/>
    </row>
    <row r="2789" spans="6:6" x14ac:dyDescent="0.2">
      <c r="F2789" s="283"/>
    </row>
    <row r="2790" spans="6:6" x14ac:dyDescent="0.2">
      <c r="F2790" s="283"/>
    </row>
    <row r="2791" spans="6:6" x14ac:dyDescent="0.2">
      <c r="F2791" s="283"/>
    </row>
    <row r="2792" spans="6:6" x14ac:dyDescent="0.2">
      <c r="F2792" s="283"/>
    </row>
    <row r="2793" spans="6:6" x14ac:dyDescent="0.2">
      <c r="F2793" s="283"/>
    </row>
    <row r="2794" spans="6:6" x14ac:dyDescent="0.2">
      <c r="F2794" s="283"/>
    </row>
    <row r="2795" spans="6:6" x14ac:dyDescent="0.2">
      <c r="F2795" s="283"/>
    </row>
    <row r="2796" spans="6:6" x14ac:dyDescent="0.2">
      <c r="F2796" s="283"/>
    </row>
    <row r="2797" spans="6:6" x14ac:dyDescent="0.2">
      <c r="F2797" s="283"/>
    </row>
    <row r="2798" spans="6:6" x14ac:dyDescent="0.2">
      <c r="F2798" s="283"/>
    </row>
    <row r="2799" spans="6:6" x14ac:dyDescent="0.2">
      <c r="F2799" s="283"/>
    </row>
    <row r="2800" spans="6:6" x14ac:dyDescent="0.2">
      <c r="F2800" s="283"/>
    </row>
    <row r="2801" spans="6:6" x14ac:dyDescent="0.2">
      <c r="F2801" s="283"/>
    </row>
    <row r="2802" spans="6:6" x14ac:dyDescent="0.2">
      <c r="F2802" s="283"/>
    </row>
    <row r="2803" spans="6:6" x14ac:dyDescent="0.2">
      <c r="F2803" s="283"/>
    </row>
    <row r="2804" spans="6:6" x14ac:dyDescent="0.2">
      <c r="F2804" s="283"/>
    </row>
    <row r="2805" spans="6:6" x14ac:dyDescent="0.2">
      <c r="F2805" s="283"/>
    </row>
    <row r="2806" spans="6:6" x14ac:dyDescent="0.2">
      <c r="F2806" s="283"/>
    </row>
    <row r="2807" spans="6:6" x14ac:dyDescent="0.2">
      <c r="F2807" s="283"/>
    </row>
    <row r="2808" spans="6:6" x14ac:dyDescent="0.2">
      <c r="F2808" s="283"/>
    </row>
    <row r="2809" spans="6:6" x14ac:dyDescent="0.2">
      <c r="F2809" s="283"/>
    </row>
    <row r="2810" spans="6:6" x14ac:dyDescent="0.2">
      <c r="F2810" s="283"/>
    </row>
    <row r="2811" spans="6:6" x14ac:dyDescent="0.2">
      <c r="F2811" s="283"/>
    </row>
    <row r="2812" spans="6:6" x14ac:dyDescent="0.2">
      <c r="F2812" s="283"/>
    </row>
    <row r="2813" spans="6:6" x14ac:dyDescent="0.2">
      <c r="F2813" s="283"/>
    </row>
    <row r="2814" spans="6:6" x14ac:dyDescent="0.2">
      <c r="F2814" s="283"/>
    </row>
    <row r="2815" spans="6:6" x14ac:dyDescent="0.2">
      <c r="F2815" s="283"/>
    </row>
    <row r="2816" spans="6:6" x14ac:dyDescent="0.2">
      <c r="F2816" s="283"/>
    </row>
    <row r="2817" spans="6:6" x14ac:dyDescent="0.2">
      <c r="F2817" s="283"/>
    </row>
    <row r="2818" spans="6:6" x14ac:dyDescent="0.2">
      <c r="F2818" s="283"/>
    </row>
    <row r="2819" spans="6:6" x14ac:dyDescent="0.2">
      <c r="F2819" s="283"/>
    </row>
    <row r="2820" spans="6:6" x14ac:dyDescent="0.2">
      <c r="F2820" s="283"/>
    </row>
    <row r="2821" spans="6:6" x14ac:dyDescent="0.2">
      <c r="F2821" s="283"/>
    </row>
    <row r="2822" spans="6:6" x14ac:dyDescent="0.2">
      <c r="F2822" s="283"/>
    </row>
    <row r="2823" spans="6:6" x14ac:dyDescent="0.2">
      <c r="F2823" s="283"/>
    </row>
    <row r="2824" spans="6:6" x14ac:dyDescent="0.2">
      <c r="F2824" s="283"/>
    </row>
    <row r="2825" spans="6:6" x14ac:dyDescent="0.2">
      <c r="F2825" s="283"/>
    </row>
    <row r="2826" spans="6:6" x14ac:dyDescent="0.2">
      <c r="F2826" s="283"/>
    </row>
    <row r="2827" spans="6:6" x14ac:dyDescent="0.2">
      <c r="F2827" s="283"/>
    </row>
    <row r="2828" spans="6:6" x14ac:dyDescent="0.2">
      <c r="F2828" s="283"/>
    </row>
    <row r="2829" spans="6:6" x14ac:dyDescent="0.2">
      <c r="F2829" s="283"/>
    </row>
    <row r="2830" spans="6:6" x14ac:dyDescent="0.2">
      <c r="F2830" s="283"/>
    </row>
    <row r="2831" spans="6:6" x14ac:dyDescent="0.2">
      <c r="F2831" s="283"/>
    </row>
    <row r="2832" spans="6:6" x14ac:dyDescent="0.2">
      <c r="F2832" s="283"/>
    </row>
    <row r="2833" spans="6:6" x14ac:dyDescent="0.2">
      <c r="F2833" s="283"/>
    </row>
    <row r="2834" spans="6:6" x14ac:dyDescent="0.2">
      <c r="F2834" s="283"/>
    </row>
    <row r="2835" spans="6:6" x14ac:dyDescent="0.2">
      <c r="F2835" s="283"/>
    </row>
    <row r="2836" spans="6:6" x14ac:dyDescent="0.2">
      <c r="F2836" s="283"/>
    </row>
    <row r="2837" spans="6:6" x14ac:dyDescent="0.2">
      <c r="F2837" s="283"/>
    </row>
    <row r="2838" spans="6:6" x14ac:dyDescent="0.2">
      <c r="F2838" s="283"/>
    </row>
    <row r="2839" spans="6:6" x14ac:dyDescent="0.2">
      <c r="F2839" s="283"/>
    </row>
    <row r="2840" spans="6:6" x14ac:dyDescent="0.2">
      <c r="F2840" s="283"/>
    </row>
    <row r="2841" spans="6:6" x14ac:dyDescent="0.2">
      <c r="F2841" s="283"/>
    </row>
    <row r="2842" spans="6:6" x14ac:dyDescent="0.2">
      <c r="F2842" s="283"/>
    </row>
    <row r="2843" spans="6:6" x14ac:dyDescent="0.2">
      <c r="F2843" s="283"/>
    </row>
    <row r="2844" spans="6:6" x14ac:dyDescent="0.2">
      <c r="F2844" s="283"/>
    </row>
    <row r="2845" spans="6:6" x14ac:dyDescent="0.2">
      <c r="F2845" s="283"/>
    </row>
    <row r="2846" spans="6:6" x14ac:dyDescent="0.2">
      <c r="F2846" s="283"/>
    </row>
    <row r="2847" spans="6:6" x14ac:dyDescent="0.2">
      <c r="F2847" s="283"/>
    </row>
    <row r="2848" spans="6:6" x14ac:dyDescent="0.2">
      <c r="F2848" s="283"/>
    </row>
    <row r="2849" spans="6:6" x14ac:dyDescent="0.2">
      <c r="F2849" s="283"/>
    </row>
    <row r="2850" spans="6:6" x14ac:dyDescent="0.2">
      <c r="F2850" s="283"/>
    </row>
    <row r="2851" spans="6:6" x14ac:dyDescent="0.2">
      <c r="F2851" s="283"/>
    </row>
    <row r="2852" spans="6:6" x14ac:dyDescent="0.2">
      <c r="F2852" s="283"/>
    </row>
    <row r="2853" spans="6:6" x14ac:dyDescent="0.2">
      <c r="F2853" s="283"/>
    </row>
    <row r="2854" spans="6:6" x14ac:dyDescent="0.2">
      <c r="F2854" s="283"/>
    </row>
    <row r="2855" spans="6:6" x14ac:dyDescent="0.2">
      <c r="F2855" s="283"/>
    </row>
    <row r="2856" spans="6:6" x14ac:dyDescent="0.2">
      <c r="F2856" s="283"/>
    </row>
    <row r="2857" spans="6:6" x14ac:dyDescent="0.2">
      <c r="F2857" s="283"/>
    </row>
    <row r="2858" spans="6:6" x14ac:dyDescent="0.2">
      <c r="F2858" s="283"/>
    </row>
    <row r="2859" spans="6:6" x14ac:dyDescent="0.2">
      <c r="F2859" s="283"/>
    </row>
    <row r="2860" spans="6:6" x14ac:dyDescent="0.2">
      <c r="F2860" s="283"/>
    </row>
    <row r="2861" spans="6:6" x14ac:dyDescent="0.2">
      <c r="F2861" s="283"/>
    </row>
    <row r="2862" spans="6:6" x14ac:dyDescent="0.2">
      <c r="F2862" s="283"/>
    </row>
    <row r="2863" spans="6:6" x14ac:dyDescent="0.2">
      <c r="F2863" s="283"/>
    </row>
    <row r="2864" spans="6:6" x14ac:dyDescent="0.2">
      <c r="F2864" s="283"/>
    </row>
    <row r="2865" spans="6:6" x14ac:dyDescent="0.2">
      <c r="F2865" s="283"/>
    </row>
    <row r="2866" spans="6:6" x14ac:dyDescent="0.2">
      <c r="F2866" s="283"/>
    </row>
    <row r="2867" spans="6:6" x14ac:dyDescent="0.2">
      <c r="F2867" s="283"/>
    </row>
    <row r="2868" spans="6:6" x14ac:dyDescent="0.2">
      <c r="F2868" s="283"/>
    </row>
    <row r="2869" spans="6:6" x14ac:dyDescent="0.2">
      <c r="F2869" s="283"/>
    </row>
    <row r="2870" spans="6:6" x14ac:dyDescent="0.2">
      <c r="F2870" s="283"/>
    </row>
    <row r="2871" spans="6:6" x14ac:dyDescent="0.2">
      <c r="F2871" s="283"/>
    </row>
    <row r="2872" spans="6:6" x14ac:dyDescent="0.2">
      <c r="F2872" s="283"/>
    </row>
    <row r="2873" spans="6:6" x14ac:dyDescent="0.2">
      <c r="F2873" s="283"/>
    </row>
    <row r="2874" spans="6:6" x14ac:dyDescent="0.2">
      <c r="F2874" s="283"/>
    </row>
    <row r="2875" spans="6:6" x14ac:dyDescent="0.2">
      <c r="F2875" s="283"/>
    </row>
    <row r="2876" spans="6:6" x14ac:dyDescent="0.2">
      <c r="F2876" s="283"/>
    </row>
    <row r="2877" spans="6:6" x14ac:dyDescent="0.2">
      <c r="F2877" s="283"/>
    </row>
    <row r="2878" spans="6:6" x14ac:dyDescent="0.2">
      <c r="F2878" s="283"/>
    </row>
    <row r="2879" spans="6:6" x14ac:dyDescent="0.2">
      <c r="F2879" s="283"/>
    </row>
    <row r="2880" spans="6:6" x14ac:dyDescent="0.2">
      <c r="F2880" s="283"/>
    </row>
    <row r="2881" spans="6:6" x14ac:dyDescent="0.2">
      <c r="F2881" s="283"/>
    </row>
    <row r="2882" spans="6:6" x14ac:dyDescent="0.2">
      <c r="F2882" s="283"/>
    </row>
    <row r="2883" spans="6:6" x14ac:dyDescent="0.2">
      <c r="F2883" s="283"/>
    </row>
    <row r="2884" spans="6:6" x14ac:dyDescent="0.2">
      <c r="F2884" s="283"/>
    </row>
    <row r="2885" spans="6:6" x14ac:dyDescent="0.2">
      <c r="F2885" s="283"/>
    </row>
    <row r="2886" spans="6:6" x14ac:dyDescent="0.2">
      <c r="F2886" s="283"/>
    </row>
    <row r="2887" spans="6:6" x14ac:dyDescent="0.2">
      <c r="F2887" s="283"/>
    </row>
    <row r="2888" spans="6:6" x14ac:dyDescent="0.2">
      <c r="F2888" s="283"/>
    </row>
    <row r="2889" spans="6:6" x14ac:dyDescent="0.2">
      <c r="F2889" s="283"/>
    </row>
    <row r="2890" spans="6:6" x14ac:dyDescent="0.2">
      <c r="F2890" s="283"/>
    </row>
    <row r="2891" spans="6:6" x14ac:dyDescent="0.2">
      <c r="F2891" s="283"/>
    </row>
    <row r="2892" spans="6:6" x14ac:dyDescent="0.2">
      <c r="F2892" s="283"/>
    </row>
    <row r="2893" spans="6:6" x14ac:dyDescent="0.2">
      <c r="F2893" s="283"/>
    </row>
    <row r="2894" spans="6:6" x14ac:dyDescent="0.2">
      <c r="F2894" s="283"/>
    </row>
    <row r="2895" spans="6:6" x14ac:dyDescent="0.2">
      <c r="F2895" s="283"/>
    </row>
    <row r="2896" spans="6:6" x14ac:dyDescent="0.2">
      <c r="F2896" s="283"/>
    </row>
    <row r="2897" spans="6:6" x14ac:dyDescent="0.2">
      <c r="F2897" s="283"/>
    </row>
    <row r="2898" spans="6:6" x14ac:dyDescent="0.2">
      <c r="F2898" s="283"/>
    </row>
    <row r="2899" spans="6:6" x14ac:dyDescent="0.2">
      <c r="F2899" s="283"/>
    </row>
    <row r="2900" spans="6:6" x14ac:dyDescent="0.2">
      <c r="F2900" s="283"/>
    </row>
    <row r="2901" spans="6:6" x14ac:dyDescent="0.2">
      <c r="F2901" s="283"/>
    </row>
    <row r="2902" spans="6:6" x14ac:dyDescent="0.2">
      <c r="F2902" s="283"/>
    </row>
    <row r="2903" spans="6:6" x14ac:dyDescent="0.2">
      <c r="F2903" s="283"/>
    </row>
    <row r="2904" spans="6:6" x14ac:dyDescent="0.2">
      <c r="F2904" s="283"/>
    </row>
    <row r="2905" spans="6:6" x14ac:dyDescent="0.2">
      <c r="F2905" s="283"/>
    </row>
    <row r="2906" spans="6:6" x14ac:dyDescent="0.2">
      <c r="F2906" s="283"/>
    </row>
    <row r="2907" spans="6:6" x14ac:dyDescent="0.2">
      <c r="F2907" s="283"/>
    </row>
    <row r="2908" spans="6:6" x14ac:dyDescent="0.2">
      <c r="F2908" s="283"/>
    </row>
    <row r="2909" spans="6:6" x14ac:dyDescent="0.2">
      <c r="F2909" s="283"/>
    </row>
    <row r="2910" spans="6:6" x14ac:dyDescent="0.2">
      <c r="F2910" s="283"/>
    </row>
    <row r="2911" spans="6:6" x14ac:dyDescent="0.2">
      <c r="F2911" s="283"/>
    </row>
    <row r="2912" spans="6:6" x14ac:dyDescent="0.2">
      <c r="F2912" s="283"/>
    </row>
    <row r="2913" spans="6:6" x14ac:dyDescent="0.2">
      <c r="F2913" s="283"/>
    </row>
    <row r="2914" spans="6:6" x14ac:dyDescent="0.2">
      <c r="F2914" s="283"/>
    </row>
    <row r="2915" spans="6:6" x14ac:dyDescent="0.2">
      <c r="F2915" s="283"/>
    </row>
    <row r="2916" spans="6:6" x14ac:dyDescent="0.2">
      <c r="F2916" s="283"/>
    </row>
    <row r="2917" spans="6:6" x14ac:dyDescent="0.2">
      <c r="F2917" s="283"/>
    </row>
    <row r="2918" spans="6:6" x14ac:dyDescent="0.2">
      <c r="F2918" s="283"/>
    </row>
    <row r="2919" spans="6:6" x14ac:dyDescent="0.2">
      <c r="F2919" s="283"/>
    </row>
    <row r="2920" spans="6:6" x14ac:dyDescent="0.2">
      <c r="F2920" s="283"/>
    </row>
    <row r="2921" spans="6:6" x14ac:dyDescent="0.2">
      <c r="F2921" s="283"/>
    </row>
    <row r="2922" spans="6:6" x14ac:dyDescent="0.2">
      <c r="F2922" s="283"/>
    </row>
    <row r="2923" spans="6:6" x14ac:dyDescent="0.2">
      <c r="F2923" s="283"/>
    </row>
    <row r="2924" spans="6:6" x14ac:dyDescent="0.2">
      <c r="F2924" s="283"/>
    </row>
    <row r="2925" spans="6:6" x14ac:dyDescent="0.2">
      <c r="F2925" s="283"/>
    </row>
    <row r="2926" spans="6:6" x14ac:dyDescent="0.2">
      <c r="F2926" s="283"/>
    </row>
    <row r="2927" spans="6:6" x14ac:dyDescent="0.2">
      <c r="F2927" s="283"/>
    </row>
    <row r="2928" spans="6:6" x14ac:dyDescent="0.2">
      <c r="F2928" s="283"/>
    </row>
    <row r="2929" spans="6:6" x14ac:dyDescent="0.2">
      <c r="F2929" s="283"/>
    </row>
    <row r="2930" spans="6:6" x14ac:dyDescent="0.2">
      <c r="F2930" s="283"/>
    </row>
    <row r="2931" spans="6:6" x14ac:dyDescent="0.2">
      <c r="F2931" s="283"/>
    </row>
    <row r="2932" spans="6:6" x14ac:dyDescent="0.2">
      <c r="F2932" s="283"/>
    </row>
    <row r="2933" spans="6:6" x14ac:dyDescent="0.2">
      <c r="F2933" s="283"/>
    </row>
    <row r="2934" spans="6:6" x14ac:dyDescent="0.2">
      <c r="F2934" s="283"/>
    </row>
    <row r="2935" spans="6:6" x14ac:dyDescent="0.2">
      <c r="F2935" s="283"/>
    </row>
    <row r="2936" spans="6:6" x14ac:dyDescent="0.2">
      <c r="F2936" s="283"/>
    </row>
    <row r="2937" spans="6:6" x14ac:dyDescent="0.2">
      <c r="F2937" s="283"/>
    </row>
    <row r="2938" spans="6:6" x14ac:dyDescent="0.2">
      <c r="F2938" s="283"/>
    </row>
    <row r="2939" spans="6:6" x14ac:dyDescent="0.2">
      <c r="F2939" s="283"/>
    </row>
    <row r="2940" spans="6:6" x14ac:dyDescent="0.2">
      <c r="F2940" s="283"/>
    </row>
    <row r="2941" spans="6:6" x14ac:dyDescent="0.2">
      <c r="F2941" s="283"/>
    </row>
    <row r="2942" spans="6:6" x14ac:dyDescent="0.2">
      <c r="F2942" s="283"/>
    </row>
    <row r="2943" spans="6:6" x14ac:dyDescent="0.2">
      <c r="F2943" s="283"/>
    </row>
    <row r="2944" spans="6:6" x14ac:dyDescent="0.2">
      <c r="F2944" s="283"/>
    </row>
    <row r="2945" spans="6:6" x14ac:dyDescent="0.2">
      <c r="F2945" s="283"/>
    </row>
    <row r="2946" spans="6:6" x14ac:dyDescent="0.2">
      <c r="F2946" s="283"/>
    </row>
    <row r="2947" spans="6:6" x14ac:dyDescent="0.2">
      <c r="F2947" s="283"/>
    </row>
    <row r="2948" spans="6:6" x14ac:dyDescent="0.2">
      <c r="F2948" s="283"/>
    </row>
    <row r="2949" spans="6:6" x14ac:dyDescent="0.2">
      <c r="F2949" s="283"/>
    </row>
    <row r="2950" spans="6:6" x14ac:dyDescent="0.2">
      <c r="F2950" s="283"/>
    </row>
    <row r="2951" spans="6:6" x14ac:dyDescent="0.2">
      <c r="F2951" s="283"/>
    </row>
    <row r="2952" spans="6:6" x14ac:dyDescent="0.2">
      <c r="F2952" s="283"/>
    </row>
    <row r="2953" spans="6:6" x14ac:dyDescent="0.2">
      <c r="F2953" s="283"/>
    </row>
    <row r="2954" spans="6:6" x14ac:dyDescent="0.2">
      <c r="F2954" s="283"/>
    </row>
    <row r="2955" spans="6:6" x14ac:dyDescent="0.2">
      <c r="F2955" s="283"/>
    </row>
    <row r="2956" spans="6:6" x14ac:dyDescent="0.2">
      <c r="F2956" s="283"/>
    </row>
    <row r="2957" spans="6:6" x14ac:dyDescent="0.2">
      <c r="F2957" s="283"/>
    </row>
    <row r="2958" spans="6:6" x14ac:dyDescent="0.2">
      <c r="F2958" s="283"/>
    </row>
    <row r="2959" spans="6:6" x14ac:dyDescent="0.2">
      <c r="F2959" s="283"/>
    </row>
    <row r="2960" spans="6:6" x14ac:dyDescent="0.2">
      <c r="F2960" s="283"/>
    </row>
    <row r="2961" spans="6:6" x14ac:dyDescent="0.2">
      <c r="F2961" s="283"/>
    </row>
    <row r="2962" spans="6:6" x14ac:dyDescent="0.2">
      <c r="F2962" s="283"/>
    </row>
    <row r="2963" spans="6:6" x14ac:dyDescent="0.2">
      <c r="F2963" s="283"/>
    </row>
    <row r="2964" spans="6:6" x14ac:dyDescent="0.2">
      <c r="F2964" s="283"/>
    </row>
    <row r="2965" spans="6:6" x14ac:dyDescent="0.2">
      <c r="F2965" s="283"/>
    </row>
    <row r="2966" spans="6:6" x14ac:dyDescent="0.2">
      <c r="F2966" s="283"/>
    </row>
    <row r="2967" spans="6:6" x14ac:dyDescent="0.2">
      <c r="F2967" s="283"/>
    </row>
    <row r="2968" spans="6:6" x14ac:dyDescent="0.2">
      <c r="F2968" s="283"/>
    </row>
    <row r="2969" spans="6:6" x14ac:dyDescent="0.2">
      <c r="F2969" s="283"/>
    </row>
    <row r="2970" spans="6:6" x14ac:dyDescent="0.2">
      <c r="F2970" s="283"/>
    </row>
    <row r="2971" spans="6:6" x14ac:dyDescent="0.2">
      <c r="F2971" s="283"/>
    </row>
    <row r="2972" spans="6:6" x14ac:dyDescent="0.2">
      <c r="F2972" s="283"/>
    </row>
    <row r="2973" spans="6:6" x14ac:dyDescent="0.2">
      <c r="F2973" s="283"/>
    </row>
    <row r="2974" spans="6:6" x14ac:dyDescent="0.2">
      <c r="F2974" s="283"/>
    </row>
    <row r="2975" spans="6:6" x14ac:dyDescent="0.2">
      <c r="F2975" s="283"/>
    </row>
    <row r="2976" spans="6:6" x14ac:dyDescent="0.2">
      <c r="F2976" s="283"/>
    </row>
    <row r="2977" spans="6:6" x14ac:dyDescent="0.2">
      <c r="F2977" s="283"/>
    </row>
    <row r="2978" spans="6:6" x14ac:dyDescent="0.2">
      <c r="F2978" s="283"/>
    </row>
    <row r="2979" spans="6:6" x14ac:dyDescent="0.2">
      <c r="F2979" s="283"/>
    </row>
    <row r="2980" spans="6:6" x14ac:dyDescent="0.2">
      <c r="F2980" s="283"/>
    </row>
    <row r="2981" spans="6:6" x14ac:dyDescent="0.2">
      <c r="F2981" s="283"/>
    </row>
    <row r="2982" spans="6:6" x14ac:dyDescent="0.2">
      <c r="F2982" s="283"/>
    </row>
    <row r="2983" spans="6:6" x14ac:dyDescent="0.2">
      <c r="F2983" s="283"/>
    </row>
    <row r="2984" spans="6:6" x14ac:dyDescent="0.2">
      <c r="F2984" s="283"/>
    </row>
    <row r="2985" spans="6:6" x14ac:dyDescent="0.2">
      <c r="F2985" s="283"/>
    </row>
    <row r="2986" spans="6:6" x14ac:dyDescent="0.2">
      <c r="F2986" s="283"/>
    </row>
    <row r="2987" spans="6:6" x14ac:dyDescent="0.2">
      <c r="F2987" s="283"/>
    </row>
    <row r="2988" spans="6:6" x14ac:dyDescent="0.2">
      <c r="F2988" s="283"/>
    </row>
    <row r="2989" spans="6:6" x14ac:dyDescent="0.2">
      <c r="F2989" s="283"/>
    </row>
    <row r="2990" spans="6:6" x14ac:dyDescent="0.2">
      <c r="F2990" s="283"/>
    </row>
    <row r="2991" spans="6:6" x14ac:dyDescent="0.2">
      <c r="F2991" s="283"/>
    </row>
    <row r="2992" spans="6:6" x14ac:dyDescent="0.2">
      <c r="F2992" s="283"/>
    </row>
    <row r="2993" spans="6:6" x14ac:dyDescent="0.2">
      <c r="F2993" s="283"/>
    </row>
    <row r="2994" spans="6:6" x14ac:dyDescent="0.2">
      <c r="F2994" s="283"/>
    </row>
    <row r="2995" spans="6:6" x14ac:dyDescent="0.2">
      <c r="F2995" s="283"/>
    </row>
    <row r="2996" spans="6:6" x14ac:dyDescent="0.2">
      <c r="F2996" s="283"/>
    </row>
    <row r="2997" spans="6:6" x14ac:dyDescent="0.2">
      <c r="F2997" s="283"/>
    </row>
    <row r="2998" spans="6:6" x14ac:dyDescent="0.2">
      <c r="F2998" s="283"/>
    </row>
    <row r="2999" spans="6:6" x14ac:dyDescent="0.2">
      <c r="F2999" s="283"/>
    </row>
    <row r="3000" spans="6:6" x14ac:dyDescent="0.2">
      <c r="F3000" s="283"/>
    </row>
    <row r="3001" spans="6:6" x14ac:dyDescent="0.2">
      <c r="F3001" s="283"/>
    </row>
    <row r="3002" spans="6:6" x14ac:dyDescent="0.2">
      <c r="F3002" s="283"/>
    </row>
    <row r="3003" spans="6:6" x14ac:dyDescent="0.2">
      <c r="F3003" s="283"/>
    </row>
    <row r="3004" spans="6:6" x14ac:dyDescent="0.2">
      <c r="F3004" s="283"/>
    </row>
    <row r="3005" spans="6:6" x14ac:dyDescent="0.2">
      <c r="F3005" s="283"/>
    </row>
    <row r="3006" spans="6:6" x14ac:dyDescent="0.2">
      <c r="F3006" s="283"/>
    </row>
    <row r="3007" spans="6:6" x14ac:dyDescent="0.2">
      <c r="F3007" s="283"/>
    </row>
    <row r="3008" spans="6:6" x14ac:dyDescent="0.2">
      <c r="F3008" s="283"/>
    </row>
    <row r="3009" spans="6:6" x14ac:dyDescent="0.2">
      <c r="F3009" s="283"/>
    </row>
    <row r="3010" spans="6:6" x14ac:dyDescent="0.2">
      <c r="F3010" s="283"/>
    </row>
    <row r="3011" spans="6:6" x14ac:dyDescent="0.2">
      <c r="F3011" s="283"/>
    </row>
    <row r="3012" spans="6:6" x14ac:dyDescent="0.2">
      <c r="F3012" s="283"/>
    </row>
    <row r="3013" spans="6:6" x14ac:dyDescent="0.2">
      <c r="F3013" s="283"/>
    </row>
    <row r="3014" spans="6:6" x14ac:dyDescent="0.2">
      <c r="F3014" s="283"/>
    </row>
    <row r="3015" spans="6:6" x14ac:dyDescent="0.2">
      <c r="F3015" s="283"/>
    </row>
    <row r="3016" spans="6:6" x14ac:dyDescent="0.2">
      <c r="F3016" s="283"/>
    </row>
    <row r="3017" spans="6:6" x14ac:dyDescent="0.2">
      <c r="F3017" s="283"/>
    </row>
    <row r="3018" spans="6:6" x14ac:dyDescent="0.2">
      <c r="F3018" s="283"/>
    </row>
    <row r="3019" spans="6:6" x14ac:dyDescent="0.2">
      <c r="F3019" s="283"/>
    </row>
    <row r="3020" spans="6:6" x14ac:dyDescent="0.2">
      <c r="F3020" s="283"/>
    </row>
    <row r="3021" spans="6:6" x14ac:dyDescent="0.2">
      <c r="F3021" s="283"/>
    </row>
    <row r="3022" spans="6:6" x14ac:dyDescent="0.2">
      <c r="F3022" s="283"/>
    </row>
    <row r="3023" spans="6:6" x14ac:dyDescent="0.2">
      <c r="F3023" s="283"/>
    </row>
    <row r="3024" spans="6:6" x14ac:dyDescent="0.2">
      <c r="F3024" s="283"/>
    </row>
    <row r="3025" spans="6:6" x14ac:dyDescent="0.2">
      <c r="F3025" s="283"/>
    </row>
    <row r="3026" spans="6:6" x14ac:dyDescent="0.2">
      <c r="F3026" s="283"/>
    </row>
    <row r="3027" spans="6:6" x14ac:dyDescent="0.2">
      <c r="F3027" s="283"/>
    </row>
    <row r="3028" spans="6:6" x14ac:dyDescent="0.2">
      <c r="F3028" s="283"/>
    </row>
    <row r="3029" spans="6:6" x14ac:dyDescent="0.2">
      <c r="F3029" s="283"/>
    </row>
    <row r="3030" spans="6:6" x14ac:dyDescent="0.2">
      <c r="F3030" s="283"/>
    </row>
    <row r="3031" spans="6:6" x14ac:dyDescent="0.2">
      <c r="F3031" s="283"/>
    </row>
    <row r="3032" spans="6:6" x14ac:dyDescent="0.2">
      <c r="F3032" s="283"/>
    </row>
    <row r="3033" spans="6:6" x14ac:dyDescent="0.2">
      <c r="F3033" s="283"/>
    </row>
    <row r="3034" spans="6:6" x14ac:dyDescent="0.2">
      <c r="F3034" s="283"/>
    </row>
    <row r="3035" spans="6:6" x14ac:dyDescent="0.2">
      <c r="F3035" s="283"/>
    </row>
    <row r="3036" spans="6:6" x14ac:dyDescent="0.2">
      <c r="F3036" s="283"/>
    </row>
    <row r="3037" spans="6:6" x14ac:dyDescent="0.2">
      <c r="F3037" s="283"/>
    </row>
    <row r="3038" spans="6:6" x14ac:dyDescent="0.2">
      <c r="F3038" s="283"/>
    </row>
    <row r="3039" spans="6:6" x14ac:dyDescent="0.2">
      <c r="F3039" s="283"/>
    </row>
    <row r="3040" spans="6:6" x14ac:dyDescent="0.2">
      <c r="F3040" s="283"/>
    </row>
    <row r="3041" spans="6:6" x14ac:dyDescent="0.2">
      <c r="F3041" s="283"/>
    </row>
    <row r="3042" spans="6:6" x14ac:dyDescent="0.2">
      <c r="F3042" s="283"/>
    </row>
    <row r="3043" spans="6:6" x14ac:dyDescent="0.2">
      <c r="F3043" s="283"/>
    </row>
    <row r="3044" spans="6:6" x14ac:dyDescent="0.2">
      <c r="F3044" s="283"/>
    </row>
    <row r="3045" spans="6:6" x14ac:dyDescent="0.2">
      <c r="F3045" s="283"/>
    </row>
    <row r="3046" spans="6:6" x14ac:dyDescent="0.2">
      <c r="F3046" s="283"/>
    </row>
    <row r="3047" spans="6:6" x14ac:dyDescent="0.2">
      <c r="F3047" s="283"/>
    </row>
    <row r="3048" spans="6:6" x14ac:dyDescent="0.2">
      <c r="F3048" s="283"/>
    </row>
    <row r="3049" spans="6:6" x14ac:dyDescent="0.2">
      <c r="F3049" s="283"/>
    </row>
    <row r="3050" spans="6:6" x14ac:dyDescent="0.2">
      <c r="F3050" s="283"/>
    </row>
    <row r="3051" spans="6:6" x14ac:dyDescent="0.2">
      <c r="F3051" s="283"/>
    </row>
    <row r="3052" spans="6:6" x14ac:dyDescent="0.2">
      <c r="F3052" s="283"/>
    </row>
    <row r="3053" spans="6:6" x14ac:dyDescent="0.2">
      <c r="F3053" s="283"/>
    </row>
    <row r="3054" spans="6:6" x14ac:dyDescent="0.2">
      <c r="F3054" s="283"/>
    </row>
    <row r="3055" spans="6:6" x14ac:dyDescent="0.2">
      <c r="F3055" s="283"/>
    </row>
    <row r="3056" spans="6:6" x14ac:dyDescent="0.2">
      <c r="F3056" s="283"/>
    </row>
    <row r="3057" spans="6:6" x14ac:dyDescent="0.2">
      <c r="F3057" s="283"/>
    </row>
    <row r="3058" spans="6:6" x14ac:dyDescent="0.2">
      <c r="F3058" s="283"/>
    </row>
    <row r="3059" spans="6:6" x14ac:dyDescent="0.2">
      <c r="F3059" s="283"/>
    </row>
    <row r="3060" spans="6:6" x14ac:dyDescent="0.2">
      <c r="F3060" s="283"/>
    </row>
    <row r="3061" spans="6:6" x14ac:dyDescent="0.2">
      <c r="F3061" s="283"/>
    </row>
    <row r="3062" spans="6:6" x14ac:dyDescent="0.2">
      <c r="F3062" s="283"/>
    </row>
    <row r="3063" spans="6:6" x14ac:dyDescent="0.2">
      <c r="F3063" s="283"/>
    </row>
    <row r="3064" spans="6:6" x14ac:dyDescent="0.2">
      <c r="F3064" s="283"/>
    </row>
    <row r="3065" spans="6:6" x14ac:dyDescent="0.2">
      <c r="F3065" s="283"/>
    </row>
    <row r="3066" spans="6:6" x14ac:dyDescent="0.2">
      <c r="F3066" s="283"/>
    </row>
    <row r="3067" spans="6:6" x14ac:dyDescent="0.2">
      <c r="F3067" s="283"/>
    </row>
    <row r="3068" spans="6:6" x14ac:dyDescent="0.2">
      <c r="F3068" s="283"/>
    </row>
    <row r="3069" spans="6:6" x14ac:dyDescent="0.2">
      <c r="F3069" s="283"/>
    </row>
    <row r="3070" spans="6:6" x14ac:dyDescent="0.2">
      <c r="F3070" s="283"/>
    </row>
    <row r="3071" spans="6:6" x14ac:dyDescent="0.2">
      <c r="F3071" s="283"/>
    </row>
    <row r="3072" spans="6:6" x14ac:dyDescent="0.2">
      <c r="F3072" s="283"/>
    </row>
    <row r="3073" spans="6:6" x14ac:dyDescent="0.2">
      <c r="F3073" s="283"/>
    </row>
    <row r="3074" spans="6:6" x14ac:dyDescent="0.2">
      <c r="F3074" s="283"/>
    </row>
    <row r="3075" spans="6:6" x14ac:dyDescent="0.2">
      <c r="F3075" s="283"/>
    </row>
    <row r="3076" spans="6:6" x14ac:dyDescent="0.2">
      <c r="F3076" s="283"/>
    </row>
    <row r="3077" spans="6:6" x14ac:dyDescent="0.2">
      <c r="F3077" s="283"/>
    </row>
    <row r="3078" spans="6:6" x14ac:dyDescent="0.2">
      <c r="F3078" s="283"/>
    </row>
    <row r="3079" spans="6:6" x14ac:dyDescent="0.2">
      <c r="F3079" s="283"/>
    </row>
    <row r="3080" spans="6:6" x14ac:dyDescent="0.2">
      <c r="F3080" s="283"/>
    </row>
    <row r="3081" spans="6:6" x14ac:dyDescent="0.2">
      <c r="F3081" s="283"/>
    </row>
    <row r="3082" spans="6:6" x14ac:dyDescent="0.2">
      <c r="F3082" s="283"/>
    </row>
    <row r="3083" spans="6:6" x14ac:dyDescent="0.2">
      <c r="F3083" s="283"/>
    </row>
    <row r="3084" spans="6:6" x14ac:dyDescent="0.2">
      <c r="F3084" s="283"/>
    </row>
    <row r="3085" spans="6:6" x14ac:dyDescent="0.2">
      <c r="F3085" s="283"/>
    </row>
    <row r="3086" spans="6:6" x14ac:dyDescent="0.2">
      <c r="F3086" s="283"/>
    </row>
    <row r="3087" spans="6:6" x14ac:dyDescent="0.2">
      <c r="F3087" s="283"/>
    </row>
    <row r="3088" spans="6:6" x14ac:dyDescent="0.2">
      <c r="F3088" s="283"/>
    </row>
    <row r="3089" spans="6:6" x14ac:dyDescent="0.2">
      <c r="F3089" s="283"/>
    </row>
    <row r="3090" spans="6:6" x14ac:dyDescent="0.2">
      <c r="F3090" s="283"/>
    </row>
    <row r="3091" spans="6:6" x14ac:dyDescent="0.2">
      <c r="F3091" s="283"/>
    </row>
    <row r="3092" spans="6:6" x14ac:dyDescent="0.2">
      <c r="F3092" s="283"/>
    </row>
    <row r="3093" spans="6:6" x14ac:dyDescent="0.2">
      <c r="F3093" s="283"/>
    </row>
    <row r="3094" spans="6:6" x14ac:dyDescent="0.2">
      <c r="F3094" s="283"/>
    </row>
    <row r="3095" spans="6:6" x14ac:dyDescent="0.2">
      <c r="F3095" s="283"/>
    </row>
    <row r="3096" spans="6:6" x14ac:dyDescent="0.2">
      <c r="F3096" s="283"/>
    </row>
    <row r="3097" spans="6:6" x14ac:dyDescent="0.2">
      <c r="F3097" s="283"/>
    </row>
    <row r="3098" spans="6:6" x14ac:dyDescent="0.2">
      <c r="F3098" s="283"/>
    </row>
    <row r="3099" spans="6:6" x14ac:dyDescent="0.2">
      <c r="F3099" s="283"/>
    </row>
    <row r="3100" spans="6:6" x14ac:dyDescent="0.2">
      <c r="F3100" s="283"/>
    </row>
    <row r="3101" spans="6:6" x14ac:dyDescent="0.2">
      <c r="F3101" s="283"/>
    </row>
    <row r="3102" spans="6:6" x14ac:dyDescent="0.2">
      <c r="F3102" s="283"/>
    </row>
    <row r="3103" spans="6:6" x14ac:dyDescent="0.2">
      <c r="F3103" s="283"/>
    </row>
    <row r="3104" spans="6:6" x14ac:dyDescent="0.2">
      <c r="F3104" s="283"/>
    </row>
    <row r="3105" spans="6:6" x14ac:dyDescent="0.2">
      <c r="F3105" s="283"/>
    </row>
    <row r="3106" spans="6:6" x14ac:dyDescent="0.2">
      <c r="F3106" s="283"/>
    </row>
    <row r="3107" spans="6:6" x14ac:dyDescent="0.2">
      <c r="F3107" s="283"/>
    </row>
    <row r="3108" spans="6:6" x14ac:dyDescent="0.2">
      <c r="F3108" s="283"/>
    </row>
    <row r="3109" spans="6:6" x14ac:dyDescent="0.2">
      <c r="F3109" s="283"/>
    </row>
    <row r="3110" spans="6:6" x14ac:dyDescent="0.2">
      <c r="F3110" s="283"/>
    </row>
    <row r="3111" spans="6:6" x14ac:dyDescent="0.2">
      <c r="F3111" s="283"/>
    </row>
    <row r="3112" spans="6:6" x14ac:dyDescent="0.2">
      <c r="F3112" s="283"/>
    </row>
    <row r="3113" spans="6:6" x14ac:dyDescent="0.2">
      <c r="F3113" s="283"/>
    </row>
    <row r="3114" spans="6:6" x14ac:dyDescent="0.2">
      <c r="F3114" s="283"/>
    </row>
    <row r="3115" spans="6:6" x14ac:dyDescent="0.2">
      <c r="F3115" s="283"/>
    </row>
    <row r="3116" spans="6:6" x14ac:dyDescent="0.2">
      <c r="F3116" s="283"/>
    </row>
    <row r="3117" spans="6:6" x14ac:dyDescent="0.2">
      <c r="F3117" s="283"/>
    </row>
    <row r="3118" spans="6:6" x14ac:dyDescent="0.2">
      <c r="F3118" s="283"/>
    </row>
    <row r="3119" spans="6:6" x14ac:dyDescent="0.2">
      <c r="F3119" s="283"/>
    </row>
    <row r="3120" spans="6:6" x14ac:dyDescent="0.2">
      <c r="F3120" s="283"/>
    </row>
    <row r="3121" spans="6:6" x14ac:dyDescent="0.2">
      <c r="F3121" s="283"/>
    </row>
    <row r="3122" spans="6:6" x14ac:dyDescent="0.2">
      <c r="F3122" s="283"/>
    </row>
    <row r="3123" spans="6:6" x14ac:dyDescent="0.2">
      <c r="F3123" s="283"/>
    </row>
    <row r="3124" spans="6:6" x14ac:dyDescent="0.2">
      <c r="F3124" s="283"/>
    </row>
    <row r="3125" spans="6:6" x14ac:dyDescent="0.2">
      <c r="F3125" s="283"/>
    </row>
    <row r="3126" spans="6:6" x14ac:dyDescent="0.2">
      <c r="F3126" s="283"/>
    </row>
    <row r="3127" spans="6:6" x14ac:dyDescent="0.2">
      <c r="F3127" s="283"/>
    </row>
    <row r="3128" spans="6:6" x14ac:dyDescent="0.2">
      <c r="F3128" s="283"/>
    </row>
    <row r="3129" spans="6:6" x14ac:dyDescent="0.2">
      <c r="F3129" s="283"/>
    </row>
    <row r="3130" spans="6:6" x14ac:dyDescent="0.2">
      <c r="F3130" s="283"/>
    </row>
    <row r="3131" spans="6:6" x14ac:dyDescent="0.2">
      <c r="F3131" s="283"/>
    </row>
    <row r="3132" spans="6:6" x14ac:dyDescent="0.2">
      <c r="F3132" s="283"/>
    </row>
    <row r="3133" spans="6:6" x14ac:dyDescent="0.2">
      <c r="F3133" s="283"/>
    </row>
    <row r="3134" spans="6:6" x14ac:dyDescent="0.2">
      <c r="F3134" s="283"/>
    </row>
    <row r="3135" spans="6:6" x14ac:dyDescent="0.2">
      <c r="F3135" s="283"/>
    </row>
    <row r="3136" spans="6:6" x14ac:dyDescent="0.2">
      <c r="F3136" s="283"/>
    </row>
    <row r="3137" spans="6:6" x14ac:dyDescent="0.2">
      <c r="F3137" s="283"/>
    </row>
    <row r="3138" spans="6:6" x14ac:dyDescent="0.2">
      <c r="F3138" s="283"/>
    </row>
    <row r="3139" spans="6:6" x14ac:dyDescent="0.2">
      <c r="F3139" s="283"/>
    </row>
    <row r="3140" spans="6:6" x14ac:dyDescent="0.2">
      <c r="F3140" s="283"/>
    </row>
    <row r="3141" spans="6:6" x14ac:dyDescent="0.2">
      <c r="F3141" s="283"/>
    </row>
    <row r="3142" spans="6:6" x14ac:dyDescent="0.2">
      <c r="F3142" s="283"/>
    </row>
    <row r="3143" spans="6:6" x14ac:dyDescent="0.2">
      <c r="F3143" s="283"/>
    </row>
    <row r="3144" spans="6:6" x14ac:dyDescent="0.2">
      <c r="F3144" s="283"/>
    </row>
    <row r="3145" spans="6:6" x14ac:dyDescent="0.2">
      <c r="F3145" s="283"/>
    </row>
    <row r="3146" spans="6:6" x14ac:dyDescent="0.2">
      <c r="F3146" s="283"/>
    </row>
    <row r="3147" spans="6:6" x14ac:dyDescent="0.2">
      <c r="F3147" s="283"/>
    </row>
    <row r="3148" spans="6:6" x14ac:dyDescent="0.2">
      <c r="F3148" s="283"/>
    </row>
    <row r="3149" spans="6:6" x14ac:dyDescent="0.2">
      <c r="F3149" s="283"/>
    </row>
    <row r="3150" spans="6:6" x14ac:dyDescent="0.2">
      <c r="F3150" s="283"/>
    </row>
    <row r="3151" spans="6:6" x14ac:dyDescent="0.2">
      <c r="F3151" s="283"/>
    </row>
    <row r="3152" spans="6:6" x14ac:dyDescent="0.2">
      <c r="F3152" s="283"/>
    </row>
    <row r="3153" spans="6:6" x14ac:dyDescent="0.2">
      <c r="F3153" s="283"/>
    </row>
    <row r="3154" spans="6:6" x14ac:dyDescent="0.2">
      <c r="F3154" s="283"/>
    </row>
    <row r="3155" spans="6:6" x14ac:dyDescent="0.2">
      <c r="F3155" s="283"/>
    </row>
    <row r="3156" spans="6:6" x14ac:dyDescent="0.2">
      <c r="F3156" s="283"/>
    </row>
    <row r="3157" spans="6:6" x14ac:dyDescent="0.2">
      <c r="F3157" s="283"/>
    </row>
    <row r="3158" spans="6:6" x14ac:dyDescent="0.2">
      <c r="F3158" s="283"/>
    </row>
    <row r="3159" spans="6:6" x14ac:dyDescent="0.2">
      <c r="F3159" s="283"/>
    </row>
    <row r="3160" spans="6:6" x14ac:dyDescent="0.2">
      <c r="F3160" s="283"/>
    </row>
    <row r="3161" spans="6:6" x14ac:dyDescent="0.2">
      <c r="F3161" s="283"/>
    </row>
    <row r="3162" spans="6:6" x14ac:dyDescent="0.2">
      <c r="F3162" s="283"/>
    </row>
    <row r="3163" spans="6:6" x14ac:dyDescent="0.2">
      <c r="F3163" s="283"/>
    </row>
    <row r="3164" spans="6:6" x14ac:dyDescent="0.2">
      <c r="F3164" s="283"/>
    </row>
    <row r="3165" spans="6:6" x14ac:dyDescent="0.2">
      <c r="F3165" s="283"/>
    </row>
    <row r="3166" spans="6:6" x14ac:dyDescent="0.2">
      <c r="F3166" s="283"/>
    </row>
    <row r="3167" spans="6:6" x14ac:dyDescent="0.2">
      <c r="F3167" s="283"/>
    </row>
    <row r="3168" spans="6:6" x14ac:dyDescent="0.2">
      <c r="F3168" s="283"/>
    </row>
    <row r="3169" spans="6:6" x14ac:dyDescent="0.2">
      <c r="F3169" s="283"/>
    </row>
    <row r="3170" spans="6:6" x14ac:dyDescent="0.2">
      <c r="F3170" s="283"/>
    </row>
    <row r="3171" spans="6:6" x14ac:dyDescent="0.2">
      <c r="F3171" s="283"/>
    </row>
    <row r="3172" spans="6:6" x14ac:dyDescent="0.2">
      <c r="F3172" s="283"/>
    </row>
    <row r="3173" spans="6:6" x14ac:dyDescent="0.2">
      <c r="F3173" s="283"/>
    </row>
    <row r="3174" spans="6:6" x14ac:dyDescent="0.2">
      <c r="F3174" s="283"/>
    </row>
    <row r="3175" spans="6:6" x14ac:dyDescent="0.2">
      <c r="F3175" s="283"/>
    </row>
    <row r="3176" spans="6:6" x14ac:dyDescent="0.2">
      <c r="F3176" s="283"/>
    </row>
    <row r="3177" spans="6:6" x14ac:dyDescent="0.2">
      <c r="F3177" s="283"/>
    </row>
    <row r="3178" spans="6:6" x14ac:dyDescent="0.2">
      <c r="F3178" s="283"/>
    </row>
    <row r="3179" spans="6:6" x14ac:dyDescent="0.2">
      <c r="F3179" s="283"/>
    </row>
    <row r="3180" spans="6:6" x14ac:dyDescent="0.2">
      <c r="F3180" s="283"/>
    </row>
    <row r="3181" spans="6:6" x14ac:dyDescent="0.2">
      <c r="F3181" s="283"/>
    </row>
    <row r="3182" spans="6:6" x14ac:dyDescent="0.2">
      <c r="F3182" s="283"/>
    </row>
    <row r="3183" spans="6:6" x14ac:dyDescent="0.2">
      <c r="F3183" s="283"/>
    </row>
    <row r="3184" spans="6:6" x14ac:dyDescent="0.2">
      <c r="F3184" s="283"/>
    </row>
    <row r="3185" spans="6:6" x14ac:dyDescent="0.2">
      <c r="F3185" s="283"/>
    </row>
    <row r="3186" spans="6:6" x14ac:dyDescent="0.2">
      <c r="F3186" s="283"/>
    </row>
    <row r="3187" spans="6:6" x14ac:dyDescent="0.2">
      <c r="F3187" s="283"/>
    </row>
    <row r="3188" spans="6:6" x14ac:dyDescent="0.2">
      <c r="F3188" s="283"/>
    </row>
    <row r="3189" spans="6:6" x14ac:dyDescent="0.2">
      <c r="F3189" s="283"/>
    </row>
    <row r="3190" spans="6:6" x14ac:dyDescent="0.2">
      <c r="F3190" s="283"/>
    </row>
    <row r="3191" spans="6:6" x14ac:dyDescent="0.2">
      <c r="F3191" s="283"/>
    </row>
    <row r="3192" spans="6:6" x14ac:dyDescent="0.2">
      <c r="F3192" s="283"/>
    </row>
    <row r="3193" spans="6:6" x14ac:dyDescent="0.2">
      <c r="F3193" s="283"/>
    </row>
    <row r="3194" spans="6:6" x14ac:dyDescent="0.2">
      <c r="F3194" s="283"/>
    </row>
    <row r="3195" spans="6:6" x14ac:dyDescent="0.2">
      <c r="F3195" s="283"/>
    </row>
    <row r="3196" spans="6:6" x14ac:dyDescent="0.2">
      <c r="F3196" s="283"/>
    </row>
    <row r="3197" spans="6:6" x14ac:dyDescent="0.2">
      <c r="F3197" s="283"/>
    </row>
    <row r="3198" spans="6:6" x14ac:dyDescent="0.2">
      <c r="F3198" s="283"/>
    </row>
    <row r="3199" spans="6:6" x14ac:dyDescent="0.2">
      <c r="F3199" s="283"/>
    </row>
    <row r="3200" spans="6:6" x14ac:dyDescent="0.2">
      <c r="F3200" s="283"/>
    </row>
    <row r="3201" spans="6:6" x14ac:dyDescent="0.2">
      <c r="F3201" s="283"/>
    </row>
    <row r="3202" spans="6:6" x14ac:dyDescent="0.2">
      <c r="F3202" s="283"/>
    </row>
    <row r="3203" spans="6:6" x14ac:dyDescent="0.2">
      <c r="F3203" s="283"/>
    </row>
    <row r="3204" spans="6:6" x14ac:dyDescent="0.2">
      <c r="F3204" s="283"/>
    </row>
    <row r="3205" spans="6:6" x14ac:dyDescent="0.2">
      <c r="F3205" s="283"/>
    </row>
    <row r="3206" spans="6:6" x14ac:dyDescent="0.2">
      <c r="F3206" s="283"/>
    </row>
    <row r="3207" spans="6:6" x14ac:dyDescent="0.2">
      <c r="F3207" s="283"/>
    </row>
    <row r="3208" spans="6:6" x14ac:dyDescent="0.2">
      <c r="F3208" s="283"/>
    </row>
    <row r="3209" spans="6:6" x14ac:dyDescent="0.2">
      <c r="F3209" s="283"/>
    </row>
    <row r="3210" spans="6:6" x14ac:dyDescent="0.2">
      <c r="F3210" s="283"/>
    </row>
    <row r="3211" spans="6:6" x14ac:dyDescent="0.2">
      <c r="F3211" s="283"/>
    </row>
    <row r="3212" spans="6:6" x14ac:dyDescent="0.2">
      <c r="F3212" s="283"/>
    </row>
    <row r="3213" spans="6:6" x14ac:dyDescent="0.2">
      <c r="F3213" s="283"/>
    </row>
    <row r="3214" spans="6:6" x14ac:dyDescent="0.2">
      <c r="F3214" s="283"/>
    </row>
    <row r="3215" spans="6:6" x14ac:dyDescent="0.2">
      <c r="F3215" s="283"/>
    </row>
    <row r="3216" spans="6:6" x14ac:dyDescent="0.2">
      <c r="F3216" s="283"/>
    </row>
    <row r="3217" spans="6:6" x14ac:dyDescent="0.2">
      <c r="F3217" s="283"/>
    </row>
    <row r="3218" spans="6:6" x14ac:dyDescent="0.2">
      <c r="F3218" s="283"/>
    </row>
    <row r="3219" spans="6:6" x14ac:dyDescent="0.2">
      <c r="F3219" s="283"/>
    </row>
    <row r="3220" spans="6:6" x14ac:dyDescent="0.2">
      <c r="F3220" s="283"/>
    </row>
    <row r="3221" spans="6:6" x14ac:dyDescent="0.2">
      <c r="F3221" s="283"/>
    </row>
    <row r="3222" spans="6:6" x14ac:dyDescent="0.2">
      <c r="F3222" s="283"/>
    </row>
    <row r="3223" spans="6:6" x14ac:dyDescent="0.2">
      <c r="F3223" s="283"/>
    </row>
    <row r="3224" spans="6:6" x14ac:dyDescent="0.2">
      <c r="F3224" s="283"/>
    </row>
    <row r="3225" spans="6:6" x14ac:dyDescent="0.2">
      <c r="F3225" s="283"/>
    </row>
    <row r="3226" spans="6:6" x14ac:dyDescent="0.2">
      <c r="F3226" s="283"/>
    </row>
    <row r="3227" spans="6:6" x14ac:dyDescent="0.2">
      <c r="F3227" s="283"/>
    </row>
    <row r="3228" spans="6:6" x14ac:dyDescent="0.2">
      <c r="F3228" s="283"/>
    </row>
    <row r="3229" spans="6:6" x14ac:dyDescent="0.2">
      <c r="F3229" s="283"/>
    </row>
    <row r="3230" spans="6:6" x14ac:dyDescent="0.2">
      <c r="F3230" s="283"/>
    </row>
    <row r="3231" spans="6:6" x14ac:dyDescent="0.2">
      <c r="F3231" s="283"/>
    </row>
    <row r="3232" spans="6:6" x14ac:dyDescent="0.2">
      <c r="F3232" s="283"/>
    </row>
    <row r="3233" spans="6:6" x14ac:dyDescent="0.2">
      <c r="F3233" s="283"/>
    </row>
    <row r="3234" spans="6:6" x14ac:dyDescent="0.2">
      <c r="F3234" s="283"/>
    </row>
    <row r="3235" spans="6:6" x14ac:dyDescent="0.2">
      <c r="F3235" s="283"/>
    </row>
    <row r="3236" spans="6:6" x14ac:dyDescent="0.2">
      <c r="F3236" s="283"/>
    </row>
    <row r="3237" spans="6:6" x14ac:dyDescent="0.2">
      <c r="F3237" s="283"/>
    </row>
    <row r="3238" spans="6:6" x14ac:dyDescent="0.2">
      <c r="F3238" s="283"/>
    </row>
    <row r="3239" spans="6:6" x14ac:dyDescent="0.2">
      <c r="F3239" s="283"/>
    </row>
    <row r="3240" spans="6:6" x14ac:dyDescent="0.2">
      <c r="F3240" s="283"/>
    </row>
    <row r="3241" spans="6:6" x14ac:dyDescent="0.2">
      <c r="F3241" s="283"/>
    </row>
    <row r="3242" spans="6:6" x14ac:dyDescent="0.2">
      <c r="F3242" s="283"/>
    </row>
    <row r="3243" spans="6:6" x14ac:dyDescent="0.2">
      <c r="F3243" s="283"/>
    </row>
    <row r="3244" spans="6:6" x14ac:dyDescent="0.2">
      <c r="F3244" s="283"/>
    </row>
    <row r="3245" spans="6:6" x14ac:dyDescent="0.2">
      <c r="F3245" s="283"/>
    </row>
    <row r="3246" spans="6:6" x14ac:dyDescent="0.2">
      <c r="F3246" s="283"/>
    </row>
    <row r="3247" spans="6:6" x14ac:dyDescent="0.2">
      <c r="F3247" s="283"/>
    </row>
    <row r="3248" spans="6:6" x14ac:dyDescent="0.2">
      <c r="F3248" s="283"/>
    </row>
    <row r="3249" spans="6:6" x14ac:dyDescent="0.2">
      <c r="F3249" s="283"/>
    </row>
    <row r="3250" spans="6:6" x14ac:dyDescent="0.2">
      <c r="F3250" s="283"/>
    </row>
    <row r="3251" spans="6:6" x14ac:dyDescent="0.2">
      <c r="F3251" s="283"/>
    </row>
    <row r="3252" spans="6:6" x14ac:dyDescent="0.2">
      <c r="F3252" s="283"/>
    </row>
    <row r="3253" spans="6:6" x14ac:dyDescent="0.2">
      <c r="F3253" s="283"/>
    </row>
    <row r="3254" spans="6:6" x14ac:dyDescent="0.2">
      <c r="F3254" s="283"/>
    </row>
    <row r="3255" spans="6:6" x14ac:dyDescent="0.2">
      <c r="F3255" s="283"/>
    </row>
    <row r="3256" spans="6:6" x14ac:dyDescent="0.2">
      <c r="F3256" s="283"/>
    </row>
    <row r="3257" spans="6:6" x14ac:dyDescent="0.2">
      <c r="F3257" s="283"/>
    </row>
    <row r="3258" spans="6:6" x14ac:dyDescent="0.2">
      <c r="F3258" s="283"/>
    </row>
    <row r="3259" spans="6:6" x14ac:dyDescent="0.2">
      <c r="F3259" s="283"/>
    </row>
    <row r="3260" spans="6:6" x14ac:dyDescent="0.2">
      <c r="F3260" s="283"/>
    </row>
    <row r="3261" spans="6:6" x14ac:dyDescent="0.2">
      <c r="F3261" s="283"/>
    </row>
    <row r="3262" spans="6:6" x14ac:dyDescent="0.2">
      <c r="F3262" s="283"/>
    </row>
    <row r="3263" spans="6:6" x14ac:dyDescent="0.2">
      <c r="F3263" s="283"/>
    </row>
    <row r="3264" spans="6:6" x14ac:dyDescent="0.2">
      <c r="F3264" s="283"/>
    </row>
    <row r="3265" spans="6:6" x14ac:dyDescent="0.2">
      <c r="F3265" s="283"/>
    </row>
    <row r="3266" spans="6:6" x14ac:dyDescent="0.2">
      <c r="F3266" s="283"/>
    </row>
    <row r="3267" spans="6:6" x14ac:dyDescent="0.2">
      <c r="F3267" s="283"/>
    </row>
    <row r="3268" spans="6:6" x14ac:dyDescent="0.2">
      <c r="F3268" s="283"/>
    </row>
    <row r="3269" spans="6:6" x14ac:dyDescent="0.2">
      <c r="F3269" s="283"/>
    </row>
    <row r="3270" spans="6:6" x14ac:dyDescent="0.2">
      <c r="F3270" s="283"/>
    </row>
    <row r="3271" spans="6:6" x14ac:dyDescent="0.2">
      <c r="F3271" s="283"/>
    </row>
    <row r="3272" spans="6:6" x14ac:dyDescent="0.2">
      <c r="F3272" s="283"/>
    </row>
    <row r="3273" spans="6:6" x14ac:dyDescent="0.2">
      <c r="F3273" s="283"/>
    </row>
    <row r="3274" spans="6:6" x14ac:dyDescent="0.2">
      <c r="F3274" s="283"/>
    </row>
    <row r="3275" spans="6:6" x14ac:dyDescent="0.2">
      <c r="F3275" s="283"/>
    </row>
    <row r="3276" spans="6:6" x14ac:dyDescent="0.2">
      <c r="F3276" s="283"/>
    </row>
    <row r="3277" spans="6:6" x14ac:dyDescent="0.2">
      <c r="F3277" s="283"/>
    </row>
    <row r="3278" spans="6:6" x14ac:dyDescent="0.2">
      <c r="F3278" s="283"/>
    </row>
    <row r="3279" spans="6:6" x14ac:dyDescent="0.2">
      <c r="F3279" s="283"/>
    </row>
    <row r="3280" spans="6:6" x14ac:dyDescent="0.2">
      <c r="F3280" s="283"/>
    </row>
    <row r="3281" spans="6:6" x14ac:dyDescent="0.2">
      <c r="F3281" s="283"/>
    </row>
    <row r="3282" spans="6:6" x14ac:dyDescent="0.2">
      <c r="F3282" s="283"/>
    </row>
    <row r="3283" spans="6:6" x14ac:dyDescent="0.2">
      <c r="F3283" s="283"/>
    </row>
    <row r="3284" spans="6:6" x14ac:dyDescent="0.2">
      <c r="F3284" s="283"/>
    </row>
    <row r="3285" spans="6:6" x14ac:dyDescent="0.2">
      <c r="F3285" s="283"/>
    </row>
    <row r="3286" spans="6:6" x14ac:dyDescent="0.2">
      <c r="F3286" s="283"/>
    </row>
    <row r="3287" spans="6:6" x14ac:dyDescent="0.2">
      <c r="F3287" s="283"/>
    </row>
    <row r="3288" spans="6:6" x14ac:dyDescent="0.2">
      <c r="F3288" s="283"/>
    </row>
    <row r="3289" spans="6:6" x14ac:dyDescent="0.2">
      <c r="F3289" s="283"/>
    </row>
    <row r="3290" spans="6:6" x14ac:dyDescent="0.2">
      <c r="F3290" s="283"/>
    </row>
    <row r="3291" spans="6:6" x14ac:dyDescent="0.2">
      <c r="F3291" s="283"/>
    </row>
    <row r="3292" spans="6:6" x14ac:dyDescent="0.2">
      <c r="F3292" s="283"/>
    </row>
    <row r="3293" spans="6:6" x14ac:dyDescent="0.2">
      <c r="F3293" s="283"/>
    </row>
    <row r="3294" spans="6:6" x14ac:dyDescent="0.2">
      <c r="F3294" s="283"/>
    </row>
    <row r="3295" spans="6:6" x14ac:dyDescent="0.2">
      <c r="F3295" s="283"/>
    </row>
    <row r="3296" spans="6:6" x14ac:dyDescent="0.2">
      <c r="F3296" s="283"/>
    </row>
    <row r="3297" spans="6:6" x14ac:dyDescent="0.2">
      <c r="F3297" s="283"/>
    </row>
    <row r="3298" spans="6:6" x14ac:dyDescent="0.2">
      <c r="F3298" s="283"/>
    </row>
    <row r="3299" spans="6:6" x14ac:dyDescent="0.2">
      <c r="F3299" s="283"/>
    </row>
    <row r="3300" spans="6:6" x14ac:dyDescent="0.2">
      <c r="F3300" s="283"/>
    </row>
    <row r="3301" spans="6:6" x14ac:dyDescent="0.2">
      <c r="F3301" s="283"/>
    </row>
    <row r="3302" spans="6:6" x14ac:dyDescent="0.2">
      <c r="F3302" s="283"/>
    </row>
    <row r="3303" spans="6:6" x14ac:dyDescent="0.2">
      <c r="F3303" s="283"/>
    </row>
    <row r="3304" spans="6:6" x14ac:dyDescent="0.2">
      <c r="F3304" s="283"/>
    </row>
    <row r="3305" spans="6:6" x14ac:dyDescent="0.2">
      <c r="F3305" s="283"/>
    </row>
    <row r="3306" spans="6:6" x14ac:dyDescent="0.2">
      <c r="F3306" s="283"/>
    </row>
    <row r="3307" spans="6:6" x14ac:dyDescent="0.2">
      <c r="F3307" s="283"/>
    </row>
    <row r="3308" spans="6:6" x14ac:dyDescent="0.2">
      <c r="F3308" s="283"/>
    </row>
    <row r="3309" spans="6:6" x14ac:dyDescent="0.2">
      <c r="F3309" s="283"/>
    </row>
    <row r="3310" spans="6:6" x14ac:dyDescent="0.2">
      <c r="F3310" s="283"/>
    </row>
    <row r="3311" spans="6:6" x14ac:dyDescent="0.2">
      <c r="F3311" s="283"/>
    </row>
    <row r="3312" spans="6:6" x14ac:dyDescent="0.2">
      <c r="F3312" s="283"/>
    </row>
    <row r="3313" spans="6:6" x14ac:dyDescent="0.2">
      <c r="F3313" s="283"/>
    </row>
    <row r="3314" spans="6:6" x14ac:dyDescent="0.2">
      <c r="F3314" s="283"/>
    </row>
    <row r="3315" spans="6:6" x14ac:dyDescent="0.2">
      <c r="F3315" s="283"/>
    </row>
    <row r="3316" spans="6:6" x14ac:dyDescent="0.2">
      <c r="F3316" s="283"/>
    </row>
    <row r="3317" spans="6:6" x14ac:dyDescent="0.2">
      <c r="F3317" s="283"/>
    </row>
    <row r="3318" spans="6:6" x14ac:dyDescent="0.2">
      <c r="F3318" s="283"/>
    </row>
    <row r="3319" spans="6:6" x14ac:dyDescent="0.2">
      <c r="F3319" s="283"/>
    </row>
    <row r="3320" spans="6:6" x14ac:dyDescent="0.2">
      <c r="F3320" s="283"/>
    </row>
    <row r="3321" spans="6:6" x14ac:dyDescent="0.2">
      <c r="F3321" s="283"/>
    </row>
    <row r="3322" spans="6:6" x14ac:dyDescent="0.2">
      <c r="F3322" s="283"/>
    </row>
    <row r="3323" spans="6:6" x14ac:dyDescent="0.2">
      <c r="F3323" s="283"/>
    </row>
    <row r="3324" spans="6:6" x14ac:dyDescent="0.2">
      <c r="F3324" s="283"/>
    </row>
    <row r="3325" spans="6:6" x14ac:dyDescent="0.2">
      <c r="F3325" s="283"/>
    </row>
    <row r="3326" spans="6:6" x14ac:dyDescent="0.2">
      <c r="F3326" s="283"/>
    </row>
    <row r="3327" spans="6:6" x14ac:dyDescent="0.2">
      <c r="F3327" s="283"/>
    </row>
    <row r="3328" spans="6:6" x14ac:dyDescent="0.2">
      <c r="F3328" s="283"/>
    </row>
    <row r="3329" spans="6:6" x14ac:dyDescent="0.2">
      <c r="F3329" s="283"/>
    </row>
    <row r="3330" spans="6:6" x14ac:dyDescent="0.2">
      <c r="F3330" s="283"/>
    </row>
    <row r="3331" spans="6:6" x14ac:dyDescent="0.2">
      <c r="F3331" s="283"/>
    </row>
    <row r="3332" spans="6:6" x14ac:dyDescent="0.2">
      <c r="F3332" s="283"/>
    </row>
    <row r="3333" spans="6:6" x14ac:dyDescent="0.2">
      <c r="F3333" s="283"/>
    </row>
    <row r="3334" spans="6:6" x14ac:dyDescent="0.2">
      <c r="F3334" s="283"/>
    </row>
    <row r="3335" spans="6:6" x14ac:dyDescent="0.2">
      <c r="F3335" s="283"/>
    </row>
    <row r="3336" spans="6:6" x14ac:dyDescent="0.2">
      <c r="F3336" s="283"/>
    </row>
    <row r="3337" spans="6:6" x14ac:dyDescent="0.2">
      <c r="F3337" s="283"/>
    </row>
    <row r="3338" spans="6:6" x14ac:dyDescent="0.2">
      <c r="F3338" s="283"/>
    </row>
    <row r="3339" spans="6:6" x14ac:dyDescent="0.2">
      <c r="F3339" s="283"/>
    </row>
    <row r="3340" spans="6:6" x14ac:dyDescent="0.2">
      <c r="F3340" s="283"/>
    </row>
    <row r="3341" spans="6:6" x14ac:dyDescent="0.2">
      <c r="F3341" s="283"/>
    </row>
    <row r="3342" spans="6:6" x14ac:dyDescent="0.2">
      <c r="F3342" s="283"/>
    </row>
    <row r="3343" spans="6:6" x14ac:dyDescent="0.2">
      <c r="F3343" s="283"/>
    </row>
    <row r="3344" spans="6:6" x14ac:dyDescent="0.2">
      <c r="F3344" s="283"/>
    </row>
    <row r="3345" spans="6:6" x14ac:dyDescent="0.2">
      <c r="F3345" s="283"/>
    </row>
    <row r="3346" spans="6:6" x14ac:dyDescent="0.2">
      <c r="F3346" s="283"/>
    </row>
    <row r="3347" spans="6:6" x14ac:dyDescent="0.2">
      <c r="F3347" s="283"/>
    </row>
    <row r="3348" spans="6:6" x14ac:dyDescent="0.2">
      <c r="F3348" s="283"/>
    </row>
    <row r="3349" spans="6:6" x14ac:dyDescent="0.2">
      <c r="F3349" s="283"/>
    </row>
    <row r="3350" spans="6:6" x14ac:dyDescent="0.2">
      <c r="F3350" s="283"/>
    </row>
    <row r="3351" spans="6:6" x14ac:dyDescent="0.2">
      <c r="F3351" s="283"/>
    </row>
    <row r="3352" spans="6:6" x14ac:dyDescent="0.2">
      <c r="F3352" s="283"/>
    </row>
    <row r="3353" spans="6:6" x14ac:dyDescent="0.2">
      <c r="F3353" s="283"/>
    </row>
    <row r="3354" spans="6:6" x14ac:dyDescent="0.2">
      <c r="F3354" s="283"/>
    </row>
    <row r="3355" spans="6:6" x14ac:dyDescent="0.2">
      <c r="F3355" s="283"/>
    </row>
    <row r="3356" spans="6:6" x14ac:dyDescent="0.2">
      <c r="F3356" s="283"/>
    </row>
    <row r="3357" spans="6:6" x14ac:dyDescent="0.2">
      <c r="F3357" s="283"/>
    </row>
    <row r="3358" spans="6:6" x14ac:dyDescent="0.2">
      <c r="F3358" s="283"/>
    </row>
    <row r="3359" spans="6:6" x14ac:dyDescent="0.2">
      <c r="F3359" s="283"/>
    </row>
    <row r="3360" spans="6:6" x14ac:dyDescent="0.2">
      <c r="F3360" s="283"/>
    </row>
    <row r="3361" spans="6:6" x14ac:dyDescent="0.2">
      <c r="F3361" s="283"/>
    </row>
    <row r="3362" spans="6:6" x14ac:dyDescent="0.2">
      <c r="F3362" s="283"/>
    </row>
    <row r="3363" spans="6:6" x14ac:dyDescent="0.2">
      <c r="F3363" s="283"/>
    </row>
    <row r="3364" spans="6:6" x14ac:dyDescent="0.2">
      <c r="F3364" s="283"/>
    </row>
    <row r="3365" spans="6:6" x14ac:dyDescent="0.2">
      <c r="F3365" s="283"/>
    </row>
    <row r="3366" spans="6:6" x14ac:dyDescent="0.2">
      <c r="F3366" s="283"/>
    </row>
    <row r="3367" spans="6:6" x14ac:dyDescent="0.2">
      <c r="F3367" s="283"/>
    </row>
    <row r="3368" spans="6:6" x14ac:dyDescent="0.2">
      <c r="F3368" s="283"/>
    </row>
    <row r="3369" spans="6:6" x14ac:dyDescent="0.2">
      <c r="F3369" s="283"/>
    </row>
    <row r="3370" spans="6:6" x14ac:dyDescent="0.2">
      <c r="F3370" s="283"/>
    </row>
    <row r="3371" spans="6:6" x14ac:dyDescent="0.2">
      <c r="F3371" s="283"/>
    </row>
    <row r="3372" spans="6:6" x14ac:dyDescent="0.2">
      <c r="F3372" s="283"/>
    </row>
    <row r="3373" spans="6:6" x14ac:dyDescent="0.2">
      <c r="F3373" s="283"/>
    </row>
    <row r="3374" spans="6:6" x14ac:dyDescent="0.2">
      <c r="F3374" s="283"/>
    </row>
    <row r="3375" spans="6:6" x14ac:dyDescent="0.2">
      <c r="F3375" s="283"/>
    </row>
    <row r="3376" spans="6:6" x14ac:dyDescent="0.2">
      <c r="F3376" s="283"/>
    </row>
    <row r="3377" spans="6:6" x14ac:dyDescent="0.2">
      <c r="F3377" s="283"/>
    </row>
    <row r="3378" spans="6:6" x14ac:dyDescent="0.2">
      <c r="F3378" s="283"/>
    </row>
    <row r="3379" spans="6:6" x14ac:dyDescent="0.2">
      <c r="F3379" s="283"/>
    </row>
    <row r="3380" spans="6:6" x14ac:dyDescent="0.2">
      <c r="F3380" s="283"/>
    </row>
    <row r="3381" spans="6:6" x14ac:dyDescent="0.2">
      <c r="F3381" s="283"/>
    </row>
    <row r="3382" spans="6:6" x14ac:dyDescent="0.2">
      <c r="F3382" s="283"/>
    </row>
    <row r="3383" spans="6:6" x14ac:dyDescent="0.2">
      <c r="F3383" s="283"/>
    </row>
    <row r="3384" spans="6:6" x14ac:dyDescent="0.2">
      <c r="F3384" s="283"/>
    </row>
    <row r="3385" spans="6:6" x14ac:dyDescent="0.2">
      <c r="F3385" s="283"/>
    </row>
    <row r="3386" spans="6:6" x14ac:dyDescent="0.2">
      <c r="F3386" s="283"/>
    </row>
    <row r="3387" spans="6:6" x14ac:dyDescent="0.2">
      <c r="F3387" s="283"/>
    </row>
    <row r="3388" spans="6:6" x14ac:dyDescent="0.2">
      <c r="F3388" s="283"/>
    </row>
    <row r="3389" spans="6:6" x14ac:dyDescent="0.2">
      <c r="F3389" s="283"/>
    </row>
    <row r="3390" spans="6:6" x14ac:dyDescent="0.2">
      <c r="F3390" s="283"/>
    </row>
    <row r="3391" spans="6:6" x14ac:dyDescent="0.2">
      <c r="F3391" s="283"/>
    </row>
    <row r="3392" spans="6:6" x14ac:dyDescent="0.2">
      <c r="F3392" s="283"/>
    </row>
    <row r="3393" spans="6:6" x14ac:dyDescent="0.2">
      <c r="F3393" s="283"/>
    </row>
    <row r="3394" spans="6:6" x14ac:dyDescent="0.2">
      <c r="F3394" s="283"/>
    </row>
    <row r="3395" spans="6:6" x14ac:dyDescent="0.2">
      <c r="F3395" s="283"/>
    </row>
    <row r="3396" spans="6:6" x14ac:dyDescent="0.2">
      <c r="F3396" s="283"/>
    </row>
    <row r="3397" spans="6:6" x14ac:dyDescent="0.2">
      <c r="F3397" s="283"/>
    </row>
    <row r="3398" spans="6:6" x14ac:dyDescent="0.2">
      <c r="F3398" s="283"/>
    </row>
    <row r="3399" spans="6:6" x14ac:dyDescent="0.2">
      <c r="F3399" s="283"/>
    </row>
    <row r="3400" spans="6:6" x14ac:dyDescent="0.2">
      <c r="F3400" s="283"/>
    </row>
    <row r="3401" spans="6:6" x14ac:dyDescent="0.2">
      <c r="F3401" s="283"/>
    </row>
    <row r="3402" spans="6:6" x14ac:dyDescent="0.2">
      <c r="F3402" s="283"/>
    </row>
    <row r="3403" spans="6:6" x14ac:dyDescent="0.2">
      <c r="F3403" s="283"/>
    </row>
    <row r="3404" spans="6:6" x14ac:dyDescent="0.2">
      <c r="F3404" s="283"/>
    </row>
    <row r="3405" spans="6:6" x14ac:dyDescent="0.2">
      <c r="F3405" s="283"/>
    </row>
    <row r="3406" spans="6:6" x14ac:dyDescent="0.2">
      <c r="F3406" s="283"/>
    </row>
    <row r="3407" spans="6:6" x14ac:dyDescent="0.2">
      <c r="F3407" s="283"/>
    </row>
    <row r="3408" spans="6:6" x14ac:dyDescent="0.2">
      <c r="F3408" s="283"/>
    </row>
    <row r="3409" spans="6:6" x14ac:dyDescent="0.2">
      <c r="F3409" s="283"/>
    </row>
    <row r="3410" spans="6:6" x14ac:dyDescent="0.2">
      <c r="F3410" s="283"/>
    </row>
    <row r="3411" spans="6:6" x14ac:dyDescent="0.2">
      <c r="F3411" s="283"/>
    </row>
    <row r="3412" spans="6:6" x14ac:dyDescent="0.2">
      <c r="F3412" s="283"/>
    </row>
    <row r="3413" spans="6:6" x14ac:dyDescent="0.2">
      <c r="F3413" s="283"/>
    </row>
    <row r="3414" spans="6:6" x14ac:dyDescent="0.2">
      <c r="F3414" s="283"/>
    </row>
    <row r="3415" spans="6:6" x14ac:dyDescent="0.2">
      <c r="F3415" s="283"/>
    </row>
    <row r="3416" spans="6:6" x14ac:dyDescent="0.2">
      <c r="F3416" s="283"/>
    </row>
    <row r="3417" spans="6:6" x14ac:dyDescent="0.2">
      <c r="F3417" s="283"/>
    </row>
    <row r="3418" spans="6:6" x14ac:dyDescent="0.2">
      <c r="F3418" s="283"/>
    </row>
    <row r="3419" spans="6:6" x14ac:dyDescent="0.2">
      <c r="F3419" s="283"/>
    </row>
    <row r="3420" spans="6:6" x14ac:dyDescent="0.2">
      <c r="F3420" s="283"/>
    </row>
    <row r="3421" spans="6:6" x14ac:dyDescent="0.2">
      <c r="F3421" s="283"/>
    </row>
    <row r="3422" spans="6:6" x14ac:dyDescent="0.2">
      <c r="F3422" s="283"/>
    </row>
    <row r="3423" spans="6:6" x14ac:dyDescent="0.2">
      <c r="F3423" s="283"/>
    </row>
    <row r="3424" spans="6:6" x14ac:dyDescent="0.2">
      <c r="F3424" s="283"/>
    </row>
    <row r="3425" spans="6:6" x14ac:dyDescent="0.2">
      <c r="F3425" s="283"/>
    </row>
    <row r="3426" spans="6:6" x14ac:dyDescent="0.2">
      <c r="F3426" s="283"/>
    </row>
    <row r="3427" spans="6:6" x14ac:dyDescent="0.2">
      <c r="F3427" s="283"/>
    </row>
    <row r="3428" spans="6:6" x14ac:dyDescent="0.2">
      <c r="F3428" s="283"/>
    </row>
    <row r="3429" spans="6:6" x14ac:dyDescent="0.2">
      <c r="F3429" s="283"/>
    </row>
    <row r="3430" spans="6:6" x14ac:dyDescent="0.2">
      <c r="F3430" s="283"/>
    </row>
    <row r="3431" spans="6:6" x14ac:dyDescent="0.2">
      <c r="F3431" s="283"/>
    </row>
    <row r="3432" spans="6:6" x14ac:dyDescent="0.2">
      <c r="F3432" s="283"/>
    </row>
    <row r="3433" spans="6:6" x14ac:dyDescent="0.2">
      <c r="F3433" s="283"/>
    </row>
    <row r="3434" spans="6:6" x14ac:dyDescent="0.2">
      <c r="F3434" s="283"/>
    </row>
    <row r="3435" spans="6:6" x14ac:dyDescent="0.2">
      <c r="F3435" s="283"/>
    </row>
    <row r="3436" spans="6:6" x14ac:dyDescent="0.2">
      <c r="F3436" s="283"/>
    </row>
    <row r="3437" spans="6:6" x14ac:dyDescent="0.2">
      <c r="F3437" s="283"/>
    </row>
    <row r="3438" spans="6:6" x14ac:dyDescent="0.2">
      <c r="F3438" s="283"/>
    </row>
    <row r="3439" spans="6:6" x14ac:dyDescent="0.2">
      <c r="F3439" s="283"/>
    </row>
    <row r="3440" spans="6:6" x14ac:dyDescent="0.2">
      <c r="F3440" s="283"/>
    </row>
    <row r="3441" spans="6:6" x14ac:dyDescent="0.2">
      <c r="F3441" s="283"/>
    </row>
    <row r="3442" spans="6:6" x14ac:dyDescent="0.2">
      <c r="F3442" s="283"/>
    </row>
    <row r="3443" spans="6:6" x14ac:dyDescent="0.2">
      <c r="F3443" s="283"/>
    </row>
    <row r="3444" spans="6:6" x14ac:dyDescent="0.2">
      <c r="F3444" s="283"/>
    </row>
    <row r="3445" spans="6:6" x14ac:dyDescent="0.2">
      <c r="F3445" s="283"/>
    </row>
    <row r="3446" spans="6:6" x14ac:dyDescent="0.2">
      <c r="F3446" s="283"/>
    </row>
    <row r="3447" spans="6:6" x14ac:dyDescent="0.2">
      <c r="F3447" s="283"/>
    </row>
    <row r="3448" spans="6:6" x14ac:dyDescent="0.2">
      <c r="F3448" s="283"/>
    </row>
    <row r="3449" spans="6:6" x14ac:dyDescent="0.2">
      <c r="F3449" s="283"/>
    </row>
    <row r="3450" spans="6:6" x14ac:dyDescent="0.2">
      <c r="F3450" s="283"/>
    </row>
    <row r="3451" spans="6:6" x14ac:dyDescent="0.2">
      <c r="F3451" s="283"/>
    </row>
    <row r="3452" spans="6:6" x14ac:dyDescent="0.2">
      <c r="F3452" s="283"/>
    </row>
    <row r="3453" spans="6:6" x14ac:dyDescent="0.2">
      <c r="F3453" s="283"/>
    </row>
    <row r="3454" spans="6:6" x14ac:dyDescent="0.2">
      <c r="F3454" s="283"/>
    </row>
    <row r="3455" spans="6:6" x14ac:dyDescent="0.2">
      <c r="F3455" s="283"/>
    </row>
    <row r="3456" spans="6:6" x14ac:dyDescent="0.2">
      <c r="F3456" s="283"/>
    </row>
    <row r="3457" spans="6:6" x14ac:dyDescent="0.2">
      <c r="F3457" s="283"/>
    </row>
    <row r="3458" spans="6:6" x14ac:dyDescent="0.2">
      <c r="F3458" s="283"/>
    </row>
    <row r="3459" spans="6:6" x14ac:dyDescent="0.2">
      <c r="F3459" s="283"/>
    </row>
    <row r="3460" spans="6:6" x14ac:dyDescent="0.2">
      <c r="F3460" s="283"/>
    </row>
    <row r="3461" spans="6:6" x14ac:dyDescent="0.2">
      <c r="F3461" s="283"/>
    </row>
    <row r="3462" spans="6:6" x14ac:dyDescent="0.2">
      <c r="F3462" s="283"/>
    </row>
    <row r="3463" spans="6:6" x14ac:dyDescent="0.2">
      <c r="F3463" s="283"/>
    </row>
    <row r="3464" spans="6:6" x14ac:dyDescent="0.2">
      <c r="F3464" s="283"/>
    </row>
    <row r="3465" spans="6:6" x14ac:dyDescent="0.2">
      <c r="F3465" s="283"/>
    </row>
    <row r="3466" spans="6:6" x14ac:dyDescent="0.2">
      <c r="F3466" s="283"/>
    </row>
    <row r="3467" spans="6:6" x14ac:dyDescent="0.2">
      <c r="F3467" s="283"/>
    </row>
    <row r="3468" spans="6:6" x14ac:dyDescent="0.2">
      <c r="F3468" s="283"/>
    </row>
    <row r="3469" spans="6:6" x14ac:dyDescent="0.2">
      <c r="F3469" s="283"/>
    </row>
    <row r="3470" spans="6:6" x14ac:dyDescent="0.2">
      <c r="F3470" s="283"/>
    </row>
    <row r="3471" spans="6:6" x14ac:dyDescent="0.2">
      <c r="F3471" s="283"/>
    </row>
    <row r="3472" spans="6:6" x14ac:dyDescent="0.2">
      <c r="F3472" s="283"/>
    </row>
    <row r="3473" spans="6:6" x14ac:dyDescent="0.2">
      <c r="F3473" s="283"/>
    </row>
    <row r="3474" spans="6:6" x14ac:dyDescent="0.2">
      <c r="F3474" s="283"/>
    </row>
    <row r="3475" spans="6:6" x14ac:dyDescent="0.2">
      <c r="F3475" s="283"/>
    </row>
    <row r="3476" spans="6:6" x14ac:dyDescent="0.2">
      <c r="F3476" s="283"/>
    </row>
    <row r="3477" spans="6:6" x14ac:dyDescent="0.2">
      <c r="F3477" s="283"/>
    </row>
    <row r="3478" spans="6:6" x14ac:dyDescent="0.2">
      <c r="F3478" s="283"/>
    </row>
    <row r="3479" spans="6:6" x14ac:dyDescent="0.2">
      <c r="F3479" s="283"/>
    </row>
    <row r="3480" spans="6:6" x14ac:dyDescent="0.2">
      <c r="F3480" s="283"/>
    </row>
    <row r="3481" spans="6:6" x14ac:dyDescent="0.2">
      <c r="F3481" s="283"/>
    </row>
    <row r="3482" spans="6:6" x14ac:dyDescent="0.2">
      <c r="F3482" s="283"/>
    </row>
    <row r="3483" spans="6:6" x14ac:dyDescent="0.2">
      <c r="F3483" s="283"/>
    </row>
    <row r="3484" spans="6:6" x14ac:dyDescent="0.2">
      <c r="F3484" s="283"/>
    </row>
    <row r="3485" spans="6:6" x14ac:dyDescent="0.2">
      <c r="F3485" s="283"/>
    </row>
    <row r="3486" spans="6:6" x14ac:dyDescent="0.2">
      <c r="F3486" s="283"/>
    </row>
    <row r="3487" spans="6:6" x14ac:dyDescent="0.2">
      <c r="F3487" s="283"/>
    </row>
    <row r="3488" spans="6:6" x14ac:dyDescent="0.2">
      <c r="F3488" s="283"/>
    </row>
    <row r="3489" spans="6:6" x14ac:dyDescent="0.2">
      <c r="F3489" s="283"/>
    </row>
    <row r="3490" spans="6:6" x14ac:dyDescent="0.2">
      <c r="F3490" s="283"/>
    </row>
    <row r="3491" spans="6:6" x14ac:dyDescent="0.2">
      <c r="F3491" s="283"/>
    </row>
    <row r="3492" spans="6:6" x14ac:dyDescent="0.2">
      <c r="F3492" s="283"/>
    </row>
    <row r="3493" spans="6:6" x14ac:dyDescent="0.2">
      <c r="F3493" s="283"/>
    </row>
    <row r="3494" spans="6:6" x14ac:dyDescent="0.2">
      <c r="F3494" s="283"/>
    </row>
    <row r="3495" spans="6:6" x14ac:dyDescent="0.2">
      <c r="F3495" s="283"/>
    </row>
    <row r="3496" spans="6:6" x14ac:dyDescent="0.2">
      <c r="F3496" s="283"/>
    </row>
    <row r="3497" spans="6:6" x14ac:dyDescent="0.2">
      <c r="F3497" s="283"/>
    </row>
    <row r="3498" spans="6:6" x14ac:dyDescent="0.2">
      <c r="F3498" s="283"/>
    </row>
    <row r="3499" spans="6:6" x14ac:dyDescent="0.2">
      <c r="F3499" s="283"/>
    </row>
    <row r="3500" spans="6:6" x14ac:dyDescent="0.2">
      <c r="F3500" s="283"/>
    </row>
    <row r="3501" spans="6:6" x14ac:dyDescent="0.2">
      <c r="F3501" s="283"/>
    </row>
    <row r="3502" spans="6:6" x14ac:dyDescent="0.2">
      <c r="F3502" s="283"/>
    </row>
    <row r="3503" spans="6:6" x14ac:dyDescent="0.2">
      <c r="F3503" s="283"/>
    </row>
    <row r="3504" spans="6:6" x14ac:dyDescent="0.2">
      <c r="F3504" s="283"/>
    </row>
    <row r="3505" spans="6:6" x14ac:dyDescent="0.2">
      <c r="F3505" s="283"/>
    </row>
    <row r="3506" spans="6:6" x14ac:dyDescent="0.2">
      <c r="F3506" s="283"/>
    </row>
    <row r="3507" spans="6:6" x14ac:dyDescent="0.2">
      <c r="F3507" s="283"/>
    </row>
    <row r="3508" spans="6:6" x14ac:dyDescent="0.2">
      <c r="F3508" s="283"/>
    </row>
    <row r="3509" spans="6:6" x14ac:dyDescent="0.2">
      <c r="F3509" s="283"/>
    </row>
    <row r="3510" spans="6:6" x14ac:dyDescent="0.2">
      <c r="F3510" s="283"/>
    </row>
    <row r="3511" spans="6:6" x14ac:dyDescent="0.2">
      <c r="F3511" s="283"/>
    </row>
    <row r="3512" spans="6:6" x14ac:dyDescent="0.2">
      <c r="F3512" s="283"/>
    </row>
    <row r="3513" spans="6:6" x14ac:dyDescent="0.2">
      <c r="F3513" s="283"/>
    </row>
    <row r="3514" spans="6:6" x14ac:dyDescent="0.2">
      <c r="F3514" s="283"/>
    </row>
    <row r="3515" spans="6:6" x14ac:dyDescent="0.2">
      <c r="F3515" s="283"/>
    </row>
    <row r="3516" spans="6:6" x14ac:dyDescent="0.2">
      <c r="F3516" s="283"/>
    </row>
    <row r="3517" spans="6:6" x14ac:dyDescent="0.2">
      <c r="F3517" s="283"/>
    </row>
    <row r="3518" spans="6:6" x14ac:dyDescent="0.2">
      <c r="F3518" s="283"/>
    </row>
    <row r="3519" spans="6:6" x14ac:dyDescent="0.2">
      <c r="F3519" s="283"/>
    </row>
    <row r="3520" spans="6:6" x14ac:dyDescent="0.2">
      <c r="F3520" s="283"/>
    </row>
    <row r="3521" spans="6:6" x14ac:dyDescent="0.2">
      <c r="F3521" s="283"/>
    </row>
    <row r="3522" spans="6:6" x14ac:dyDescent="0.2">
      <c r="F3522" s="283"/>
    </row>
    <row r="3523" spans="6:6" x14ac:dyDescent="0.2">
      <c r="F3523" s="283"/>
    </row>
    <row r="3524" spans="6:6" x14ac:dyDescent="0.2">
      <c r="F3524" s="283"/>
    </row>
    <row r="3525" spans="6:6" x14ac:dyDescent="0.2">
      <c r="F3525" s="283"/>
    </row>
    <row r="3526" spans="6:6" x14ac:dyDescent="0.2">
      <c r="F3526" s="283"/>
    </row>
    <row r="3527" spans="6:6" x14ac:dyDescent="0.2">
      <c r="F3527" s="283"/>
    </row>
    <row r="3528" spans="6:6" x14ac:dyDescent="0.2">
      <c r="F3528" s="283"/>
    </row>
    <row r="3529" spans="6:6" x14ac:dyDescent="0.2">
      <c r="F3529" s="283"/>
    </row>
    <row r="3530" spans="6:6" x14ac:dyDescent="0.2">
      <c r="F3530" s="283"/>
    </row>
    <row r="3531" spans="6:6" x14ac:dyDescent="0.2">
      <c r="F3531" s="283"/>
    </row>
    <row r="3532" spans="6:6" x14ac:dyDescent="0.2">
      <c r="F3532" s="283"/>
    </row>
    <row r="3533" spans="6:6" x14ac:dyDescent="0.2">
      <c r="F3533" s="283"/>
    </row>
    <row r="3534" spans="6:6" x14ac:dyDescent="0.2">
      <c r="F3534" s="283"/>
    </row>
    <row r="3535" spans="6:6" x14ac:dyDescent="0.2">
      <c r="F3535" s="283"/>
    </row>
    <row r="3536" spans="6:6" x14ac:dyDescent="0.2">
      <c r="F3536" s="283"/>
    </row>
    <row r="3537" spans="6:6" x14ac:dyDescent="0.2">
      <c r="F3537" s="283"/>
    </row>
    <row r="3538" spans="6:6" x14ac:dyDescent="0.2">
      <c r="F3538" s="283"/>
    </row>
    <row r="3539" spans="6:6" x14ac:dyDescent="0.2">
      <c r="F3539" s="283"/>
    </row>
    <row r="3540" spans="6:6" x14ac:dyDescent="0.2">
      <c r="F3540" s="283"/>
    </row>
    <row r="3541" spans="6:6" x14ac:dyDescent="0.2">
      <c r="F3541" s="283"/>
    </row>
    <row r="3542" spans="6:6" x14ac:dyDescent="0.2">
      <c r="F3542" s="283"/>
    </row>
    <row r="3543" spans="6:6" x14ac:dyDescent="0.2">
      <c r="F3543" s="283"/>
    </row>
    <row r="3544" spans="6:6" x14ac:dyDescent="0.2">
      <c r="F3544" s="283"/>
    </row>
    <row r="3545" spans="6:6" x14ac:dyDescent="0.2">
      <c r="F3545" s="283"/>
    </row>
    <row r="3546" spans="6:6" x14ac:dyDescent="0.2">
      <c r="F3546" s="283"/>
    </row>
    <row r="3547" spans="6:6" x14ac:dyDescent="0.2">
      <c r="F3547" s="283"/>
    </row>
    <row r="3548" spans="6:6" x14ac:dyDescent="0.2">
      <c r="F3548" s="283"/>
    </row>
    <row r="3549" spans="6:6" x14ac:dyDescent="0.2">
      <c r="F3549" s="283"/>
    </row>
    <row r="3550" spans="6:6" x14ac:dyDescent="0.2">
      <c r="F3550" s="283"/>
    </row>
    <row r="3551" spans="6:6" x14ac:dyDescent="0.2">
      <c r="F3551" s="283"/>
    </row>
    <row r="3552" spans="6:6" x14ac:dyDescent="0.2">
      <c r="F3552" s="283"/>
    </row>
    <row r="3553" spans="6:6" x14ac:dyDescent="0.2">
      <c r="F3553" s="283"/>
    </row>
    <row r="3554" spans="6:6" x14ac:dyDescent="0.2">
      <c r="F3554" s="283"/>
    </row>
    <row r="3555" spans="6:6" x14ac:dyDescent="0.2">
      <c r="F3555" s="283"/>
    </row>
    <row r="3556" spans="6:6" x14ac:dyDescent="0.2">
      <c r="F3556" s="283"/>
    </row>
    <row r="3557" spans="6:6" x14ac:dyDescent="0.2">
      <c r="F3557" s="283"/>
    </row>
    <row r="3558" spans="6:6" x14ac:dyDescent="0.2">
      <c r="F3558" s="283"/>
    </row>
    <row r="3559" spans="6:6" x14ac:dyDescent="0.2">
      <c r="F3559" s="283"/>
    </row>
    <row r="3560" spans="6:6" x14ac:dyDescent="0.2">
      <c r="F3560" s="283"/>
    </row>
    <row r="3561" spans="6:6" x14ac:dyDescent="0.2">
      <c r="F3561" s="283"/>
    </row>
    <row r="3562" spans="6:6" x14ac:dyDescent="0.2">
      <c r="F3562" s="283"/>
    </row>
    <row r="3563" spans="6:6" x14ac:dyDescent="0.2">
      <c r="F3563" s="283"/>
    </row>
    <row r="3564" spans="6:6" x14ac:dyDescent="0.2">
      <c r="F3564" s="283"/>
    </row>
    <row r="3565" spans="6:6" x14ac:dyDescent="0.2">
      <c r="F3565" s="283"/>
    </row>
    <row r="3566" spans="6:6" x14ac:dyDescent="0.2">
      <c r="F3566" s="283"/>
    </row>
    <row r="3567" spans="6:6" x14ac:dyDescent="0.2">
      <c r="F3567" s="283"/>
    </row>
    <row r="3568" spans="6:6" x14ac:dyDescent="0.2">
      <c r="F3568" s="283"/>
    </row>
    <row r="3569" spans="6:6" x14ac:dyDescent="0.2">
      <c r="F3569" s="283"/>
    </row>
    <row r="3570" spans="6:6" x14ac:dyDescent="0.2">
      <c r="F3570" s="283"/>
    </row>
    <row r="3571" spans="6:6" x14ac:dyDescent="0.2">
      <c r="F3571" s="283"/>
    </row>
    <row r="3572" spans="6:6" x14ac:dyDescent="0.2">
      <c r="F3572" s="283"/>
    </row>
    <row r="3573" spans="6:6" x14ac:dyDescent="0.2">
      <c r="F3573" s="283"/>
    </row>
    <row r="3574" spans="6:6" x14ac:dyDescent="0.2">
      <c r="F3574" s="283"/>
    </row>
    <row r="3575" spans="6:6" x14ac:dyDescent="0.2">
      <c r="F3575" s="283"/>
    </row>
    <row r="3576" spans="6:6" x14ac:dyDescent="0.2">
      <c r="F3576" s="283"/>
    </row>
    <row r="3577" spans="6:6" x14ac:dyDescent="0.2">
      <c r="F3577" s="283"/>
    </row>
    <row r="3578" spans="6:6" x14ac:dyDescent="0.2">
      <c r="F3578" s="283"/>
    </row>
    <row r="3579" spans="6:6" x14ac:dyDescent="0.2">
      <c r="F3579" s="283"/>
    </row>
    <row r="3580" spans="6:6" x14ac:dyDescent="0.2">
      <c r="F3580" s="283"/>
    </row>
    <row r="3581" spans="6:6" x14ac:dyDescent="0.2">
      <c r="F3581" s="283"/>
    </row>
    <row r="3582" spans="6:6" x14ac:dyDescent="0.2">
      <c r="F3582" s="283"/>
    </row>
    <row r="3583" spans="6:6" x14ac:dyDescent="0.2">
      <c r="F3583" s="283"/>
    </row>
    <row r="3584" spans="6:6" x14ac:dyDescent="0.2">
      <c r="F3584" s="283"/>
    </row>
    <row r="3585" spans="6:6" x14ac:dyDescent="0.2">
      <c r="F3585" s="283"/>
    </row>
    <row r="3586" spans="6:6" x14ac:dyDescent="0.2">
      <c r="F3586" s="283"/>
    </row>
    <row r="3587" spans="6:6" x14ac:dyDescent="0.2">
      <c r="F3587" s="283"/>
    </row>
    <row r="3588" spans="6:6" x14ac:dyDescent="0.2">
      <c r="F3588" s="283"/>
    </row>
    <row r="3589" spans="6:6" x14ac:dyDescent="0.2">
      <c r="F3589" s="283"/>
    </row>
    <row r="3590" spans="6:6" x14ac:dyDescent="0.2">
      <c r="F3590" s="283"/>
    </row>
    <row r="3591" spans="6:6" x14ac:dyDescent="0.2">
      <c r="F3591" s="283"/>
    </row>
    <row r="3592" spans="6:6" x14ac:dyDescent="0.2">
      <c r="F3592" s="283"/>
    </row>
    <row r="3593" spans="6:6" x14ac:dyDescent="0.2">
      <c r="F3593" s="283"/>
    </row>
    <row r="3594" spans="6:6" x14ac:dyDescent="0.2">
      <c r="F3594" s="283"/>
    </row>
    <row r="3595" spans="6:6" x14ac:dyDescent="0.2">
      <c r="F3595" s="283"/>
    </row>
    <row r="3596" spans="6:6" x14ac:dyDescent="0.2">
      <c r="F3596" s="283"/>
    </row>
    <row r="3597" spans="6:6" x14ac:dyDescent="0.2">
      <c r="F3597" s="283"/>
    </row>
    <row r="3598" spans="6:6" x14ac:dyDescent="0.2">
      <c r="F3598" s="283"/>
    </row>
    <row r="3599" spans="6:6" x14ac:dyDescent="0.2">
      <c r="F3599" s="283"/>
    </row>
    <row r="3600" spans="6:6" x14ac:dyDescent="0.2">
      <c r="F3600" s="283"/>
    </row>
    <row r="3601" spans="6:6" x14ac:dyDescent="0.2">
      <c r="F3601" s="283"/>
    </row>
    <row r="3602" spans="6:6" x14ac:dyDescent="0.2">
      <c r="F3602" s="283"/>
    </row>
    <row r="3603" spans="6:6" x14ac:dyDescent="0.2">
      <c r="F3603" s="283"/>
    </row>
    <row r="3604" spans="6:6" x14ac:dyDescent="0.2">
      <c r="F3604" s="283"/>
    </row>
    <row r="3605" spans="6:6" x14ac:dyDescent="0.2">
      <c r="F3605" s="283"/>
    </row>
    <row r="3606" spans="6:6" x14ac:dyDescent="0.2">
      <c r="F3606" s="283"/>
    </row>
    <row r="3607" spans="6:6" x14ac:dyDescent="0.2">
      <c r="F3607" s="283"/>
    </row>
    <row r="3608" spans="6:6" x14ac:dyDescent="0.2">
      <c r="F3608" s="283"/>
    </row>
    <row r="3609" spans="6:6" x14ac:dyDescent="0.2">
      <c r="F3609" s="283"/>
    </row>
    <row r="3610" spans="6:6" x14ac:dyDescent="0.2">
      <c r="F3610" s="283"/>
    </row>
    <row r="3611" spans="6:6" x14ac:dyDescent="0.2">
      <c r="F3611" s="283"/>
    </row>
    <row r="3612" spans="6:6" x14ac:dyDescent="0.2">
      <c r="F3612" s="283"/>
    </row>
    <row r="3613" spans="6:6" x14ac:dyDescent="0.2">
      <c r="F3613" s="283"/>
    </row>
    <row r="3614" spans="6:6" x14ac:dyDescent="0.2">
      <c r="F3614" s="283"/>
    </row>
    <row r="3615" spans="6:6" x14ac:dyDescent="0.2">
      <c r="F3615" s="283"/>
    </row>
    <row r="3616" spans="6:6" x14ac:dyDescent="0.2">
      <c r="F3616" s="283"/>
    </row>
    <row r="3617" spans="6:6" x14ac:dyDescent="0.2">
      <c r="F3617" s="283"/>
    </row>
    <row r="3618" spans="6:6" x14ac:dyDescent="0.2">
      <c r="F3618" s="283"/>
    </row>
    <row r="3619" spans="6:6" x14ac:dyDescent="0.2">
      <c r="F3619" s="283"/>
    </row>
    <row r="3620" spans="6:6" x14ac:dyDescent="0.2">
      <c r="F3620" s="283"/>
    </row>
    <row r="3621" spans="6:6" x14ac:dyDescent="0.2">
      <c r="F3621" s="283"/>
    </row>
    <row r="3622" spans="6:6" x14ac:dyDescent="0.2">
      <c r="F3622" s="283"/>
    </row>
    <row r="3623" spans="6:6" x14ac:dyDescent="0.2">
      <c r="F3623" s="283"/>
    </row>
    <row r="3624" spans="6:6" x14ac:dyDescent="0.2">
      <c r="F3624" s="283"/>
    </row>
    <row r="3625" spans="6:6" x14ac:dyDescent="0.2">
      <c r="F3625" s="283"/>
    </row>
    <row r="3626" spans="6:6" x14ac:dyDescent="0.2">
      <c r="F3626" s="283"/>
    </row>
    <row r="3627" spans="6:6" x14ac:dyDescent="0.2">
      <c r="F3627" s="283"/>
    </row>
    <row r="3628" spans="6:6" x14ac:dyDescent="0.2">
      <c r="F3628" s="283"/>
    </row>
    <row r="3629" spans="6:6" x14ac:dyDescent="0.2">
      <c r="F3629" s="283"/>
    </row>
    <row r="3630" spans="6:6" x14ac:dyDescent="0.2">
      <c r="F3630" s="283"/>
    </row>
    <row r="3631" spans="6:6" x14ac:dyDescent="0.2">
      <c r="F3631" s="283"/>
    </row>
    <row r="3632" spans="6:6" x14ac:dyDescent="0.2">
      <c r="F3632" s="283"/>
    </row>
    <row r="3633" spans="6:6" x14ac:dyDescent="0.2">
      <c r="F3633" s="283"/>
    </row>
    <row r="3634" spans="6:6" x14ac:dyDescent="0.2">
      <c r="F3634" s="283"/>
    </row>
    <row r="3635" spans="6:6" x14ac:dyDescent="0.2">
      <c r="F3635" s="283"/>
    </row>
    <row r="3636" spans="6:6" x14ac:dyDescent="0.2">
      <c r="F3636" s="283"/>
    </row>
    <row r="3637" spans="6:6" x14ac:dyDescent="0.2">
      <c r="F3637" s="283"/>
    </row>
    <row r="3638" spans="6:6" x14ac:dyDescent="0.2">
      <c r="F3638" s="283"/>
    </row>
    <row r="3639" spans="6:6" x14ac:dyDescent="0.2">
      <c r="F3639" s="283"/>
    </row>
    <row r="3640" spans="6:6" x14ac:dyDescent="0.2">
      <c r="F3640" s="283"/>
    </row>
    <row r="3641" spans="6:6" x14ac:dyDescent="0.2">
      <c r="F3641" s="283"/>
    </row>
    <row r="3642" spans="6:6" x14ac:dyDescent="0.2">
      <c r="F3642" s="283"/>
    </row>
    <row r="3643" spans="6:6" x14ac:dyDescent="0.2">
      <c r="F3643" s="283"/>
    </row>
    <row r="3644" spans="6:6" x14ac:dyDescent="0.2">
      <c r="F3644" s="283"/>
    </row>
    <row r="3645" spans="6:6" x14ac:dyDescent="0.2">
      <c r="F3645" s="283"/>
    </row>
    <row r="3646" spans="6:6" x14ac:dyDescent="0.2">
      <c r="F3646" s="283"/>
    </row>
    <row r="3647" spans="6:6" x14ac:dyDescent="0.2">
      <c r="F3647" s="283"/>
    </row>
    <row r="3648" spans="6:6" x14ac:dyDescent="0.2">
      <c r="F3648" s="283"/>
    </row>
    <row r="3649" spans="6:6" x14ac:dyDescent="0.2">
      <c r="F3649" s="283"/>
    </row>
    <row r="3650" spans="6:6" x14ac:dyDescent="0.2">
      <c r="F3650" s="283"/>
    </row>
    <row r="3651" spans="6:6" x14ac:dyDescent="0.2">
      <c r="F3651" s="283"/>
    </row>
    <row r="3652" spans="6:6" x14ac:dyDescent="0.2">
      <c r="F3652" s="283"/>
    </row>
    <row r="3653" spans="6:6" x14ac:dyDescent="0.2">
      <c r="F3653" s="283"/>
    </row>
    <row r="3654" spans="6:6" x14ac:dyDescent="0.2">
      <c r="F3654" s="283"/>
    </row>
    <row r="3655" spans="6:6" x14ac:dyDescent="0.2">
      <c r="F3655" s="283"/>
    </row>
    <row r="3656" spans="6:6" x14ac:dyDescent="0.2">
      <c r="F3656" s="283"/>
    </row>
    <row r="3657" spans="6:6" x14ac:dyDescent="0.2">
      <c r="F3657" s="283"/>
    </row>
    <row r="3658" spans="6:6" x14ac:dyDescent="0.2">
      <c r="F3658" s="283"/>
    </row>
    <row r="3659" spans="6:6" x14ac:dyDescent="0.2">
      <c r="F3659" s="283"/>
    </row>
    <row r="3660" spans="6:6" x14ac:dyDescent="0.2">
      <c r="F3660" s="283"/>
    </row>
    <row r="3661" spans="6:6" x14ac:dyDescent="0.2">
      <c r="F3661" s="283"/>
    </row>
    <row r="3662" spans="6:6" x14ac:dyDescent="0.2">
      <c r="F3662" s="283"/>
    </row>
    <row r="3663" spans="6:6" x14ac:dyDescent="0.2">
      <c r="F3663" s="283"/>
    </row>
    <row r="3664" spans="6:6" x14ac:dyDescent="0.2">
      <c r="F3664" s="283"/>
    </row>
    <row r="3665" spans="6:6" x14ac:dyDescent="0.2">
      <c r="F3665" s="283"/>
    </row>
    <row r="3666" spans="6:6" x14ac:dyDescent="0.2">
      <c r="F3666" s="283"/>
    </row>
    <row r="3667" spans="6:6" x14ac:dyDescent="0.2">
      <c r="F3667" s="283"/>
    </row>
    <row r="3668" spans="6:6" x14ac:dyDescent="0.2">
      <c r="F3668" s="283"/>
    </row>
    <row r="3669" spans="6:6" x14ac:dyDescent="0.2">
      <c r="F3669" s="283"/>
    </row>
    <row r="3670" spans="6:6" x14ac:dyDescent="0.2">
      <c r="F3670" s="283"/>
    </row>
    <row r="3671" spans="6:6" x14ac:dyDescent="0.2">
      <c r="F3671" s="283"/>
    </row>
    <row r="3672" spans="6:6" x14ac:dyDescent="0.2">
      <c r="F3672" s="283"/>
    </row>
    <row r="3673" spans="6:6" x14ac:dyDescent="0.2">
      <c r="F3673" s="283"/>
    </row>
    <row r="3674" spans="6:6" x14ac:dyDescent="0.2">
      <c r="F3674" s="283"/>
    </row>
    <row r="3675" spans="6:6" x14ac:dyDescent="0.2">
      <c r="F3675" s="283"/>
    </row>
    <row r="3676" spans="6:6" x14ac:dyDescent="0.2">
      <c r="F3676" s="283"/>
    </row>
    <row r="3677" spans="6:6" x14ac:dyDescent="0.2">
      <c r="F3677" s="283"/>
    </row>
    <row r="3678" spans="6:6" x14ac:dyDescent="0.2">
      <c r="F3678" s="283"/>
    </row>
    <row r="3679" spans="6:6" x14ac:dyDescent="0.2">
      <c r="F3679" s="283"/>
    </row>
    <row r="3680" spans="6:6" x14ac:dyDescent="0.2">
      <c r="F3680" s="283"/>
    </row>
    <row r="3681" spans="6:6" x14ac:dyDescent="0.2">
      <c r="F3681" s="283"/>
    </row>
    <row r="3682" spans="6:6" x14ac:dyDescent="0.2">
      <c r="F3682" s="283"/>
    </row>
    <row r="3683" spans="6:6" x14ac:dyDescent="0.2">
      <c r="F3683" s="283"/>
    </row>
    <row r="3684" spans="6:6" x14ac:dyDescent="0.2">
      <c r="F3684" s="283"/>
    </row>
    <row r="3685" spans="6:6" x14ac:dyDescent="0.2">
      <c r="F3685" s="283"/>
    </row>
    <row r="3686" spans="6:6" x14ac:dyDescent="0.2">
      <c r="F3686" s="283"/>
    </row>
    <row r="3687" spans="6:6" x14ac:dyDescent="0.2">
      <c r="F3687" s="283"/>
    </row>
    <row r="3688" spans="6:6" x14ac:dyDescent="0.2">
      <c r="F3688" s="283"/>
    </row>
    <row r="3689" spans="6:6" x14ac:dyDescent="0.2">
      <c r="F3689" s="283"/>
    </row>
    <row r="3690" spans="6:6" x14ac:dyDescent="0.2">
      <c r="F3690" s="283"/>
    </row>
    <row r="3691" spans="6:6" x14ac:dyDescent="0.2">
      <c r="F3691" s="283"/>
    </row>
    <row r="3692" spans="6:6" x14ac:dyDescent="0.2">
      <c r="F3692" s="283"/>
    </row>
    <row r="3693" spans="6:6" x14ac:dyDescent="0.2">
      <c r="F3693" s="283"/>
    </row>
    <row r="3694" spans="6:6" x14ac:dyDescent="0.2">
      <c r="F3694" s="283"/>
    </row>
    <row r="3695" spans="6:6" x14ac:dyDescent="0.2">
      <c r="F3695" s="283"/>
    </row>
    <row r="3696" spans="6:6" x14ac:dyDescent="0.2">
      <c r="F3696" s="283"/>
    </row>
    <row r="3697" spans="6:6" x14ac:dyDescent="0.2">
      <c r="F3697" s="283"/>
    </row>
    <row r="3698" spans="6:6" x14ac:dyDescent="0.2">
      <c r="F3698" s="283"/>
    </row>
    <row r="3699" spans="6:6" x14ac:dyDescent="0.2">
      <c r="F3699" s="283"/>
    </row>
    <row r="3700" spans="6:6" x14ac:dyDescent="0.2">
      <c r="F3700" s="283"/>
    </row>
    <row r="3701" spans="6:6" x14ac:dyDescent="0.2">
      <c r="F3701" s="283"/>
    </row>
    <row r="3702" spans="6:6" x14ac:dyDescent="0.2">
      <c r="F3702" s="283"/>
    </row>
    <row r="3703" spans="6:6" x14ac:dyDescent="0.2">
      <c r="F3703" s="283"/>
    </row>
    <row r="3704" spans="6:6" x14ac:dyDescent="0.2">
      <c r="F3704" s="283"/>
    </row>
    <row r="3705" spans="6:6" x14ac:dyDescent="0.2">
      <c r="F3705" s="283"/>
    </row>
    <row r="3706" spans="6:6" x14ac:dyDescent="0.2">
      <c r="F3706" s="283"/>
    </row>
    <row r="3707" spans="6:6" x14ac:dyDescent="0.2">
      <c r="F3707" s="283"/>
    </row>
    <row r="3708" spans="6:6" x14ac:dyDescent="0.2">
      <c r="F3708" s="283"/>
    </row>
    <row r="3709" spans="6:6" x14ac:dyDescent="0.2">
      <c r="F3709" s="283"/>
    </row>
    <row r="3710" spans="6:6" x14ac:dyDescent="0.2">
      <c r="F3710" s="283"/>
    </row>
    <row r="3711" spans="6:6" x14ac:dyDescent="0.2">
      <c r="F3711" s="283"/>
    </row>
    <row r="3712" spans="6:6" x14ac:dyDescent="0.2">
      <c r="F3712" s="283"/>
    </row>
    <row r="3713" spans="6:6" x14ac:dyDescent="0.2">
      <c r="F3713" s="283"/>
    </row>
    <row r="3714" spans="6:6" x14ac:dyDescent="0.2">
      <c r="F3714" s="283"/>
    </row>
    <row r="3715" spans="6:6" x14ac:dyDescent="0.2">
      <c r="F3715" s="283"/>
    </row>
    <row r="3716" spans="6:6" x14ac:dyDescent="0.2">
      <c r="F3716" s="283"/>
    </row>
    <row r="3717" spans="6:6" x14ac:dyDescent="0.2">
      <c r="F3717" s="283"/>
    </row>
    <row r="3718" spans="6:6" x14ac:dyDescent="0.2">
      <c r="F3718" s="283"/>
    </row>
    <row r="3719" spans="6:6" x14ac:dyDescent="0.2">
      <c r="F3719" s="283"/>
    </row>
    <row r="3720" spans="6:6" x14ac:dyDescent="0.2">
      <c r="F3720" s="283"/>
    </row>
    <row r="3721" spans="6:6" x14ac:dyDescent="0.2">
      <c r="F3721" s="283"/>
    </row>
    <row r="3722" spans="6:6" x14ac:dyDescent="0.2">
      <c r="F3722" s="283"/>
    </row>
    <row r="3723" spans="6:6" x14ac:dyDescent="0.2">
      <c r="F3723" s="283"/>
    </row>
    <row r="3724" spans="6:6" x14ac:dyDescent="0.2">
      <c r="F3724" s="283"/>
    </row>
    <row r="3725" spans="6:6" x14ac:dyDescent="0.2">
      <c r="F3725" s="283"/>
    </row>
    <row r="3726" spans="6:6" x14ac:dyDescent="0.2">
      <c r="F3726" s="283"/>
    </row>
    <row r="3727" spans="6:6" x14ac:dyDescent="0.2">
      <c r="F3727" s="283"/>
    </row>
    <row r="3728" spans="6:6" x14ac:dyDescent="0.2">
      <c r="F3728" s="283"/>
    </row>
    <row r="3729" spans="6:6" x14ac:dyDescent="0.2">
      <c r="F3729" s="283"/>
    </row>
    <row r="3730" spans="6:6" x14ac:dyDescent="0.2">
      <c r="F3730" s="283"/>
    </row>
    <row r="3731" spans="6:6" x14ac:dyDescent="0.2">
      <c r="F3731" s="283"/>
    </row>
    <row r="3732" spans="6:6" x14ac:dyDescent="0.2">
      <c r="F3732" s="283"/>
    </row>
    <row r="3733" spans="6:6" x14ac:dyDescent="0.2">
      <c r="F3733" s="283"/>
    </row>
    <row r="3734" spans="6:6" x14ac:dyDescent="0.2">
      <c r="F3734" s="283"/>
    </row>
    <row r="3735" spans="6:6" x14ac:dyDescent="0.2">
      <c r="F3735" s="283"/>
    </row>
    <row r="3736" spans="6:6" x14ac:dyDescent="0.2">
      <c r="F3736" s="283"/>
    </row>
    <row r="3737" spans="6:6" x14ac:dyDescent="0.2">
      <c r="F3737" s="283"/>
    </row>
    <row r="3738" spans="6:6" x14ac:dyDescent="0.2">
      <c r="F3738" s="283"/>
    </row>
    <row r="3739" spans="6:6" x14ac:dyDescent="0.2">
      <c r="F3739" s="283"/>
    </row>
    <row r="3740" spans="6:6" x14ac:dyDescent="0.2">
      <c r="F3740" s="283"/>
    </row>
    <row r="3741" spans="6:6" x14ac:dyDescent="0.2">
      <c r="F3741" s="283"/>
    </row>
    <row r="3742" spans="6:6" x14ac:dyDescent="0.2">
      <c r="F3742" s="283"/>
    </row>
    <row r="3743" spans="6:6" x14ac:dyDescent="0.2">
      <c r="F3743" s="283"/>
    </row>
    <row r="3744" spans="6:6" x14ac:dyDescent="0.2">
      <c r="F3744" s="283"/>
    </row>
    <row r="3745" spans="6:6" x14ac:dyDescent="0.2">
      <c r="F3745" s="283"/>
    </row>
    <row r="3746" spans="6:6" x14ac:dyDescent="0.2">
      <c r="F3746" s="283"/>
    </row>
    <row r="3747" spans="6:6" x14ac:dyDescent="0.2">
      <c r="F3747" s="283"/>
    </row>
    <row r="3748" spans="6:6" x14ac:dyDescent="0.2">
      <c r="F3748" s="283"/>
    </row>
    <row r="3749" spans="6:6" x14ac:dyDescent="0.2">
      <c r="F3749" s="283"/>
    </row>
    <row r="3750" spans="6:6" x14ac:dyDescent="0.2">
      <c r="F3750" s="283"/>
    </row>
    <row r="3751" spans="6:6" x14ac:dyDescent="0.2">
      <c r="F3751" s="283"/>
    </row>
    <row r="3752" spans="6:6" x14ac:dyDescent="0.2">
      <c r="F3752" s="283"/>
    </row>
    <row r="3753" spans="6:6" x14ac:dyDescent="0.2">
      <c r="F3753" s="283"/>
    </row>
    <row r="3754" spans="6:6" x14ac:dyDescent="0.2">
      <c r="F3754" s="283"/>
    </row>
    <row r="3755" spans="6:6" x14ac:dyDescent="0.2">
      <c r="F3755" s="283"/>
    </row>
    <row r="3756" spans="6:6" x14ac:dyDescent="0.2">
      <c r="F3756" s="283"/>
    </row>
    <row r="3757" spans="6:6" x14ac:dyDescent="0.2">
      <c r="F3757" s="283"/>
    </row>
    <row r="3758" spans="6:6" x14ac:dyDescent="0.2">
      <c r="F3758" s="283"/>
    </row>
    <row r="3759" spans="6:6" x14ac:dyDescent="0.2">
      <c r="F3759" s="283"/>
    </row>
    <row r="3760" spans="6:6" x14ac:dyDescent="0.2">
      <c r="F3760" s="283"/>
    </row>
    <row r="3761" spans="6:6" x14ac:dyDescent="0.2">
      <c r="F3761" s="283"/>
    </row>
    <row r="3762" spans="6:6" x14ac:dyDescent="0.2">
      <c r="F3762" s="283"/>
    </row>
    <row r="3763" spans="6:6" x14ac:dyDescent="0.2">
      <c r="F3763" s="283"/>
    </row>
    <row r="3764" spans="6:6" x14ac:dyDescent="0.2">
      <c r="F3764" s="283"/>
    </row>
    <row r="3765" spans="6:6" x14ac:dyDescent="0.2">
      <c r="F3765" s="283"/>
    </row>
    <row r="3766" spans="6:6" x14ac:dyDescent="0.2">
      <c r="F3766" s="283"/>
    </row>
    <row r="3767" spans="6:6" x14ac:dyDescent="0.2">
      <c r="F3767" s="283"/>
    </row>
    <row r="3768" spans="6:6" x14ac:dyDescent="0.2">
      <c r="F3768" s="283"/>
    </row>
    <row r="3769" spans="6:6" x14ac:dyDescent="0.2">
      <c r="F3769" s="283"/>
    </row>
    <row r="3770" spans="6:6" x14ac:dyDescent="0.2">
      <c r="F3770" s="283"/>
    </row>
    <row r="3771" spans="6:6" x14ac:dyDescent="0.2">
      <c r="F3771" s="283"/>
    </row>
    <row r="3772" spans="6:6" x14ac:dyDescent="0.2">
      <c r="F3772" s="283"/>
    </row>
    <row r="3773" spans="6:6" x14ac:dyDescent="0.2">
      <c r="F3773" s="283"/>
    </row>
    <row r="3774" spans="6:6" x14ac:dyDescent="0.2">
      <c r="F3774" s="283"/>
    </row>
    <row r="3775" spans="6:6" x14ac:dyDescent="0.2">
      <c r="F3775" s="283"/>
    </row>
    <row r="3776" spans="6:6" x14ac:dyDescent="0.2">
      <c r="F3776" s="283"/>
    </row>
    <row r="3777" spans="6:6" x14ac:dyDescent="0.2">
      <c r="F3777" s="283"/>
    </row>
    <row r="3778" spans="6:6" x14ac:dyDescent="0.2">
      <c r="F3778" s="283"/>
    </row>
    <row r="3779" spans="6:6" x14ac:dyDescent="0.2">
      <c r="F3779" s="283"/>
    </row>
    <row r="3780" spans="6:6" x14ac:dyDescent="0.2">
      <c r="F3780" s="283"/>
    </row>
    <row r="3781" spans="6:6" x14ac:dyDescent="0.2">
      <c r="F3781" s="283"/>
    </row>
    <row r="3782" spans="6:6" x14ac:dyDescent="0.2">
      <c r="F3782" s="283"/>
    </row>
    <row r="3783" spans="6:6" x14ac:dyDescent="0.2">
      <c r="F3783" s="283"/>
    </row>
    <row r="3784" spans="6:6" x14ac:dyDescent="0.2">
      <c r="F3784" s="283"/>
    </row>
    <row r="3785" spans="6:6" x14ac:dyDescent="0.2">
      <c r="F3785" s="283"/>
    </row>
    <row r="3786" spans="6:6" x14ac:dyDescent="0.2">
      <c r="F3786" s="283"/>
    </row>
    <row r="3787" spans="6:6" x14ac:dyDescent="0.2">
      <c r="F3787" s="283"/>
    </row>
    <row r="3788" spans="6:6" x14ac:dyDescent="0.2">
      <c r="F3788" s="283"/>
    </row>
    <row r="3789" spans="6:6" x14ac:dyDescent="0.2">
      <c r="F3789" s="283"/>
    </row>
    <row r="3790" spans="6:6" x14ac:dyDescent="0.2">
      <c r="F3790" s="283"/>
    </row>
    <row r="3791" spans="6:6" x14ac:dyDescent="0.2">
      <c r="F3791" s="283"/>
    </row>
    <row r="3792" spans="6:6" x14ac:dyDescent="0.2">
      <c r="F3792" s="283"/>
    </row>
    <row r="3793" spans="6:6" x14ac:dyDescent="0.2">
      <c r="F3793" s="283"/>
    </row>
    <row r="3794" spans="6:6" x14ac:dyDescent="0.2">
      <c r="F3794" s="283"/>
    </row>
    <row r="3795" spans="6:6" x14ac:dyDescent="0.2">
      <c r="F3795" s="283"/>
    </row>
    <row r="3796" spans="6:6" x14ac:dyDescent="0.2">
      <c r="F3796" s="283"/>
    </row>
    <row r="3797" spans="6:6" x14ac:dyDescent="0.2">
      <c r="F3797" s="283"/>
    </row>
    <row r="3798" spans="6:6" x14ac:dyDescent="0.2">
      <c r="F3798" s="283"/>
    </row>
    <row r="3799" spans="6:6" x14ac:dyDescent="0.2">
      <c r="F3799" s="283"/>
    </row>
    <row r="3800" spans="6:6" x14ac:dyDescent="0.2">
      <c r="F3800" s="283"/>
    </row>
    <row r="3801" spans="6:6" x14ac:dyDescent="0.2">
      <c r="F3801" s="283"/>
    </row>
    <row r="3802" spans="6:6" x14ac:dyDescent="0.2">
      <c r="F3802" s="283"/>
    </row>
    <row r="3803" spans="6:6" x14ac:dyDescent="0.2">
      <c r="F3803" s="283"/>
    </row>
    <row r="3804" spans="6:6" x14ac:dyDescent="0.2">
      <c r="F3804" s="283"/>
    </row>
    <row r="3805" spans="6:6" x14ac:dyDescent="0.2">
      <c r="F3805" s="283"/>
    </row>
    <row r="3806" spans="6:6" x14ac:dyDescent="0.2">
      <c r="F3806" s="283"/>
    </row>
    <row r="3807" spans="6:6" x14ac:dyDescent="0.2">
      <c r="F3807" s="283"/>
    </row>
    <row r="3808" spans="6:6" x14ac:dyDescent="0.2">
      <c r="F3808" s="283"/>
    </row>
    <row r="3809" spans="6:6" x14ac:dyDescent="0.2">
      <c r="F3809" s="283"/>
    </row>
    <row r="3810" spans="6:6" x14ac:dyDescent="0.2">
      <c r="F3810" s="283"/>
    </row>
    <row r="3811" spans="6:6" x14ac:dyDescent="0.2">
      <c r="F3811" s="283"/>
    </row>
  </sheetData>
  <autoFilter ref="A7:AJ521"/>
  <dataConsolidate link="1"/>
  <mergeCells count="435">
    <mergeCell ref="E33:E42"/>
    <mergeCell ref="E221:E248"/>
    <mergeCell ref="E249:E251"/>
    <mergeCell ref="E340:E344"/>
    <mergeCell ref="E430:E444"/>
    <mergeCell ref="A408:A519"/>
    <mergeCell ref="E488:E511"/>
    <mergeCell ref="D488:D511"/>
    <mergeCell ref="B488:B511"/>
    <mergeCell ref="C488:C511"/>
    <mergeCell ref="D445:D487"/>
    <mergeCell ref="E446:E487"/>
    <mergeCell ref="C179:C181"/>
    <mergeCell ref="E179:E181"/>
    <mergeCell ref="B408:B444"/>
    <mergeCell ref="D408:D429"/>
    <mergeCell ref="D430:D444"/>
    <mergeCell ref="B401:B406"/>
    <mergeCell ref="C401:C406"/>
    <mergeCell ref="C286:C287"/>
    <mergeCell ref="I143:I145"/>
    <mergeCell ref="F140:F141"/>
    <mergeCell ref="F143:F145"/>
    <mergeCell ref="I99:I102"/>
    <mergeCell ref="G99:G101"/>
    <mergeCell ref="D179:D181"/>
    <mergeCell ref="B179:B181"/>
    <mergeCell ref="C190:C193"/>
    <mergeCell ref="A250:A251"/>
    <mergeCell ref="B107:B131"/>
    <mergeCell ref="C107:C131"/>
    <mergeCell ref="F48:F55"/>
    <mergeCell ref="E48:E55"/>
    <mergeCell ref="I56:I60"/>
    <mergeCell ref="I61:I64"/>
    <mergeCell ref="I65:I67"/>
    <mergeCell ref="G73:G74"/>
    <mergeCell ref="E103:E105"/>
    <mergeCell ref="F103:F105"/>
    <mergeCell ref="G104:G105"/>
    <mergeCell ref="I103:I105"/>
    <mergeCell ref="D99:D105"/>
    <mergeCell ref="B512:B519"/>
    <mergeCell ref="C512:C519"/>
    <mergeCell ref="B445:B487"/>
    <mergeCell ref="G48:G54"/>
    <mergeCell ref="I48:I54"/>
    <mergeCell ref="D56:D67"/>
    <mergeCell ref="B56:B60"/>
    <mergeCell ref="E56:E60"/>
    <mergeCell ref="B61:B64"/>
    <mergeCell ref="B65:B67"/>
    <mergeCell ref="C56:C60"/>
    <mergeCell ref="F56:F60"/>
    <mergeCell ref="C61:C64"/>
    <mergeCell ref="E61:E64"/>
    <mergeCell ref="F61:F63"/>
    <mergeCell ref="C65:C67"/>
    <mergeCell ref="E65:E67"/>
    <mergeCell ref="G56:G67"/>
    <mergeCell ref="C445:C487"/>
    <mergeCell ref="F513:F519"/>
    <mergeCell ref="D512:D519"/>
    <mergeCell ref="I513:I519"/>
    <mergeCell ref="E513:E519"/>
    <mergeCell ref="G513:G519"/>
    <mergeCell ref="G488:G511"/>
    <mergeCell ref="F488:F511"/>
    <mergeCell ref="I488:I511"/>
    <mergeCell ref="G446:G449"/>
    <mergeCell ref="G450:G483"/>
    <mergeCell ref="G485:G487"/>
    <mergeCell ref="F485:F487"/>
    <mergeCell ref="F450:F483"/>
    <mergeCell ref="I450:I484"/>
    <mergeCell ref="F446:F449"/>
    <mergeCell ref="I446:I449"/>
    <mergeCell ref="I485:I487"/>
    <mergeCell ref="H172:H173"/>
    <mergeCell ref="J172:J173"/>
    <mergeCell ref="I267:I279"/>
    <mergeCell ref="G274:G275"/>
    <mergeCell ref="F263:F265"/>
    <mergeCell ref="I263:I265"/>
    <mergeCell ref="G263:G265"/>
    <mergeCell ref="I245:I247"/>
    <mergeCell ref="I254:I256"/>
    <mergeCell ref="G254:G256"/>
    <mergeCell ref="F266:F279"/>
    <mergeCell ref="G269:G270"/>
    <mergeCell ref="I191:I193"/>
    <mergeCell ref="F221:F244"/>
    <mergeCell ref="G191:G193"/>
    <mergeCell ref="F198:F211"/>
    <mergeCell ref="I174:I175"/>
    <mergeCell ref="G267:G268"/>
    <mergeCell ref="F245:F248"/>
    <mergeCell ref="J316:J317"/>
    <mergeCell ref="E304:E314"/>
    <mergeCell ref="F304:F314"/>
    <mergeCell ref="G304:G314"/>
    <mergeCell ref="I304:I314"/>
    <mergeCell ref="I288:I290"/>
    <mergeCell ref="F297:F298"/>
    <mergeCell ref="F332:F333"/>
    <mergeCell ref="G340:G344"/>
    <mergeCell ref="C33:C42"/>
    <mergeCell ref="B33:B42"/>
    <mergeCell ref="B132:B134"/>
    <mergeCell ref="C132:C134"/>
    <mergeCell ref="E260:E279"/>
    <mergeCell ref="I257:I258"/>
    <mergeCell ref="D107:D134"/>
    <mergeCell ref="F148:F150"/>
    <mergeCell ref="F167:F169"/>
    <mergeCell ref="F174:F175"/>
    <mergeCell ref="F176:F178"/>
    <mergeCell ref="E132:E134"/>
    <mergeCell ref="F132:F134"/>
    <mergeCell ref="G107:G134"/>
    <mergeCell ref="I107:I134"/>
    <mergeCell ref="E87:E98"/>
    <mergeCell ref="F136:F137"/>
    <mergeCell ref="G136:G137"/>
    <mergeCell ref="H136:H137"/>
    <mergeCell ref="I179:I181"/>
    <mergeCell ref="G179:G180"/>
    <mergeCell ref="F179:F181"/>
    <mergeCell ref="F172:F173"/>
    <mergeCell ref="G172:G173"/>
    <mergeCell ref="F151:F166"/>
    <mergeCell ref="B183:B187"/>
    <mergeCell ref="C103:C105"/>
    <mergeCell ref="B99:B105"/>
    <mergeCell ref="I176:I178"/>
    <mergeCell ref="R520:U520"/>
    <mergeCell ref="R252:U252"/>
    <mergeCell ref="R106:U106"/>
    <mergeCell ref="B48:B55"/>
    <mergeCell ref="C48:C55"/>
    <mergeCell ref="J304:J314"/>
    <mergeCell ref="E300:E302"/>
    <mergeCell ref="F300:F302"/>
    <mergeCell ref="G300:G302"/>
    <mergeCell ref="E297:E298"/>
    <mergeCell ref="G297:G298"/>
    <mergeCell ref="E288:E291"/>
    <mergeCell ref="J340:J344"/>
    <mergeCell ref="F340:F344"/>
    <mergeCell ref="I340:I344"/>
    <mergeCell ref="J288:J290"/>
    <mergeCell ref="E316:E317"/>
    <mergeCell ref="F316:F317"/>
    <mergeCell ref="I316:I317"/>
    <mergeCell ref="D26:D27"/>
    <mergeCell ref="I8:I14"/>
    <mergeCell ref="E8:E14"/>
    <mergeCell ref="F8:F14"/>
    <mergeCell ref="E135:E142"/>
    <mergeCell ref="E143:E145"/>
    <mergeCell ref="E146:E147"/>
    <mergeCell ref="E68:E86"/>
    <mergeCell ref="I146:I147"/>
    <mergeCell ref="F146:F147"/>
    <mergeCell ref="E26:E27"/>
    <mergeCell ref="F26:F27"/>
    <mergeCell ref="I26:I27"/>
    <mergeCell ref="F28:F32"/>
    <mergeCell ref="G28:G32"/>
    <mergeCell ref="F87:F94"/>
    <mergeCell ref="D68:D98"/>
    <mergeCell ref="F138:F139"/>
    <mergeCell ref="G138:G139"/>
    <mergeCell ref="H138:H139"/>
    <mergeCell ref="I95:I97"/>
    <mergeCell ref="E107:E131"/>
    <mergeCell ref="F107:F131"/>
    <mergeCell ref="I140:I141"/>
    <mergeCell ref="C8:C14"/>
    <mergeCell ref="D8:D14"/>
    <mergeCell ref="B8:B14"/>
    <mergeCell ref="C68:C98"/>
    <mergeCell ref="B68:B98"/>
    <mergeCell ref="J81:J82"/>
    <mergeCell ref="D48:D55"/>
    <mergeCell ref="F95:F97"/>
    <mergeCell ref="B43:B47"/>
    <mergeCell ref="C43:C47"/>
    <mergeCell ref="G43:G47"/>
    <mergeCell ref="C15:C22"/>
    <mergeCell ref="B15:B25"/>
    <mergeCell ref="C23:C25"/>
    <mergeCell ref="G16:G21"/>
    <mergeCell ref="G23:G25"/>
    <mergeCell ref="D28:D32"/>
    <mergeCell ref="D43:D47"/>
    <mergeCell ref="B26:B27"/>
    <mergeCell ref="C26:C27"/>
    <mergeCell ref="G26:G27"/>
    <mergeCell ref="G33:G38"/>
    <mergeCell ref="F33:F38"/>
    <mergeCell ref="E28:E32"/>
    <mergeCell ref="C28:C32"/>
    <mergeCell ref="B28:B32"/>
    <mergeCell ref="D33:D42"/>
    <mergeCell ref="A8:A104"/>
    <mergeCell ref="I15:I22"/>
    <mergeCell ref="I23:I25"/>
    <mergeCell ref="E23:E25"/>
    <mergeCell ref="F23:F25"/>
    <mergeCell ref="D15:D25"/>
    <mergeCell ref="C99:C102"/>
    <mergeCell ref="I87:I94"/>
    <mergeCell ref="G79:G80"/>
    <mergeCell ref="G75:G77"/>
    <mergeCell ref="G8:G14"/>
    <mergeCell ref="I43:I47"/>
    <mergeCell ref="F43:F47"/>
    <mergeCell ref="E43:E47"/>
    <mergeCell ref="I40:I41"/>
    <mergeCell ref="H26:H27"/>
    <mergeCell ref="I33:I38"/>
    <mergeCell ref="I28:I32"/>
    <mergeCell ref="F15:F22"/>
    <mergeCell ref="F40:F41"/>
    <mergeCell ref="E15:E22"/>
    <mergeCell ref="R254:U254"/>
    <mergeCell ref="R263:U263"/>
    <mergeCell ref="F254:F256"/>
    <mergeCell ref="F257:F258"/>
    <mergeCell ref="F260:F261"/>
    <mergeCell ref="I260:I261"/>
    <mergeCell ref="E286:E287"/>
    <mergeCell ref="E190:E193"/>
    <mergeCell ref="F191:F193"/>
    <mergeCell ref="D253:D259"/>
    <mergeCell ref="E254:E259"/>
    <mergeCell ref="C254:C259"/>
    <mergeCell ref="B254:B259"/>
    <mergeCell ref="B260:B279"/>
    <mergeCell ref="C183:C187"/>
    <mergeCell ref="F68:F86"/>
    <mergeCell ref="A106:M106"/>
    <mergeCell ref="A107:A249"/>
    <mergeCell ref="D221:D251"/>
    <mergeCell ref="C221:C251"/>
    <mergeCell ref="B221:B251"/>
    <mergeCell ref="I151:I166"/>
    <mergeCell ref="I198:I211"/>
    <mergeCell ref="I212:I220"/>
    <mergeCell ref="C212:C220"/>
    <mergeCell ref="E212:E220"/>
    <mergeCell ref="F212:F220"/>
    <mergeCell ref="G212:G220"/>
    <mergeCell ref="E183:E187"/>
    <mergeCell ref="F183:F187"/>
    <mergeCell ref="G183:G187"/>
    <mergeCell ref="I183:I187"/>
    <mergeCell ref="I68:I86"/>
    <mergeCell ref="AF5:AH5"/>
    <mergeCell ref="A1:AG4"/>
    <mergeCell ref="J5:J6"/>
    <mergeCell ref="L5:L6"/>
    <mergeCell ref="M5:M6"/>
    <mergeCell ref="F5:F6"/>
    <mergeCell ref="A5:A6"/>
    <mergeCell ref="B5:B6"/>
    <mergeCell ref="C5:C6"/>
    <mergeCell ref="O5:O6"/>
    <mergeCell ref="K5:K6"/>
    <mergeCell ref="D5:D6"/>
    <mergeCell ref="E5:E6"/>
    <mergeCell ref="P5:P6"/>
    <mergeCell ref="N5:N6"/>
    <mergeCell ref="H5:H6"/>
    <mergeCell ref="G5:G6"/>
    <mergeCell ref="I5:I6"/>
    <mergeCell ref="Z5:AB5"/>
    <mergeCell ref="AC5:AE5"/>
    <mergeCell ref="Y523:Y524"/>
    <mergeCell ref="Q5:Q6"/>
    <mergeCell ref="W5:Y5"/>
    <mergeCell ref="R5:U5"/>
    <mergeCell ref="A523:I524"/>
    <mergeCell ref="D183:D187"/>
    <mergeCell ref="D135:D178"/>
    <mergeCell ref="D190:D220"/>
    <mergeCell ref="D288:D303"/>
    <mergeCell ref="A407:M407"/>
    <mergeCell ref="A253:A400"/>
    <mergeCell ref="G380:G387"/>
    <mergeCell ref="G388:G392"/>
    <mergeCell ref="E99:E102"/>
    <mergeCell ref="F99:F102"/>
    <mergeCell ref="R523:S524"/>
    <mergeCell ref="A520:M520"/>
    <mergeCell ref="J523:Q524"/>
    <mergeCell ref="D340:D345"/>
    <mergeCell ref="A252:M252"/>
    <mergeCell ref="G401:G402"/>
    <mergeCell ref="J380:J387"/>
    <mergeCell ref="I282:I283"/>
    <mergeCell ref="I221:I244"/>
    <mergeCell ref="T523:X524"/>
    <mergeCell ref="J388:J392"/>
    <mergeCell ref="J395:J396"/>
    <mergeCell ref="J399:J400"/>
    <mergeCell ref="D346:D368"/>
    <mergeCell ref="G371:G379"/>
    <mergeCell ref="F371:F379"/>
    <mergeCell ref="E371:E379"/>
    <mergeCell ref="I418:I429"/>
    <mergeCell ref="I409:I411"/>
    <mergeCell ref="F412:F417"/>
    <mergeCell ref="F418:F429"/>
    <mergeCell ref="E412:E429"/>
    <mergeCell ref="I412:I417"/>
    <mergeCell ref="F409:F411"/>
    <mergeCell ref="E408:E411"/>
    <mergeCell ref="J354:J363"/>
    <mergeCell ref="I364:I366"/>
    <mergeCell ref="G365:G366"/>
    <mergeCell ref="G399:G400"/>
    <mergeCell ref="E380:E400"/>
    <mergeCell ref="I430:I431"/>
    <mergeCell ref="F430:F431"/>
    <mergeCell ref="F433:F438"/>
    <mergeCell ref="B188:B189"/>
    <mergeCell ref="D188:D189"/>
    <mergeCell ref="E148:E150"/>
    <mergeCell ref="B135:B142"/>
    <mergeCell ref="C135:C142"/>
    <mergeCell ref="B143:B178"/>
    <mergeCell ref="C143:C178"/>
    <mergeCell ref="F441:F444"/>
    <mergeCell ref="C408:C444"/>
    <mergeCell ref="C371:C379"/>
    <mergeCell ref="B371:B379"/>
    <mergeCell ref="C380:C400"/>
    <mergeCell ref="B380:B400"/>
    <mergeCell ref="B212:B220"/>
    <mergeCell ref="B190:B193"/>
    <mergeCell ref="B299:B303"/>
    <mergeCell ref="B316:B320"/>
    <mergeCell ref="C316:C320"/>
    <mergeCell ref="B304:B314"/>
    <mergeCell ref="C304:C314"/>
    <mergeCell ref="B321:B329"/>
    <mergeCell ref="C321:C329"/>
    <mergeCell ref="C330:C333"/>
    <mergeCell ref="B367:B368"/>
    <mergeCell ref="C367:C368"/>
    <mergeCell ref="B194:B197"/>
    <mergeCell ref="E198:E211"/>
    <mergeCell ref="I167:I169"/>
    <mergeCell ref="F282:F283"/>
    <mergeCell ref="F439:F440"/>
    <mergeCell ref="D260:D280"/>
    <mergeCell ref="I401:I403"/>
    <mergeCell ref="I404:I406"/>
    <mergeCell ref="F401:F406"/>
    <mergeCell ref="E401:E406"/>
    <mergeCell ref="I371:I379"/>
    <mergeCell ref="D371:D379"/>
    <mergeCell ref="G288:G290"/>
    <mergeCell ref="E367:E368"/>
    <mergeCell ref="F367:F368"/>
    <mergeCell ref="E364:E366"/>
    <mergeCell ref="F364:F366"/>
    <mergeCell ref="E332:E333"/>
    <mergeCell ref="I433:I438"/>
    <mergeCell ref="G198:G200"/>
    <mergeCell ref="G195:G196"/>
    <mergeCell ref="E194:E196"/>
    <mergeCell ref="E151:E178"/>
    <mergeCell ref="G271:G273"/>
    <mergeCell ref="G277:G279"/>
    <mergeCell ref="G260:G261"/>
    <mergeCell ref="D401:D406"/>
    <mergeCell ref="G354:G363"/>
    <mergeCell ref="E354:E363"/>
    <mergeCell ref="F354:F363"/>
    <mergeCell ref="D304:D320"/>
    <mergeCell ref="E284:E285"/>
    <mergeCell ref="F284:F285"/>
    <mergeCell ref="E282:E283"/>
    <mergeCell ref="E334:E335"/>
    <mergeCell ref="D369:D370"/>
    <mergeCell ref="D281:D287"/>
    <mergeCell ref="G316:G317"/>
    <mergeCell ref="I349:I352"/>
    <mergeCell ref="F380:F400"/>
    <mergeCell ref="I380:I400"/>
    <mergeCell ref="F288:F290"/>
    <mergeCell ref="E338:E339"/>
    <mergeCell ref="G338:G339"/>
    <mergeCell ref="D321:D339"/>
    <mergeCell ref="I321:I329"/>
    <mergeCell ref="G321:G329"/>
    <mergeCell ref="E321:E329"/>
    <mergeCell ref="F321:F329"/>
    <mergeCell ref="I334:I335"/>
    <mergeCell ref="E347:E348"/>
    <mergeCell ref="F347:F348"/>
    <mergeCell ref="E349:E352"/>
    <mergeCell ref="F349:F352"/>
    <mergeCell ref="G349:G352"/>
    <mergeCell ref="F334:F335"/>
    <mergeCell ref="G334:G335"/>
    <mergeCell ref="E318:E319"/>
    <mergeCell ref="G395:G396"/>
    <mergeCell ref="D380:D400"/>
    <mergeCell ref="C194:C197"/>
    <mergeCell ref="C364:C366"/>
    <mergeCell ref="C346:C353"/>
    <mergeCell ref="C354:C363"/>
    <mergeCell ref="B346:B366"/>
    <mergeCell ref="B338:B339"/>
    <mergeCell ref="C338:C339"/>
    <mergeCell ref="C340:C344"/>
    <mergeCell ref="B340:B344"/>
    <mergeCell ref="B281:B287"/>
    <mergeCell ref="C293:C296"/>
    <mergeCell ref="C288:C291"/>
    <mergeCell ref="B288:B291"/>
    <mergeCell ref="B293:B298"/>
    <mergeCell ref="C297:C298"/>
    <mergeCell ref="B330:B335"/>
    <mergeCell ref="C334:C335"/>
    <mergeCell ref="B336:B337"/>
    <mergeCell ref="C300:C302"/>
    <mergeCell ref="B198:B211"/>
    <mergeCell ref="C198:C211"/>
    <mergeCell ref="C260:C279"/>
    <mergeCell ref="C281:C285"/>
  </mergeCells>
  <conditionalFormatting sqref="P520">
    <cfRule type="colorScale" priority="595">
      <colorScale>
        <cfvo type="num" val="50"/>
        <cfvo type="num" val="70"/>
        <cfvo type="num" val="90"/>
        <color rgb="FFF8696B"/>
        <color rgb="FFFFEB84"/>
        <color rgb="FF63BE7B"/>
      </colorScale>
    </cfRule>
    <cfRule type="colorScale" priority="596">
      <colorScale>
        <cfvo type="min"/>
        <cfvo type="percentile" val="50"/>
        <cfvo type="max"/>
        <color rgb="FFF8696B"/>
        <color rgb="FFFFEB84"/>
        <color rgb="FF63BE7B"/>
      </colorScale>
    </cfRule>
  </conditionalFormatting>
  <conditionalFormatting sqref="Q520">
    <cfRule type="colorScale" priority="572">
      <colorScale>
        <cfvo type="num" val="50"/>
        <cfvo type="num" val="70"/>
        <cfvo type="num" val="90"/>
        <color rgb="FFF8696B"/>
        <color rgb="FFFFEB84"/>
        <color rgb="FF63BE7B"/>
      </colorScale>
    </cfRule>
    <cfRule type="colorScale" priority="573">
      <colorScale>
        <cfvo type="min"/>
        <cfvo type="percentile" val="50"/>
        <cfvo type="max"/>
        <color rgb="FFF8696B"/>
        <color rgb="FFFFEB84"/>
        <color rgb="FF63BE7B"/>
      </colorScale>
    </cfRule>
  </conditionalFormatting>
  <conditionalFormatting sqref="X8:X14">
    <cfRule type="iconSet" priority="526">
      <iconSet iconSet="3Symbols">
        <cfvo type="percent" val="0"/>
        <cfvo type="percent" val="33"/>
        <cfvo type="percent" val="67"/>
      </iconSet>
    </cfRule>
  </conditionalFormatting>
  <conditionalFormatting sqref="Z242:Z243">
    <cfRule type="iconSet" priority="515">
      <iconSet iconSet="3Symbols" showValue="0">
        <cfvo type="percent" val="0"/>
        <cfvo type="num" val="65"/>
        <cfvo type="num" val="90"/>
      </iconSet>
    </cfRule>
  </conditionalFormatting>
  <conditionalFormatting sqref="Z236:Z237 Z230:Z233">
    <cfRule type="iconSet" priority="510">
      <iconSet iconSet="3Symbols" showValue="0">
        <cfvo type="percent" val="0"/>
        <cfvo type="num" val="65"/>
        <cfvo type="num" val="90"/>
      </iconSet>
    </cfRule>
  </conditionalFormatting>
  <conditionalFormatting sqref="Z234:Z235">
    <cfRule type="iconSet" priority="505">
      <iconSet iconSet="3Symbols" showValue="0">
        <cfvo type="percent" val="0"/>
        <cfvo type="num" val="65"/>
        <cfvo type="num" val="90"/>
      </iconSet>
    </cfRule>
  </conditionalFormatting>
  <conditionalFormatting sqref="Z228:Z229 Z223:Z225">
    <cfRule type="iconSet" priority="500">
      <iconSet iconSet="3Symbols" showValue="0">
        <cfvo type="percent" val="0"/>
        <cfvo type="num" val="65"/>
        <cfvo type="num" val="90"/>
      </iconSet>
    </cfRule>
  </conditionalFormatting>
  <conditionalFormatting sqref="Z226:Z227">
    <cfRule type="iconSet" priority="495">
      <iconSet iconSet="3Symbols" showValue="0">
        <cfvo type="percent" val="0"/>
        <cfvo type="num" val="65"/>
        <cfvo type="num" val="90"/>
      </iconSet>
    </cfRule>
  </conditionalFormatting>
  <conditionalFormatting sqref="Z70:Z78">
    <cfRule type="iconSet" priority="480">
      <iconSet iconSet="3Symbols" showValue="0">
        <cfvo type="percent" val="0"/>
        <cfvo type="num" val="65"/>
        <cfvo type="num" val="90"/>
      </iconSet>
    </cfRule>
  </conditionalFormatting>
  <conditionalFormatting sqref="Z221:Z222">
    <cfRule type="iconSet" priority="1909">
      <iconSet iconSet="3Symbols" showValue="0">
        <cfvo type="percent" val="0"/>
        <cfvo type="num" val="65"/>
        <cfvo type="num" val="90"/>
      </iconSet>
    </cfRule>
  </conditionalFormatting>
  <conditionalFormatting sqref="Z398:Z399 Z390">
    <cfRule type="iconSet" priority="468">
      <iconSet iconSet="3Symbols" showValue="0">
        <cfvo type="percent" val="0"/>
        <cfvo type="num" val="65"/>
        <cfvo type="num" val="90"/>
      </iconSet>
    </cfRule>
  </conditionalFormatting>
  <conditionalFormatting sqref="Z392">
    <cfRule type="iconSet" priority="458">
      <iconSet iconSet="3Symbols" showValue="0">
        <cfvo type="percent" val="0"/>
        <cfvo type="num" val="65"/>
        <cfvo type="num" val="90"/>
      </iconSet>
    </cfRule>
  </conditionalFormatting>
  <conditionalFormatting sqref="Z391">
    <cfRule type="iconSet" priority="453">
      <iconSet iconSet="3Symbols" showValue="0">
        <cfvo type="percent" val="0"/>
        <cfvo type="num" val="65"/>
        <cfvo type="num" val="90"/>
      </iconSet>
    </cfRule>
  </conditionalFormatting>
  <conditionalFormatting sqref="Z393:Z397">
    <cfRule type="iconSet" priority="1984">
      <iconSet iconSet="3Symbols" showValue="0">
        <cfvo type="percent" val="0"/>
        <cfvo type="num" val="65"/>
        <cfvo type="num" val="90"/>
      </iconSet>
    </cfRule>
  </conditionalFormatting>
  <conditionalFormatting sqref="Z216:Z219">
    <cfRule type="iconSet" priority="448">
      <iconSet iconSet="3Symbols" showValue="0">
        <cfvo type="percent" val="0"/>
        <cfvo type="num" val="65"/>
        <cfvo type="num" val="90"/>
      </iconSet>
    </cfRule>
  </conditionalFormatting>
  <conditionalFormatting sqref="Z438:Z444">
    <cfRule type="iconSet" priority="2034">
      <iconSet iconSet="3Symbols" showValue="0">
        <cfvo type="percent" val="0"/>
        <cfvo type="num" val="65"/>
        <cfvo type="num" val="90"/>
      </iconSet>
    </cfRule>
  </conditionalFormatting>
  <conditionalFormatting sqref="Z406">
    <cfRule type="iconSet" priority="433">
      <iconSet iconSet="3Symbols" showValue="0">
        <cfvo type="percent" val="0"/>
        <cfvo type="num" val="65"/>
        <cfvo type="num" val="90"/>
      </iconSet>
    </cfRule>
  </conditionalFormatting>
  <conditionalFormatting sqref="Z401:Z405">
    <cfRule type="iconSet" priority="428">
      <iconSet iconSet="3Symbols" showValue="0">
        <cfvo type="percent" val="0"/>
        <cfvo type="num" val="65"/>
        <cfvo type="num" val="90"/>
      </iconSet>
    </cfRule>
  </conditionalFormatting>
  <conditionalFormatting sqref="Z400 Z386:Z389">
    <cfRule type="iconSet" priority="2039">
      <iconSet iconSet="3Symbols" showValue="0">
        <cfvo type="percent" val="0"/>
        <cfvo type="num" val="65"/>
        <cfvo type="num" val="90"/>
      </iconSet>
    </cfRule>
  </conditionalFormatting>
  <conditionalFormatting sqref="Z159:Z166">
    <cfRule type="iconSet" priority="413">
      <iconSet iconSet="3Symbols" showValue="0">
        <cfvo type="percent" val="0"/>
        <cfvo type="num" val="65"/>
        <cfvo type="num" val="90"/>
      </iconSet>
    </cfRule>
  </conditionalFormatting>
  <conditionalFormatting sqref="Z246:Z251">
    <cfRule type="iconSet" priority="2120">
      <iconSet iconSet="3Symbols" showValue="0">
        <cfvo type="percent" val="0"/>
        <cfvo type="num" val="65"/>
        <cfvo type="num" val="90"/>
      </iconSet>
    </cfRule>
  </conditionalFormatting>
  <conditionalFormatting sqref="Z117:Z120">
    <cfRule type="iconSet" priority="392">
      <iconSet iconSet="3Symbols" showValue="0">
        <cfvo type="percent" val="0"/>
        <cfvo type="num" val="65"/>
        <cfvo type="num" val="90"/>
      </iconSet>
    </cfRule>
  </conditionalFormatting>
  <conditionalFormatting sqref="Z114:Z116">
    <cfRule type="iconSet" priority="387">
      <iconSet iconSet="3Symbols" showValue="0">
        <cfvo type="percent" val="0"/>
        <cfvo type="num" val="65"/>
        <cfvo type="num" val="90"/>
      </iconSet>
    </cfRule>
  </conditionalFormatting>
  <conditionalFormatting sqref="Z136:Z153">
    <cfRule type="iconSet" priority="2256">
      <iconSet iconSet="3Symbols" showValue="0">
        <cfvo type="percent" val="0"/>
        <cfvo type="num" val="65"/>
        <cfvo type="num" val="90"/>
      </iconSet>
    </cfRule>
  </conditionalFormatting>
  <conditionalFormatting sqref="Z167:Z177">
    <cfRule type="iconSet" priority="2401">
      <iconSet iconSet="3Symbols" showValue="0">
        <cfvo type="percent" val="0"/>
        <cfvo type="num" val="65"/>
        <cfvo type="num" val="90"/>
      </iconSet>
    </cfRule>
  </conditionalFormatting>
  <conditionalFormatting sqref="P407">
    <cfRule type="colorScale" priority="385">
      <colorScale>
        <cfvo type="num" val="50"/>
        <cfvo type="num" val="70"/>
        <cfvo type="num" val="90"/>
        <color rgb="FFF8696B"/>
        <color rgb="FFFFEB84"/>
        <color rgb="FF63BE7B"/>
      </colorScale>
    </cfRule>
    <cfRule type="colorScale" priority="386">
      <colorScale>
        <cfvo type="min"/>
        <cfvo type="percentile" val="50"/>
        <cfvo type="max"/>
        <color rgb="FFF8696B"/>
        <color rgb="FFFFEB84"/>
        <color rgb="FF63BE7B"/>
      </colorScale>
    </cfRule>
  </conditionalFormatting>
  <conditionalFormatting sqref="Q407">
    <cfRule type="colorScale" priority="383">
      <colorScale>
        <cfvo type="num" val="50"/>
        <cfvo type="num" val="70"/>
        <cfvo type="num" val="90"/>
        <color rgb="FFF8696B"/>
        <color rgb="FFFFEB84"/>
        <color rgb="FF63BE7B"/>
      </colorScale>
    </cfRule>
    <cfRule type="colorScale" priority="384">
      <colorScale>
        <cfvo type="min"/>
        <cfvo type="percentile" val="50"/>
        <cfvo type="max"/>
        <color rgb="FFF8696B"/>
        <color rgb="FFFFEB84"/>
        <color rgb="FF63BE7B"/>
      </colorScale>
    </cfRule>
  </conditionalFormatting>
  <conditionalFormatting sqref="P252">
    <cfRule type="colorScale" priority="381">
      <colorScale>
        <cfvo type="num" val="50"/>
        <cfvo type="num" val="70"/>
        <cfvo type="num" val="90"/>
        <color rgb="FFF8696B"/>
        <color rgb="FFFFEB84"/>
        <color rgb="FF63BE7B"/>
      </colorScale>
    </cfRule>
    <cfRule type="colorScale" priority="382">
      <colorScale>
        <cfvo type="min"/>
        <cfvo type="percentile" val="50"/>
        <cfvo type="max"/>
        <color rgb="FFF8696B"/>
        <color rgb="FFFFEB84"/>
        <color rgb="FF63BE7B"/>
      </colorScale>
    </cfRule>
  </conditionalFormatting>
  <conditionalFormatting sqref="Q252">
    <cfRule type="colorScale" priority="379">
      <colorScale>
        <cfvo type="num" val="50"/>
        <cfvo type="num" val="70"/>
        <cfvo type="num" val="90"/>
        <color rgb="FFF8696B"/>
        <color rgb="FFFFEB84"/>
        <color rgb="FF63BE7B"/>
      </colorScale>
    </cfRule>
    <cfRule type="colorScale" priority="380">
      <colorScale>
        <cfvo type="min"/>
        <cfvo type="percentile" val="50"/>
        <cfvo type="max"/>
        <color rgb="FFF8696B"/>
        <color rgb="FFFFEB84"/>
        <color rgb="FF63BE7B"/>
      </colorScale>
    </cfRule>
  </conditionalFormatting>
  <conditionalFormatting sqref="Z320">
    <cfRule type="iconSet" priority="2669">
      <iconSet iconSet="3Symbols" showValue="0">
        <cfvo type="percent" val="0"/>
        <cfvo type="num" val="65"/>
        <cfvo type="num" val="90"/>
      </iconSet>
    </cfRule>
  </conditionalFormatting>
  <conditionalFormatting sqref="Z298">
    <cfRule type="iconSet" priority="360">
      <iconSet iconSet="3Symbols" showValue="0">
        <cfvo type="percent" val="0"/>
        <cfvo type="num" val="65"/>
        <cfvo type="num" val="90"/>
      </iconSet>
    </cfRule>
  </conditionalFormatting>
  <conditionalFormatting sqref="Z291">
    <cfRule type="iconSet" priority="355">
      <iconSet iconSet="3Symbols" showValue="0">
        <cfvo type="percent" val="0"/>
        <cfvo type="num" val="65"/>
        <cfvo type="num" val="90"/>
      </iconSet>
    </cfRule>
  </conditionalFormatting>
  <conditionalFormatting sqref="Z327:Z328">
    <cfRule type="iconSet" priority="350">
      <iconSet iconSet="3Symbols" showValue="0">
        <cfvo type="percent" val="0"/>
        <cfvo type="num" val="65"/>
        <cfvo type="num" val="90"/>
      </iconSet>
    </cfRule>
  </conditionalFormatting>
  <conditionalFormatting sqref="Z329">
    <cfRule type="iconSet" priority="340">
      <iconSet iconSet="3Symbols" showValue="0">
        <cfvo type="percent" val="0"/>
        <cfvo type="num" val="65"/>
        <cfvo type="num" val="90"/>
      </iconSet>
    </cfRule>
  </conditionalFormatting>
  <conditionalFormatting sqref="Z355:Z357">
    <cfRule type="iconSet" priority="2916">
      <iconSet iconSet="3Symbols" showValue="0">
        <cfvo type="percent" val="0"/>
        <cfvo type="num" val="65"/>
        <cfvo type="num" val="90"/>
      </iconSet>
    </cfRule>
  </conditionalFormatting>
  <conditionalFormatting sqref="Z358">
    <cfRule type="iconSet" priority="300">
      <iconSet iconSet="3Symbols" showValue="0">
        <cfvo type="percent" val="0"/>
        <cfvo type="num" val="65"/>
        <cfvo type="num" val="90"/>
      </iconSet>
    </cfRule>
  </conditionalFormatting>
  <conditionalFormatting sqref="Z359:Z363">
    <cfRule type="iconSet" priority="295">
      <iconSet iconSet="3Symbols" showValue="0">
        <cfvo type="percent" val="0"/>
        <cfvo type="num" val="65"/>
        <cfvo type="num" val="90"/>
      </iconSet>
    </cfRule>
  </conditionalFormatting>
  <conditionalFormatting sqref="Z365:Z366">
    <cfRule type="iconSet" priority="290">
      <iconSet iconSet="3Symbols" showValue="0">
        <cfvo type="percent" val="0"/>
        <cfvo type="num" val="65"/>
        <cfvo type="num" val="90"/>
      </iconSet>
    </cfRule>
  </conditionalFormatting>
  <conditionalFormatting sqref="Z178">
    <cfRule type="iconSet" priority="3468">
      <iconSet iconSet="3Symbols" showValue="0">
        <cfvo type="percent" val="0"/>
        <cfvo type="num" val="65"/>
        <cfvo type="num" val="90"/>
      </iconSet>
    </cfRule>
  </conditionalFormatting>
  <conditionalFormatting sqref="Z294">
    <cfRule type="iconSet" priority="280">
      <iconSet iconSet="3Symbols" showValue="0">
        <cfvo type="percent" val="0"/>
        <cfvo type="num" val="65"/>
        <cfvo type="num" val="90"/>
      </iconSet>
    </cfRule>
  </conditionalFormatting>
  <conditionalFormatting sqref="Z315">
    <cfRule type="iconSet" priority="265">
      <iconSet iconSet="3Symbols" showValue="0">
        <cfvo type="percent" val="0"/>
        <cfvo type="num" val="65"/>
        <cfvo type="num" val="90"/>
      </iconSet>
    </cfRule>
  </conditionalFormatting>
  <conditionalFormatting sqref="Z309:Z314 Z316:Z317">
    <cfRule type="iconSet" priority="3492">
      <iconSet iconSet="3Symbols" showValue="0">
        <cfvo type="percent" val="0"/>
        <cfvo type="num" val="65"/>
        <cfvo type="num" val="90"/>
      </iconSet>
    </cfRule>
  </conditionalFormatting>
  <conditionalFormatting sqref="Z318:Z319">
    <cfRule type="iconSet" priority="260">
      <iconSet iconSet="3Symbols" showValue="0">
        <cfvo type="percent" val="0"/>
        <cfvo type="num" val="65"/>
        <cfvo type="num" val="90"/>
      </iconSet>
    </cfRule>
  </conditionalFormatting>
  <conditionalFormatting sqref="Z332:Z333">
    <cfRule type="iconSet" priority="255">
      <iconSet iconSet="3Symbols" showValue="0">
        <cfvo type="percent" val="0"/>
        <cfvo type="num" val="65"/>
        <cfvo type="num" val="90"/>
      </iconSet>
    </cfRule>
  </conditionalFormatting>
  <conditionalFormatting sqref="Z337">
    <cfRule type="iconSet" priority="250">
      <iconSet iconSet="3Symbols" showValue="0">
        <cfvo type="percent" val="0"/>
        <cfvo type="num" val="65"/>
        <cfvo type="num" val="90"/>
      </iconSet>
    </cfRule>
  </conditionalFormatting>
  <conditionalFormatting sqref="Z334">
    <cfRule type="iconSet" priority="245">
      <iconSet iconSet="3Symbols" showValue="0">
        <cfvo type="percent" val="0"/>
        <cfvo type="num" val="65"/>
        <cfvo type="num" val="90"/>
      </iconSet>
    </cfRule>
  </conditionalFormatting>
  <conditionalFormatting sqref="Z335">
    <cfRule type="iconSet" priority="240">
      <iconSet iconSet="3Symbols" showValue="0">
        <cfvo type="percent" val="0"/>
        <cfvo type="num" val="65"/>
        <cfvo type="num" val="90"/>
      </iconSet>
    </cfRule>
  </conditionalFormatting>
  <conditionalFormatting sqref="Z347 Z349:Z352">
    <cfRule type="iconSet" priority="215">
      <iconSet iconSet="3Symbols" showValue="0">
        <cfvo type="percent" val="0"/>
        <cfvo type="num" val="65"/>
        <cfvo type="num" val="90"/>
      </iconSet>
    </cfRule>
  </conditionalFormatting>
  <conditionalFormatting sqref="Z348">
    <cfRule type="iconSet" priority="216">
      <iconSet iconSet="3Symbols" showValue="0">
        <cfvo type="percent" val="0"/>
        <cfvo type="num" val="65"/>
        <cfvo type="num" val="90"/>
      </iconSet>
    </cfRule>
  </conditionalFormatting>
  <conditionalFormatting sqref="Z353">
    <cfRule type="iconSet" priority="221">
      <iconSet iconSet="3Symbols" showValue="0">
        <cfvo type="percent" val="0"/>
        <cfvo type="num" val="65"/>
        <cfvo type="num" val="90"/>
      </iconSet>
    </cfRule>
  </conditionalFormatting>
  <conditionalFormatting sqref="Z471:Z473">
    <cfRule type="iconSet" priority="210">
      <iconSet iconSet="3Symbols" showValue="0">
        <cfvo type="percent" val="0"/>
        <cfvo type="num" val="65"/>
        <cfvo type="num" val="90"/>
      </iconSet>
    </cfRule>
  </conditionalFormatting>
  <conditionalFormatting sqref="Z468:Z470">
    <cfRule type="iconSet" priority="205">
      <iconSet iconSet="3Symbols" showValue="0">
        <cfvo type="percent" val="0"/>
        <cfvo type="num" val="65"/>
        <cfvo type="num" val="90"/>
      </iconSet>
    </cfRule>
  </conditionalFormatting>
  <conditionalFormatting sqref="Z465:Z467">
    <cfRule type="iconSet" priority="200">
      <iconSet iconSet="3Symbols" showValue="0">
        <cfvo type="percent" val="0"/>
        <cfvo type="num" val="65"/>
        <cfvo type="num" val="90"/>
      </iconSet>
    </cfRule>
  </conditionalFormatting>
  <conditionalFormatting sqref="Z462:Z464">
    <cfRule type="iconSet" priority="195">
      <iconSet iconSet="3Symbols" showValue="0">
        <cfvo type="percent" val="0"/>
        <cfvo type="num" val="65"/>
        <cfvo type="num" val="90"/>
      </iconSet>
    </cfRule>
  </conditionalFormatting>
  <conditionalFormatting sqref="Z459:Z461">
    <cfRule type="iconSet" priority="190">
      <iconSet iconSet="3Symbols" showValue="0">
        <cfvo type="percent" val="0"/>
        <cfvo type="num" val="65"/>
        <cfvo type="num" val="90"/>
      </iconSet>
    </cfRule>
  </conditionalFormatting>
  <conditionalFormatting sqref="Z483">
    <cfRule type="iconSet" priority="180">
      <iconSet iconSet="3Symbols" showValue="0">
        <cfvo type="percent" val="0"/>
        <cfvo type="num" val="65"/>
        <cfvo type="num" val="90"/>
      </iconSet>
    </cfRule>
  </conditionalFormatting>
  <conditionalFormatting sqref="Z481:Z482">
    <cfRule type="iconSet" priority="175">
      <iconSet iconSet="3Symbols" showValue="0">
        <cfvo type="percent" val="0"/>
        <cfvo type="num" val="65"/>
        <cfvo type="num" val="90"/>
      </iconSet>
    </cfRule>
  </conditionalFormatting>
  <conditionalFormatting sqref="Z480">
    <cfRule type="iconSet" priority="170">
      <iconSet iconSet="3Symbols" showValue="0">
        <cfvo type="percent" val="0"/>
        <cfvo type="num" val="65"/>
        <cfvo type="num" val="90"/>
      </iconSet>
    </cfRule>
  </conditionalFormatting>
  <conditionalFormatting sqref="Z478:Z479">
    <cfRule type="iconSet" priority="165">
      <iconSet iconSet="3Symbols" showValue="0">
        <cfvo type="percent" val="0"/>
        <cfvo type="num" val="65"/>
        <cfvo type="num" val="90"/>
      </iconSet>
    </cfRule>
  </conditionalFormatting>
  <conditionalFormatting sqref="Z514:Z519">
    <cfRule type="iconSet" priority="160">
      <iconSet iconSet="3Symbols" showValue="0">
        <cfvo type="percent" val="0"/>
        <cfvo type="num" val="65"/>
        <cfvo type="num" val="90"/>
      </iconSet>
    </cfRule>
  </conditionalFormatting>
  <conditionalFormatting sqref="Z520 Z484:Z488 Z445:Z458 Z407:Z437 Z244:Z245 Z8:Z52 Z238:Z241 Z79:Z111 Z220 Z154:Z158 Z179:Z181 Z252:Z290 Z133:Z135 Z321:Z326 Z299:Z308 Z292:Z293 Z330:Z331 Z338:Z346 Z364 Z367:Z385 Z295:Z297 Z336 Z354 Z474:Z477 Z512:Z513 Z55 Z68:Z69 Z183:Z215">
    <cfRule type="iconSet" priority="3594">
      <iconSet iconSet="3Symbols" showValue="0">
        <cfvo type="percent" val="0"/>
        <cfvo type="num" val="65"/>
        <cfvo type="num" val="90"/>
      </iconSet>
    </cfRule>
  </conditionalFormatting>
  <conditionalFormatting sqref="Z510:Z511">
    <cfRule type="iconSet" priority="105">
      <iconSet iconSet="3Symbols" showValue="0">
        <cfvo type="percent" val="0"/>
        <cfvo type="num" val="65"/>
        <cfvo type="num" val="90"/>
      </iconSet>
    </cfRule>
  </conditionalFormatting>
  <conditionalFormatting sqref="Z509">
    <cfRule type="iconSet" priority="100">
      <iconSet iconSet="3Symbols" showValue="0">
        <cfvo type="percent" val="0"/>
        <cfvo type="num" val="65"/>
        <cfvo type="num" val="90"/>
      </iconSet>
    </cfRule>
  </conditionalFormatting>
  <conditionalFormatting sqref="Z507:Z508">
    <cfRule type="iconSet" priority="95">
      <iconSet iconSet="3Symbols" showValue="0">
        <cfvo type="percent" val="0"/>
        <cfvo type="num" val="65"/>
        <cfvo type="num" val="90"/>
      </iconSet>
    </cfRule>
  </conditionalFormatting>
  <conditionalFormatting sqref="Z505:Z506">
    <cfRule type="iconSet" priority="90">
      <iconSet iconSet="3Symbols" showValue="0">
        <cfvo type="percent" val="0"/>
        <cfvo type="num" val="65"/>
        <cfvo type="num" val="90"/>
      </iconSet>
    </cfRule>
  </conditionalFormatting>
  <conditionalFormatting sqref="Z503:Z504">
    <cfRule type="iconSet" priority="85">
      <iconSet iconSet="3Symbols" showValue="0">
        <cfvo type="percent" val="0"/>
        <cfvo type="num" val="65"/>
        <cfvo type="num" val="90"/>
      </iconSet>
    </cfRule>
  </conditionalFormatting>
  <conditionalFormatting sqref="Z502">
    <cfRule type="iconSet" priority="80">
      <iconSet iconSet="3Symbols" showValue="0">
        <cfvo type="percent" val="0"/>
        <cfvo type="num" val="65"/>
        <cfvo type="num" val="90"/>
      </iconSet>
    </cfRule>
  </conditionalFormatting>
  <conditionalFormatting sqref="Z500:Z501">
    <cfRule type="iconSet" priority="75">
      <iconSet iconSet="3Symbols" showValue="0">
        <cfvo type="percent" val="0"/>
        <cfvo type="num" val="65"/>
        <cfvo type="num" val="90"/>
      </iconSet>
    </cfRule>
  </conditionalFormatting>
  <conditionalFormatting sqref="Z498:Z499">
    <cfRule type="iconSet" priority="70">
      <iconSet iconSet="3Symbols" showValue="0">
        <cfvo type="percent" val="0"/>
        <cfvo type="num" val="65"/>
        <cfvo type="num" val="90"/>
      </iconSet>
    </cfRule>
  </conditionalFormatting>
  <conditionalFormatting sqref="Z496:Z497">
    <cfRule type="iconSet" priority="65">
      <iconSet iconSet="3Symbols" showValue="0">
        <cfvo type="percent" val="0"/>
        <cfvo type="num" val="65"/>
        <cfvo type="num" val="90"/>
      </iconSet>
    </cfRule>
  </conditionalFormatting>
  <conditionalFormatting sqref="Z495">
    <cfRule type="iconSet" priority="60">
      <iconSet iconSet="3Symbols" showValue="0">
        <cfvo type="percent" val="0"/>
        <cfvo type="num" val="65"/>
        <cfvo type="num" val="90"/>
      </iconSet>
    </cfRule>
  </conditionalFormatting>
  <conditionalFormatting sqref="Z493:Z494">
    <cfRule type="iconSet" priority="55">
      <iconSet iconSet="3Symbols" showValue="0">
        <cfvo type="percent" val="0"/>
        <cfvo type="num" val="65"/>
        <cfvo type="num" val="90"/>
      </iconSet>
    </cfRule>
  </conditionalFormatting>
  <conditionalFormatting sqref="Z491:Z492">
    <cfRule type="iconSet" priority="50">
      <iconSet iconSet="3Symbols" showValue="0">
        <cfvo type="percent" val="0"/>
        <cfvo type="num" val="65"/>
        <cfvo type="num" val="90"/>
      </iconSet>
    </cfRule>
  </conditionalFormatting>
  <conditionalFormatting sqref="Z489:Z490">
    <cfRule type="iconSet" priority="45">
      <iconSet iconSet="3Symbols" showValue="0">
        <cfvo type="percent" val="0"/>
        <cfvo type="num" val="65"/>
        <cfvo type="num" val="90"/>
      </iconSet>
    </cfRule>
  </conditionalFormatting>
  <conditionalFormatting sqref="Z53:Z54">
    <cfRule type="iconSet" priority="40">
      <iconSet iconSet="3Symbols" showValue="0">
        <cfvo type="percent" val="0"/>
        <cfvo type="num" val="65"/>
        <cfvo type="num" val="90"/>
      </iconSet>
    </cfRule>
  </conditionalFormatting>
  <conditionalFormatting sqref="Z63:Z66">
    <cfRule type="iconSet" priority="15">
      <iconSet iconSet="3Symbols" showValue="0">
        <cfvo type="percent" val="0"/>
        <cfvo type="num" val="65"/>
        <cfvo type="num" val="90"/>
      </iconSet>
    </cfRule>
  </conditionalFormatting>
  <conditionalFormatting sqref="Z59:Z62">
    <cfRule type="iconSet" priority="10">
      <iconSet iconSet="3Symbols" showValue="0">
        <cfvo type="percent" val="0"/>
        <cfvo type="num" val="65"/>
        <cfvo type="num" val="90"/>
      </iconSet>
    </cfRule>
  </conditionalFormatting>
  <conditionalFormatting sqref="Z56:Z58">
    <cfRule type="iconSet" priority="5">
      <iconSet iconSet="3Symbols" showValue="0">
        <cfvo type="percent" val="0"/>
        <cfvo type="num" val="65"/>
        <cfvo type="num" val="90"/>
      </iconSet>
    </cfRule>
  </conditionalFormatting>
  <conditionalFormatting sqref="Z67">
    <cfRule type="iconSet" priority="3688">
      <iconSet iconSet="3Symbols" showValue="0">
        <cfvo type="percent" val="0"/>
        <cfvo type="num" val="65"/>
        <cfvo type="num" val="90"/>
      </iconSet>
    </cfRule>
  </conditionalFormatting>
  <conditionalFormatting sqref="Z124:Z131">
    <cfRule type="iconSet" priority="1">
      <iconSet iconSet="3Symbols" showValue="0">
        <cfvo type="percent" val="0"/>
        <cfvo type="num" val="65"/>
        <cfvo type="num" val="90"/>
      </iconSet>
    </cfRule>
  </conditionalFormatting>
  <conditionalFormatting sqref="Z112:Z113 Z121:Z123 Z132">
    <cfRule type="iconSet" priority="3693">
      <iconSet iconSet="3Symbols" showValue="0">
        <cfvo type="percent" val="0"/>
        <cfvo type="num" val="65"/>
        <cfvo type="num" val="90"/>
      </iconSet>
    </cfRule>
  </conditionalFormatting>
  <dataValidations disablePrompts="1" count="1">
    <dataValidation type="list" allowBlank="1" showInputMessage="1" showErrorMessage="1" sqref="G22:G23 G8 G15:G16">
      <formula1>ETAPAS</formula1>
    </dataValidation>
  </dataValidations>
  <printOptions gridLinesSet="0"/>
  <pageMargins left="0.75" right="0.75" top="1" bottom="1" header="0.5" footer="0.5"/>
  <pageSetup fitToWidth="0" fitToHeight="0" orientation="portrait"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A494"/>
  <sheetViews>
    <sheetView topLeftCell="D10" zoomScale="55" zoomScaleNormal="55" workbookViewId="0">
      <selection activeCell="D39" sqref="A39:XFD41"/>
    </sheetView>
  </sheetViews>
  <sheetFormatPr baseColWidth="10" defaultColWidth="11.42578125" defaultRowHeight="43.5" customHeight="1" x14ac:dyDescent="0.2"/>
  <cols>
    <col min="1" max="1" width="11.28515625" style="16" hidden="1" customWidth="1"/>
    <col min="2" max="2" width="7" style="16" hidden="1" customWidth="1"/>
    <col min="3" max="3" width="6.5703125" style="16" hidden="1" customWidth="1"/>
    <col min="4" max="4" width="15" style="16" customWidth="1"/>
    <col min="5" max="5" width="12.42578125" style="16" customWidth="1"/>
    <col min="6" max="6" width="20.28515625" style="285" customWidth="1"/>
    <col min="7" max="7" width="35.85546875" style="212" customWidth="1"/>
    <col min="8" max="8" width="23.42578125" style="285" customWidth="1"/>
    <col min="9" max="9" width="10.7109375" style="19" customWidth="1"/>
    <col min="10" max="14" width="9.7109375" style="19" customWidth="1"/>
    <col min="15" max="15" width="14.85546875" style="19" customWidth="1"/>
    <col min="16" max="17" width="9.7109375" style="19" customWidth="1"/>
    <col min="18" max="18" width="14.7109375" style="19" customWidth="1"/>
    <col min="19" max="19" width="12.5703125" style="19" customWidth="1"/>
    <col min="20" max="20" width="9.5703125" style="18" customWidth="1"/>
    <col min="21" max="21" width="13.5703125" style="18" customWidth="1"/>
    <col min="22" max="22" width="9.28515625" style="19" customWidth="1"/>
    <col min="23" max="23" width="13" style="18" customWidth="1"/>
    <col min="24" max="24" width="14.28515625" style="99" customWidth="1"/>
    <col min="25" max="25" width="16.42578125" style="99" customWidth="1"/>
    <col min="26" max="26" width="44.42578125" style="100" customWidth="1"/>
    <col min="27" max="32" width="44.42578125" style="18" customWidth="1"/>
    <col min="33" max="49" width="16.28515625" style="18" customWidth="1"/>
    <col min="50" max="50" width="16.85546875" style="18" customWidth="1"/>
    <col min="51" max="51" width="44.5703125" style="18" customWidth="1"/>
    <col min="52" max="16384" width="11.42578125" style="18"/>
  </cols>
  <sheetData>
    <row r="1" spans="1:339" s="21" customFormat="1" ht="77.25" hidden="1" customHeight="1" thickBot="1" x14ac:dyDescent="0.35">
      <c r="A1" s="23"/>
      <c r="B1" s="24"/>
      <c r="C1" s="24"/>
      <c r="D1" s="660"/>
      <c r="E1" s="660"/>
      <c r="F1" s="660"/>
      <c r="G1" s="660"/>
      <c r="H1" s="660"/>
      <c r="I1" s="660"/>
      <c r="J1" s="660"/>
      <c r="K1" s="660"/>
      <c r="L1" s="660"/>
      <c r="M1" s="660"/>
      <c r="N1" s="660"/>
      <c r="O1" s="660"/>
      <c r="P1" s="660"/>
      <c r="Q1" s="660"/>
      <c r="R1" s="660"/>
      <c r="S1" s="660"/>
      <c r="T1" s="660"/>
      <c r="U1" s="660"/>
      <c r="V1" s="660"/>
      <c r="W1" s="660"/>
      <c r="X1" s="660"/>
      <c r="Y1" s="660"/>
      <c r="Z1" s="660"/>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0"/>
    </row>
    <row r="2" spans="1:339" s="21" customFormat="1" ht="43.5" hidden="1" customHeight="1" thickBot="1" x14ac:dyDescent="0.35">
      <c r="A2" s="23"/>
      <c r="B2" s="24"/>
      <c r="C2" s="24"/>
      <c r="D2" s="661" t="s">
        <v>1187</v>
      </c>
      <c r="E2" s="661"/>
      <c r="F2" s="661"/>
      <c r="G2" s="661"/>
      <c r="H2" s="661"/>
      <c r="I2" s="661"/>
      <c r="J2" s="661"/>
      <c r="K2" s="661"/>
      <c r="L2" s="661"/>
      <c r="M2" s="661"/>
      <c r="N2" s="661"/>
      <c r="O2" s="661"/>
      <c r="P2" s="661"/>
      <c r="Q2" s="661"/>
      <c r="R2" s="661"/>
      <c r="S2" s="661"/>
      <c r="T2" s="661"/>
      <c r="U2" s="661"/>
      <c r="V2" s="661"/>
      <c r="W2" s="661"/>
      <c r="X2" s="661"/>
      <c r="Y2" s="661"/>
      <c r="Z2" s="661"/>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0"/>
    </row>
    <row r="3" spans="1:339" s="29" customFormat="1" ht="43.5" hidden="1" customHeight="1" thickBot="1" x14ac:dyDescent="0.3">
      <c r="A3" s="25"/>
      <c r="B3" s="26"/>
      <c r="C3" s="26"/>
      <c r="D3" s="662" t="s">
        <v>1188</v>
      </c>
      <c r="E3" s="662"/>
      <c r="F3" s="662"/>
      <c r="G3" s="662"/>
      <c r="H3" s="662"/>
      <c r="I3" s="662"/>
      <c r="J3" s="662"/>
      <c r="K3" s="662"/>
      <c r="L3" s="662"/>
      <c r="M3" s="662"/>
      <c r="N3" s="662"/>
      <c r="O3" s="662"/>
      <c r="P3" s="662"/>
      <c r="Q3" s="662"/>
      <c r="R3" s="662"/>
      <c r="S3" s="662"/>
      <c r="T3" s="662"/>
      <c r="U3" s="662"/>
      <c r="V3" s="662"/>
      <c r="W3" s="662"/>
      <c r="X3" s="662"/>
      <c r="Y3" s="662"/>
      <c r="Z3" s="662"/>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8"/>
    </row>
    <row r="4" spans="1:339" s="29" customFormat="1" ht="62.25" customHeight="1" thickBot="1" x14ac:dyDescent="0.3">
      <c r="A4" s="391"/>
      <c r="B4" s="391"/>
      <c r="C4" s="391"/>
      <c r="D4" s="667"/>
      <c r="E4" s="667"/>
      <c r="F4" s="667"/>
      <c r="G4" s="667"/>
      <c r="H4" s="667"/>
      <c r="I4" s="667"/>
      <c r="J4" s="667"/>
      <c r="K4" s="667"/>
      <c r="L4" s="667"/>
      <c r="M4" s="667"/>
      <c r="N4" s="667"/>
      <c r="O4" s="667"/>
      <c r="P4" s="667"/>
      <c r="Q4" s="667"/>
      <c r="R4" s="667"/>
      <c r="S4" s="667"/>
      <c r="T4" s="667"/>
      <c r="U4" s="667"/>
      <c r="V4" s="667"/>
      <c r="W4" s="667"/>
      <c r="X4" s="667"/>
      <c r="Y4" s="667"/>
      <c r="Z4" s="66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8"/>
    </row>
    <row r="5" spans="1:339" s="21" customFormat="1" ht="33.75" customHeight="1" x14ac:dyDescent="0.3">
      <c r="A5" s="30"/>
      <c r="B5" s="30"/>
      <c r="C5" s="30"/>
      <c r="D5" s="664" t="s">
        <v>1187</v>
      </c>
      <c r="E5" s="665"/>
      <c r="F5" s="665"/>
      <c r="G5" s="665"/>
      <c r="H5" s="665"/>
      <c r="I5" s="665"/>
      <c r="J5" s="665"/>
      <c r="K5" s="665"/>
      <c r="L5" s="665"/>
      <c r="M5" s="665"/>
      <c r="N5" s="666"/>
      <c r="O5" s="663" t="s">
        <v>1190</v>
      </c>
      <c r="P5" s="663"/>
      <c r="Q5" s="663"/>
      <c r="R5" s="663" t="s">
        <v>1191</v>
      </c>
      <c r="S5" s="663"/>
      <c r="T5" s="663"/>
      <c r="U5" s="663" t="s">
        <v>1192</v>
      </c>
      <c r="V5" s="663"/>
      <c r="W5" s="663"/>
      <c r="X5" s="663" t="s">
        <v>1193</v>
      </c>
      <c r="Y5" s="663"/>
      <c r="Z5" s="663"/>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20"/>
    </row>
    <row r="6" spans="1:339" s="21" customFormat="1" ht="19.5" customHeight="1" x14ac:dyDescent="0.3">
      <c r="A6" s="30"/>
      <c r="B6" s="30"/>
      <c r="C6" s="30"/>
      <c r="D6" s="679" t="s">
        <v>1351</v>
      </c>
      <c r="E6" s="680"/>
      <c r="F6" s="680"/>
      <c r="G6" s="680"/>
      <c r="H6" s="680"/>
      <c r="I6" s="680"/>
      <c r="J6" s="680"/>
      <c r="K6" s="680"/>
      <c r="L6" s="680"/>
      <c r="M6" s="680"/>
      <c r="N6" s="681"/>
      <c r="O6" s="381"/>
      <c r="P6" s="381"/>
      <c r="Q6" s="381"/>
      <c r="R6" s="381"/>
      <c r="S6" s="381"/>
      <c r="T6" s="381"/>
      <c r="U6" s="381"/>
      <c r="V6" s="381"/>
      <c r="W6" s="381"/>
      <c r="X6" s="381"/>
      <c r="Y6" s="381"/>
      <c r="Z6" s="38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20"/>
    </row>
    <row r="7" spans="1:339" s="37" customFormat="1" ht="47.25" customHeight="1" x14ac:dyDescent="0.2">
      <c r="A7" s="32" t="s">
        <v>1194</v>
      </c>
      <c r="B7" s="33" t="s">
        <v>1195</v>
      </c>
      <c r="C7" s="34" t="s">
        <v>1196</v>
      </c>
      <c r="D7" s="35" t="s">
        <v>1197</v>
      </c>
      <c r="E7" s="32" t="s">
        <v>1198</v>
      </c>
      <c r="F7" s="32" t="s">
        <v>1199</v>
      </c>
      <c r="G7" s="32" t="s">
        <v>1200</v>
      </c>
      <c r="H7" s="32" t="s">
        <v>1201</v>
      </c>
      <c r="I7" s="32" t="s">
        <v>1202</v>
      </c>
      <c r="J7" s="32" t="s">
        <v>1203</v>
      </c>
      <c r="K7" s="32" t="s">
        <v>1204</v>
      </c>
      <c r="L7" s="32" t="s">
        <v>1205</v>
      </c>
      <c r="M7" s="32"/>
      <c r="N7" s="32" t="s">
        <v>1206</v>
      </c>
      <c r="O7" s="32" t="s">
        <v>1207</v>
      </c>
      <c r="P7" s="32" t="s">
        <v>1208</v>
      </c>
      <c r="Q7" s="32" t="s">
        <v>1209</v>
      </c>
      <c r="R7" s="32" t="s">
        <v>1207</v>
      </c>
      <c r="S7" s="32" t="s">
        <v>1208</v>
      </c>
      <c r="T7" s="32" t="s">
        <v>1209</v>
      </c>
      <c r="U7" s="32" t="s">
        <v>1207</v>
      </c>
      <c r="V7" s="32" t="s">
        <v>1208</v>
      </c>
      <c r="W7" s="32" t="s">
        <v>1209</v>
      </c>
      <c r="X7" s="32" t="s">
        <v>1207</v>
      </c>
      <c r="Y7" s="32" t="s">
        <v>1208</v>
      </c>
      <c r="Z7" s="32" t="s">
        <v>1209</v>
      </c>
      <c r="AA7" s="36"/>
      <c r="AB7" s="36"/>
      <c r="AC7" s="36"/>
      <c r="AD7" s="36"/>
      <c r="AE7" s="36"/>
      <c r="AF7" s="36"/>
      <c r="AG7" s="36"/>
      <c r="AH7" s="36"/>
      <c r="AI7" s="36"/>
      <c r="AJ7" s="36"/>
      <c r="AK7" s="36"/>
      <c r="AL7" s="36"/>
      <c r="AM7" s="36"/>
      <c r="AN7" s="36"/>
      <c r="AO7" s="36"/>
      <c r="AP7" s="36"/>
      <c r="AQ7" s="36"/>
      <c r="AR7" s="36"/>
      <c r="AS7" s="36"/>
      <c r="AT7" s="36"/>
      <c r="AU7" s="36"/>
      <c r="AV7" s="36"/>
      <c r="AW7" s="36"/>
      <c r="AX7" s="36"/>
      <c r="AY7" s="36"/>
    </row>
    <row r="8" spans="1:339" s="48" customFormat="1" ht="58.5" customHeight="1" x14ac:dyDescent="0.25">
      <c r="A8" s="38">
        <v>1</v>
      </c>
      <c r="B8" s="39">
        <v>0</v>
      </c>
      <c r="C8" s="40">
        <v>1</v>
      </c>
      <c r="D8" s="41" t="s">
        <v>1210</v>
      </c>
      <c r="E8" s="42" t="s">
        <v>1211</v>
      </c>
      <c r="F8" s="43" t="s">
        <v>780</v>
      </c>
      <c r="G8" s="43" t="s">
        <v>157</v>
      </c>
      <c r="H8" s="43" t="s">
        <v>160</v>
      </c>
      <c r="I8" s="44">
        <v>0.2</v>
      </c>
      <c r="J8" s="44">
        <v>0.5</v>
      </c>
      <c r="K8" s="44">
        <v>0.5</v>
      </c>
      <c r="L8" s="44">
        <f>'Plan de Acción 2021'!Q55</f>
        <v>0.7</v>
      </c>
      <c r="M8" s="44"/>
      <c r="N8" s="44">
        <v>1</v>
      </c>
      <c r="O8" s="44">
        <f>('Plan de Acción 2021'!W43+'Plan de Acción 2021'!W44+'Plan de Acción 2021'!W45+'Plan de Acción 2021'!W46+'Plan de Acción 2021'!W47+'Plan de Acción 2021'!W48+'Plan de Acción 2021'!W49+'Plan de Acción 2021'!W50+'Plan de Acción 2021'!W51+'Plan de Acción 2021'!W52+'Plan de Acción 2021'!W53+'Plan de Acción 2021'!W54+'Plan de Acción 2021'!W55+'Plan de Acción 2021'!W57+'Plan de Acción 2021'!W58+'Plan de Acción 2021'!W59+'Plan de Acción 2021'!W60+'Plan de Acción 2021'!W282+'Plan de Acción 2021'!W283+'Plan de Acción 2021'!W293+'Plan de Acción 2021'!W293+'Plan de Acción 2021'!W320+'Plan de Acción 2021'!W332+'Plan de Acción 2021'!W333+'Plan de Acción 2021'!W349+'Plan de Acción 2021'!W350+'Plan de Acción 2021'!W351+'Plan de Acción 2021'!W352)/28</f>
        <v>0</v>
      </c>
      <c r="P8" s="44">
        <f>(O8*20%)/(L8-K8)</f>
        <v>0</v>
      </c>
      <c r="R8" s="44">
        <f>('Plan de Acción 2021'!Z43+'Plan de Acción 2021'!Z44+'Plan de Acción 2021'!Z45+'Plan de Acción 2021'!Z46+'Plan de Acción 2021'!Z47+'Plan de Acción 2021'!Z48+'Plan de Acción 2021'!Z49+'Plan de Acción 2021'!Z50+'Plan de Acción 2021'!Z51+'Plan de Acción 2021'!Z52+'Plan de Acción 2021'!Z53+'Plan de Acción 2021'!Z54+'Plan de Acción 2021'!Z55+'Plan de Acción 2021'!Z57+'Plan de Acción 2021'!Z58+'Plan de Acción 2021'!Z59+'Plan de Acción 2021'!Z60+'Plan de Acción 2021'!Z282+'Plan de Acción 2021'!Z283+'Plan de Acción 2021'!Z293+'Plan de Acción 2021'!Z293+'Plan de Acción 2021'!Z320+'Plan de Acción 2021'!Z332+'Plan de Acción 2021'!Z333+'Plan de Acción 2021'!Z349+'Plan de Acción 2021'!Z350+'Plan de Acción 2021'!Z351+'Plan de Acción 2021'!Z352)/28</f>
        <v>0</v>
      </c>
      <c r="S8" s="44">
        <f>(R8*100%)/(L8-K8)</f>
        <v>0</v>
      </c>
      <c r="T8" s="43"/>
      <c r="U8" s="44">
        <f>('Plan de Acción 2021'!AC43+'Plan de Acción 2021'!AC44+'Plan de Acción 2021'!AC45+'Plan de Acción 2021'!AC46+'Plan de Acción 2021'!AC47+'Plan de Acción 2021'!AC48+'Plan de Acción 2021'!AC49+'Plan de Acción 2021'!AC50+'Plan de Acción 2021'!AC51+'Plan de Acción 2021'!AC52+'Plan de Acción 2021'!AC53+'Plan de Acción 2021'!AC54+'Plan de Acción 2021'!AC55+'Plan de Acción 2021'!AC57+'Plan de Acción 2021'!AC58+'Plan de Acción 2021'!AC59+'Plan de Acción 2021'!AC60+'Plan de Acción 2021'!AC282+'Plan de Acción 2021'!AC283+'Plan de Acción 2021'!AC293+'Plan de Acción 2021'!AC293+'Plan de Acción 2021'!AC320+'Plan de Acción 2021'!AC332+'Plan de Acción 2021'!AC333+'Plan de Acción 2021'!AC349+'Plan de Acción 2021'!AC350+'Plan de Acción 2021'!AC351+'Plan de Acción 2021'!AC352)/28</f>
        <v>0</v>
      </c>
      <c r="V8" s="44">
        <f>(U8*100%)/(L8-K8)</f>
        <v>0</v>
      </c>
      <c r="W8" s="45"/>
      <c r="X8" s="44">
        <f>('Plan de Acción 2021'!AF43+'Plan de Acción 2021'!AF44+'Plan de Acción 2021'!AF45+'Plan de Acción 2021'!AF46+'Plan de Acción 2021'!AF47+'Plan de Acción 2021'!AF48+'Plan de Acción 2021'!AF49+'Plan de Acción 2021'!AF50+'Plan de Acción 2021'!AF51+'Plan de Acción 2021'!AF52+'Plan de Acción 2021'!AF53+'Plan de Acción 2021'!AF54+'Plan de Acción 2021'!AF55+'Plan de Acción 2021'!AF57+'Plan de Acción 2021'!AF58+'Plan de Acción 2021'!AF59+'Plan de Acción 2021'!AF60+'Plan de Acción 2021'!AF282+'Plan de Acción 2021'!AF283+'Plan de Acción 2021'!AF293+'Plan de Acción 2021'!AF293+'Plan de Acción 2021'!AF320+'Plan de Acción 2021'!AF332+'Plan de Acción 2021'!AF333+'Plan de Acción 2021'!AF349+'Plan de Acción 2021'!AF350+'Plan de Acción 2021'!AF351+'Plan de Acción 2021'!AF352)/28</f>
        <v>0</v>
      </c>
      <c r="Y8" s="44">
        <f>(X8*100%)/(L8-K8)</f>
        <v>0</v>
      </c>
      <c r="Z8" s="46"/>
      <c r="AA8" s="47"/>
      <c r="AB8" s="31"/>
      <c r="AC8" s="31"/>
      <c r="AD8" s="31"/>
      <c r="AE8" s="31"/>
      <c r="AF8" s="31"/>
      <c r="AG8" s="31"/>
      <c r="AH8" s="31"/>
      <c r="AI8" s="31"/>
      <c r="AJ8" s="31"/>
      <c r="AK8" s="31"/>
      <c r="AL8" s="31"/>
      <c r="AM8" s="31"/>
      <c r="AN8" s="31"/>
      <c r="AO8" s="31"/>
      <c r="AP8" s="31"/>
      <c r="AQ8" s="31"/>
      <c r="AR8" s="31"/>
      <c r="AS8" s="31"/>
      <c r="AT8" s="31"/>
      <c r="AU8" s="31"/>
      <c r="AV8" s="31"/>
      <c r="AW8" s="31"/>
      <c r="AX8" s="31"/>
      <c r="AY8" s="31"/>
      <c r="AZ8" s="18"/>
      <c r="BA8" s="18"/>
    </row>
    <row r="9" spans="1:339" s="21" customFormat="1" ht="78.75" customHeight="1" x14ac:dyDescent="0.25">
      <c r="A9" s="49">
        <v>2</v>
      </c>
      <c r="B9" s="49">
        <v>1</v>
      </c>
      <c r="C9" s="50">
        <v>0</v>
      </c>
      <c r="D9" s="51" t="s">
        <v>1212</v>
      </c>
      <c r="E9" s="51" t="s">
        <v>1212</v>
      </c>
      <c r="F9" s="52" t="s">
        <v>485</v>
      </c>
      <c r="G9" s="52" t="s">
        <v>486</v>
      </c>
      <c r="H9" s="52" t="s">
        <v>488</v>
      </c>
      <c r="I9" s="53">
        <v>0</v>
      </c>
      <c r="J9" s="53">
        <v>0.2</v>
      </c>
      <c r="K9" s="42">
        <v>0</v>
      </c>
      <c r="L9" s="44">
        <f>'Plan de Acción 2021'!Q182</f>
        <v>0.4</v>
      </c>
      <c r="M9" s="44"/>
      <c r="N9" s="53">
        <v>1</v>
      </c>
      <c r="O9" s="53">
        <f>'Plan de Acción 2021'!W182</f>
        <v>0</v>
      </c>
      <c r="P9" s="44">
        <f>(O9*40%)/(L9-K9)</f>
        <v>0</v>
      </c>
      <c r="Q9" s="53"/>
      <c r="R9" s="53">
        <f>'Plan de Acción 2021'!Z182</f>
        <v>0</v>
      </c>
      <c r="S9" s="44">
        <f>(R9*40%)/(L9-K9)</f>
        <v>0</v>
      </c>
      <c r="T9" s="54"/>
      <c r="U9" s="53">
        <f>'Plan de Acción 2021'!AC182</f>
        <v>0</v>
      </c>
      <c r="V9" s="44">
        <f t="shared" ref="V9:V28" si="0">(U9*100%)/(L9-K9)</f>
        <v>0</v>
      </c>
      <c r="W9" s="55"/>
      <c r="X9" s="53">
        <f>'Plan de Acción 2021'!AF182</f>
        <v>0</v>
      </c>
      <c r="Y9" s="44">
        <f t="shared" ref="Y9:Y28" si="1">(X9*100%)/(L9-K9)</f>
        <v>0</v>
      </c>
      <c r="Z9" s="56"/>
      <c r="AA9" s="57"/>
      <c r="AB9" s="31"/>
      <c r="AC9" s="31"/>
      <c r="AD9" s="31"/>
      <c r="AE9" s="31"/>
      <c r="AF9" s="31"/>
      <c r="AG9" s="31"/>
      <c r="AH9" s="31"/>
      <c r="AI9" s="31"/>
      <c r="AJ9" s="31"/>
      <c r="AK9" s="31"/>
      <c r="AL9" s="31"/>
      <c r="AM9" s="31"/>
      <c r="AN9" s="31"/>
      <c r="AO9" s="31"/>
      <c r="AP9" s="31"/>
      <c r="AQ9" s="31"/>
      <c r="AR9" s="31"/>
      <c r="AS9" s="31"/>
      <c r="AT9" s="31"/>
      <c r="AU9" s="31"/>
      <c r="AV9" s="31"/>
      <c r="AW9" s="31"/>
      <c r="AX9" s="31"/>
      <c r="AY9" s="31"/>
      <c r="AZ9" s="18"/>
      <c r="BA9" s="18"/>
    </row>
    <row r="10" spans="1:339" s="21" customFormat="1" ht="70.5" customHeight="1" x14ac:dyDescent="0.25">
      <c r="A10" s="49">
        <v>3</v>
      </c>
      <c r="B10" s="49">
        <v>1</v>
      </c>
      <c r="C10" s="50">
        <v>0</v>
      </c>
      <c r="D10" s="51" t="s">
        <v>1213</v>
      </c>
      <c r="E10" s="42" t="s">
        <v>1</v>
      </c>
      <c r="F10" s="54" t="s">
        <v>741</v>
      </c>
      <c r="G10" s="52" t="s">
        <v>742</v>
      </c>
      <c r="H10" s="52" t="s">
        <v>745</v>
      </c>
      <c r="I10" s="58">
        <v>0.1</v>
      </c>
      <c r="J10" s="53">
        <v>0.2</v>
      </c>
      <c r="K10" s="58">
        <v>0.2</v>
      </c>
      <c r="L10" s="44">
        <f>'Plan de Acción 2021'!Q281</f>
        <v>0.6</v>
      </c>
      <c r="M10" s="44"/>
      <c r="N10" s="58">
        <v>1</v>
      </c>
      <c r="O10" s="58">
        <f>('Plan de Acción 2021'!W281+'Plan de Acción 2021'!W488+'Plan de Acción 2021'!W489+'Plan de Acción 2021'!W490+'Plan de Acción 2021'!W491+'Plan de Acción 2021'!W492+'Plan de Acción 2021'!W493+'Plan de Acción 2021'!W494+'Plan de Acción 2021'!W495+'Plan de Acción 2021'!W496+'Plan de Acción 2021'!W497+'Plan de Acción 2021'!W498+'Plan de Acción 2021'!W499+'Plan de Acción 2021'!W500+'Plan de Acción 2021'!W501+'Plan de Acción 2021'!W502+'Plan de Acción 2021'!W503+'Plan de Acción 2021'!W504+'Plan de Acción 2021'!W505+'Plan de Acción 2021'!W506+'Plan de Acción 2021'!W507+'Plan de Acción 2021'!W508+'Plan de Acción 2021'!W509+'Plan de Acción 2021'!W510+'Plan de Acción 2021'!W511)/25</f>
        <v>0</v>
      </c>
      <c r="P10" s="44">
        <f>(O10*40%)/(L10-K10)</f>
        <v>0</v>
      </c>
      <c r="Q10" s="58"/>
      <c r="R10" s="58">
        <f>('Plan de Acción 2021'!Z281+'Plan de Acción 2021'!Z488+'Plan de Acción 2021'!Z489+'Plan de Acción 2021'!Z490+'Plan de Acción 2021'!Z491+'Plan de Acción 2021'!Z492+'Plan de Acción 2021'!Z493+'Plan de Acción 2021'!Z494+'Plan de Acción 2021'!Z495+'Plan de Acción 2021'!Z496+'Plan de Acción 2021'!Z497+'Plan de Acción 2021'!Z498+'Plan de Acción 2021'!Z499+'Plan de Acción 2021'!Z500+'Plan de Acción 2021'!Z501+'Plan de Acción 2021'!Z502+'Plan de Acción 2021'!Z503+'Plan de Acción 2021'!Z504+'Plan de Acción 2021'!Z505+'Plan de Acción 2021'!Z506+'Plan de Acción 2021'!Z507+'Plan de Acción 2021'!Z508+'Plan de Acción 2021'!Z509+'Plan de Acción 2021'!Z510+'Plan de Acción 2021'!Z511)/25</f>
        <v>0</v>
      </c>
      <c r="S10" s="44">
        <f>(R10*40%)/(L10-K10)</f>
        <v>0</v>
      </c>
      <c r="T10" s="54"/>
      <c r="U10" s="58">
        <f>('Plan de Acción 2021'!AC281+'Plan de Acción 2021'!AC488+'Plan de Acción 2021'!AC489+'Plan de Acción 2021'!AC490+'Plan de Acción 2021'!AC491+'Plan de Acción 2021'!AC492+'Plan de Acción 2021'!AC493+'Plan de Acción 2021'!AC494+'Plan de Acción 2021'!AC495+'Plan de Acción 2021'!AC496+'Plan de Acción 2021'!AC497+'Plan de Acción 2021'!AC498+'Plan de Acción 2021'!AC499+'Plan de Acción 2021'!AC500+'Plan de Acción 2021'!AC501+'Plan de Acción 2021'!AC502+'Plan de Acción 2021'!AC503+'Plan de Acción 2021'!AC504+'Plan de Acción 2021'!AC505+'Plan de Acción 2021'!AC506+'Plan de Acción 2021'!AC507+'Plan de Acción 2021'!AC508+'Plan de Acción 2021'!AC509+'Plan de Acción 2021'!AC510+'Plan de Acción 2021'!AC511)/25</f>
        <v>0</v>
      </c>
      <c r="V10" s="44">
        <f>(U10*40%)/(L10-K10)</f>
        <v>0</v>
      </c>
      <c r="W10" s="59"/>
      <c r="X10" s="58">
        <f>('Plan de Acción 2021'!AF281+'Plan de Acción 2021'!AF488+'Plan de Acción 2021'!AF489+'Plan de Acción 2021'!AF490+'Plan de Acción 2021'!AF491+'Plan de Acción 2021'!AF492+'Plan de Acción 2021'!AF493+'Plan de Acción 2021'!AF494+'Plan de Acción 2021'!AF495+'Plan de Acción 2021'!AF496+'Plan de Acción 2021'!AF497+'Plan de Acción 2021'!AF498+'Plan de Acción 2021'!AF499+'Plan de Acción 2021'!AF500+'Plan de Acción 2021'!AF501+'Plan de Acción 2021'!AF502+'Plan de Acción 2021'!AF503+'Plan de Acción 2021'!AF504+'Plan de Acción 2021'!AF505+'Plan de Acción 2021'!AF506+'Plan de Acción 2021'!AF507+'Plan de Acción 2021'!AF508+'Plan de Acción 2021'!AF509+'Plan de Acción 2021'!AF510+'Plan de Acción 2021'!AF511)/25</f>
        <v>0</v>
      </c>
      <c r="Y10" s="44">
        <f>(X10*40%)/(L10-K10)</f>
        <v>0</v>
      </c>
      <c r="Z10" s="60"/>
      <c r="AA10" s="6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18"/>
      <c r="BA10" s="18"/>
    </row>
    <row r="11" spans="1:339" s="21" customFormat="1" ht="114" customHeight="1" x14ac:dyDescent="0.25">
      <c r="A11" s="62">
        <v>4</v>
      </c>
      <c r="B11" s="49">
        <v>1</v>
      </c>
      <c r="C11" s="50">
        <v>0</v>
      </c>
      <c r="D11" s="51" t="s">
        <v>1213</v>
      </c>
      <c r="E11" s="42" t="s">
        <v>1</v>
      </c>
      <c r="F11" s="52" t="s">
        <v>753</v>
      </c>
      <c r="G11" s="52" t="s">
        <v>754</v>
      </c>
      <c r="H11" s="52" t="s">
        <v>788</v>
      </c>
      <c r="I11" s="53">
        <v>0</v>
      </c>
      <c r="J11" s="53">
        <v>0.3</v>
      </c>
      <c r="K11" s="58">
        <v>0.2</v>
      </c>
      <c r="L11" s="44">
        <f>'Plan de Acción 2021'!Q285</f>
        <v>0.6</v>
      </c>
      <c r="M11" s="44"/>
      <c r="N11" s="53">
        <v>1</v>
      </c>
      <c r="O11" s="53">
        <f>('Plan de Acción 2021'!W347+'Plan de Acción 2021'!W348+'Plan de Acción 2021'!W331++'Plan de Acción 2021'!W295+'Plan de Acción 2021'!W284+'Plan de Acción 2021'!W285)/6</f>
        <v>0</v>
      </c>
      <c r="P11" s="44">
        <f>(O11*40%)/(L11-K11)</f>
        <v>0</v>
      </c>
      <c r="Q11" s="53"/>
      <c r="R11" s="53">
        <f>('Plan de Acción 2021'!Z347+'Plan de Acción 2021'!Z348+'Plan de Acción 2021'!Z331++'Plan de Acción 2021'!Z295+'Plan de Acción 2021'!Z284+'Plan de Acción 2021'!Z285)/6</f>
        <v>0</v>
      </c>
      <c r="S11" s="44">
        <f>(R11*40%)/(L11-K11)</f>
        <v>0</v>
      </c>
      <c r="T11" s="54"/>
      <c r="U11" s="53">
        <f>('Plan de Acción 2021'!AC347+'Plan de Acción 2021'!AC348+'Plan de Acción 2021'!AC331++'Plan de Acción 2021'!AC295+'Plan de Acción 2021'!AC284+'Plan de Acción 2021'!AC285)/6</f>
        <v>0</v>
      </c>
      <c r="V11" s="44">
        <f>(U11*40%)/(L11-K11)</f>
        <v>0</v>
      </c>
      <c r="W11" s="59"/>
      <c r="X11" s="53">
        <f>('Plan de Acción 2021'!AF347+'Plan de Acción 2021'!AF348+'Plan de Acción 2021'!AF331++'Plan de Acción 2021'!AF295+'Plan de Acción 2021'!AF284+'Plan de Acción 2021'!AF285)/6</f>
        <v>0</v>
      </c>
      <c r="Y11" s="44">
        <f>(X11*40%)/(L11-K11)</f>
        <v>0</v>
      </c>
      <c r="Z11" s="60"/>
      <c r="AA11" s="63"/>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18"/>
      <c r="BA11" s="18"/>
    </row>
    <row r="12" spans="1:339" s="68" customFormat="1" ht="43.5" customHeight="1" x14ac:dyDescent="0.25">
      <c r="A12" s="669">
        <v>5</v>
      </c>
      <c r="B12" s="39">
        <v>0</v>
      </c>
      <c r="C12" s="40">
        <v>1</v>
      </c>
      <c r="D12" s="41" t="s">
        <v>1210</v>
      </c>
      <c r="E12" s="42" t="s">
        <v>1214</v>
      </c>
      <c r="F12" s="673" t="s">
        <v>138</v>
      </c>
      <c r="G12" s="64" t="s">
        <v>56</v>
      </c>
      <c r="H12" s="43" t="s">
        <v>59</v>
      </c>
      <c r="I12" s="65">
        <v>0.754</v>
      </c>
      <c r="J12" s="44">
        <v>0.86</v>
      </c>
      <c r="K12" s="66">
        <v>0.88800000000000001</v>
      </c>
      <c r="L12" s="44">
        <f>'Plan de Acción 2021'!Q42</f>
        <v>0.87</v>
      </c>
      <c r="M12" s="44"/>
      <c r="N12" s="44">
        <v>0.9</v>
      </c>
      <c r="O12" s="44">
        <f>'Plan de Acción 2021'!W39</f>
        <v>0</v>
      </c>
      <c r="P12" s="44">
        <f>O12</f>
        <v>0</v>
      </c>
      <c r="Q12" s="44"/>
      <c r="R12" s="44">
        <f>'Plan de Acción 2021'!Z39</f>
        <v>0</v>
      </c>
      <c r="S12" s="44">
        <f>R12</f>
        <v>0</v>
      </c>
      <c r="T12" s="43"/>
      <c r="U12" s="44">
        <f>'Plan de Acción 2021'!AC39</f>
        <v>0</v>
      </c>
      <c r="V12" s="44">
        <f>U12</f>
        <v>0</v>
      </c>
      <c r="W12" s="55"/>
      <c r="X12" s="44">
        <f>'Plan de Acción 2021'!AF39</f>
        <v>0</v>
      </c>
      <c r="Y12" s="44">
        <f>X12</f>
        <v>0</v>
      </c>
      <c r="Z12" s="56"/>
      <c r="AA12" s="67"/>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18"/>
      <c r="BA12" s="1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c r="IW12" s="48"/>
      <c r="IX12" s="48"/>
      <c r="IY12" s="48"/>
      <c r="IZ12" s="48"/>
      <c r="JA12" s="48"/>
      <c r="JB12" s="48"/>
      <c r="JC12" s="48"/>
      <c r="JD12" s="48"/>
      <c r="JE12" s="48"/>
      <c r="JF12" s="48"/>
      <c r="JG12" s="48"/>
      <c r="JH12" s="48"/>
      <c r="JI12" s="48"/>
      <c r="JJ12" s="48"/>
      <c r="JK12" s="48"/>
      <c r="JL12" s="48"/>
      <c r="JM12" s="48"/>
      <c r="JN12" s="48"/>
      <c r="JO12" s="48"/>
      <c r="JP12" s="48"/>
      <c r="JQ12" s="48"/>
      <c r="JR12" s="48"/>
      <c r="JS12" s="48"/>
      <c r="JT12" s="48"/>
      <c r="JU12" s="48"/>
      <c r="JV12" s="48"/>
      <c r="JW12" s="48"/>
      <c r="JX12" s="48"/>
      <c r="JY12" s="48"/>
      <c r="JZ12" s="48"/>
      <c r="KA12" s="48"/>
      <c r="KB12" s="48"/>
      <c r="KC12" s="48"/>
      <c r="KD12" s="48"/>
      <c r="KE12" s="48"/>
      <c r="KF12" s="48"/>
      <c r="KG12" s="48"/>
      <c r="KH12" s="48"/>
      <c r="KI12" s="48"/>
      <c r="KJ12" s="48"/>
      <c r="KK12" s="48"/>
      <c r="KL12" s="48"/>
      <c r="KM12" s="48"/>
      <c r="KN12" s="48"/>
      <c r="KO12" s="48"/>
      <c r="KP12" s="48"/>
      <c r="KQ12" s="48"/>
      <c r="KR12" s="48"/>
      <c r="KS12" s="48"/>
      <c r="KT12" s="48"/>
      <c r="KU12" s="48"/>
      <c r="KV12" s="48"/>
      <c r="KW12" s="48"/>
      <c r="KX12" s="48"/>
      <c r="KY12" s="48"/>
      <c r="KZ12" s="48"/>
      <c r="LA12" s="48"/>
      <c r="LB12" s="48"/>
      <c r="LC12" s="48"/>
      <c r="LD12" s="48"/>
      <c r="LE12" s="48"/>
      <c r="LF12" s="48"/>
      <c r="LG12" s="48"/>
      <c r="LH12" s="48"/>
      <c r="LI12" s="48"/>
      <c r="LJ12" s="48"/>
      <c r="LK12" s="48"/>
      <c r="LL12" s="48"/>
      <c r="LM12" s="48"/>
      <c r="LN12" s="48"/>
      <c r="LO12" s="48"/>
      <c r="LP12" s="48"/>
      <c r="LQ12" s="48"/>
      <c r="LR12" s="48"/>
      <c r="LS12" s="48"/>
      <c r="LT12" s="48"/>
      <c r="LU12" s="48"/>
      <c r="LV12" s="48"/>
      <c r="LW12" s="48"/>
      <c r="LX12" s="48"/>
      <c r="LY12" s="48"/>
      <c r="LZ12" s="48"/>
      <c r="MA12" s="48"/>
    </row>
    <row r="13" spans="1:339" s="68" customFormat="1" ht="43.5" customHeight="1" x14ac:dyDescent="0.25">
      <c r="A13" s="670"/>
      <c r="B13" s="39">
        <v>0</v>
      </c>
      <c r="C13" s="40">
        <v>1</v>
      </c>
      <c r="D13" s="41" t="s">
        <v>1210</v>
      </c>
      <c r="E13" s="42" t="s">
        <v>1214</v>
      </c>
      <c r="F13" s="673"/>
      <c r="G13" s="64" t="s">
        <v>1215</v>
      </c>
      <c r="H13" s="43" t="s">
        <v>147</v>
      </c>
      <c r="I13" s="44">
        <v>0</v>
      </c>
      <c r="J13" s="44">
        <v>0.2</v>
      </c>
      <c r="K13" s="44">
        <v>0.05</v>
      </c>
      <c r="L13" s="44">
        <f>'Plan de Acción 2021'!Q40</f>
        <v>0.5</v>
      </c>
      <c r="M13" s="44"/>
      <c r="N13" s="44">
        <v>1</v>
      </c>
      <c r="O13" s="44">
        <f>'Plan de Acción 2021'!W40</f>
        <v>0</v>
      </c>
      <c r="P13" s="44">
        <f>(O13*45%)/(L13-K13)</f>
        <v>0</v>
      </c>
      <c r="Q13" s="44"/>
      <c r="R13" s="44">
        <f>'Plan de Acción 2021'!Z40</f>
        <v>0</v>
      </c>
      <c r="S13" s="44">
        <f>(R13*45%)/(L13-K13)</f>
        <v>0</v>
      </c>
      <c r="T13" s="43"/>
      <c r="U13" s="44">
        <f>'Plan de Acción 2021'!AC40</f>
        <v>0</v>
      </c>
      <c r="V13" s="44">
        <f>(U13*45%)/(L13-K13)</f>
        <v>0</v>
      </c>
      <c r="W13" s="45"/>
      <c r="X13" s="44">
        <f>'Plan de Acción 2021'!AF40</f>
        <v>0</v>
      </c>
      <c r="Y13" s="44">
        <f>(X13*45%)/(L13-K13)</f>
        <v>0</v>
      </c>
      <c r="Z13" s="46"/>
      <c r="AA13" s="69"/>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18"/>
      <c r="BA13" s="1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c r="DP13" s="48"/>
      <c r="DQ13" s="48"/>
      <c r="DR13" s="48"/>
      <c r="DS13" s="48"/>
      <c r="DT13" s="48"/>
      <c r="DU13" s="48"/>
      <c r="DV13" s="48"/>
      <c r="DW13" s="48"/>
      <c r="DX13" s="48"/>
      <c r="DY13" s="48"/>
      <c r="DZ13" s="48"/>
      <c r="EA13" s="48"/>
      <c r="EB13" s="48"/>
      <c r="EC13" s="48"/>
      <c r="ED13" s="48"/>
      <c r="EE13" s="48"/>
      <c r="EF13" s="48"/>
      <c r="EG13" s="48"/>
      <c r="EH13" s="48"/>
      <c r="EI13" s="48"/>
      <c r="EJ13" s="48"/>
      <c r="EK13" s="48"/>
      <c r="EL13" s="48"/>
      <c r="EM13" s="48"/>
      <c r="EN13" s="48"/>
      <c r="EO13" s="48"/>
      <c r="EP13" s="48"/>
      <c r="EQ13" s="48"/>
      <c r="ER13" s="48"/>
      <c r="ES13" s="48"/>
      <c r="ET13" s="48"/>
      <c r="EU13" s="48"/>
      <c r="EV13" s="48"/>
      <c r="EW13" s="48"/>
      <c r="EX13" s="48"/>
      <c r="EY13" s="48"/>
      <c r="EZ13" s="48"/>
      <c r="FA13" s="48"/>
      <c r="FB13" s="48"/>
      <c r="FC13" s="48"/>
      <c r="FD13" s="48"/>
      <c r="FE13" s="48"/>
      <c r="FF13" s="48"/>
      <c r="FG13" s="48"/>
      <c r="FH13" s="48"/>
      <c r="FI13" s="48"/>
      <c r="FJ13" s="48"/>
      <c r="FK13" s="48"/>
      <c r="FL13" s="48"/>
      <c r="FM13" s="48"/>
      <c r="FN13" s="48"/>
      <c r="FO13" s="48"/>
      <c r="FP13" s="48"/>
      <c r="FQ13" s="48"/>
      <c r="FR13" s="48"/>
      <c r="FS13" s="48"/>
      <c r="FT13" s="48"/>
      <c r="FU13" s="48"/>
      <c r="FV13" s="48"/>
      <c r="FW13" s="48"/>
      <c r="FX13" s="48"/>
      <c r="FY13" s="48"/>
      <c r="FZ13" s="48"/>
      <c r="GA13" s="48"/>
      <c r="GB13" s="48"/>
      <c r="GC13" s="48"/>
      <c r="GD13" s="48"/>
      <c r="GE13" s="48"/>
      <c r="GF13" s="48"/>
      <c r="GG13" s="48"/>
      <c r="GH13" s="48"/>
      <c r="GI13" s="48"/>
      <c r="GJ13" s="48"/>
      <c r="GK13" s="48"/>
      <c r="GL13" s="48"/>
      <c r="GM13" s="48"/>
      <c r="GN13" s="48"/>
      <c r="GO13" s="48"/>
      <c r="GP13" s="48"/>
      <c r="GQ13" s="48"/>
      <c r="GR13" s="48"/>
      <c r="GS13" s="48"/>
      <c r="GT13" s="48"/>
      <c r="GU13" s="48"/>
      <c r="GV13" s="48"/>
      <c r="GW13" s="48"/>
      <c r="GX13" s="48"/>
      <c r="GY13" s="48"/>
      <c r="GZ13" s="48"/>
      <c r="HA13" s="48"/>
      <c r="HB13" s="48"/>
      <c r="HC13" s="48"/>
      <c r="HD13" s="48"/>
      <c r="HE13" s="48"/>
      <c r="HF13" s="48"/>
      <c r="HG13" s="48"/>
      <c r="HH13" s="48"/>
      <c r="HI13" s="48"/>
      <c r="HJ13" s="48"/>
      <c r="HK13" s="48"/>
      <c r="HL13" s="48"/>
      <c r="HM13" s="48"/>
      <c r="HN13" s="48"/>
      <c r="HO13" s="48"/>
      <c r="HP13" s="48"/>
      <c r="HQ13" s="48"/>
      <c r="HR13" s="48"/>
      <c r="HS13" s="48"/>
      <c r="HT13" s="48"/>
      <c r="HU13" s="48"/>
      <c r="HV13" s="48"/>
      <c r="HW13" s="48"/>
      <c r="HX13" s="48"/>
      <c r="HY13" s="48"/>
      <c r="HZ13" s="48"/>
      <c r="IA13" s="48"/>
      <c r="IB13" s="48"/>
      <c r="IC13" s="48"/>
      <c r="ID13" s="48"/>
      <c r="IE13" s="48"/>
      <c r="IF13" s="48"/>
      <c r="IG13" s="48"/>
      <c r="IH13" s="48"/>
      <c r="II13" s="48"/>
      <c r="IJ13" s="48"/>
      <c r="IK13" s="48"/>
      <c r="IL13" s="48"/>
      <c r="IM13" s="48"/>
      <c r="IN13" s="48"/>
      <c r="IO13" s="48"/>
      <c r="IP13" s="48"/>
      <c r="IQ13" s="48"/>
      <c r="IR13" s="48"/>
      <c r="IS13" s="48"/>
      <c r="IT13" s="48"/>
      <c r="IU13" s="48"/>
      <c r="IV13" s="48"/>
      <c r="IW13" s="48"/>
      <c r="IX13" s="48"/>
      <c r="IY13" s="48"/>
      <c r="IZ13" s="48"/>
      <c r="JA13" s="48"/>
      <c r="JB13" s="48"/>
      <c r="JC13" s="48"/>
      <c r="JD13" s="48"/>
      <c r="JE13" s="48"/>
      <c r="JF13" s="48"/>
      <c r="JG13" s="48"/>
      <c r="JH13" s="48"/>
      <c r="JI13" s="48"/>
      <c r="JJ13" s="48"/>
      <c r="JK13" s="48"/>
      <c r="JL13" s="48"/>
      <c r="JM13" s="48"/>
      <c r="JN13" s="48"/>
      <c r="JO13" s="48"/>
      <c r="JP13" s="48"/>
      <c r="JQ13" s="48"/>
      <c r="JR13" s="48"/>
      <c r="JS13" s="48"/>
      <c r="JT13" s="48"/>
      <c r="JU13" s="48"/>
      <c r="JV13" s="48"/>
      <c r="JW13" s="48"/>
      <c r="JX13" s="48"/>
      <c r="JY13" s="48"/>
      <c r="JZ13" s="48"/>
      <c r="KA13" s="48"/>
      <c r="KB13" s="48"/>
      <c r="KC13" s="48"/>
      <c r="KD13" s="48"/>
      <c r="KE13" s="48"/>
      <c r="KF13" s="48"/>
      <c r="KG13" s="48"/>
      <c r="KH13" s="48"/>
      <c r="KI13" s="48"/>
      <c r="KJ13" s="48"/>
      <c r="KK13" s="48"/>
      <c r="KL13" s="48"/>
      <c r="KM13" s="48"/>
      <c r="KN13" s="48"/>
      <c r="KO13" s="48"/>
      <c r="KP13" s="48"/>
      <c r="KQ13" s="48"/>
      <c r="KR13" s="48"/>
      <c r="KS13" s="48"/>
      <c r="KT13" s="48"/>
      <c r="KU13" s="48"/>
      <c r="KV13" s="48"/>
      <c r="KW13" s="48"/>
      <c r="KX13" s="48"/>
      <c r="KY13" s="48"/>
      <c r="KZ13" s="48"/>
      <c r="LA13" s="48"/>
      <c r="LB13" s="48"/>
      <c r="LC13" s="48"/>
      <c r="LD13" s="48"/>
      <c r="LE13" s="48"/>
      <c r="LF13" s="48"/>
      <c r="LG13" s="48"/>
      <c r="LH13" s="48"/>
      <c r="LI13" s="48"/>
      <c r="LJ13" s="48"/>
      <c r="LK13" s="48"/>
      <c r="LL13" s="48"/>
      <c r="LM13" s="48"/>
      <c r="LN13" s="48"/>
      <c r="LO13" s="48"/>
      <c r="LP13" s="48"/>
      <c r="LQ13" s="48"/>
      <c r="LR13" s="48"/>
      <c r="LS13" s="48"/>
      <c r="LT13" s="48"/>
      <c r="LU13" s="48"/>
      <c r="LV13" s="48"/>
      <c r="LW13" s="48"/>
      <c r="LX13" s="48"/>
      <c r="LY13" s="48"/>
      <c r="LZ13" s="48"/>
      <c r="MA13" s="48"/>
    </row>
    <row r="14" spans="1:339" s="21" customFormat="1" ht="43.5" customHeight="1" x14ac:dyDescent="0.25">
      <c r="A14" s="671"/>
      <c r="B14" s="39">
        <v>1</v>
      </c>
      <c r="C14" s="40">
        <v>0</v>
      </c>
      <c r="D14" s="41" t="s">
        <v>1210</v>
      </c>
      <c r="E14" s="42" t="s">
        <v>1216</v>
      </c>
      <c r="F14" s="673"/>
      <c r="G14" s="64" t="s">
        <v>310</v>
      </c>
      <c r="H14" s="43" t="s">
        <v>313</v>
      </c>
      <c r="I14" s="43">
        <f>1+1+1+1+1</f>
        <v>5</v>
      </c>
      <c r="J14" s="43">
        <v>6</v>
      </c>
      <c r="K14" s="43">
        <v>6</v>
      </c>
      <c r="L14" s="43">
        <v>7</v>
      </c>
      <c r="M14" s="43"/>
      <c r="N14" s="43">
        <v>9</v>
      </c>
      <c r="O14" s="44">
        <f>('Plan de Acción 2021'!W99+'Plan de Acción 2021'!W100+'Plan de Acción 2021'!W101+'Plan de Acción 2021'!W102+'Plan de Acción 2021'!W319)/5</f>
        <v>0</v>
      </c>
      <c r="P14" s="44">
        <f t="shared" ref="P14" si="2">(O14*100%)/(L14-K14)</f>
        <v>0</v>
      </c>
      <c r="Q14" s="43"/>
      <c r="R14" s="44">
        <f>('Plan de Acción 2021'!Z99+'Plan de Acción 2021'!Z100+'Plan de Acción 2021'!Z101+'Plan de Acción 2021'!Z102+'Plan de Acción 2021'!Z319)/5</f>
        <v>0</v>
      </c>
      <c r="S14" s="44">
        <f t="shared" ref="S14:S28" si="3">(R14*100%)/(L14-K14)</f>
        <v>0</v>
      </c>
      <c r="T14" s="43"/>
      <c r="U14" s="44">
        <f>('Plan de Acción 2021'!AC99+'Plan de Acción 2021'!AC100+'Plan de Acción 2021'!AC101+'Plan de Acción 2021'!AC102+'Plan de Acción 2021'!AC319)/5</f>
        <v>0</v>
      </c>
      <c r="V14" s="44">
        <f t="shared" si="0"/>
        <v>0</v>
      </c>
      <c r="W14" s="45"/>
      <c r="X14" s="44">
        <f>('Plan de Acción 2021'!AF99+'Plan de Acción 2021'!AF100+'Plan de Acción 2021'!AF101+'Plan de Acción 2021'!AF102+'Plan de Acción 2021'!AF319)/5</f>
        <v>0</v>
      </c>
      <c r="Y14" s="44">
        <f t="shared" si="1"/>
        <v>0</v>
      </c>
      <c r="Z14" s="46"/>
      <c r="AA14" s="69"/>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18"/>
      <c r="BA14" s="1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c r="DT14" s="48"/>
      <c r="DU14" s="48"/>
      <c r="DV14" s="48"/>
      <c r="DW14" s="48"/>
      <c r="DX14" s="48"/>
      <c r="DY14" s="48"/>
      <c r="DZ14" s="48"/>
      <c r="EA14" s="48"/>
      <c r="EB14" s="48"/>
      <c r="EC14" s="48"/>
      <c r="ED14" s="48"/>
      <c r="EE14" s="48"/>
      <c r="EF14" s="48"/>
      <c r="EG14" s="48"/>
      <c r="EH14" s="48"/>
      <c r="EI14" s="48"/>
      <c r="EJ14" s="48"/>
      <c r="EK14" s="48"/>
      <c r="EL14" s="48"/>
      <c r="EM14" s="48"/>
      <c r="EN14" s="48"/>
      <c r="EO14" s="48"/>
      <c r="EP14" s="48"/>
      <c r="EQ14" s="48"/>
      <c r="ER14" s="48"/>
      <c r="ES14" s="48"/>
      <c r="ET14" s="48"/>
      <c r="EU14" s="48"/>
      <c r="EV14" s="48"/>
      <c r="EW14" s="48"/>
      <c r="EX14" s="48"/>
      <c r="EY14" s="48"/>
      <c r="EZ14" s="48"/>
      <c r="FA14" s="48"/>
      <c r="FB14" s="48"/>
      <c r="FC14" s="48"/>
      <c r="FD14" s="48"/>
      <c r="FE14" s="48"/>
      <c r="FF14" s="48"/>
      <c r="FG14" s="48"/>
      <c r="FH14" s="48"/>
      <c r="FI14" s="48"/>
      <c r="FJ14" s="48"/>
      <c r="FK14" s="48"/>
      <c r="FL14" s="48"/>
      <c r="FM14" s="48"/>
      <c r="FN14" s="48"/>
      <c r="FO14" s="48"/>
      <c r="FP14" s="48"/>
      <c r="FQ14" s="48"/>
      <c r="FR14" s="48"/>
      <c r="FS14" s="48"/>
      <c r="FT14" s="48"/>
      <c r="FU14" s="48"/>
      <c r="FV14" s="48"/>
      <c r="FW14" s="48"/>
      <c r="FX14" s="48"/>
      <c r="FY14" s="48"/>
      <c r="FZ14" s="48"/>
      <c r="GA14" s="48"/>
      <c r="GB14" s="48"/>
      <c r="GC14" s="48"/>
      <c r="GD14" s="48"/>
      <c r="GE14" s="48"/>
      <c r="GF14" s="48"/>
      <c r="GG14" s="48"/>
      <c r="GH14" s="48"/>
      <c r="GI14" s="48"/>
      <c r="GJ14" s="48"/>
      <c r="GK14" s="48"/>
      <c r="GL14" s="48"/>
      <c r="GM14" s="48"/>
      <c r="GN14" s="48"/>
      <c r="GO14" s="48"/>
      <c r="GP14" s="48"/>
      <c r="GQ14" s="48"/>
      <c r="GR14" s="48"/>
      <c r="GS14" s="48"/>
      <c r="GT14" s="48"/>
      <c r="GU14" s="48"/>
      <c r="GV14" s="48"/>
      <c r="GW14" s="48"/>
      <c r="GX14" s="48"/>
      <c r="GY14" s="48"/>
      <c r="GZ14" s="48"/>
      <c r="HA14" s="48"/>
      <c r="HB14" s="48"/>
      <c r="HC14" s="48"/>
      <c r="HD14" s="48"/>
      <c r="HE14" s="48"/>
      <c r="HF14" s="48"/>
      <c r="HG14" s="48"/>
      <c r="HH14" s="48"/>
      <c r="HI14" s="48"/>
      <c r="HJ14" s="48"/>
      <c r="HK14" s="48"/>
      <c r="HL14" s="48"/>
      <c r="HM14" s="48"/>
      <c r="HN14" s="48"/>
      <c r="HO14" s="48"/>
      <c r="HP14" s="48"/>
      <c r="HQ14" s="48"/>
      <c r="HR14" s="48"/>
      <c r="HS14" s="48"/>
      <c r="HT14" s="48"/>
      <c r="HU14" s="48"/>
      <c r="HV14" s="48"/>
      <c r="HW14" s="48"/>
      <c r="HX14" s="48"/>
      <c r="HY14" s="48"/>
      <c r="HZ14" s="48"/>
      <c r="IA14" s="48"/>
      <c r="IB14" s="48"/>
      <c r="IC14" s="48"/>
      <c r="ID14" s="48"/>
      <c r="IE14" s="48"/>
      <c r="IF14" s="48"/>
      <c r="IG14" s="48"/>
      <c r="IH14" s="48"/>
      <c r="II14" s="48"/>
      <c r="IJ14" s="48"/>
      <c r="IK14" s="48"/>
      <c r="IL14" s="48"/>
      <c r="IM14" s="48"/>
      <c r="IN14" s="48"/>
      <c r="IO14" s="48"/>
      <c r="IP14" s="48"/>
      <c r="IQ14" s="48"/>
      <c r="IR14" s="48"/>
      <c r="IS14" s="48"/>
      <c r="IT14" s="48"/>
      <c r="IU14" s="48"/>
      <c r="IV14" s="48"/>
      <c r="IW14" s="48"/>
      <c r="IX14" s="48"/>
      <c r="IY14" s="48"/>
      <c r="IZ14" s="48"/>
      <c r="JA14" s="48"/>
      <c r="JB14" s="48"/>
      <c r="JC14" s="48"/>
      <c r="JD14" s="48"/>
      <c r="JE14" s="48"/>
      <c r="JF14" s="48"/>
      <c r="JG14" s="48"/>
      <c r="JH14" s="48"/>
      <c r="JI14" s="48"/>
      <c r="JJ14" s="48"/>
      <c r="JK14" s="48"/>
      <c r="JL14" s="48"/>
      <c r="JM14" s="48"/>
      <c r="JN14" s="48"/>
      <c r="JO14" s="48"/>
      <c r="JP14" s="48"/>
      <c r="JQ14" s="48"/>
      <c r="JR14" s="48"/>
      <c r="JS14" s="48"/>
      <c r="JT14" s="48"/>
      <c r="JU14" s="48"/>
      <c r="JV14" s="48"/>
      <c r="JW14" s="48"/>
      <c r="JX14" s="48"/>
      <c r="JY14" s="48"/>
      <c r="JZ14" s="48"/>
      <c r="KA14" s="48"/>
      <c r="KB14" s="48"/>
      <c r="KC14" s="48"/>
      <c r="KD14" s="48"/>
      <c r="KE14" s="48"/>
      <c r="KF14" s="48"/>
      <c r="KG14" s="48"/>
      <c r="KH14" s="48"/>
      <c r="KI14" s="48"/>
      <c r="KJ14" s="48"/>
      <c r="KK14" s="48"/>
      <c r="KL14" s="48"/>
      <c r="KM14" s="48"/>
      <c r="KN14" s="48"/>
      <c r="KO14" s="48"/>
      <c r="KP14" s="48"/>
      <c r="KQ14" s="48"/>
      <c r="KR14" s="48"/>
      <c r="KS14" s="48"/>
      <c r="KT14" s="48"/>
      <c r="KU14" s="48"/>
      <c r="KV14" s="48"/>
      <c r="KW14" s="48"/>
      <c r="KX14" s="48"/>
      <c r="KY14" s="48"/>
      <c r="KZ14" s="48"/>
      <c r="LA14" s="48"/>
      <c r="LB14" s="48"/>
      <c r="LC14" s="48"/>
      <c r="LD14" s="48"/>
      <c r="LE14" s="48"/>
      <c r="LF14" s="48"/>
      <c r="LG14" s="48"/>
      <c r="LH14" s="48"/>
      <c r="LI14" s="48"/>
      <c r="LJ14" s="48"/>
      <c r="LK14" s="48"/>
      <c r="LL14" s="48"/>
      <c r="LM14" s="48"/>
      <c r="LN14" s="48"/>
      <c r="LO14" s="48"/>
      <c r="LP14" s="48"/>
      <c r="LQ14" s="48"/>
      <c r="LR14" s="48"/>
      <c r="LS14" s="48"/>
      <c r="LT14" s="48"/>
      <c r="LU14" s="48"/>
      <c r="LV14" s="48"/>
      <c r="LW14" s="48"/>
      <c r="LX14" s="48"/>
      <c r="LY14" s="48"/>
      <c r="LZ14" s="48"/>
      <c r="MA14" s="48"/>
    </row>
    <row r="15" spans="1:339" s="68" customFormat="1" ht="78" customHeight="1" x14ac:dyDescent="0.25">
      <c r="A15" s="671"/>
      <c r="B15" s="39">
        <v>0</v>
      </c>
      <c r="C15" s="40">
        <v>1</v>
      </c>
      <c r="D15" s="41" t="s">
        <v>1212</v>
      </c>
      <c r="E15" s="42" t="s">
        <v>1217</v>
      </c>
      <c r="F15" s="673"/>
      <c r="G15" s="64" t="s">
        <v>1218</v>
      </c>
      <c r="H15" s="43" t="s">
        <v>1219</v>
      </c>
      <c r="I15" s="43">
        <v>0</v>
      </c>
      <c r="J15" s="43">
        <v>0.5</v>
      </c>
      <c r="K15" s="43">
        <v>0.2</v>
      </c>
      <c r="L15" s="43">
        <v>0.7</v>
      </c>
      <c r="M15" s="43"/>
      <c r="N15" s="43">
        <v>1</v>
      </c>
      <c r="O15" s="44">
        <f>'Plan de Acción 2021'!W190</f>
        <v>0</v>
      </c>
      <c r="P15" s="44">
        <f>(O15*50%)/(L15-K15)</f>
        <v>0</v>
      </c>
      <c r="Q15" s="43"/>
      <c r="R15" s="44">
        <f>'Plan de Acción 2021'!Z190</f>
        <v>0</v>
      </c>
      <c r="S15" s="44">
        <f>(R15*50%)/(L15-K15)</f>
        <v>0</v>
      </c>
      <c r="T15" s="43"/>
      <c r="U15" s="44">
        <f>'Plan de Acción 2021'!AC190</f>
        <v>0</v>
      </c>
      <c r="V15" s="44">
        <f>(U15*50%)/(L15-K15)</f>
        <v>0</v>
      </c>
      <c r="W15" s="45"/>
      <c r="X15" s="44">
        <f>'Plan de Acción 2021'!AF190</f>
        <v>0</v>
      </c>
      <c r="Y15" s="44">
        <f>(X15*50%)/(L15-K15)</f>
        <v>0</v>
      </c>
      <c r="Z15" s="46"/>
      <c r="AA15" s="69"/>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18"/>
      <c r="BA15" s="1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c r="DM15" s="48"/>
      <c r="DN15" s="48"/>
      <c r="DO15" s="48"/>
      <c r="DP15" s="48"/>
      <c r="DQ15" s="48"/>
      <c r="DR15" s="48"/>
      <c r="DS15" s="48"/>
      <c r="DT15" s="48"/>
      <c r="DU15" s="48"/>
      <c r="DV15" s="48"/>
      <c r="DW15" s="48"/>
      <c r="DX15" s="48"/>
      <c r="DY15" s="48"/>
      <c r="DZ15" s="48"/>
      <c r="EA15" s="48"/>
      <c r="EB15" s="48"/>
      <c r="EC15" s="48"/>
      <c r="ED15" s="48"/>
      <c r="EE15" s="48"/>
      <c r="EF15" s="48"/>
      <c r="EG15" s="48"/>
      <c r="EH15" s="48"/>
      <c r="EI15" s="48"/>
      <c r="EJ15" s="48"/>
      <c r="EK15" s="48"/>
      <c r="EL15" s="48"/>
      <c r="EM15" s="48"/>
      <c r="EN15" s="48"/>
      <c r="EO15" s="48"/>
      <c r="EP15" s="48"/>
      <c r="EQ15" s="48"/>
      <c r="ER15" s="48"/>
      <c r="ES15" s="48"/>
      <c r="ET15" s="48"/>
      <c r="EU15" s="48"/>
      <c r="EV15" s="48"/>
      <c r="EW15" s="48"/>
      <c r="EX15" s="48"/>
      <c r="EY15" s="48"/>
      <c r="EZ15" s="48"/>
      <c r="FA15" s="48"/>
      <c r="FB15" s="48"/>
      <c r="FC15" s="48"/>
      <c r="FD15" s="48"/>
      <c r="FE15" s="48"/>
      <c r="FF15" s="48"/>
      <c r="FG15" s="48"/>
      <c r="FH15" s="48"/>
      <c r="FI15" s="48"/>
      <c r="FJ15" s="48"/>
      <c r="FK15" s="48"/>
      <c r="FL15" s="48"/>
      <c r="FM15" s="48"/>
      <c r="FN15" s="48"/>
      <c r="FO15" s="48"/>
      <c r="FP15" s="48"/>
      <c r="FQ15" s="48"/>
      <c r="FR15" s="48"/>
      <c r="FS15" s="48"/>
      <c r="FT15" s="48"/>
      <c r="FU15" s="48"/>
      <c r="FV15" s="48"/>
      <c r="FW15" s="48"/>
      <c r="FX15" s="48"/>
      <c r="FY15" s="48"/>
      <c r="FZ15" s="48"/>
      <c r="GA15" s="48"/>
      <c r="GB15" s="48"/>
      <c r="GC15" s="48"/>
      <c r="GD15" s="48"/>
      <c r="GE15" s="48"/>
      <c r="GF15" s="48"/>
      <c r="GG15" s="48"/>
      <c r="GH15" s="48"/>
      <c r="GI15" s="48"/>
      <c r="GJ15" s="48"/>
      <c r="GK15" s="48"/>
      <c r="GL15" s="48"/>
      <c r="GM15" s="48"/>
      <c r="GN15" s="48"/>
      <c r="GO15" s="48"/>
      <c r="GP15" s="48"/>
      <c r="GQ15" s="48"/>
      <c r="GR15" s="48"/>
      <c r="GS15" s="48"/>
      <c r="GT15" s="48"/>
      <c r="GU15" s="48"/>
      <c r="GV15" s="48"/>
      <c r="GW15" s="48"/>
      <c r="GX15" s="48"/>
      <c r="GY15" s="48"/>
      <c r="GZ15" s="48"/>
      <c r="HA15" s="48"/>
      <c r="HB15" s="48"/>
      <c r="HC15" s="48"/>
      <c r="HD15" s="48"/>
      <c r="HE15" s="48"/>
      <c r="HF15" s="48"/>
      <c r="HG15" s="48"/>
      <c r="HH15" s="48"/>
      <c r="HI15" s="48"/>
      <c r="HJ15" s="48"/>
      <c r="HK15" s="48"/>
      <c r="HL15" s="48"/>
      <c r="HM15" s="48"/>
      <c r="HN15" s="48"/>
      <c r="HO15" s="48"/>
      <c r="HP15" s="48"/>
      <c r="HQ15" s="48"/>
      <c r="HR15" s="48"/>
      <c r="HS15" s="48"/>
      <c r="HT15" s="48"/>
      <c r="HU15" s="48"/>
      <c r="HV15" s="48"/>
      <c r="HW15" s="48"/>
      <c r="HX15" s="48"/>
      <c r="HY15" s="48"/>
      <c r="HZ15" s="48"/>
      <c r="IA15" s="48"/>
      <c r="IB15" s="48"/>
      <c r="IC15" s="48"/>
      <c r="ID15" s="48"/>
      <c r="IE15" s="48"/>
      <c r="IF15" s="48"/>
      <c r="IG15" s="48"/>
      <c r="IH15" s="48"/>
      <c r="II15" s="48"/>
      <c r="IJ15" s="48"/>
      <c r="IK15" s="48"/>
      <c r="IL15" s="48"/>
      <c r="IM15" s="48"/>
      <c r="IN15" s="48"/>
      <c r="IO15" s="48"/>
      <c r="IP15" s="48"/>
      <c r="IQ15" s="48"/>
      <c r="IR15" s="48"/>
      <c r="IS15" s="48"/>
      <c r="IT15" s="48"/>
      <c r="IU15" s="48"/>
      <c r="IV15" s="48"/>
      <c r="IW15" s="48"/>
      <c r="IX15" s="48"/>
      <c r="IY15" s="48"/>
      <c r="IZ15" s="48"/>
      <c r="JA15" s="48"/>
      <c r="JB15" s="48"/>
      <c r="JC15" s="48"/>
      <c r="JD15" s="48"/>
      <c r="JE15" s="48"/>
      <c r="JF15" s="48"/>
      <c r="JG15" s="48"/>
      <c r="JH15" s="48"/>
      <c r="JI15" s="48"/>
      <c r="JJ15" s="48"/>
      <c r="JK15" s="48"/>
      <c r="JL15" s="48"/>
      <c r="JM15" s="48"/>
      <c r="JN15" s="48"/>
      <c r="JO15" s="48"/>
      <c r="JP15" s="48"/>
      <c r="JQ15" s="48"/>
      <c r="JR15" s="48"/>
      <c r="JS15" s="48"/>
      <c r="JT15" s="48"/>
      <c r="JU15" s="48"/>
      <c r="JV15" s="48"/>
      <c r="JW15" s="48"/>
      <c r="JX15" s="48"/>
      <c r="JY15" s="48"/>
      <c r="JZ15" s="48"/>
      <c r="KA15" s="48"/>
      <c r="KB15" s="48"/>
      <c r="KC15" s="48"/>
      <c r="KD15" s="48"/>
      <c r="KE15" s="48"/>
      <c r="KF15" s="48"/>
      <c r="KG15" s="48"/>
      <c r="KH15" s="48"/>
      <c r="KI15" s="48"/>
      <c r="KJ15" s="48"/>
      <c r="KK15" s="48"/>
      <c r="KL15" s="48"/>
      <c r="KM15" s="48"/>
      <c r="KN15" s="48"/>
      <c r="KO15" s="48"/>
      <c r="KP15" s="48"/>
      <c r="KQ15" s="48"/>
      <c r="KR15" s="48"/>
      <c r="KS15" s="48"/>
      <c r="KT15" s="48"/>
      <c r="KU15" s="48"/>
      <c r="KV15" s="48"/>
      <c r="KW15" s="48"/>
      <c r="KX15" s="48"/>
      <c r="KY15" s="48"/>
      <c r="KZ15" s="48"/>
      <c r="LA15" s="48"/>
      <c r="LB15" s="48"/>
      <c r="LC15" s="48"/>
      <c r="LD15" s="48"/>
      <c r="LE15" s="48"/>
      <c r="LF15" s="48"/>
      <c r="LG15" s="48"/>
      <c r="LH15" s="48"/>
      <c r="LI15" s="48"/>
      <c r="LJ15" s="48"/>
      <c r="LK15" s="48"/>
      <c r="LL15" s="48"/>
      <c r="LM15" s="48"/>
      <c r="LN15" s="48"/>
      <c r="LO15" s="48"/>
      <c r="LP15" s="48"/>
      <c r="LQ15" s="48"/>
      <c r="LR15" s="48"/>
      <c r="LS15" s="48"/>
      <c r="LT15" s="48"/>
      <c r="LU15" s="48"/>
      <c r="LV15" s="48"/>
      <c r="LW15" s="48"/>
      <c r="LX15" s="48"/>
      <c r="LY15" s="48"/>
      <c r="LZ15" s="48"/>
      <c r="MA15" s="48"/>
    </row>
    <row r="16" spans="1:339" s="68" customFormat="1" ht="87" customHeight="1" x14ac:dyDescent="0.25">
      <c r="A16" s="671"/>
      <c r="B16" s="39">
        <v>0</v>
      </c>
      <c r="C16" s="40">
        <v>1</v>
      </c>
      <c r="D16" s="41" t="s">
        <v>1210</v>
      </c>
      <c r="E16" s="42" t="s">
        <v>1214</v>
      </c>
      <c r="F16" s="673"/>
      <c r="G16" s="64" t="s">
        <v>139</v>
      </c>
      <c r="H16" s="64" t="s">
        <v>142</v>
      </c>
      <c r="I16" s="70">
        <v>0</v>
      </c>
      <c r="J16" s="70">
        <v>0.08</v>
      </c>
      <c r="K16" s="72">
        <v>0.06</v>
      </c>
      <c r="L16" s="44">
        <f>'Plan de Acción 2021'!Q39</f>
        <v>0.15</v>
      </c>
      <c r="M16" s="44"/>
      <c r="N16" s="70">
        <v>0.25</v>
      </c>
      <c r="O16" s="70">
        <f>'Plan de Acción 2021'!W190</f>
        <v>0</v>
      </c>
      <c r="P16" s="44">
        <f>(O16*9%)/(L16-K16)</f>
        <v>0</v>
      </c>
      <c r="Q16" s="70"/>
      <c r="R16" s="70">
        <f>'Plan de Acción 2021'!Z190</f>
        <v>0</v>
      </c>
      <c r="S16" s="44">
        <f>(R16*9%)/(L16-K16)</f>
        <v>0</v>
      </c>
      <c r="T16" s="64"/>
      <c r="U16" s="70">
        <f>'Plan de Acción 2021'!AC190</f>
        <v>0</v>
      </c>
      <c r="V16" s="44">
        <f>(U16*9%)/(L16-K16)</f>
        <v>0</v>
      </c>
      <c r="W16" s="71"/>
      <c r="X16" s="70">
        <f>'Plan de Acción 2021'!AF190</f>
        <v>0</v>
      </c>
      <c r="Y16" s="44">
        <f>(X16*9%)/(L16-K16)</f>
        <v>0</v>
      </c>
      <c r="Z16" s="73"/>
      <c r="AA16" s="74"/>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18"/>
      <c r="BA16" s="18"/>
      <c r="BB16" s="48"/>
      <c r="BC16" s="48"/>
      <c r="BD16" s="48"/>
      <c r="BE16" s="48"/>
      <c r="BF16" s="48"/>
      <c r="BG16" s="48"/>
      <c r="BH16" s="48"/>
      <c r="BI16" s="48"/>
      <c r="BJ16" s="48"/>
      <c r="BK16" s="48"/>
      <c r="BL16" s="48"/>
      <c r="BM16" s="48"/>
      <c r="BN16" s="48"/>
      <c r="BO16" s="48"/>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c r="DT16" s="48"/>
      <c r="DU16" s="48"/>
      <c r="DV16" s="48"/>
      <c r="DW16" s="48"/>
      <c r="DX16" s="48"/>
      <c r="DY16" s="48"/>
      <c r="DZ16" s="48"/>
      <c r="EA16" s="48"/>
      <c r="EB16" s="48"/>
      <c r="EC16" s="48"/>
      <c r="ED16" s="48"/>
      <c r="EE16" s="48"/>
      <c r="EF16" s="48"/>
      <c r="EG16" s="48"/>
      <c r="EH16" s="48"/>
      <c r="EI16" s="48"/>
      <c r="EJ16" s="48"/>
      <c r="EK16" s="48"/>
      <c r="EL16" s="48"/>
      <c r="EM16" s="48"/>
      <c r="EN16" s="48"/>
      <c r="EO16" s="48"/>
      <c r="EP16" s="48"/>
      <c r="EQ16" s="48"/>
      <c r="ER16" s="48"/>
      <c r="ES16" s="48"/>
      <c r="ET16" s="48"/>
      <c r="EU16" s="48"/>
      <c r="EV16" s="48"/>
      <c r="EW16" s="48"/>
      <c r="EX16" s="48"/>
      <c r="EY16" s="48"/>
      <c r="EZ16" s="48"/>
      <c r="FA16" s="48"/>
      <c r="FB16" s="48"/>
      <c r="FC16" s="48"/>
      <c r="FD16" s="48"/>
      <c r="FE16" s="48"/>
      <c r="FF16" s="48"/>
      <c r="FG16" s="48"/>
      <c r="FH16" s="48"/>
      <c r="FI16" s="48"/>
      <c r="FJ16" s="48"/>
      <c r="FK16" s="48"/>
      <c r="FL16" s="48"/>
      <c r="FM16" s="48"/>
      <c r="FN16" s="48"/>
      <c r="FO16" s="48"/>
      <c r="FP16" s="48"/>
      <c r="FQ16" s="48"/>
      <c r="FR16" s="48"/>
      <c r="FS16" s="48"/>
      <c r="FT16" s="48"/>
      <c r="FU16" s="48"/>
      <c r="FV16" s="48"/>
      <c r="FW16" s="48"/>
      <c r="FX16" s="48"/>
      <c r="FY16" s="48"/>
      <c r="FZ16" s="48"/>
      <c r="GA16" s="48"/>
      <c r="GB16" s="48"/>
      <c r="GC16" s="48"/>
      <c r="GD16" s="48"/>
      <c r="GE16" s="48"/>
      <c r="GF16" s="48"/>
      <c r="GG16" s="48"/>
      <c r="GH16" s="48"/>
      <c r="GI16" s="48"/>
      <c r="GJ16" s="48"/>
      <c r="GK16" s="48"/>
      <c r="GL16" s="48"/>
      <c r="GM16" s="48"/>
      <c r="GN16" s="48"/>
      <c r="GO16" s="48"/>
      <c r="GP16" s="48"/>
      <c r="GQ16" s="48"/>
      <c r="GR16" s="48"/>
      <c r="GS16" s="48"/>
      <c r="GT16" s="48"/>
      <c r="GU16" s="48"/>
      <c r="GV16" s="48"/>
      <c r="GW16" s="48"/>
      <c r="GX16" s="48"/>
      <c r="GY16" s="48"/>
      <c r="GZ16" s="48"/>
      <c r="HA16" s="48"/>
      <c r="HB16" s="48"/>
      <c r="HC16" s="48"/>
      <c r="HD16" s="48"/>
      <c r="HE16" s="48"/>
      <c r="HF16" s="48"/>
      <c r="HG16" s="48"/>
      <c r="HH16" s="48"/>
      <c r="HI16" s="48"/>
      <c r="HJ16" s="48"/>
      <c r="HK16" s="48"/>
      <c r="HL16" s="48"/>
      <c r="HM16" s="48"/>
      <c r="HN16" s="48"/>
      <c r="HO16" s="48"/>
      <c r="HP16" s="48"/>
      <c r="HQ16" s="48"/>
      <c r="HR16" s="48"/>
      <c r="HS16" s="48"/>
      <c r="HT16" s="48"/>
      <c r="HU16" s="48"/>
      <c r="HV16" s="48"/>
      <c r="HW16" s="48"/>
      <c r="HX16" s="48"/>
      <c r="HY16" s="48"/>
      <c r="HZ16" s="48"/>
      <c r="IA16" s="48"/>
      <c r="IB16" s="48"/>
      <c r="IC16" s="48"/>
      <c r="ID16" s="48"/>
      <c r="IE16" s="48"/>
      <c r="IF16" s="48"/>
      <c r="IG16" s="48"/>
      <c r="IH16" s="48"/>
      <c r="II16" s="48"/>
      <c r="IJ16" s="48"/>
      <c r="IK16" s="48"/>
      <c r="IL16" s="48"/>
      <c r="IM16" s="48"/>
      <c r="IN16" s="48"/>
      <c r="IO16" s="48"/>
      <c r="IP16" s="48"/>
      <c r="IQ16" s="48"/>
      <c r="IR16" s="48"/>
      <c r="IS16" s="48"/>
      <c r="IT16" s="48"/>
      <c r="IU16" s="48"/>
      <c r="IV16" s="48"/>
      <c r="IW16" s="48"/>
      <c r="IX16" s="48"/>
      <c r="IY16" s="48"/>
      <c r="IZ16" s="48"/>
      <c r="JA16" s="48"/>
      <c r="JB16" s="48"/>
      <c r="JC16" s="48"/>
      <c r="JD16" s="48"/>
      <c r="JE16" s="48"/>
      <c r="JF16" s="48"/>
      <c r="JG16" s="48"/>
      <c r="JH16" s="48"/>
      <c r="JI16" s="48"/>
      <c r="JJ16" s="48"/>
      <c r="JK16" s="48"/>
      <c r="JL16" s="48"/>
      <c r="JM16" s="48"/>
      <c r="JN16" s="48"/>
      <c r="JO16" s="48"/>
      <c r="JP16" s="48"/>
      <c r="JQ16" s="48"/>
      <c r="JR16" s="48"/>
      <c r="JS16" s="48"/>
      <c r="JT16" s="48"/>
      <c r="JU16" s="48"/>
      <c r="JV16" s="48"/>
      <c r="JW16" s="48"/>
      <c r="JX16" s="48"/>
      <c r="JY16" s="48"/>
      <c r="JZ16" s="48"/>
      <c r="KA16" s="48"/>
      <c r="KB16" s="48"/>
      <c r="KC16" s="48"/>
      <c r="KD16" s="48"/>
      <c r="KE16" s="48"/>
      <c r="KF16" s="48"/>
      <c r="KG16" s="48"/>
      <c r="KH16" s="48"/>
      <c r="KI16" s="48"/>
      <c r="KJ16" s="48"/>
      <c r="KK16" s="48"/>
      <c r="KL16" s="48"/>
      <c r="KM16" s="48"/>
      <c r="KN16" s="48"/>
      <c r="KO16" s="48"/>
      <c r="KP16" s="48"/>
      <c r="KQ16" s="48"/>
      <c r="KR16" s="48"/>
      <c r="KS16" s="48"/>
      <c r="KT16" s="48"/>
      <c r="KU16" s="48"/>
      <c r="KV16" s="48"/>
      <c r="KW16" s="48"/>
      <c r="KX16" s="48"/>
      <c r="KY16" s="48"/>
      <c r="KZ16" s="48"/>
      <c r="LA16" s="48"/>
      <c r="LB16" s="48"/>
      <c r="LC16" s="48"/>
      <c r="LD16" s="48"/>
      <c r="LE16" s="48"/>
      <c r="LF16" s="48"/>
      <c r="LG16" s="48"/>
      <c r="LH16" s="48"/>
      <c r="LI16" s="48"/>
      <c r="LJ16" s="48"/>
      <c r="LK16" s="48"/>
      <c r="LL16" s="48"/>
      <c r="LM16" s="48"/>
      <c r="LN16" s="48"/>
      <c r="LO16" s="48"/>
      <c r="LP16" s="48"/>
      <c r="LQ16" s="48"/>
      <c r="LR16" s="48"/>
      <c r="LS16" s="48"/>
      <c r="LT16" s="48"/>
      <c r="LU16" s="48"/>
      <c r="LV16" s="48"/>
      <c r="LW16" s="48"/>
      <c r="LX16" s="48"/>
      <c r="LY16" s="48"/>
      <c r="LZ16" s="48"/>
      <c r="MA16" s="48"/>
    </row>
    <row r="17" spans="1:339" s="68" customFormat="1" ht="77.25" customHeight="1" x14ac:dyDescent="0.25">
      <c r="A17" s="672"/>
      <c r="B17" s="39">
        <v>0</v>
      </c>
      <c r="C17" s="40">
        <v>1</v>
      </c>
      <c r="D17" s="41" t="s">
        <v>1212</v>
      </c>
      <c r="E17" s="42" t="s">
        <v>1217</v>
      </c>
      <c r="F17" s="673"/>
      <c r="G17" s="234" t="s">
        <v>516</v>
      </c>
      <c r="H17" s="234" t="s">
        <v>1220</v>
      </c>
      <c r="I17" s="64">
        <v>7.3</v>
      </c>
      <c r="J17" s="64">
        <v>7.5</v>
      </c>
      <c r="K17" s="64">
        <v>8.9</v>
      </c>
      <c r="L17" s="44" t="s">
        <v>61</v>
      </c>
      <c r="M17" s="44"/>
      <c r="N17" s="64">
        <v>8</v>
      </c>
      <c r="O17" s="44" t="s">
        <v>61</v>
      </c>
      <c r="P17" s="44" t="s">
        <v>61</v>
      </c>
      <c r="Q17" s="44" t="s">
        <v>61</v>
      </c>
      <c r="R17" s="44" t="s">
        <v>61</v>
      </c>
      <c r="S17" s="44" t="s">
        <v>61</v>
      </c>
      <c r="T17" s="44" t="s">
        <v>61</v>
      </c>
      <c r="U17" s="44" t="s">
        <v>61</v>
      </c>
      <c r="V17" s="44" t="s">
        <v>61</v>
      </c>
      <c r="W17" s="44" t="s">
        <v>61</v>
      </c>
      <c r="X17" s="44" t="s">
        <v>61</v>
      </c>
      <c r="Y17" s="44" t="s">
        <v>61</v>
      </c>
      <c r="Z17" s="44" t="s">
        <v>61</v>
      </c>
      <c r="AA17" s="77"/>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18"/>
      <c r="BA17" s="18"/>
      <c r="BB17" s="7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c r="FT17" s="48"/>
      <c r="FU17" s="48"/>
      <c r="FV17" s="48"/>
      <c r="FW17" s="48"/>
      <c r="FX17" s="48"/>
      <c r="FY17" s="48"/>
      <c r="FZ17" s="48"/>
      <c r="GA17" s="48"/>
      <c r="GB17" s="48"/>
      <c r="GC17" s="48"/>
      <c r="GD17" s="48"/>
      <c r="GE17" s="48"/>
      <c r="GF17" s="48"/>
      <c r="GG17" s="48"/>
      <c r="GH17" s="48"/>
      <c r="GI17" s="48"/>
      <c r="GJ17" s="48"/>
      <c r="GK17" s="48"/>
      <c r="GL17" s="48"/>
      <c r="GM17" s="48"/>
      <c r="GN17" s="48"/>
      <c r="GO17" s="48"/>
      <c r="GP17" s="48"/>
      <c r="GQ17" s="48"/>
      <c r="GR17" s="48"/>
      <c r="GS17" s="48"/>
      <c r="GT17" s="48"/>
      <c r="GU17" s="48"/>
      <c r="GV17" s="48"/>
      <c r="GW17" s="48"/>
      <c r="GX17" s="48"/>
      <c r="GY17" s="48"/>
      <c r="GZ17" s="48"/>
      <c r="HA17" s="48"/>
      <c r="HB17" s="48"/>
      <c r="HC17" s="48"/>
      <c r="HD17" s="48"/>
      <c r="HE17" s="48"/>
      <c r="HF17" s="48"/>
      <c r="HG17" s="48"/>
      <c r="HH17" s="48"/>
      <c r="HI17" s="48"/>
      <c r="HJ17" s="48"/>
      <c r="HK17" s="48"/>
      <c r="HL17" s="48"/>
      <c r="HM17" s="48"/>
      <c r="HN17" s="48"/>
      <c r="HO17" s="48"/>
      <c r="HP17" s="48"/>
      <c r="HQ17" s="48"/>
      <c r="HR17" s="48"/>
      <c r="HS17" s="48"/>
      <c r="HT17" s="48"/>
      <c r="HU17" s="48"/>
      <c r="HV17" s="48"/>
      <c r="HW17" s="48"/>
      <c r="HX17" s="48"/>
      <c r="HY17" s="48"/>
      <c r="HZ17" s="48"/>
      <c r="IA17" s="48"/>
      <c r="IB17" s="48"/>
      <c r="IC17" s="48"/>
      <c r="ID17" s="48"/>
      <c r="IE17" s="48"/>
      <c r="IF17" s="48"/>
      <c r="IG17" s="48"/>
      <c r="IH17" s="48"/>
      <c r="II17" s="48"/>
      <c r="IJ17" s="48"/>
      <c r="IK17" s="48"/>
      <c r="IL17" s="48"/>
      <c r="IM17" s="48"/>
      <c r="IN17" s="48"/>
      <c r="IO17" s="48"/>
      <c r="IP17" s="48"/>
      <c r="IQ17" s="48"/>
      <c r="IR17" s="48"/>
      <c r="IS17" s="48"/>
      <c r="IT17" s="48"/>
      <c r="IU17" s="48"/>
      <c r="IV17" s="48"/>
      <c r="IW17" s="48"/>
      <c r="IX17" s="48"/>
      <c r="IY17" s="48"/>
      <c r="IZ17" s="48"/>
      <c r="JA17" s="48"/>
      <c r="JB17" s="48"/>
      <c r="JC17" s="48"/>
      <c r="JD17" s="48"/>
      <c r="JE17" s="48"/>
      <c r="JF17" s="48"/>
      <c r="JG17" s="48"/>
      <c r="JH17" s="48"/>
      <c r="JI17" s="48"/>
      <c r="JJ17" s="48"/>
      <c r="JK17" s="48"/>
      <c r="JL17" s="48"/>
      <c r="JM17" s="48"/>
      <c r="JN17" s="48"/>
      <c r="JO17" s="48"/>
      <c r="JP17" s="48"/>
      <c r="JQ17" s="48"/>
      <c r="JR17" s="48"/>
      <c r="JS17" s="48"/>
      <c r="JT17" s="48"/>
      <c r="JU17" s="48"/>
      <c r="JV17" s="48"/>
      <c r="JW17" s="48"/>
      <c r="JX17" s="48"/>
      <c r="JY17" s="48"/>
      <c r="JZ17" s="48"/>
      <c r="KA17" s="48"/>
      <c r="KB17" s="48"/>
      <c r="KC17" s="48"/>
      <c r="KD17" s="48"/>
      <c r="KE17" s="48"/>
      <c r="KF17" s="48"/>
      <c r="KG17" s="48"/>
      <c r="KH17" s="48"/>
      <c r="KI17" s="48"/>
      <c r="KJ17" s="48"/>
      <c r="KK17" s="48"/>
      <c r="KL17" s="48"/>
      <c r="KM17" s="48"/>
      <c r="KN17" s="48"/>
      <c r="KO17" s="48"/>
      <c r="KP17" s="48"/>
      <c r="KQ17" s="48"/>
      <c r="KR17" s="48"/>
      <c r="KS17" s="48"/>
      <c r="KT17" s="48"/>
      <c r="KU17" s="48"/>
      <c r="KV17" s="48"/>
      <c r="KW17" s="48"/>
      <c r="KX17" s="48"/>
      <c r="KY17" s="48"/>
      <c r="KZ17" s="48"/>
      <c r="LA17" s="48"/>
      <c r="LB17" s="48"/>
      <c r="LC17" s="48"/>
      <c r="LD17" s="48"/>
      <c r="LE17" s="48"/>
      <c r="LF17" s="48"/>
      <c r="LG17" s="48"/>
      <c r="LH17" s="48"/>
      <c r="LI17" s="48"/>
      <c r="LJ17" s="48"/>
      <c r="LK17" s="48"/>
      <c r="LL17" s="48"/>
      <c r="LM17" s="48"/>
      <c r="LN17" s="48"/>
      <c r="LO17" s="48"/>
      <c r="LP17" s="48"/>
      <c r="LQ17" s="48"/>
      <c r="LR17" s="48"/>
      <c r="LS17" s="48"/>
      <c r="LT17" s="48"/>
      <c r="LU17" s="48"/>
      <c r="LV17" s="48"/>
      <c r="LW17" s="48"/>
      <c r="LX17" s="48"/>
      <c r="LY17" s="48"/>
      <c r="LZ17" s="48"/>
      <c r="MA17" s="48"/>
    </row>
    <row r="18" spans="1:339" s="68" customFormat="1" ht="90.75" customHeight="1" thickBot="1" x14ac:dyDescent="0.3">
      <c r="A18" s="79">
        <v>6</v>
      </c>
      <c r="B18" s="39">
        <v>0</v>
      </c>
      <c r="C18" s="40">
        <v>1</v>
      </c>
      <c r="D18" s="41" t="s">
        <v>1221</v>
      </c>
      <c r="E18" s="42" t="s">
        <v>1222</v>
      </c>
      <c r="F18" s="43" t="s">
        <v>790</v>
      </c>
      <c r="G18" s="234" t="s">
        <v>838</v>
      </c>
      <c r="H18" s="235" t="s">
        <v>792</v>
      </c>
      <c r="I18" s="44">
        <v>0</v>
      </c>
      <c r="J18" s="44">
        <v>0.2</v>
      </c>
      <c r="K18" s="44">
        <v>0.2</v>
      </c>
      <c r="L18" s="44" t="str">
        <f>'Plan de Acción 2021'!Q513</f>
        <v>N/A</v>
      </c>
      <c r="M18" s="44"/>
      <c r="N18" s="44">
        <v>1</v>
      </c>
      <c r="O18" s="44" t="s">
        <v>61</v>
      </c>
      <c r="P18" s="44" t="s">
        <v>61</v>
      </c>
      <c r="Q18" s="44" t="s">
        <v>61</v>
      </c>
      <c r="R18" s="44" t="s">
        <v>61</v>
      </c>
      <c r="S18" s="44" t="s">
        <v>61</v>
      </c>
      <c r="T18" s="44" t="s">
        <v>61</v>
      </c>
      <c r="U18" s="44" t="s">
        <v>61</v>
      </c>
      <c r="V18" s="44" t="s">
        <v>61</v>
      </c>
      <c r="W18" s="44" t="s">
        <v>61</v>
      </c>
      <c r="X18" s="44" t="s">
        <v>61</v>
      </c>
      <c r="Y18" s="44" t="s">
        <v>61</v>
      </c>
      <c r="Z18" s="44" t="s">
        <v>61</v>
      </c>
      <c r="AA18" s="69"/>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18"/>
      <c r="BA18" s="1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c r="DT18" s="48"/>
      <c r="DU18" s="48"/>
      <c r="DV18" s="48"/>
      <c r="DW18" s="48"/>
      <c r="DX18" s="48"/>
      <c r="DY18" s="48"/>
      <c r="DZ18" s="48"/>
      <c r="EA18" s="48"/>
      <c r="EB18" s="48"/>
      <c r="EC18" s="48"/>
      <c r="ED18" s="48"/>
      <c r="EE18" s="48"/>
      <c r="EF18" s="48"/>
      <c r="EG18" s="48"/>
      <c r="EH18" s="48"/>
      <c r="EI18" s="48"/>
      <c r="EJ18" s="48"/>
      <c r="EK18" s="48"/>
      <c r="EL18" s="48"/>
      <c r="EM18" s="48"/>
      <c r="EN18" s="48"/>
      <c r="EO18" s="48"/>
      <c r="EP18" s="48"/>
      <c r="EQ18" s="48"/>
      <c r="ER18" s="48"/>
      <c r="ES18" s="48"/>
      <c r="ET18" s="48"/>
      <c r="EU18" s="48"/>
      <c r="EV18" s="48"/>
      <c r="EW18" s="48"/>
      <c r="EX18" s="48"/>
      <c r="EY18" s="48"/>
      <c r="EZ18" s="48"/>
      <c r="FA18" s="48"/>
      <c r="FB18" s="48"/>
      <c r="FC18" s="48"/>
      <c r="FD18" s="48"/>
      <c r="FE18" s="48"/>
      <c r="FF18" s="48"/>
      <c r="FG18" s="48"/>
      <c r="FH18" s="48"/>
      <c r="FI18" s="48"/>
      <c r="FJ18" s="48"/>
      <c r="FK18" s="48"/>
      <c r="FL18" s="48"/>
      <c r="FM18" s="48"/>
      <c r="FN18" s="48"/>
      <c r="FO18" s="48"/>
      <c r="FP18" s="48"/>
      <c r="FQ18" s="48"/>
      <c r="FR18" s="48"/>
      <c r="FS18" s="48"/>
      <c r="FT18" s="48"/>
      <c r="FU18" s="48"/>
      <c r="FV18" s="48"/>
      <c r="FW18" s="48"/>
      <c r="FX18" s="48"/>
      <c r="FY18" s="48"/>
      <c r="FZ18" s="48"/>
      <c r="GA18" s="48"/>
      <c r="GB18" s="48"/>
      <c r="GC18" s="48"/>
      <c r="GD18" s="48"/>
      <c r="GE18" s="48"/>
      <c r="GF18" s="48"/>
      <c r="GG18" s="48"/>
      <c r="GH18" s="48"/>
      <c r="GI18" s="48"/>
      <c r="GJ18" s="48"/>
      <c r="GK18" s="48"/>
      <c r="GL18" s="48"/>
      <c r="GM18" s="48"/>
      <c r="GN18" s="48"/>
      <c r="GO18" s="48"/>
      <c r="GP18" s="48"/>
      <c r="GQ18" s="48"/>
      <c r="GR18" s="48"/>
      <c r="GS18" s="48"/>
      <c r="GT18" s="48"/>
      <c r="GU18" s="48"/>
      <c r="GV18" s="48"/>
      <c r="GW18" s="48"/>
      <c r="GX18" s="48"/>
      <c r="GY18" s="48"/>
      <c r="GZ18" s="48"/>
      <c r="HA18" s="48"/>
      <c r="HB18" s="48"/>
      <c r="HC18" s="48"/>
      <c r="HD18" s="48"/>
      <c r="HE18" s="48"/>
      <c r="HF18" s="48"/>
      <c r="HG18" s="48"/>
      <c r="HH18" s="48"/>
      <c r="HI18" s="48"/>
      <c r="HJ18" s="48"/>
      <c r="HK18" s="48"/>
      <c r="HL18" s="48"/>
      <c r="HM18" s="48"/>
      <c r="HN18" s="48"/>
      <c r="HO18" s="48"/>
      <c r="HP18" s="48"/>
      <c r="HQ18" s="48"/>
      <c r="HR18" s="48"/>
      <c r="HS18" s="48"/>
      <c r="HT18" s="48"/>
      <c r="HU18" s="48"/>
      <c r="HV18" s="48"/>
      <c r="HW18" s="48"/>
      <c r="HX18" s="48"/>
      <c r="HY18" s="48"/>
      <c r="HZ18" s="48"/>
      <c r="IA18" s="48"/>
      <c r="IB18" s="48"/>
      <c r="IC18" s="48"/>
      <c r="ID18" s="48"/>
      <c r="IE18" s="48"/>
      <c r="IF18" s="48"/>
      <c r="IG18" s="48"/>
      <c r="IH18" s="48"/>
      <c r="II18" s="48"/>
      <c r="IJ18" s="48"/>
      <c r="IK18" s="48"/>
      <c r="IL18" s="48"/>
      <c r="IM18" s="48"/>
      <c r="IN18" s="48"/>
      <c r="IO18" s="48"/>
      <c r="IP18" s="48"/>
      <c r="IQ18" s="48"/>
      <c r="IR18" s="48"/>
      <c r="IS18" s="48"/>
      <c r="IT18" s="48"/>
      <c r="IU18" s="48"/>
      <c r="IV18" s="48"/>
      <c r="IW18" s="48"/>
      <c r="IX18" s="48"/>
      <c r="IY18" s="48"/>
      <c r="IZ18" s="48"/>
      <c r="JA18" s="48"/>
      <c r="JB18" s="48"/>
      <c r="JC18" s="48"/>
      <c r="JD18" s="48"/>
      <c r="JE18" s="48"/>
      <c r="JF18" s="48"/>
      <c r="JG18" s="48"/>
      <c r="JH18" s="48"/>
      <c r="JI18" s="48"/>
      <c r="JJ18" s="48"/>
      <c r="JK18" s="48"/>
      <c r="JL18" s="48"/>
      <c r="JM18" s="48"/>
      <c r="JN18" s="48"/>
      <c r="JO18" s="48"/>
      <c r="JP18" s="48"/>
      <c r="JQ18" s="48"/>
      <c r="JR18" s="48"/>
      <c r="JS18" s="48"/>
      <c r="JT18" s="48"/>
      <c r="JU18" s="48"/>
      <c r="JV18" s="48"/>
      <c r="JW18" s="48"/>
      <c r="JX18" s="48"/>
      <c r="JY18" s="48"/>
      <c r="JZ18" s="48"/>
      <c r="KA18" s="48"/>
      <c r="KB18" s="48"/>
      <c r="KC18" s="48"/>
      <c r="KD18" s="48"/>
      <c r="KE18" s="48"/>
      <c r="KF18" s="48"/>
      <c r="KG18" s="48"/>
      <c r="KH18" s="48"/>
      <c r="KI18" s="48"/>
      <c r="KJ18" s="48"/>
      <c r="KK18" s="48"/>
      <c r="KL18" s="48"/>
      <c r="KM18" s="48"/>
      <c r="KN18" s="48"/>
      <c r="KO18" s="48"/>
      <c r="KP18" s="48"/>
      <c r="KQ18" s="48"/>
      <c r="KR18" s="48"/>
      <c r="KS18" s="48"/>
      <c r="KT18" s="48"/>
      <c r="KU18" s="48"/>
      <c r="KV18" s="48"/>
      <c r="KW18" s="48"/>
      <c r="KX18" s="48"/>
      <c r="KY18" s="48"/>
      <c r="KZ18" s="48"/>
      <c r="LA18" s="48"/>
      <c r="LB18" s="48"/>
      <c r="LC18" s="48"/>
      <c r="LD18" s="48"/>
      <c r="LE18" s="48"/>
      <c r="LF18" s="48"/>
      <c r="LG18" s="48"/>
      <c r="LH18" s="48"/>
      <c r="LI18" s="48"/>
      <c r="LJ18" s="48"/>
      <c r="LK18" s="48"/>
      <c r="LL18" s="48"/>
      <c r="LM18" s="48"/>
      <c r="LN18" s="48"/>
      <c r="LO18" s="48"/>
      <c r="LP18" s="48"/>
      <c r="LQ18" s="48"/>
      <c r="LR18" s="48"/>
      <c r="LS18" s="48"/>
      <c r="LT18" s="48"/>
      <c r="LU18" s="48"/>
      <c r="LV18" s="48"/>
      <c r="LW18" s="48"/>
      <c r="LX18" s="48"/>
      <c r="LY18" s="48"/>
      <c r="LZ18" s="48"/>
      <c r="MA18" s="48"/>
    </row>
    <row r="19" spans="1:339" s="68" customFormat="1" ht="81.75" customHeight="1" x14ac:dyDescent="0.25">
      <c r="A19" s="674">
        <v>7</v>
      </c>
      <c r="B19" s="39">
        <v>0</v>
      </c>
      <c r="C19" s="40">
        <v>1</v>
      </c>
      <c r="D19" s="41" t="s">
        <v>1210</v>
      </c>
      <c r="E19" s="43" t="s">
        <v>1214</v>
      </c>
      <c r="F19" s="673" t="s">
        <v>1223</v>
      </c>
      <c r="G19" s="43" t="s">
        <v>543</v>
      </c>
      <c r="H19" s="43" t="s">
        <v>518</v>
      </c>
      <c r="I19" s="44">
        <v>1</v>
      </c>
      <c r="J19" s="44">
        <v>1</v>
      </c>
      <c r="K19" s="44">
        <v>1</v>
      </c>
      <c r="L19" s="44">
        <f>'Plan de Acción 2021'!Q194</f>
        <v>1</v>
      </c>
      <c r="M19" s="44"/>
      <c r="N19" s="44">
        <v>1</v>
      </c>
      <c r="O19" s="44">
        <f>('Plan de Acción 2021'!W23+'Plan de Acción 2021'!W24+'Plan de Acción 2021'!W25+'Plan de Acción 2021'!W194+'Plan de Acción 2021'!W198+'Plan de Acción 2021'!W199+'Plan de Acción 2021'!W200+'Plan de Acción 2021'!W201+'Plan de Acción 2021'!W202+'Plan de Acción 2021'!W203+'Plan de Acción 2021'!W204+'Plan de Acción 2021'!W205+'Plan de Acción 2021'!W206+'Plan de Acción 2021'!W207+'Plan de Acción 2021'!W208+'Plan de Acción 2021'!W209+'Plan de Acción 2021'!W210+'Plan de Acción 2021'!W211)/18</f>
        <v>0</v>
      </c>
      <c r="P19" s="229">
        <f>(O19*100%)/L19</f>
        <v>0</v>
      </c>
      <c r="Q19" s="123"/>
      <c r="R19" s="44">
        <f>('Plan de Acción 2021'!Z23+'Plan de Acción 2021'!Z24+'Plan de Acción 2021'!Z25+'Plan de Acción 2021'!Z194+'Plan de Acción 2021'!Z198+'Plan de Acción 2021'!Z199+'Plan de Acción 2021'!Z200+'Plan de Acción 2021'!Z201+'Plan de Acción 2021'!Z202+'Plan de Acción 2021'!Z203+'Plan de Acción 2021'!Z204+'Plan de Acción 2021'!Z205+'Plan de Acción 2021'!Z206+'Plan de Acción 2021'!Z207+'Plan de Acción 2021'!Z208+'Plan de Acción 2021'!Z209+'Plan de Acción 2021'!Z210+'Plan de Acción 2021'!Z211)/18</f>
        <v>0</v>
      </c>
      <c r="S19" s="229">
        <f>(R19*100%)/L19</f>
        <v>0</v>
      </c>
      <c r="T19" s="123"/>
      <c r="U19" s="44">
        <f>('Plan de Acción 2021'!AC23+'Plan de Acción 2021'!AC24+'Plan de Acción 2021'!AC25+'Plan de Acción 2021'!AC194+'Plan de Acción 2021'!AC198+'Plan de Acción 2021'!AC199+'Plan de Acción 2021'!AC200+'Plan de Acción 2021'!AC201+'Plan de Acción 2021'!AC202+'Plan de Acción 2021'!AC203+'Plan de Acción 2021'!AC204+'Plan de Acción 2021'!AC205+'Plan de Acción 2021'!AC206+'Plan de Acción 2021'!AC207+'Plan de Acción 2021'!AC208+'Plan de Acción 2021'!AC209+'Plan de Acción 2021'!AC210+'Plan de Acción 2021'!AC211)/18</f>
        <v>0</v>
      </c>
      <c r="V19" s="229">
        <f>(U19*100%)/L19</f>
        <v>0</v>
      </c>
      <c r="W19" s="130"/>
      <c r="X19" s="44">
        <f>('Plan de Acción 2021'!AF23+'Plan de Acción 2021'!AF24+'Plan de Acción 2021'!AF25+'Plan de Acción 2021'!AF194+'Plan de Acción 2021'!AF198+'Plan de Acción 2021'!AF199+'Plan de Acción 2021'!AF200+'Plan de Acción 2021'!AF201+'Plan de Acción 2021'!AF202+'Plan de Acción 2021'!AF203+'Plan de Acción 2021'!AF204+'Plan de Acción 2021'!AF205+'Plan de Acción 2021'!AF206+'Plan de Acción 2021'!AF207+'Plan de Acción 2021'!AF208+'Plan de Acción 2021'!AF209+'Plan de Acción 2021'!AF210+'Plan de Acción 2021'!AF211)/18</f>
        <v>0</v>
      </c>
      <c r="Y19" s="229">
        <f>(X19*100%)/L19</f>
        <v>0</v>
      </c>
      <c r="Z19" s="132"/>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18"/>
      <c r="BA19" s="1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c r="IW19" s="48"/>
      <c r="IX19" s="48"/>
      <c r="IY19" s="48"/>
      <c r="IZ19" s="48"/>
      <c r="JA19" s="48"/>
      <c r="JB19" s="48"/>
      <c r="JC19" s="48"/>
      <c r="JD19" s="48"/>
      <c r="JE19" s="48"/>
      <c r="JF19" s="48"/>
      <c r="JG19" s="48"/>
      <c r="JH19" s="48"/>
      <c r="JI19" s="48"/>
      <c r="JJ19" s="48"/>
      <c r="JK19" s="48"/>
      <c r="JL19" s="48"/>
      <c r="JM19" s="48"/>
      <c r="JN19" s="48"/>
      <c r="JO19" s="48"/>
      <c r="JP19" s="48"/>
      <c r="JQ19" s="48"/>
      <c r="JR19" s="48"/>
      <c r="JS19" s="48"/>
      <c r="JT19" s="48"/>
      <c r="JU19" s="48"/>
      <c r="JV19" s="48"/>
      <c r="JW19" s="48"/>
      <c r="JX19" s="48"/>
      <c r="JY19" s="48"/>
      <c r="JZ19" s="48"/>
      <c r="KA19" s="48"/>
      <c r="KB19" s="48"/>
      <c r="KC19" s="48"/>
      <c r="KD19" s="48"/>
      <c r="KE19" s="48"/>
      <c r="KF19" s="48"/>
      <c r="KG19" s="48"/>
      <c r="KH19" s="48"/>
      <c r="KI19" s="48"/>
      <c r="KJ19" s="48"/>
      <c r="KK19" s="48"/>
      <c r="KL19" s="48"/>
      <c r="KM19" s="48"/>
      <c r="KN19" s="48"/>
      <c r="KO19" s="48"/>
      <c r="KP19" s="48"/>
      <c r="KQ19" s="48"/>
      <c r="KR19" s="48"/>
      <c r="KS19" s="48"/>
      <c r="KT19" s="48"/>
      <c r="KU19" s="48"/>
      <c r="KV19" s="48"/>
      <c r="KW19" s="48"/>
      <c r="KX19" s="48"/>
      <c r="KY19" s="48"/>
      <c r="KZ19" s="48"/>
      <c r="LA19" s="48"/>
      <c r="LB19" s="48"/>
      <c r="LC19" s="48"/>
      <c r="LD19" s="48"/>
      <c r="LE19" s="48"/>
      <c r="LF19" s="48"/>
      <c r="LG19" s="48"/>
      <c r="LH19" s="48"/>
      <c r="LI19" s="48"/>
      <c r="LJ19" s="48"/>
      <c r="LK19" s="48"/>
      <c r="LL19" s="48"/>
      <c r="LM19" s="48"/>
      <c r="LN19" s="48"/>
      <c r="LO19" s="48"/>
      <c r="LP19" s="48"/>
      <c r="LQ19" s="48"/>
      <c r="LR19" s="48"/>
      <c r="LS19" s="48"/>
      <c r="LT19" s="48"/>
      <c r="LU19" s="48"/>
      <c r="LV19" s="48"/>
      <c r="LW19" s="48"/>
      <c r="LX19" s="48"/>
      <c r="LY19" s="48"/>
      <c r="LZ19" s="48"/>
      <c r="MA19" s="48"/>
    </row>
    <row r="20" spans="1:339" s="21" customFormat="1" ht="120.75" customHeight="1" x14ac:dyDescent="0.25">
      <c r="A20" s="671"/>
      <c r="B20" s="39">
        <v>1</v>
      </c>
      <c r="C20" s="40">
        <v>0</v>
      </c>
      <c r="D20" s="41" t="s">
        <v>1224</v>
      </c>
      <c r="E20" s="42" t="s">
        <v>1217</v>
      </c>
      <c r="F20" s="673"/>
      <c r="G20" s="43" t="s">
        <v>1225</v>
      </c>
      <c r="H20" s="43" t="s">
        <v>532</v>
      </c>
      <c r="I20" s="70">
        <v>0.2</v>
      </c>
      <c r="J20" s="44">
        <v>1</v>
      </c>
      <c r="K20" s="80">
        <v>0.6</v>
      </c>
      <c r="L20" s="44">
        <f>'Plan de Acción 2021'!Q195</f>
        <v>1</v>
      </c>
      <c r="M20" s="44"/>
      <c r="N20" s="44">
        <v>1</v>
      </c>
      <c r="O20" s="44">
        <f>'Plan de Acción 2021'!W195</f>
        <v>0</v>
      </c>
      <c r="P20" s="44">
        <f>(O20*40%)/(L20-K20)</f>
        <v>0</v>
      </c>
      <c r="Q20" s="44"/>
      <c r="R20" s="44">
        <f>'Plan de Acción 2021'!Z195</f>
        <v>0</v>
      </c>
      <c r="S20" s="44">
        <f>(R20*40%)/(L20-K20)</f>
        <v>0</v>
      </c>
      <c r="T20" s="43"/>
      <c r="U20" s="44">
        <f>'Plan de Acción 2021'!AC195</f>
        <v>0</v>
      </c>
      <c r="V20" s="44">
        <f>(U20*40%)/(L20-K20)</f>
        <v>0</v>
      </c>
      <c r="W20" s="45"/>
      <c r="X20" s="44">
        <f>'Plan de Acción 2021'!AF195</f>
        <v>0</v>
      </c>
      <c r="Y20" s="44">
        <f>(X20*40%)/(L20-K20)</f>
        <v>0</v>
      </c>
      <c r="Z20" s="8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18"/>
      <c r="BA20" s="1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c r="DT20" s="48"/>
      <c r="DU20" s="48"/>
      <c r="DV20" s="48"/>
      <c r="DW20" s="48"/>
      <c r="DX20" s="48"/>
      <c r="DY20" s="48"/>
      <c r="DZ20" s="48"/>
      <c r="EA20" s="48"/>
      <c r="EB20" s="48"/>
      <c r="EC20" s="48"/>
      <c r="ED20" s="48"/>
      <c r="EE20" s="48"/>
      <c r="EF20" s="48"/>
      <c r="EG20" s="48"/>
      <c r="EH20" s="48"/>
      <c r="EI20" s="48"/>
      <c r="EJ20" s="48"/>
      <c r="EK20" s="48"/>
      <c r="EL20" s="48"/>
      <c r="EM20" s="48"/>
      <c r="EN20" s="48"/>
      <c r="EO20" s="48"/>
      <c r="EP20" s="48"/>
      <c r="EQ20" s="48"/>
      <c r="ER20" s="48"/>
      <c r="ES20" s="48"/>
      <c r="ET20" s="48"/>
      <c r="EU20" s="48"/>
      <c r="EV20" s="48"/>
      <c r="EW20" s="48"/>
      <c r="EX20" s="48"/>
      <c r="EY20" s="48"/>
      <c r="EZ20" s="48"/>
      <c r="FA20" s="48"/>
      <c r="FB20" s="48"/>
      <c r="FC20" s="48"/>
      <c r="FD20" s="48"/>
      <c r="FE20" s="48"/>
      <c r="FF20" s="48"/>
      <c r="FG20" s="48"/>
      <c r="FH20" s="48"/>
      <c r="FI20" s="48"/>
      <c r="FJ20" s="48"/>
      <c r="FK20" s="48"/>
      <c r="FL20" s="48"/>
      <c r="FM20" s="48"/>
      <c r="FN20" s="48"/>
      <c r="FO20" s="48"/>
      <c r="FP20" s="48"/>
      <c r="FQ20" s="48"/>
      <c r="FR20" s="48"/>
      <c r="FS20" s="48"/>
      <c r="FT20" s="48"/>
      <c r="FU20" s="48"/>
      <c r="FV20" s="48"/>
      <c r="FW20" s="48"/>
      <c r="FX20" s="48"/>
      <c r="FY20" s="48"/>
      <c r="FZ20" s="48"/>
      <c r="GA20" s="48"/>
      <c r="GB20" s="48"/>
      <c r="GC20" s="48"/>
      <c r="GD20" s="48"/>
      <c r="GE20" s="48"/>
      <c r="GF20" s="48"/>
      <c r="GG20" s="48"/>
      <c r="GH20" s="48"/>
      <c r="GI20" s="48"/>
      <c r="GJ20" s="48"/>
      <c r="GK20" s="48"/>
      <c r="GL20" s="48"/>
      <c r="GM20" s="48"/>
      <c r="GN20" s="48"/>
      <c r="GO20" s="48"/>
      <c r="GP20" s="48"/>
      <c r="GQ20" s="48"/>
      <c r="GR20" s="48"/>
      <c r="GS20" s="48"/>
      <c r="GT20" s="48"/>
      <c r="GU20" s="48"/>
      <c r="GV20" s="48"/>
      <c r="GW20" s="48"/>
      <c r="GX20" s="48"/>
      <c r="GY20" s="48"/>
      <c r="GZ20" s="48"/>
      <c r="HA20" s="48"/>
      <c r="HB20" s="48"/>
      <c r="HC20" s="48"/>
      <c r="HD20" s="48"/>
      <c r="HE20" s="48"/>
      <c r="HF20" s="48"/>
      <c r="HG20" s="48"/>
      <c r="HH20" s="48"/>
      <c r="HI20" s="48"/>
      <c r="HJ20" s="48"/>
      <c r="HK20" s="48"/>
      <c r="HL20" s="48"/>
      <c r="HM20" s="48"/>
      <c r="HN20" s="48"/>
      <c r="HO20" s="48"/>
      <c r="HP20" s="48"/>
      <c r="HQ20" s="48"/>
      <c r="HR20" s="48"/>
      <c r="HS20" s="48"/>
      <c r="HT20" s="48"/>
      <c r="HU20" s="48"/>
      <c r="HV20" s="48"/>
      <c r="HW20" s="48"/>
      <c r="HX20" s="48"/>
      <c r="HY20" s="48"/>
      <c r="HZ20" s="48"/>
      <c r="IA20" s="48"/>
      <c r="IB20" s="48"/>
      <c r="IC20" s="48"/>
      <c r="ID20" s="48"/>
      <c r="IE20" s="48"/>
      <c r="IF20" s="48"/>
      <c r="IG20" s="48"/>
      <c r="IH20" s="48"/>
      <c r="II20" s="48"/>
      <c r="IJ20" s="48"/>
      <c r="IK20" s="48"/>
      <c r="IL20" s="48"/>
      <c r="IM20" s="48"/>
      <c r="IN20" s="48"/>
      <c r="IO20" s="48"/>
      <c r="IP20" s="48"/>
      <c r="IQ20" s="48"/>
      <c r="IR20" s="48"/>
      <c r="IS20" s="48"/>
      <c r="IT20" s="48"/>
      <c r="IU20" s="48"/>
      <c r="IV20" s="48"/>
      <c r="IW20" s="48"/>
      <c r="IX20" s="48"/>
      <c r="IY20" s="48"/>
      <c r="IZ20" s="48"/>
      <c r="JA20" s="48"/>
      <c r="JB20" s="48"/>
      <c r="JC20" s="48"/>
      <c r="JD20" s="48"/>
      <c r="JE20" s="48"/>
      <c r="JF20" s="48"/>
      <c r="JG20" s="48"/>
      <c r="JH20" s="48"/>
      <c r="JI20" s="48"/>
      <c r="JJ20" s="48"/>
      <c r="JK20" s="48"/>
      <c r="JL20" s="48"/>
      <c r="JM20" s="48"/>
      <c r="JN20" s="48"/>
      <c r="JO20" s="48"/>
      <c r="JP20" s="48"/>
      <c r="JQ20" s="48"/>
      <c r="JR20" s="48"/>
      <c r="JS20" s="48"/>
      <c r="JT20" s="48"/>
      <c r="JU20" s="48"/>
      <c r="JV20" s="48"/>
      <c r="JW20" s="48"/>
      <c r="JX20" s="48"/>
      <c r="JY20" s="48"/>
      <c r="JZ20" s="48"/>
      <c r="KA20" s="48"/>
      <c r="KB20" s="48"/>
      <c r="KC20" s="48"/>
      <c r="KD20" s="48"/>
      <c r="KE20" s="48"/>
      <c r="KF20" s="48"/>
      <c r="KG20" s="48"/>
      <c r="KH20" s="48"/>
      <c r="KI20" s="48"/>
      <c r="KJ20" s="48"/>
      <c r="KK20" s="48"/>
      <c r="KL20" s="48"/>
      <c r="KM20" s="48"/>
      <c r="KN20" s="48"/>
      <c r="KO20" s="48"/>
      <c r="KP20" s="48"/>
      <c r="KQ20" s="48"/>
      <c r="KR20" s="48"/>
      <c r="KS20" s="48"/>
      <c r="KT20" s="48"/>
      <c r="KU20" s="48"/>
      <c r="KV20" s="48"/>
      <c r="KW20" s="48"/>
      <c r="KX20" s="48"/>
      <c r="KY20" s="48"/>
      <c r="KZ20" s="48"/>
      <c r="LA20" s="48"/>
      <c r="LB20" s="48"/>
      <c r="LC20" s="48"/>
      <c r="LD20" s="48"/>
      <c r="LE20" s="48"/>
      <c r="LF20" s="48"/>
      <c r="LG20" s="48"/>
      <c r="LH20" s="48"/>
      <c r="LI20" s="48"/>
      <c r="LJ20" s="48"/>
      <c r="LK20" s="48"/>
      <c r="LL20" s="48"/>
      <c r="LM20" s="48"/>
      <c r="LN20" s="48"/>
      <c r="LO20" s="48"/>
      <c r="LP20" s="48"/>
      <c r="LQ20" s="48"/>
      <c r="LR20" s="48"/>
      <c r="LS20" s="48"/>
      <c r="LT20" s="48"/>
      <c r="LU20" s="48"/>
      <c r="LV20" s="48"/>
      <c r="LW20" s="48"/>
      <c r="LX20" s="48"/>
      <c r="LY20" s="48"/>
      <c r="LZ20" s="48"/>
      <c r="MA20" s="48"/>
    </row>
    <row r="21" spans="1:339" s="21" customFormat="1" ht="73.5" customHeight="1" x14ac:dyDescent="0.25">
      <c r="A21" s="672"/>
      <c r="B21" s="39">
        <v>1</v>
      </c>
      <c r="C21" s="40">
        <v>0</v>
      </c>
      <c r="D21" s="41" t="s">
        <v>1213</v>
      </c>
      <c r="E21" s="42" t="s">
        <v>1</v>
      </c>
      <c r="F21" s="673"/>
      <c r="G21" s="64" t="s">
        <v>1226</v>
      </c>
      <c r="H21" s="43" t="s">
        <v>535</v>
      </c>
      <c r="I21" s="70">
        <v>0</v>
      </c>
      <c r="J21" s="44">
        <v>1</v>
      </c>
      <c r="K21" s="44">
        <v>0.55000000000000004</v>
      </c>
      <c r="L21" s="44">
        <f>'Plan de Acción 2021'!Q196</f>
        <v>1</v>
      </c>
      <c r="M21" s="44"/>
      <c r="N21" s="44">
        <v>1</v>
      </c>
      <c r="O21" s="44">
        <f>'Plan de Acción 2021'!W196</f>
        <v>0</v>
      </c>
      <c r="P21" s="44">
        <f>(O21*45%)/(L21-K21)</f>
        <v>0</v>
      </c>
      <c r="Q21" s="44"/>
      <c r="R21" s="44">
        <f>'Plan de Acción 2021'!Z196</f>
        <v>0</v>
      </c>
      <c r="S21" s="44">
        <f>(R21*45%)/(L21-K21)</f>
        <v>0</v>
      </c>
      <c r="T21" s="43"/>
      <c r="U21" s="44">
        <f>'Plan de Acción 2021'!AC196</f>
        <v>0</v>
      </c>
      <c r="V21" s="44">
        <f>(U21*45%)/(L21-K21)</f>
        <v>0</v>
      </c>
      <c r="W21" s="45"/>
      <c r="X21" s="44">
        <f>'Plan de Acción 2021'!AF196</f>
        <v>0</v>
      </c>
      <c r="Y21" s="44">
        <f>(X21*45%)/(L21-K21)</f>
        <v>0</v>
      </c>
      <c r="Z21" s="82"/>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18"/>
      <c r="BA21" s="1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48"/>
      <c r="DM21" s="48"/>
      <c r="DN21" s="48"/>
      <c r="DO21" s="48"/>
      <c r="DP21" s="48"/>
      <c r="DQ21" s="48"/>
      <c r="DR21" s="48"/>
      <c r="DS21" s="48"/>
      <c r="DT21" s="48"/>
      <c r="DU21" s="48"/>
      <c r="DV21" s="48"/>
      <c r="DW21" s="48"/>
      <c r="DX21" s="48"/>
      <c r="DY21" s="48"/>
      <c r="DZ21" s="48"/>
      <c r="EA21" s="48"/>
      <c r="EB21" s="48"/>
      <c r="EC21" s="48"/>
      <c r="ED21" s="48"/>
      <c r="EE21" s="48"/>
      <c r="EF21" s="48"/>
      <c r="EG21" s="48"/>
      <c r="EH21" s="48"/>
      <c r="EI21" s="48"/>
      <c r="EJ21" s="48"/>
      <c r="EK21" s="48"/>
      <c r="EL21" s="48"/>
      <c r="EM21" s="48"/>
      <c r="EN21" s="48"/>
      <c r="EO21" s="48"/>
      <c r="EP21" s="48"/>
      <c r="EQ21" s="48"/>
      <c r="ER21" s="48"/>
      <c r="ES21" s="48"/>
      <c r="ET21" s="48"/>
      <c r="EU21" s="48"/>
      <c r="EV21" s="48"/>
      <c r="EW21" s="48"/>
      <c r="EX21" s="48"/>
      <c r="EY21" s="48"/>
      <c r="EZ21" s="48"/>
      <c r="FA21" s="48"/>
      <c r="FB21" s="48"/>
      <c r="FC21" s="48"/>
      <c r="FD21" s="48"/>
      <c r="FE21" s="48"/>
      <c r="FF21" s="48"/>
      <c r="FG21" s="48"/>
      <c r="FH21" s="48"/>
      <c r="FI21" s="48"/>
      <c r="FJ21" s="48"/>
      <c r="FK21" s="48"/>
      <c r="FL21" s="48"/>
      <c r="FM21" s="48"/>
      <c r="FN21" s="48"/>
      <c r="FO21" s="48"/>
      <c r="FP21" s="48"/>
      <c r="FQ21" s="48"/>
      <c r="FR21" s="48"/>
      <c r="FS21" s="48"/>
      <c r="FT21" s="48"/>
      <c r="FU21" s="48"/>
      <c r="FV21" s="48"/>
      <c r="FW21" s="48"/>
      <c r="FX21" s="48"/>
      <c r="FY21" s="48"/>
      <c r="FZ21" s="48"/>
      <c r="GA21" s="48"/>
      <c r="GB21" s="48"/>
      <c r="GC21" s="48"/>
      <c r="GD21" s="48"/>
      <c r="GE21" s="48"/>
      <c r="GF21" s="48"/>
      <c r="GG21" s="48"/>
      <c r="GH21" s="48"/>
      <c r="GI21" s="48"/>
      <c r="GJ21" s="48"/>
      <c r="GK21" s="48"/>
      <c r="GL21" s="48"/>
      <c r="GM21" s="48"/>
      <c r="GN21" s="48"/>
      <c r="GO21" s="48"/>
      <c r="GP21" s="48"/>
      <c r="GQ21" s="48"/>
      <c r="GR21" s="48"/>
      <c r="GS21" s="48"/>
      <c r="GT21" s="48"/>
      <c r="GU21" s="48"/>
      <c r="GV21" s="48"/>
      <c r="GW21" s="48"/>
      <c r="GX21" s="48"/>
      <c r="GY21" s="48"/>
      <c r="GZ21" s="48"/>
      <c r="HA21" s="48"/>
      <c r="HB21" s="48"/>
      <c r="HC21" s="48"/>
      <c r="HD21" s="48"/>
      <c r="HE21" s="48"/>
      <c r="HF21" s="48"/>
      <c r="HG21" s="48"/>
      <c r="HH21" s="48"/>
      <c r="HI21" s="48"/>
      <c r="HJ21" s="48"/>
      <c r="HK21" s="48"/>
      <c r="HL21" s="48"/>
      <c r="HM21" s="48"/>
      <c r="HN21" s="48"/>
      <c r="HO21" s="48"/>
      <c r="HP21" s="48"/>
      <c r="HQ21" s="48"/>
      <c r="HR21" s="48"/>
      <c r="HS21" s="48"/>
      <c r="HT21" s="48"/>
      <c r="HU21" s="48"/>
      <c r="HV21" s="48"/>
      <c r="HW21" s="48"/>
      <c r="HX21" s="48"/>
      <c r="HY21" s="48"/>
      <c r="HZ21" s="48"/>
      <c r="IA21" s="48"/>
      <c r="IB21" s="48"/>
      <c r="IC21" s="48"/>
      <c r="ID21" s="48"/>
      <c r="IE21" s="48"/>
      <c r="IF21" s="48"/>
      <c r="IG21" s="48"/>
      <c r="IH21" s="48"/>
      <c r="II21" s="48"/>
      <c r="IJ21" s="48"/>
      <c r="IK21" s="48"/>
      <c r="IL21" s="48"/>
      <c r="IM21" s="48"/>
      <c r="IN21" s="48"/>
      <c r="IO21" s="48"/>
      <c r="IP21" s="48"/>
      <c r="IQ21" s="48"/>
      <c r="IR21" s="48"/>
      <c r="IS21" s="48"/>
      <c r="IT21" s="48"/>
      <c r="IU21" s="48"/>
      <c r="IV21" s="48"/>
      <c r="IW21" s="48"/>
      <c r="IX21" s="48"/>
      <c r="IY21" s="48"/>
      <c r="IZ21" s="48"/>
      <c r="JA21" s="48"/>
      <c r="JB21" s="48"/>
      <c r="JC21" s="48"/>
      <c r="JD21" s="48"/>
      <c r="JE21" s="48"/>
      <c r="JF21" s="48"/>
      <c r="JG21" s="48"/>
      <c r="JH21" s="48"/>
      <c r="JI21" s="48"/>
      <c r="JJ21" s="48"/>
      <c r="JK21" s="48"/>
      <c r="JL21" s="48"/>
      <c r="JM21" s="48"/>
      <c r="JN21" s="48"/>
      <c r="JO21" s="48"/>
      <c r="JP21" s="48"/>
      <c r="JQ21" s="48"/>
      <c r="JR21" s="48"/>
      <c r="JS21" s="48"/>
      <c r="JT21" s="48"/>
      <c r="JU21" s="48"/>
      <c r="JV21" s="48"/>
      <c r="JW21" s="48"/>
      <c r="JX21" s="48"/>
      <c r="JY21" s="48"/>
      <c r="JZ21" s="48"/>
      <c r="KA21" s="48"/>
      <c r="KB21" s="48"/>
      <c r="KC21" s="48"/>
      <c r="KD21" s="48"/>
      <c r="KE21" s="48"/>
      <c r="KF21" s="48"/>
      <c r="KG21" s="48"/>
      <c r="KH21" s="48"/>
      <c r="KI21" s="48"/>
      <c r="KJ21" s="48"/>
      <c r="KK21" s="48"/>
      <c r="KL21" s="48"/>
      <c r="KM21" s="48"/>
      <c r="KN21" s="48"/>
      <c r="KO21" s="48"/>
      <c r="KP21" s="48"/>
      <c r="KQ21" s="48"/>
      <c r="KR21" s="48"/>
      <c r="KS21" s="48"/>
      <c r="KT21" s="48"/>
      <c r="KU21" s="48"/>
      <c r="KV21" s="48"/>
      <c r="KW21" s="48"/>
      <c r="KX21" s="48"/>
      <c r="KY21" s="48"/>
      <c r="KZ21" s="48"/>
      <c r="LA21" s="48"/>
      <c r="LB21" s="48"/>
      <c r="LC21" s="48"/>
      <c r="LD21" s="48"/>
      <c r="LE21" s="48"/>
      <c r="LF21" s="48"/>
      <c r="LG21" s="48"/>
      <c r="LH21" s="48"/>
      <c r="LI21" s="48"/>
      <c r="LJ21" s="48"/>
      <c r="LK21" s="48"/>
      <c r="LL21" s="48"/>
      <c r="LM21" s="48"/>
      <c r="LN21" s="48"/>
      <c r="LO21" s="48"/>
      <c r="LP21" s="48"/>
      <c r="LQ21" s="48"/>
      <c r="LR21" s="48"/>
      <c r="LS21" s="48"/>
      <c r="LT21" s="48"/>
      <c r="LU21" s="48"/>
      <c r="LV21" s="48"/>
      <c r="LW21" s="48"/>
      <c r="LX21" s="48"/>
      <c r="LY21" s="48"/>
      <c r="LZ21" s="48"/>
      <c r="MA21" s="48"/>
    </row>
    <row r="22" spans="1:339" s="21" customFormat="1" ht="77.25" customHeight="1" x14ac:dyDescent="0.25">
      <c r="A22" s="675">
        <v>8</v>
      </c>
      <c r="B22" s="39">
        <v>1</v>
      </c>
      <c r="C22" s="40">
        <v>0</v>
      </c>
      <c r="D22" s="41" t="s">
        <v>1212</v>
      </c>
      <c r="E22" s="42" t="s">
        <v>1217</v>
      </c>
      <c r="F22" s="673" t="s">
        <v>1227</v>
      </c>
      <c r="G22" s="64" t="s">
        <v>1228</v>
      </c>
      <c r="H22" s="64" t="s">
        <v>1229</v>
      </c>
      <c r="I22" s="70">
        <v>0.2</v>
      </c>
      <c r="J22" s="44">
        <v>0.4</v>
      </c>
      <c r="K22" s="70">
        <v>0.3</v>
      </c>
      <c r="L22" s="70">
        <f>'Plan de Acción 2021'!Q197</f>
        <v>0.6</v>
      </c>
      <c r="M22" s="70"/>
      <c r="N22" s="70">
        <v>1</v>
      </c>
      <c r="O22" s="70">
        <f>'Plan de Acción 2021'!W197</f>
        <v>0</v>
      </c>
      <c r="P22" s="44">
        <f>(O22*30%)/(L22-K22)</f>
        <v>0</v>
      </c>
      <c r="Q22" s="70"/>
      <c r="R22" s="70">
        <f>'Plan de Acción 2021'!Z197</f>
        <v>0</v>
      </c>
      <c r="S22" s="44">
        <f>(R22*30%)/(L22-K22)</f>
        <v>0</v>
      </c>
      <c r="T22" s="64"/>
      <c r="U22" s="70">
        <f>'Plan de Acción 2021'!AC197</f>
        <v>0</v>
      </c>
      <c r="V22" s="44">
        <f>(U22*30%)/(L22-K22)</f>
        <v>0</v>
      </c>
      <c r="W22" s="75"/>
      <c r="X22" s="70">
        <f>'Plan de Acción 2021'!AF197</f>
        <v>0</v>
      </c>
      <c r="Y22" s="44">
        <f>(X22*30%)/(L22-K22)</f>
        <v>0</v>
      </c>
      <c r="Z22" s="76"/>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18"/>
      <c r="BA22" s="18"/>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48"/>
      <c r="ED22" s="48"/>
      <c r="EE22" s="48"/>
      <c r="EF22" s="48"/>
      <c r="EG22" s="48"/>
      <c r="EH22" s="48"/>
      <c r="EI22" s="48"/>
      <c r="EJ22" s="48"/>
      <c r="EK22" s="48"/>
      <c r="EL22" s="48"/>
      <c r="EM22" s="48"/>
      <c r="EN22" s="48"/>
      <c r="EO22" s="48"/>
      <c r="EP22" s="48"/>
      <c r="EQ22" s="48"/>
      <c r="ER22" s="48"/>
      <c r="ES22" s="48"/>
      <c r="ET22" s="48"/>
      <c r="EU22" s="48"/>
      <c r="EV22" s="48"/>
      <c r="EW22" s="48"/>
      <c r="EX22" s="48"/>
      <c r="EY22" s="48"/>
      <c r="EZ22" s="48"/>
      <c r="FA22" s="48"/>
      <c r="FB22" s="48"/>
      <c r="FC22" s="48"/>
      <c r="FD22" s="48"/>
      <c r="FE22" s="48"/>
      <c r="FF22" s="48"/>
      <c r="FG22" s="48"/>
      <c r="FH22" s="48"/>
      <c r="FI22" s="48"/>
      <c r="FJ22" s="48"/>
      <c r="FK22" s="48"/>
      <c r="FL22" s="48"/>
      <c r="FM22" s="48"/>
      <c r="FN22" s="48"/>
      <c r="FO22" s="48"/>
      <c r="FP22" s="48"/>
      <c r="FQ22" s="48"/>
      <c r="FR22" s="48"/>
      <c r="FS22" s="48"/>
      <c r="FT22" s="48"/>
      <c r="FU22" s="48"/>
      <c r="FV22" s="48"/>
      <c r="FW22" s="48"/>
      <c r="FX22" s="48"/>
      <c r="FY22" s="48"/>
      <c r="FZ22" s="48"/>
      <c r="GA22" s="48"/>
      <c r="GB22" s="48"/>
      <c r="GC22" s="48"/>
      <c r="GD22" s="48"/>
      <c r="GE22" s="48"/>
      <c r="GF22" s="48"/>
      <c r="GG22" s="48"/>
      <c r="GH22" s="48"/>
      <c r="GI22" s="48"/>
      <c r="GJ22" s="48"/>
      <c r="GK22" s="48"/>
      <c r="GL22" s="48"/>
      <c r="GM22" s="48"/>
      <c r="GN22" s="48"/>
      <c r="GO22" s="48"/>
      <c r="GP22" s="48"/>
      <c r="GQ22" s="48"/>
      <c r="GR22" s="48"/>
      <c r="GS22" s="48"/>
      <c r="GT22" s="48"/>
      <c r="GU22" s="48"/>
      <c r="GV22" s="48"/>
      <c r="GW22" s="48"/>
      <c r="GX22" s="48"/>
      <c r="GY22" s="48"/>
      <c r="GZ22" s="48"/>
      <c r="HA22" s="48"/>
      <c r="HB22" s="48"/>
      <c r="HC22" s="48"/>
      <c r="HD22" s="48"/>
      <c r="HE22" s="48"/>
      <c r="HF22" s="48"/>
      <c r="HG22" s="48"/>
      <c r="HH22" s="48"/>
      <c r="HI22" s="48"/>
      <c r="HJ22" s="48"/>
      <c r="HK22" s="48"/>
      <c r="HL22" s="48"/>
      <c r="HM22" s="48"/>
      <c r="HN22" s="48"/>
      <c r="HO22" s="48"/>
      <c r="HP22" s="48"/>
      <c r="HQ22" s="48"/>
      <c r="HR22" s="48"/>
      <c r="HS22" s="48"/>
      <c r="HT22" s="48"/>
      <c r="HU22" s="48"/>
      <c r="HV22" s="48"/>
      <c r="HW22" s="48"/>
      <c r="HX22" s="48"/>
      <c r="HY22" s="48"/>
      <c r="HZ22" s="48"/>
      <c r="IA22" s="48"/>
      <c r="IB22" s="48"/>
      <c r="IC22" s="48"/>
      <c r="ID22" s="48"/>
      <c r="IE22" s="48"/>
      <c r="IF22" s="48"/>
      <c r="IG22" s="48"/>
      <c r="IH22" s="48"/>
      <c r="II22" s="48"/>
      <c r="IJ22" s="48"/>
      <c r="IK22" s="48"/>
      <c r="IL22" s="48"/>
      <c r="IM22" s="48"/>
      <c r="IN22" s="48"/>
      <c r="IO22" s="48"/>
      <c r="IP22" s="48"/>
      <c r="IQ22" s="48"/>
      <c r="IR22" s="48"/>
      <c r="IS22" s="48"/>
      <c r="IT22" s="48"/>
      <c r="IU22" s="48"/>
      <c r="IV22" s="48"/>
      <c r="IW22" s="48"/>
      <c r="IX22" s="48"/>
      <c r="IY22" s="48"/>
      <c r="IZ22" s="48"/>
      <c r="JA22" s="48"/>
      <c r="JB22" s="48"/>
      <c r="JC22" s="48"/>
      <c r="JD22" s="48"/>
      <c r="JE22" s="48"/>
      <c r="JF22" s="48"/>
      <c r="JG22" s="48"/>
      <c r="JH22" s="48"/>
      <c r="JI22" s="48"/>
      <c r="JJ22" s="48"/>
      <c r="JK22" s="48"/>
      <c r="JL22" s="48"/>
      <c r="JM22" s="48"/>
      <c r="JN22" s="48"/>
      <c r="JO22" s="48"/>
      <c r="JP22" s="48"/>
      <c r="JQ22" s="48"/>
      <c r="JR22" s="48"/>
      <c r="JS22" s="48"/>
      <c r="JT22" s="48"/>
      <c r="JU22" s="48"/>
      <c r="JV22" s="48"/>
      <c r="JW22" s="48"/>
      <c r="JX22" s="48"/>
      <c r="JY22" s="48"/>
      <c r="JZ22" s="48"/>
      <c r="KA22" s="48"/>
      <c r="KB22" s="48"/>
      <c r="KC22" s="48"/>
      <c r="KD22" s="48"/>
      <c r="KE22" s="48"/>
      <c r="KF22" s="48"/>
      <c r="KG22" s="48"/>
      <c r="KH22" s="48"/>
      <c r="KI22" s="48"/>
      <c r="KJ22" s="48"/>
      <c r="KK22" s="48"/>
      <c r="KL22" s="48"/>
      <c r="KM22" s="48"/>
      <c r="KN22" s="48"/>
      <c r="KO22" s="48"/>
      <c r="KP22" s="48"/>
      <c r="KQ22" s="48"/>
      <c r="KR22" s="48"/>
      <c r="KS22" s="48"/>
      <c r="KT22" s="48"/>
      <c r="KU22" s="48"/>
      <c r="KV22" s="48"/>
      <c r="KW22" s="48"/>
      <c r="KX22" s="48"/>
      <c r="KY22" s="48"/>
      <c r="KZ22" s="48"/>
      <c r="LA22" s="48"/>
      <c r="LB22" s="48"/>
      <c r="LC22" s="48"/>
      <c r="LD22" s="48"/>
      <c r="LE22" s="48"/>
      <c r="LF22" s="48"/>
      <c r="LG22" s="48"/>
      <c r="LH22" s="48"/>
      <c r="LI22" s="48"/>
      <c r="LJ22" s="48"/>
      <c r="LK22" s="48"/>
      <c r="LL22" s="48"/>
      <c r="LM22" s="48"/>
      <c r="LN22" s="48"/>
      <c r="LO22" s="48"/>
      <c r="LP22" s="48"/>
      <c r="LQ22" s="48"/>
      <c r="LR22" s="48"/>
      <c r="LS22" s="48"/>
      <c r="LT22" s="48"/>
      <c r="LU22" s="48"/>
      <c r="LV22" s="48"/>
      <c r="LW22" s="48"/>
      <c r="LX22" s="48"/>
      <c r="LY22" s="48"/>
      <c r="LZ22" s="48"/>
      <c r="MA22" s="48"/>
    </row>
    <row r="23" spans="1:339" ht="43.5" customHeight="1" thickBot="1" x14ac:dyDescent="0.3">
      <c r="A23" s="676"/>
      <c r="B23" s="39">
        <v>1</v>
      </c>
      <c r="C23" s="40">
        <v>0</v>
      </c>
      <c r="D23" s="41" t="s">
        <v>1213</v>
      </c>
      <c r="E23" s="43" t="s">
        <v>1230</v>
      </c>
      <c r="F23" s="673"/>
      <c r="G23" s="64" t="s">
        <v>652</v>
      </c>
      <c r="H23" s="64" t="s">
        <v>655</v>
      </c>
      <c r="I23" s="70">
        <v>0</v>
      </c>
      <c r="J23" s="70">
        <v>0.1</v>
      </c>
      <c r="K23" s="70">
        <v>0.08</v>
      </c>
      <c r="L23" s="44">
        <f>'Plan de Acción 2021'!Q253</f>
        <v>0.2</v>
      </c>
      <c r="M23" s="44"/>
      <c r="N23" s="70">
        <v>1</v>
      </c>
      <c r="O23" s="70">
        <f>'Plan de Acción 2021'!W253</f>
        <v>0</v>
      </c>
      <c r="P23" s="44">
        <f>(O23*12%)/(L23-K23)</f>
        <v>0</v>
      </c>
      <c r="Q23" s="70"/>
      <c r="R23" s="70">
        <f>'Plan de Acción 2021'!Z253</f>
        <v>0</v>
      </c>
      <c r="S23" s="44">
        <f>(R23*12%)/(L23-K23)</f>
        <v>0</v>
      </c>
      <c r="T23" s="64"/>
      <c r="U23" s="70">
        <f>'Plan de Acción 2021'!AC253</f>
        <v>0</v>
      </c>
      <c r="V23" s="44">
        <f>(U23*12%)/(L23-K23)</f>
        <v>0</v>
      </c>
      <c r="W23" s="75"/>
      <c r="X23" s="70">
        <f>'Plan de Acción 2021'!AF253</f>
        <v>0</v>
      </c>
      <c r="Y23" s="44">
        <f>(X23*12%)/(L23-K23)</f>
        <v>0</v>
      </c>
      <c r="Z23" s="76"/>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3"/>
      <c r="CQ23" s="83"/>
      <c r="CR23" s="83"/>
      <c r="CS23" s="83"/>
      <c r="CT23" s="83"/>
      <c r="CU23" s="83"/>
      <c r="CV23" s="83"/>
      <c r="CW23" s="83"/>
      <c r="CX23" s="83"/>
      <c r="CY23" s="83"/>
      <c r="CZ23" s="83"/>
      <c r="DA23" s="83"/>
      <c r="DB23" s="83"/>
      <c r="DC23" s="83"/>
      <c r="DD23" s="83"/>
      <c r="DE23" s="83"/>
      <c r="DF23" s="83"/>
      <c r="DG23" s="83"/>
      <c r="DH23" s="83"/>
      <c r="DI23" s="83"/>
      <c r="DJ23" s="83"/>
      <c r="DK23" s="83"/>
      <c r="DL23" s="83"/>
      <c r="DM23" s="83"/>
      <c r="DN23" s="83"/>
      <c r="DO23" s="83"/>
      <c r="DP23" s="83"/>
      <c r="DQ23" s="83"/>
      <c r="DR23" s="83"/>
      <c r="DS23" s="83"/>
      <c r="DT23" s="83"/>
      <c r="DU23" s="83"/>
      <c r="DV23" s="83"/>
      <c r="DW23" s="83"/>
      <c r="DX23" s="83"/>
      <c r="DY23" s="83"/>
      <c r="DZ23" s="83"/>
      <c r="EA23" s="83"/>
      <c r="EB23" s="83"/>
      <c r="EC23" s="83"/>
      <c r="ED23" s="83"/>
      <c r="EE23" s="83"/>
      <c r="EF23" s="83"/>
      <c r="EG23" s="83"/>
      <c r="EH23" s="83"/>
      <c r="EI23" s="83"/>
      <c r="EJ23" s="83"/>
      <c r="EK23" s="83"/>
      <c r="EL23" s="83"/>
      <c r="EM23" s="83"/>
      <c r="EN23" s="83"/>
      <c r="EO23" s="83"/>
      <c r="EP23" s="83"/>
      <c r="EQ23" s="83"/>
      <c r="ER23" s="83"/>
      <c r="ES23" s="83"/>
      <c r="ET23" s="83"/>
      <c r="EU23" s="83"/>
      <c r="EV23" s="83"/>
      <c r="EW23" s="83"/>
      <c r="EX23" s="83"/>
      <c r="EY23" s="83"/>
      <c r="EZ23" s="83"/>
      <c r="FA23" s="83"/>
      <c r="FB23" s="83"/>
      <c r="FC23" s="83"/>
      <c r="FD23" s="83"/>
      <c r="FE23" s="83"/>
      <c r="FF23" s="83"/>
      <c r="FG23" s="83"/>
      <c r="FH23" s="83"/>
      <c r="FI23" s="83"/>
      <c r="FJ23" s="83"/>
      <c r="FK23" s="83"/>
      <c r="FL23" s="83"/>
      <c r="FM23" s="83"/>
      <c r="FN23" s="83"/>
      <c r="FO23" s="83"/>
      <c r="FP23" s="83"/>
      <c r="FQ23" s="83"/>
      <c r="FR23" s="83"/>
      <c r="FS23" s="83"/>
      <c r="FT23" s="83"/>
      <c r="FU23" s="83"/>
      <c r="FV23" s="83"/>
      <c r="FW23" s="83"/>
      <c r="FX23" s="83"/>
      <c r="FY23" s="83"/>
      <c r="FZ23" s="83"/>
      <c r="GA23" s="83"/>
      <c r="GB23" s="83"/>
      <c r="GC23" s="83"/>
      <c r="GD23" s="83"/>
      <c r="GE23" s="83"/>
      <c r="GF23" s="83"/>
      <c r="GG23" s="83"/>
      <c r="GH23" s="83"/>
      <c r="GI23" s="83"/>
      <c r="GJ23" s="83"/>
      <c r="GK23" s="83"/>
      <c r="GL23" s="83"/>
      <c r="GM23" s="83"/>
      <c r="GN23" s="83"/>
      <c r="GO23" s="83"/>
      <c r="GP23" s="83"/>
      <c r="GQ23" s="83"/>
      <c r="GR23" s="83"/>
      <c r="GS23" s="83"/>
      <c r="GT23" s="83"/>
      <c r="GU23" s="83"/>
      <c r="GV23" s="83"/>
      <c r="GW23" s="83"/>
      <c r="GX23" s="83"/>
      <c r="GY23" s="83"/>
      <c r="GZ23" s="83"/>
      <c r="HA23" s="83"/>
      <c r="HB23" s="83"/>
      <c r="HC23" s="83"/>
      <c r="HD23" s="83"/>
      <c r="HE23" s="83"/>
      <c r="HF23" s="83"/>
      <c r="HG23" s="83"/>
      <c r="HH23" s="83"/>
      <c r="HI23" s="83"/>
      <c r="HJ23" s="83"/>
      <c r="HK23" s="83"/>
      <c r="HL23" s="83"/>
      <c r="HM23" s="83"/>
      <c r="HN23" s="83"/>
      <c r="HO23" s="83"/>
      <c r="HP23" s="83"/>
      <c r="HQ23" s="83"/>
      <c r="HR23" s="83"/>
      <c r="HS23" s="83"/>
      <c r="HT23" s="83"/>
      <c r="HU23" s="83"/>
      <c r="HV23" s="83"/>
      <c r="HW23" s="83"/>
      <c r="HX23" s="83"/>
      <c r="HY23" s="83"/>
      <c r="HZ23" s="83"/>
      <c r="IA23" s="83"/>
      <c r="IB23" s="83"/>
      <c r="IC23" s="83"/>
      <c r="ID23" s="83"/>
      <c r="IE23" s="83"/>
      <c r="IF23" s="83"/>
      <c r="IG23" s="83"/>
      <c r="IH23" s="83"/>
      <c r="II23" s="83"/>
      <c r="IJ23" s="83"/>
      <c r="IK23" s="83"/>
      <c r="IL23" s="83"/>
      <c r="IM23" s="83"/>
      <c r="IN23" s="83"/>
      <c r="IO23" s="83"/>
      <c r="IP23" s="83"/>
      <c r="IQ23" s="83"/>
      <c r="IR23" s="83"/>
      <c r="IS23" s="83"/>
      <c r="IT23" s="83"/>
      <c r="IU23" s="83"/>
      <c r="IV23" s="83"/>
      <c r="IW23" s="83"/>
      <c r="IX23" s="83"/>
      <c r="IY23" s="83"/>
      <c r="IZ23" s="83"/>
      <c r="JA23" s="83"/>
      <c r="JB23" s="83"/>
      <c r="JC23" s="83"/>
      <c r="JD23" s="83"/>
      <c r="JE23" s="83"/>
      <c r="JF23" s="83"/>
      <c r="JG23" s="83"/>
      <c r="JH23" s="83"/>
      <c r="JI23" s="83"/>
      <c r="JJ23" s="83"/>
      <c r="JK23" s="83"/>
      <c r="JL23" s="83"/>
      <c r="JM23" s="83"/>
      <c r="JN23" s="83"/>
      <c r="JO23" s="83"/>
      <c r="JP23" s="83"/>
      <c r="JQ23" s="83"/>
      <c r="JR23" s="83"/>
      <c r="JS23" s="83"/>
      <c r="JT23" s="83"/>
      <c r="JU23" s="83"/>
      <c r="JV23" s="83"/>
      <c r="JW23" s="83"/>
      <c r="JX23" s="83"/>
      <c r="JY23" s="83"/>
      <c r="JZ23" s="83"/>
      <c r="KA23" s="83"/>
      <c r="KB23" s="83"/>
      <c r="KC23" s="83"/>
      <c r="KD23" s="83"/>
      <c r="KE23" s="83"/>
      <c r="KF23" s="83"/>
      <c r="KG23" s="83"/>
      <c r="KH23" s="83"/>
      <c r="KI23" s="83"/>
      <c r="KJ23" s="83"/>
      <c r="KK23" s="83"/>
      <c r="KL23" s="83"/>
      <c r="KM23" s="83"/>
      <c r="KN23" s="83"/>
      <c r="KO23" s="83"/>
      <c r="KP23" s="83"/>
      <c r="KQ23" s="83"/>
      <c r="KR23" s="83"/>
      <c r="KS23" s="83"/>
      <c r="KT23" s="83"/>
      <c r="KU23" s="83"/>
      <c r="KV23" s="83"/>
      <c r="KW23" s="83"/>
      <c r="KX23" s="83"/>
      <c r="KY23" s="83"/>
      <c r="KZ23" s="83"/>
      <c r="LA23" s="83"/>
      <c r="LB23" s="83"/>
      <c r="LC23" s="83"/>
      <c r="LD23" s="83"/>
      <c r="LE23" s="83"/>
      <c r="LF23" s="83"/>
      <c r="LG23" s="83"/>
      <c r="LH23" s="83"/>
      <c r="LI23" s="83"/>
      <c r="LJ23" s="83"/>
      <c r="LK23" s="83"/>
      <c r="LL23" s="83"/>
      <c r="LM23" s="83"/>
      <c r="LN23" s="83"/>
      <c r="LO23" s="83"/>
      <c r="LP23" s="83"/>
      <c r="LQ23" s="83"/>
      <c r="LR23" s="83"/>
      <c r="LS23" s="83"/>
      <c r="LT23" s="83"/>
      <c r="LU23" s="83"/>
      <c r="LV23" s="83"/>
      <c r="LW23" s="83"/>
      <c r="LX23" s="83"/>
      <c r="LY23" s="83"/>
      <c r="LZ23" s="83"/>
      <c r="MA23" s="83"/>
    </row>
    <row r="24" spans="1:339" s="21" customFormat="1" ht="76.5" customHeight="1" x14ac:dyDescent="0.25">
      <c r="A24" s="674">
        <v>9</v>
      </c>
      <c r="B24" s="39">
        <v>1</v>
      </c>
      <c r="C24" s="40">
        <v>0</v>
      </c>
      <c r="D24" s="41" t="s">
        <v>1212</v>
      </c>
      <c r="E24" s="42" t="s">
        <v>1231</v>
      </c>
      <c r="F24" s="673" t="s">
        <v>597</v>
      </c>
      <c r="G24" s="43" t="s">
        <v>336</v>
      </c>
      <c r="H24" s="43" t="s">
        <v>339</v>
      </c>
      <c r="I24" s="44">
        <v>0.4</v>
      </c>
      <c r="J24" s="44">
        <v>0.5</v>
      </c>
      <c r="K24" s="70">
        <v>0.4</v>
      </c>
      <c r="L24" s="44">
        <f>'Plan de Acción 2021'!Q248</f>
        <v>0.6</v>
      </c>
      <c r="M24" s="44"/>
      <c r="N24" s="44">
        <v>0.8</v>
      </c>
      <c r="O24" s="44">
        <f>('Plan de Acción 2021'!W107+'Plan de Acción 2021'!W108+'Plan de Acción 2021'!W109+'Plan de Acción 2021'!W110+'Plan de Acción 2021'!W111+'Plan de Acción 2021'!W112+'Plan de Acción 2021'!W113+'Plan de Acción 2021'!W114+'Plan de Acción 2021'!W115+'Plan de Acción 2021'!W116+'Plan de Acción 2021'!W117+'Plan de Acción 2021'!W118+'Plan de Acción 2021'!W119+'Plan de Acción 2021'!W120+'Plan de Acción 2021'!W121+'Plan de Acción 2021'!W122+'Plan de Acción 2021'!W123+'Plan de Acción 2021'!W124+'Plan de Acción 2021'!W125+'Plan de Acción 2021'!W126+'Plan de Acción 2021'!W127+'Plan de Acción 2021'!W128+'Plan de Acción 2021'!W129+'Plan de Acción 2021'!W130+'Plan de Acción 2021'!W131+'Plan de Acción 2021'!W245+'Plan de Acción 2021'!W246+'Plan de Acción 2021'!W247+'Plan de Acción 2021'!W248+'Plan de Acción 2021'!W291+'Plan de Acción 2021'!W364+'Plan de Acción 2021'!W365+'Plan de Acción 2021'!W366+'Plan de Acción 2021'!W380+'Plan de Acción 2021'!W381+'Plan de Acción 2021'!W382+'Plan de Acción 2021'!W383+'Plan de Acción 2021'!W384+'Plan de Acción 2021'!W385+'Plan de Acción 2021'!W386+'Plan de Acción 2021'!W387+'Plan de Acción 2021'!W388+'Plan de Acción 2021'!W389+'Plan de Acción 2021'!W390+'Plan de Acción 2021'!W391+'Plan de Acción 2021'!W392+'Plan de Acción 2021'!W393+'Plan de Acción 2021'!W394+'Plan de Acción 2021'!W395+'Plan de Acción 2021'!W397+'Plan de Acción 2021'!W396+'Plan de Acción 2021'!W398+'Plan de Acción 2021'!W399+'Plan de Acción 2021'!W400)/54</f>
        <v>0</v>
      </c>
      <c r="P24" s="44">
        <f>(O24*20%)/(L24-K24)</f>
        <v>0</v>
      </c>
      <c r="Q24" s="44"/>
      <c r="R24" s="44">
        <f>('Plan de Acción 2021'!Z107+'Plan de Acción 2021'!Z108+'Plan de Acción 2021'!Z109+'Plan de Acción 2021'!Z110+'Plan de Acción 2021'!Z111+'Plan de Acción 2021'!Z112+'Plan de Acción 2021'!Z113+'Plan de Acción 2021'!Z114+'Plan de Acción 2021'!Z115+'Plan de Acción 2021'!Z116+'Plan de Acción 2021'!Z117+'Plan de Acción 2021'!Z118+'Plan de Acción 2021'!Z119+'Plan de Acción 2021'!Z120+'Plan de Acción 2021'!Z121+'Plan de Acción 2021'!Z122+'Plan de Acción 2021'!Z123+'Plan de Acción 2021'!Z124+'Plan de Acción 2021'!Z125+'Plan de Acción 2021'!Z126+'Plan de Acción 2021'!Z127+'Plan de Acción 2021'!Z128+'Plan de Acción 2021'!Z129+'Plan de Acción 2021'!Z130+'Plan de Acción 2021'!Z131+'Plan de Acción 2021'!Z245+'Plan de Acción 2021'!Z246+'Plan de Acción 2021'!Z247+'Plan de Acción 2021'!Z248+'Plan de Acción 2021'!Z291+'Plan de Acción 2021'!Z364+'Plan de Acción 2021'!Z365+'Plan de Acción 2021'!Z366+'Plan de Acción 2021'!Z380+'Plan de Acción 2021'!Z381+'Plan de Acción 2021'!Z382+'Plan de Acción 2021'!Z383+'Plan de Acción 2021'!Z384+'Plan de Acción 2021'!Z385+'Plan de Acción 2021'!Z386+'Plan de Acción 2021'!Z387+'Plan de Acción 2021'!Z388+'Plan de Acción 2021'!Z389+'Plan de Acción 2021'!Z390+'Plan de Acción 2021'!Z391+'Plan de Acción 2021'!Z392+'Plan de Acción 2021'!Z393+'Plan de Acción 2021'!Z394+'Plan de Acción 2021'!Z395+'Plan de Acción 2021'!Z397+'Plan de Acción 2021'!Z396+'Plan de Acción 2021'!Z398+'Plan de Acción 2021'!Z399+'Plan de Acción 2021'!Z400)/54</f>
        <v>0</v>
      </c>
      <c r="S24" s="44">
        <f>(R24*20%)/(L24-K24)</f>
        <v>0</v>
      </c>
      <c r="T24" s="64"/>
      <c r="U24" s="44">
        <f>('Plan de Acción 2021'!AC107+'Plan de Acción 2021'!AC108+'Plan de Acción 2021'!AC109+'Plan de Acción 2021'!AC110+'Plan de Acción 2021'!AC111+'Plan de Acción 2021'!AC112+'Plan de Acción 2021'!AC113+'Plan de Acción 2021'!AC114+'Plan de Acción 2021'!AC115+'Plan de Acción 2021'!AC116+'Plan de Acción 2021'!AC117+'Plan de Acción 2021'!AC118+'Plan de Acción 2021'!AC119+'Plan de Acción 2021'!AC120+'Plan de Acción 2021'!AC121+'Plan de Acción 2021'!AC122+'Plan de Acción 2021'!AC123+'Plan de Acción 2021'!AC124+'Plan de Acción 2021'!AC125+'Plan de Acción 2021'!AC126+'Plan de Acción 2021'!AC127+'Plan de Acción 2021'!AC128+'Plan de Acción 2021'!AC129+'Plan de Acción 2021'!AC130+'Plan de Acción 2021'!AC131+'Plan de Acción 2021'!AC245+'Plan de Acción 2021'!AC246+'Plan de Acción 2021'!AC247+'Plan de Acción 2021'!AC248+'Plan de Acción 2021'!AC291+'Plan de Acción 2021'!AC364+'Plan de Acción 2021'!AC365+'Plan de Acción 2021'!AC366+'Plan de Acción 2021'!AC380+'Plan de Acción 2021'!AC381+'Plan de Acción 2021'!AC382+'Plan de Acción 2021'!AC383+'Plan de Acción 2021'!AC384+'Plan de Acción 2021'!AC385+'Plan de Acción 2021'!AC386+'Plan de Acción 2021'!AC387+'Plan de Acción 2021'!AC388+'Plan de Acción 2021'!AC389+'Plan de Acción 2021'!AC390+'Plan de Acción 2021'!AC391+'Plan de Acción 2021'!AC392+'Plan de Acción 2021'!AC393+'Plan de Acción 2021'!AC394+'Plan de Acción 2021'!AC395+'Plan de Acción 2021'!AC397+'Plan de Acción 2021'!AC396+'Plan de Acción 2021'!AC398+'Plan de Acción 2021'!AC399+'Plan de Acción 2021'!AC400)/54</f>
        <v>0</v>
      </c>
      <c r="V24" s="44">
        <f>(U24*20%)/(L24-K24)</f>
        <v>0</v>
      </c>
      <c r="W24" s="75"/>
      <c r="X24" s="44">
        <f>('Plan de Acción 2021'!AF107+'Plan de Acción 2021'!AF108+'Plan de Acción 2021'!AF109+'Plan de Acción 2021'!AF110+'Plan de Acción 2021'!AF111+'Plan de Acción 2021'!AF112+'Plan de Acción 2021'!AF113+'Plan de Acción 2021'!AF114+'Plan de Acción 2021'!AF115+'Plan de Acción 2021'!AF116+'Plan de Acción 2021'!AF117+'Plan de Acción 2021'!AF118+'Plan de Acción 2021'!AF119+'Plan de Acción 2021'!AF120+'Plan de Acción 2021'!AF121+'Plan de Acción 2021'!AF122+'Plan de Acción 2021'!AF123+'Plan de Acción 2021'!AF124+'Plan de Acción 2021'!AF125+'Plan de Acción 2021'!AF126+'Plan de Acción 2021'!AF127+'Plan de Acción 2021'!AF128+'Plan de Acción 2021'!AF129+'Plan de Acción 2021'!AF130+'Plan de Acción 2021'!AF131+'Plan de Acción 2021'!AF245+'Plan de Acción 2021'!AF246+'Plan de Acción 2021'!AF247+'Plan de Acción 2021'!AF248+'Plan de Acción 2021'!AF291+'Plan de Acción 2021'!AF364+'Plan de Acción 2021'!AF365+'Plan de Acción 2021'!AF366+'Plan de Acción 2021'!AF380+'Plan de Acción 2021'!AF381+'Plan de Acción 2021'!AF382+'Plan de Acción 2021'!AF383+'Plan de Acción 2021'!AF384+'Plan de Acción 2021'!AF385+'Plan de Acción 2021'!AF386+'Plan de Acción 2021'!AF387+'Plan de Acción 2021'!AF388+'Plan de Acción 2021'!AF389+'Plan de Acción 2021'!AF390+'Plan de Acción 2021'!AF391+'Plan de Acción 2021'!AF392+'Plan de Acción 2021'!AF393+'Plan de Acción 2021'!AF394+'Plan de Acción 2021'!AF395+'Plan de Acción 2021'!AF397+'Plan de Acción 2021'!AF396+'Plan de Acción 2021'!AF398+'Plan de Acción 2021'!AF399+'Plan de Acción 2021'!AF400)/54</f>
        <v>0</v>
      </c>
      <c r="Y24" s="44">
        <f>(X24*42%)/(L24-K24)</f>
        <v>0</v>
      </c>
      <c r="Z24" s="76"/>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18"/>
      <c r="BA24" s="1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c r="DU24" s="48"/>
      <c r="DV24" s="48"/>
      <c r="DW24" s="48"/>
      <c r="DX24" s="48"/>
      <c r="DY24" s="48"/>
      <c r="DZ24" s="48"/>
      <c r="EA24" s="48"/>
      <c r="EB24" s="48"/>
      <c r="EC24" s="48"/>
      <c r="ED24" s="48"/>
      <c r="EE24" s="48"/>
      <c r="EF24" s="48"/>
      <c r="EG24" s="48"/>
      <c r="EH24" s="48"/>
      <c r="EI24" s="48"/>
      <c r="EJ24" s="48"/>
      <c r="EK24" s="48"/>
      <c r="EL24" s="48"/>
      <c r="EM24" s="48"/>
      <c r="EN24" s="48"/>
      <c r="EO24" s="48"/>
      <c r="EP24" s="48"/>
      <c r="EQ24" s="48"/>
      <c r="ER24" s="48"/>
      <c r="ES24" s="48"/>
      <c r="ET24" s="48"/>
      <c r="EU24" s="48"/>
      <c r="EV24" s="48"/>
      <c r="EW24" s="48"/>
      <c r="EX24" s="48"/>
      <c r="EY24" s="48"/>
      <c r="EZ24" s="48"/>
      <c r="FA24" s="48"/>
      <c r="FB24" s="48"/>
      <c r="FC24" s="48"/>
      <c r="FD24" s="48"/>
      <c r="FE24" s="48"/>
      <c r="FF24" s="48"/>
      <c r="FG24" s="48"/>
      <c r="FH24" s="48"/>
      <c r="FI24" s="48"/>
      <c r="FJ24" s="48"/>
      <c r="FK24" s="48"/>
      <c r="FL24" s="48"/>
      <c r="FM24" s="48"/>
      <c r="FN24" s="48"/>
      <c r="FO24" s="48"/>
      <c r="FP24" s="48"/>
      <c r="FQ24" s="48"/>
      <c r="FR24" s="48"/>
      <c r="FS24" s="48"/>
      <c r="FT24" s="48"/>
      <c r="FU24" s="48"/>
      <c r="FV24" s="48"/>
      <c r="FW24" s="48"/>
      <c r="FX24" s="48"/>
      <c r="FY24" s="48"/>
      <c r="FZ24" s="48"/>
      <c r="GA24" s="48"/>
      <c r="GB24" s="48"/>
      <c r="GC24" s="48"/>
      <c r="GD24" s="48"/>
      <c r="GE24" s="48"/>
      <c r="GF24" s="48"/>
      <c r="GG24" s="48"/>
      <c r="GH24" s="48"/>
      <c r="GI24" s="48"/>
      <c r="GJ24" s="48"/>
      <c r="GK24" s="48"/>
      <c r="GL24" s="48"/>
      <c r="GM24" s="48"/>
      <c r="GN24" s="48"/>
      <c r="GO24" s="48"/>
      <c r="GP24" s="48"/>
      <c r="GQ24" s="48"/>
      <c r="GR24" s="48"/>
      <c r="GS24" s="48"/>
      <c r="GT24" s="48"/>
      <c r="GU24" s="48"/>
      <c r="GV24" s="48"/>
      <c r="GW24" s="48"/>
      <c r="GX24" s="48"/>
      <c r="GY24" s="48"/>
      <c r="GZ24" s="48"/>
      <c r="HA24" s="48"/>
      <c r="HB24" s="48"/>
      <c r="HC24" s="48"/>
      <c r="HD24" s="48"/>
      <c r="HE24" s="48"/>
      <c r="HF24" s="48"/>
      <c r="HG24" s="48"/>
      <c r="HH24" s="48"/>
      <c r="HI24" s="48"/>
      <c r="HJ24" s="48"/>
      <c r="HK24" s="48"/>
      <c r="HL24" s="48"/>
      <c r="HM24" s="48"/>
      <c r="HN24" s="48"/>
      <c r="HO24" s="48"/>
      <c r="HP24" s="48"/>
      <c r="HQ24" s="48"/>
      <c r="HR24" s="48"/>
      <c r="HS24" s="48"/>
      <c r="HT24" s="48"/>
      <c r="HU24" s="48"/>
      <c r="HV24" s="48"/>
      <c r="HW24" s="48"/>
      <c r="HX24" s="48"/>
      <c r="HY24" s="48"/>
      <c r="HZ24" s="48"/>
      <c r="IA24" s="48"/>
      <c r="IB24" s="48"/>
      <c r="IC24" s="48"/>
      <c r="ID24" s="48"/>
      <c r="IE24" s="48"/>
      <c r="IF24" s="48"/>
      <c r="IG24" s="48"/>
      <c r="IH24" s="48"/>
      <c r="II24" s="48"/>
      <c r="IJ24" s="48"/>
      <c r="IK24" s="48"/>
      <c r="IL24" s="48"/>
      <c r="IM24" s="48"/>
      <c r="IN24" s="48"/>
      <c r="IO24" s="48"/>
      <c r="IP24" s="48"/>
      <c r="IQ24" s="48"/>
      <c r="IR24" s="48"/>
      <c r="IS24" s="48"/>
      <c r="IT24" s="48"/>
      <c r="IU24" s="48"/>
      <c r="IV24" s="48"/>
      <c r="IW24" s="48"/>
      <c r="IX24" s="48"/>
      <c r="IY24" s="48"/>
      <c r="IZ24" s="48"/>
      <c r="JA24" s="48"/>
      <c r="JB24" s="48"/>
      <c r="JC24" s="48"/>
      <c r="JD24" s="48"/>
      <c r="JE24" s="48"/>
      <c r="JF24" s="48"/>
      <c r="JG24" s="48"/>
      <c r="JH24" s="48"/>
      <c r="JI24" s="48"/>
      <c r="JJ24" s="48"/>
      <c r="JK24" s="48"/>
      <c r="JL24" s="48"/>
      <c r="JM24" s="48"/>
      <c r="JN24" s="48"/>
      <c r="JO24" s="48"/>
      <c r="JP24" s="48"/>
      <c r="JQ24" s="48"/>
      <c r="JR24" s="48"/>
      <c r="JS24" s="48"/>
      <c r="JT24" s="48"/>
      <c r="JU24" s="48"/>
      <c r="JV24" s="48"/>
      <c r="JW24" s="48"/>
      <c r="JX24" s="48"/>
      <c r="JY24" s="48"/>
      <c r="JZ24" s="48"/>
      <c r="KA24" s="48"/>
      <c r="KB24" s="48"/>
      <c r="KC24" s="48"/>
      <c r="KD24" s="48"/>
      <c r="KE24" s="48"/>
      <c r="KF24" s="48"/>
      <c r="KG24" s="48"/>
      <c r="KH24" s="48"/>
      <c r="KI24" s="48"/>
      <c r="KJ24" s="48"/>
      <c r="KK24" s="48"/>
      <c r="KL24" s="48"/>
      <c r="KM24" s="48"/>
      <c r="KN24" s="48"/>
      <c r="KO24" s="48"/>
      <c r="KP24" s="48"/>
      <c r="KQ24" s="48"/>
      <c r="KR24" s="48"/>
      <c r="KS24" s="48"/>
      <c r="KT24" s="48"/>
      <c r="KU24" s="48"/>
      <c r="KV24" s="48"/>
      <c r="KW24" s="48"/>
      <c r="KX24" s="48"/>
      <c r="KY24" s="48"/>
      <c r="KZ24" s="48"/>
      <c r="LA24" s="48"/>
      <c r="LB24" s="48"/>
      <c r="LC24" s="48"/>
      <c r="LD24" s="48"/>
      <c r="LE24" s="48"/>
      <c r="LF24" s="48"/>
      <c r="LG24" s="48"/>
      <c r="LH24" s="48"/>
      <c r="LI24" s="48"/>
      <c r="LJ24" s="48"/>
      <c r="LK24" s="48"/>
      <c r="LL24" s="48"/>
      <c r="LM24" s="48"/>
      <c r="LN24" s="48"/>
      <c r="LO24" s="48"/>
      <c r="LP24" s="48"/>
      <c r="LQ24" s="48"/>
      <c r="LR24" s="48"/>
      <c r="LS24" s="48"/>
      <c r="LT24" s="48"/>
      <c r="LU24" s="48"/>
      <c r="LV24" s="48"/>
      <c r="LW24" s="48"/>
      <c r="LX24" s="48"/>
      <c r="LY24" s="48"/>
      <c r="LZ24" s="48"/>
      <c r="MA24" s="48"/>
    </row>
    <row r="25" spans="1:339" s="68" customFormat="1" ht="87" customHeight="1" x14ac:dyDescent="0.25">
      <c r="A25" s="672"/>
      <c r="B25" s="39">
        <v>0</v>
      </c>
      <c r="C25" s="40">
        <v>1</v>
      </c>
      <c r="D25" s="41" t="s">
        <v>1212</v>
      </c>
      <c r="E25" s="43" t="s">
        <v>1232</v>
      </c>
      <c r="F25" s="673"/>
      <c r="G25" s="64" t="s">
        <v>598</v>
      </c>
      <c r="H25" s="43" t="s">
        <v>600</v>
      </c>
      <c r="I25" s="44">
        <v>0.2</v>
      </c>
      <c r="J25" s="44">
        <v>0.3</v>
      </c>
      <c r="K25" s="44">
        <v>0.3</v>
      </c>
      <c r="L25" s="44">
        <f>'Plan de Acción 2021'!Q288</f>
        <v>0.5</v>
      </c>
      <c r="M25" s="44"/>
      <c r="N25" s="44">
        <v>0.8</v>
      </c>
      <c r="O25" s="44">
        <f>('Plan de Acción 2021'!W221+'Plan de Acción 2021'!W222+'Plan de Acción 2021'!W223+'Plan de Acción 2021'!W224+'Plan de Acción 2021'!W225+'Plan de Acción 2021'!W226+'Plan de Acción 2021'!W227+'Plan de Acción 2021'!W228+'Plan de Acción 2021'!W229+'Plan de Acción 2021'!W230+'Plan de Acción 2021'!W231+'Plan de Acción 2021'!W232+'Plan de Acción 2021'!W233+'Plan de Acción 2021'!W234+'Plan de Acción 2021'!W235+'Plan de Acción 2021'!W236+'Plan de Acción 2021'!W237+'Plan de Acción 2021'!W238+'Plan de Acción 2021'!W239+'Plan de Acción 2021'!W240+'Plan de Acción 2021'!W241+'Plan de Acción 2021'!W242+'Plan de Acción 2021'!W243+'Plan de Acción 2021'!W244+'Plan de Acción 2021'!W288+'Plan de Acción 2021'!W289+'Plan de Acción 2021'!W290+'Plan de Acción 2021'!W334+'Plan de Acción 2021'!W335)/29</f>
        <v>0</v>
      </c>
      <c r="P25" s="44">
        <f>(O25*20%)/(L25-K25)</f>
        <v>0</v>
      </c>
      <c r="Q25" s="44"/>
      <c r="R25" s="44">
        <f>('Plan de Acción 2021'!Z221+'Plan de Acción 2021'!Z222+'Plan de Acción 2021'!Z223+'Plan de Acción 2021'!Z224+'Plan de Acción 2021'!Z225+'Plan de Acción 2021'!Z226+'Plan de Acción 2021'!Z227+'Plan de Acción 2021'!Z228+'Plan de Acción 2021'!Z229+'Plan de Acción 2021'!Z230+'Plan de Acción 2021'!Z231+'Plan de Acción 2021'!Z232+'Plan de Acción 2021'!Z233+'Plan de Acción 2021'!Z234+'Plan de Acción 2021'!Z235+'Plan de Acción 2021'!Z236+'Plan de Acción 2021'!Z237+'Plan de Acción 2021'!Z238+'Plan de Acción 2021'!Z239+'Plan de Acción 2021'!Z240+'Plan de Acción 2021'!Z241+'Plan de Acción 2021'!Z242+'Plan de Acción 2021'!Z243+'Plan de Acción 2021'!Z244+'Plan de Acción 2021'!Z288+'Plan de Acción 2021'!Z289+'Plan de Acción 2021'!Z290+'Plan de Acción 2021'!Z334+'Plan de Acción 2021'!Z335)/29</f>
        <v>0</v>
      </c>
      <c r="S25" s="44">
        <f>(R25*20%)/(L25-K25)</f>
        <v>0</v>
      </c>
      <c r="T25" s="43"/>
      <c r="U25" s="44">
        <f>('Plan de Acción 2021'!AC221+'Plan de Acción 2021'!AC222+'Plan de Acción 2021'!AC223+'Plan de Acción 2021'!AC224+'Plan de Acción 2021'!AC225+'Plan de Acción 2021'!AC226+'Plan de Acción 2021'!AC227+'Plan de Acción 2021'!AC228+'Plan de Acción 2021'!AC229+'Plan de Acción 2021'!AC230+'Plan de Acción 2021'!AC231+'Plan de Acción 2021'!AC232+'Plan de Acción 2021'!AC233+'Plan de Acción 2021'!AC234+'Plan de Acción 2021'!AC235+'Plan de Acción 2021'!AC236+'Plan de Acción 2021'!AC237+'Plan de Acción 2021'!AC238+'Plan de Acción 2021'!AC239+'Plan de Acción 2021'!AC240+'Plan de Acción 2021'!AC241+'Plan de Acción 2021'!AC242+'Plan de Acción 2021'!AC243+'Plan de Acción 2021'!AC244+'Plan de Acción 2021'!AC288+'Plan de Acción 2021'!AC289+'Plan de Acción 2021'!AC290+'Plan de Acción 2021'!AC334+'Plan de Acción 2021'!AC335)/29</f>
        <v>0</v>
      </c>
      <c r="V25" s="44">
        <f>(U25*20%)/(L25-K25)</f>
        <v>0</v>
      </c>
      <c r="W25" s="55"/>
      <c r="X25" s="44">
        <f>('Plan de Acción 2021'!AF221+'Plan de Acción 2021'!AF222+'Plan de Acción 2021'!AF223+'Plan de Acción 2021'!AF224+'Plan de Acción 2021'!AF225+'Plan de Acción 2021'!AF226+'Plan de Acción 2021'!AF227+'Plan de Acción 2021'!AF228+'Plan de Acción 2021'!AF229+'Plan de Acción 2021'!AF230+'Plan de Acción 2021'!AF231+'Plan de Acción 2021'!AF232+'Plan de Acción 2021'!AF233+'Plan de Acción 2021'!AF234+'Plan de Acción 2021'!AF235+'Plan de Acción 2021'!AF236+'Plan de Acción 2021'!AF237+'Plan de Acción 2021'!AF238+'Plan de Acción 2021'!AF239+'Plan de Acción 2021'!AF240+'Plan de Acción 2021'!AF241+'Plan de Acción 2021'!AF242+'Plan de Acción 2021'!AF243+'Plan de Acción 2021'!AF244+'Plan de Acción 2021'!AF288+'Plan de Acción 2021'!AF289+'Plan de Acción 2021'!AF290+'Plan de Acción 2021'!AF334+'Plan de Acción 2021'!AF335)/29</f>
        <v>0</v>
      </c>
      <c r="Y25" s="44">
        <f>(X25*20%)/(L25-K25)</f>
        <v>0</v>
      </c>
      <c r="Z25" s="56"/>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18"/>
      <c r="BA25" s="1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c r="DP25" s="48"/>
      <c r="DQ25" s="48"/>
      <c r="DR25" s="48"/>
      <c r="DS25" s="48"/>
      <c r="DT25" s="48"/>
      <c r="DU25" s="48"/>
      <c r="DV25" s="48"/>
      <c r="DW25" s="48"/>
      <c r="DX25" s="48"/>
      <c r="DY25" s="48"/>
      <c r="DZ25" s="48"/>
      <c r="EA25" s="48"/>
      <c r="EB25" s="48"/>
      <c r="EC25" s="48"/>
      <c r="ED25" s="48"/>
      <c r="EE25" s="48"/>
      <c r="EF25" s="48"/>
      <c r="EG25" s="48"/>
      <c r="EH25" s="48"/>
      <c r="EI25" s="48"/>
      <c r="EJ25" s="48"/>
      <c r="EK25" s="48"/>
      <c r="EL25" s="48"/>
      <c r="EM25" s="48"/>
      <c r="EN25" s="48"/>
      <c r="EO25" s="48"/>
      <c r="EP25" s="48"/>
      <c r="EQ25" s="48"/>
      <c r="ER25" s="48"/>
      <c r="ES25" s="48"/>
      <c r="ET25" s="48"/>
      <c r="EU25" s="48"/>
      <c r="EV25" s="48"/>
      <c r="EW25" s="48"/>
      <c r="EX25" s="48"/>
      <c r="EY25" s="48"/>
      <c r="EZ25" s="48"/>
      <c r="FA25" s="48"/>
      <c r="FB25" s="48"/>
      <c r="FC25" s="48"/>
      <c r="FD25" s="48"/>
      <c r="FE25" s="48"/>
      <c r="FF25" s="48"/>
      <c r="FG25" s="48"/>
      <c r="FH25" s="48"/>
      <c r="FI25" s="48"/>
      <c r="FJ25" s="48"/>
      <c r="FK25" s="48"/>
      <c r="FL25" s="48"/>
      <c r="FM25" s="48"/>
      <c r="FN25" s="48"/>
      <c r="FO25" s="48"/>
      <c r="FP25" s="48"/>
      <c r="FQ25" s="48"/>
      <c r="FR25" s="48"/>
      <c r="FS25" s="48"/>
      <c r="FT25" s="48"/>
      <c r="FU25" s="48"/>
      <c r="FV25" s="48"/>
      <c r="FW25" s="48"/>
      <c r="FX25" s="48"/>
      <c r="FY25" s="48"/>
      <c r="FZ25" s="48"/>
      <c r="GA25" s="48"/>
      <c r="GB25" s="48"/>
      <c r="GC25" s="48"/>
      <c r="GD25" s="48"/>
      <c r="GE25" s="48"/>
      <c r="GF25" s="48"/>
      <c r="GG25" s="48"/>
      <c r="GH25" s="48"/>
      <c r="GI25" s="48"/>
      <c r="GJ25" s="48"/>
      <c r="GK25" s="48"/>
      <c r="GL25" s="48"/>
      <c r="GM25" s="48"/>
      <c r="GN25" s="48"/>
      <c r="GO25" s="48"/>
      <c r="GP25" s="48"/>
      <c r="GQ25" s="48"/>
      <c r="GR25" s="48"/>
      <c r="GS25" s="48"/>
      <c r="GT25" s="48"/>
      <c r="GU25" s="48"/>
      <c r="GV25" s="48"/>
      <c r="GW25" s="48"/>
      <c r="GX25" s="48"/>
      <c r="GY25" s="48"/>
      <c r="GZ25" s="48"/>
      <c r="HA25" s="48"/>
      <c r="HB25" s="48"/>
      <c r="HC25" s="48"/>
      <c r="HD25" s="48"/>
      <c r="HE25" s="48"/>
      <c r="HF25" s="48"/>
      <c r="HG25" s="48"/>
      <c r="HH25" s="48"/>
      <c r="HI25" s="48"/>
      <c r="HJ25" s="48"/>
      <c r="HK25" s="48"/>
      <c r="HL25" s="48"/>
      <c r="HM25" s="48"/>
      <c r="HN25" s="48"/>
      <c r="HO25" s="48"/>
      <c r="HP25" s="48"/>
      <c r="HQ25" s="48"/>
      <c r="HR25" s="48"/>
      <c r="HS25" s="48"/>
      <c r="HT25" s="48"/>
      <c r="HU25" s="48"/>
      <c r="HV25" s="48"/>
      <c r="HW25" s="48"/>
      <c r="HX25" s="48"/>
      <c r="HY25" s="48"/>
      <c r="HZ25" s="48"/>
      <c r="IA25" s="48"/>
      <c r="IB25" s="48"/>
      <c r="IC25" s="48"/>
      <c r="ID25" s="48"/>
      <c r="IE25" s="48"/>
      <c r="IF25" s="48"/>
      <c r="IG25" s="48"/>
      <c r="IH25" s="48"/>
      <c r="II25" s="48"/>
      <c r="IJ25" s="48"/>
      <c r="IK25" s="48"/>
      <c r="IL25" s="48"/>
      <c r="IM25" s="48"/>
      <c r="IN25" s="48"/>
      <c r="IO25" s="48"/>
      <c r="IP25" s="48"/>
      <c r="IQ25" s="48"/>
      <c r="IR25" s="48"/>
      <c r="IS25" s="48"/>
      <c r="IT25" s="48"/>
      <c r="IU25" s="48"/>
      <c r="IV25" s="48"/>
      <c r="IW25" s="48"/>
      <c r="IX25" s="48"/>
      <c r="IY25" s="48"/>
      <c r="IZ25" s="48"/>
      <c r="JA25" s="48"/>
      <c r="JB25" s="48"/>
      <c r="JC25" s="48"/>
      <c r="JD25" s="48"/>
      <c r="JE25" s="48"/>
      <c r="JF25" s="48"/>
      <c r="JG25" s="48"/>
      <c r="JH25" s="48"/>
      <c r="JI25" s="48"/>
      <c r="JJ25" s="48"/>
      <c r="JK25" s="48"/>
      <c r="JL25" s="48"/>
      <c r="JM25" s="48"/>
      <c r="JN25" s="48"/>
      <c r="JO25" s="48"/>
      <c r="JP25" s="48"/>
      <c r="JQ25" s="48"/>
      <c r="JR25" s="48"/>
      <c r="JS25" s="48"/>
      <c r="JT25" s="48"/>
      <c r="JU25" s="48"/>
      <c r="JV25" s="48"/>
      <c r="JW25" s="48"/>
      <c r="JX25" s="48"/>
      <c r="JY25" s="48"/>
      <c r="JZ25" s="48"/>
      <c r="KA25" s="48"/>
      <c r="KB25" s="48"/>
      <c r="KC25" s="48"/>
      <c r="KD25" s="48"/>
      <c r="KE25" s="48"/>
      <c r="KF25" s="48"/>
      <c r="KG25" s="48"/>
      <c r="KH25" s="48"/>
      <c r="KI25" s="48"/>
      <c r="KJ25" s="48"/>
      <c r="KK25" s="48"/>
      <c r="KL25" s="48"/>
      <c r="KM25" s="48"/>
      <c r="KN25" s="48"/>
      <c r="KO25" s="48"/>
      <c r="KP25" s="48"/>
      <c r="KQ25" s="48"/>
      <c r="KR25" s="48"/>
      <c r="KS25" s="48"/>
      <c r="KT25" s="48"/>
      <c r="KU25" s="48"/>
      <c r="KV25" s="48"/>
      <c r="KW25" s="48"/>
      <c r="KX25" s="48"/>
      <c r="KY25" s="48"/>
      <c r="KZ25" s="48"/>
      <c r="LA25" s="48"/>
      <c r="LB25" s="48"/>
      <c r="LC25" s="48"/>
      <c r="LD25" s="48"/>
      <c r="LE25" s="48"/>
      <c r="LF25" s="48"/>
      <c r="LG25" s="48"/>
      <c r="LH25" s="48"/>
      <c r="LI25" s="48"/>
      <c r="LJ25" s="48"/>
      <c r="LK25" s="48"/>
      <c r="LL25" s="48"/>
      <c r="LM25" s="48"/>
      <c r="LN25" s="48"/>
      <c r="LO25" s="48"/>
      <c r="LP25" s="48"/>
      <c r="LQ25" s="48"/>
      <c r="LR25" s="48"/>
      <c r="LS25" s="48"/>
      <c r="LT25" s="48"/>
      <c r="LU25" s="48"/>
      <c r="LV25" s="48"/>
      <c r="LW25" s="48"/>
      <c r="LX25" s="48"/>
      <c r="LY25" s="48"/>
      <c r="LZ25" s="48"/>
      <c r="MA25" s="48"/>
    </row>
    <row r="26" spans="1:339" s="21" customFormat="1" ht="92.25" customHeight="1" x14ac:dyDescent="0.25">
      <c r="A26" s="675">
        <v>10</v>
      </c>
      <c r="B26" s="39">
        <v>1</v>
      </c>
      <c r="C26" s="40">
        <v>0</v>
      </c>
      <c r="D26" s="41" t="s">
        <v>1212</v>
      </c>
      <c r="E26" s="42" t="s">
        <v>1231</v>
      </c>
      <c r="F26" s="673" t="s">
        <v>335</v>
      </c>
      <c r="G26" s="43" t="s">
        <v>638</v>
      </c>
      <c r="H26" s="43" t="s">
        <v>640</v>
      </c>
      <c r="I26" s="44">
        <v>0.8</v>
      </c>
      <c r="J26" s="44">
        <v>0.85</v>
      </c>
      <c r="K26" s="44">
        <v>0.8</v>
      </c>
      <c r="L26" s="44">
        <f>'Plan de Acción 2021'!Q250</f>
        <v>0.9</v>
      </c>
      <c r="M26" s="44"/>
      <c r="N26" s="44">
        <v>1</v>
      </c>
      <c r="O26" s="44">
        <f>'Plan de Acción 2021'!W250</f>
        <v>0</v>
      </c>
      <c r="P26" s="44">
        <f>(O26*10%)/(L26-K26)</f>
        <v>0</v>
      </c>
      <c r="Q26" s="44"/>
      <c r="R26" s="44">
        <f>'Plan de Acción 2021'!Z250</f>
        <v>0</v>
      </c>
      <c r="S26" s="44">
        <f>(R26*10%)/(L26-K26)</f>
        <v>0</v>
      </c>
      <c r="T26" s="43"/>
      <c r="U26" s="44">
        <f>'Plan de Acción 2021'!AC250</f>
        <v>0</v>
      </c>
      <c r="V26" s="44">
        <f>(U26*10%)/(L26-K26)</f>
        <v>0</v>
      </c>
      <c r="W26" s="75"/>
      <c r="X26" s="44">
        <f>'Plan de Acción 2021'!AF250</f>
        <v>0</v>
      </c>
      <c r="Y26" s="44">
        <f>(X26*10%)/(L26-K26)</f>
        <v>0</v>
      </c>
      <c r="Z26" s="76"/>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18"/>
      <c r="BA26" s="18"/>
      <c r="BB26" s="48"/>
      <c r="BC26" s="48"/>
      <c r="BD26" s="48"/>
      <c r="BE26" s="48"/>
      <c r="BF26" s="48"/>
      <c r="BG26" s="48"/>
      <c r="BH26" s="48"/>
      <c r="BI26" s="48"/>
      <c r="BJ26" s="48"/>
      <c r="BK26" s="48"/>
      <c r="BL26" s="48"/>
      <c r="BM26" s="48"/>
      <c r="BN26" s="48"/>
      <c r="BO26" s="48"/>
      <c r="BP26" s="48"/>
      <c r="BQ26" s="48"/>
      <c r="BR26" s="48"/>
      <c r="BS26" s="48"/>
      <c r="BT26" s="48"/>
      <c r="BU26" s="48"/>
      <c r="BV26" s="48"/>
      <c r="BW26" s="48"/>
      <c r="BX26" s="48"/>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48"/>
      <c r="DM26" s="48"/>
      <c r="DN26" s="48"/>
      <c r="DO26" s="48"/>
      <c r="DP26" s="48"/>
      <c r="DQ26" s="48"/>
      <c r="DR26" s="48"/>
      <c r="DS26" s="48"/>
      <c r="DT26" s="48"/>
      <c r="DU26" s="48"/>
      <c r="DV26" s="48"/>
      <c r="DW26" s="48"/>
      <c r="DX26" s="48"/>
      <c r="DY26" s="48"/>
      <c r="DZ26" s="48"/>
      <c r="EA26" s="48"/>
      <c r="EB26" s="48"/>
      <c r="EC26" s="48"/>
      <c r="ED26" s="48"/>
      <c r="EE26" s="48"/>
      <c r="EF26" s="48"/>
      <c r="EG26" s="48"/>
      <c r="EH26" s="48"/>
      <c r="EI26" s="48"/>
      <c r="EJ26" s="48"/>
      <c r="EK26" s="48"/>
      <c r="EL26" s="48"/>
      <c r="EM26" s="48"/>
      <c r="EN26" s="48"/>
      <c r="EO26" s="48"/>
      <c r="EP26" s="48"/>
      <c r="EQ26" s="48"/>
      <c r="ER26" s="48"/>
      <c r="ES26" s="48"/>
      <c r="ET26" s="48"/>
      <c r="EU26" s="48"/>
      <c r="EV26" s="48"/>
      <c r="EW26" s="48"/>
      <c r="EX26" s="48"/>
      <c r="EY26" s="48"/>
      <c r="EZ26" s="48"/>
      <c r="FA26" s="48"/>
      <c r="FB26" s="48"/>
      <c r="FC26" s="48"/>
      <c r="FD26" s="48"/>
      <c r="FE26" s="48"/>
      <c r="FF26" s="48"/>
      <c r="FG26" s="48"/>
      <c r="FH26" s="48"/>
      <c r="FI26" s="48"/>
      <c r="FJ26" s="48"/>
      <c r="FK26" s="48"/>
      <c r="FL26" s="48"/>
      <c r="FM26" s="48"/>
      <c r="FN26" s="48"/>
      <c r="FO26" s="48"/>
      <c r="FP26" s="48"/>
      <c r="FQ26" s="48"/>
      <c r="FR26" s="48"/>
      <c r="FS26" s="48"/>
      <c r="FT26" s="48"/>
      <c r="FU26" s="48"/>
      <c r="FV26" s="48"/>
      <c r="FW26" s="48"/>
      <c r="FX26" s="48"/>
      <c r="FY26" s="48"/>
      <c r="FZ26" s="48"/>
      <c r="GA26" s="48"/>
      <c r="GB26" s="48"/>
      <c r="GC26" s="48"/>
      <c r="GD26" s="48"/>
      <c r="GE26" s="48"/>
      <c r="GF26" s="48"/>
      <c r="GG26" s="48"/>
      <c r="GH26" s="48"/>
      <c r="GI26" s="48"/>
      <c r="GJ26" s="48"/>
      <c r="GK26" s="48"/>
      <c r="GL26" s="48"/>
      <c r="GM26" s="48"/>
      <c r="GN26" s="48"/>
      <c r="GO26" s="48"/>
      <c r="GP26" s="48"/>
      <c r="GQ26" s="48"/>
      <c r="GR26" s="48"/>
      <c r="GS26" s="48"/>
      <c r="GT26" s="48"/>
      <c r="GU26" s="48"/>
      <c r="GV26" s="48"/>
      <c r="GW26" s="48"/>
      <c r="GX26" s="48"/>
      <c r="GY26" s="48"/>
      <c r="GZ26" s="48"/>
      <c r="HA26" s="48"/>
      <c r="HB26" s="48"/>
      <c r="HC26" s="48"/>
      <c r="HD26" s="48"/>
      <c r="HE26" s="48"/>
      <c r="HF26" s="48"/>
      <c r="HG26" s="48"/>
      <c r="HH26" s="48"/>
      <c r="HI26" s="48"/>
      <c r="HJ26" s="48"/>
      <c r="HK26" s="48"/>
      <c r="HL26" s="48"/>
      <c r="HM26" s="48"/>
      <c r="HN26" s="48"/>
      <c r="HO26" s="48"/>
      <c r="HP26" s="48"/>
      <c r="HQ26" s="48"/>
      <c r="HR26" s="48"/>
      <c r="HS26" s="48"/>
      <c r="HT26" s="48"/>
      <c r="HU26" s="48"/>
      <c r="HV26" s="48"/>
      <c r="HW26" s="48"/>
      <c r="HX26" s="48"/>
      <c r="HY26" s="48"/>
      <c r="HZ26" s="48"/>
      <c r="IA26" s="48"/>
      <c r="IB26" s="48"/>
      <c r="IC26" s="48"/>
      <c r="ID26" s="48"/>
      <c r="IE26" s="48"/>
      <c r="IF26" s="48"/>
      <c r="IG26" s="48"/>
      <c r="IH26" s="48"/>
      <c r="II26" s="48"/>
      <c r="IJ26" s="48"/>
      <c r="IK26" s="48"/>
      <c r="IL26" s="48"/>
      <c r="IM26" s="48"/>
      <c r="IN26" s="48"/>
      <c r="IO26" s="48"/>
      <c r="IP26" s="48"/>
      <c r="IQ26" s="48"/>
      <c r="IR26" s="48"/>
      <c r="IS26" s="48"/>
      <c r="IT26" s="48"/>
      <c r="IU26" s="48"/>
      <c r="IV26" s="48"/>
      <c r="IW26" s="48"/>
      <c r="IX26" s="48"/>
      <c r="IY26" s="48"/>
      <c r="IZ26" s="48"/>
      <c r="JA26" s="48"/>
      <c r="JB26" s="48"/>
      <c r="JC26" s="48"/>
      <c r="JD26" s="48"/>
      <c r="JE26" s="48"/>
      <c r="JF26" s="48"/>
      <c r="JG26" s="48"/>
      <c r="JH26" s="48"/>
      <c r="JI26" s="48"/>
      <c r="JJ26" s="48"/>
      <c r="JK26" s="48"/>
      <c r="JL26" s="48"/>
      <c r="JM26" s="48"/>
      <c r="JN26" s="48"/>
      <c r="JO26" s="48"/>
      <c r="JP26" s="48"/>
      <c r="JQ26" s="48"/>
      <c r="JR26" s="48"/>
      <c r="JS26" s="48"/>
      <c r="JT26" s="48"/>
      <c r="JU26" s="48"/>
      <c r="JV26" s="48"/>
      <c r="JW26" s="48"/>
      <c r="JX26" s="48"/>
      <c r="JY26" s="48"/>
      <c r="JZ26" s="48"/>
      <c r="KA26" s="48"/>
      <c r="KB26" s="48"/>
      <c r="KC26" s="48"/>
      <c r="KD26" s="48"/>
      <c r="KE26" s="48"/>
      <c r="KF26" s="48"/>
      <c r="KG26" s="48"/>
      <c r="KH26" s="48"/>
      <c r="KI26" s="48"/>
      <c r="KJ26" s="48"/>
      <c r="KK26" s="48"/>
      <c r="KL26" s="48"/>
      <c r="KM26" s="48"/>
      <c r="KN26" s="48"/>
      <c r="KO26" s="48"/>
      <c r="KP26" s="48"/>
      <c r="KQ26" s="48"/>
      <c r="KR26" s="48"/>
      <c r="KS26" s="48"/>
      <c r="KT26" s="48"/>
      <c r="KU26" s="48"/>
      <c r="KV26" s="48"/>
      <c r="KW26" s="48"/>
      <c r="KX26" s="48"/>
      <c r="KY26" s="48"/>
      <c r="KZ26" s="48"/>
      <c r="LA26" s="48"/>
      <c r="LB26" s="48"/>
      <c r="LC26" s="48"/>
      <c r="LD26" s="48"/>
      <c r="LE26" s="48"/>
      <c r="LF26" s="48"/>
      <c r="LG26" s="48"/>
      <c r="LH26" s="48"/>
      <c r="LI26" s="48"/>
      <c r="LJ26" s="48"/>
      <c r="LK26" s="48"/>
      <c r="LL26" s="48"/>
      <c r="LM26" s="48"/>
      <c r="LN26" s="48"/>
      <c r="LO26" s="48"/>
      <c r="LP26" s="48"/>
      <c r="LQ26" s="48"/>
      <c r="LR26" s="48"/>
      <c r="LS26" s="48"/>
      <c r="LT26" s="48"/>
      <c r="LU26" s="48"/>
      <c r="LV26" s="48"/>
      <c r="LW26" s="48"/>
      <c r="LX26" s="48"/>
      <c r="LY26" s="48"/>
      <c r="LZ26" s="48"/>
      <c r="MA26" s="48"/>
    </row>
    <row r="27" spans="1:339" s="68" customFormat="1" ht="75" customHeight="1" x14ac:dyDescent="0.25">
      <c r="A27" s="675"/>
      <c r="B27" s="39">
        <v>0</v>
      </c>
      <c r="C27" s="40">
        <v>1</v>
      </c>
      <c r="D27" s="41" t="s">
        <v>1212</v>
      </c>
      <c r="E27" s="42" t="s">
        <v>1231</v>
      </c>
      <c r="F27" s="673"/>
      <c r="G27" s="42" t="s">
        <v>647</v>
      </c>
      <c r="H27" s="43" t="s">
        <v>649</v>
      </c>
      <c r="I27" s="65">
        <v>0.86099999999999999</v>
      </c>
      <c r="J27" s="44">
        <v>1</v>
      </c>
      <c r="K27" s="84">
        <v>0.98099999999999998</v>
      </c>
      <c r="L27" s="44">
        <f>'Plan de Acción 2021'!Q251</f>
        <v>1</v>
      </c>
      <c r="M27" s="44"/>
      <c r="N27" s="44">
        <v>1</v>
      </c>
      <c r="O27" s="44">
        <f>'Plan de Acción 2021'!W251</f>
        <v>0</v>
      </c>
      <c r="P27" s="44">
        <f>O27</f>
        <v>0</v>
      </c>
      <c r="Q27" s="44"/>
      <c r="R27" s="44">
        <f>'Plan de Acción 2021'!Z251</f>
        <v>0</v>
      </c>
      <c r="S27" s="44">
        <f>R27</f>
        <v>0</v>
      </c>
      <c r="T27" s="43"/>
      <c r="U27" s="44">
        <f>'Plan de Acción 2021'!AC251</f>
        <v>0</v>
      </c>
      <c r="V27" s="44">
        <f>U27</f>
        <v>0</v>
      </c>
      <c r="W27" s="45"/>
      <c r="X27" s="44">
        <f>'Plan de Acción 2021'!AF251</f>
        <v>0</v>
      </c>
      <c r="Y27" s="44">
        <f>X27</f>
        <v>0</v>
      </c>
      <c r="Z27" s="46"/>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18"/>
      <c r="BA27" s="1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c r="GG27" s="48"/>
      <c r="GH27" s="48"/>
      <c r="GI27" s="48"/>
      <c r="GJ27" s="48"/>
      <c r="GK27" s="48"/>
      <c r="GL27" s="48"/>
      <c r="GM27" s="48"/>
      <c r="GN27" s="48"/>
      <c r="GO27" s="48"/>
      <c r="GP27" s="48"/>
      <c r="GQ27" s="48"/>
      <c r="GR27" s="48"/>
      <c r="GS27" s="48"/>
      <c r="GT27" s="48"/>
      <c r="GU27" s="48"/>
      <c r="GV27" s="48"/>
      <c r="GW27" s="48"/>
      <c r="GX27" s="48"/>
      <c r="GY27" s="48"/>
      <c r="GZ27" s="48"/>
      <c r="HA27" s="48"/>
      <c r="HB27" s="48"/>
      <c r="HC27" s="48"/>
      <c r="HD27" s="48"/>
      <c r="HE27" s="48"/>
      <c r="HF27" s="48"/>
      <c r="HG27" s="48"/>
      <c r="HH27" s="48"/>
      <c r="HI27" s="48"/>
      <c r="HJ27" s="48"/>
      <c r="HK27" s="48"/>
      <c r="HL27" s="48"/>
      <c r="HM27" s="48"/>
      <c r="HN27" s="48"/>
      <c r="HO27" s="48"/>
      <c r="HP27" s="48"/>
      <c r="HQ27" s="48"/>
      <c r="HR27" s="48"/>
      <c r="HS27" s="48"/>
      <c r="HT27" s="48"/>
      <c r="HU27" s="48"/>
      <c r="HV27" s="48"/>
      <c r="HW27" s="48"/>
      <c r="HX27" s="48"/>
      <c r="HY27" s="48"/>
      <c r="HZ27" s="48"/>
      <c r="IA27" s="48"/>
      <c r="IB27" s="48"/>
      <c r="IC27" s="48"/>
      <c r="ID27" s="48"/>
      <c r="IE27" s="48"/>
      <c r="IF27" s="48"/>
      <c r="IG27" s="48"/>
      <c r="IH27" s="48"/>
      <c r="II27" s="48"/>
      <c r="IJ27" s="48"/>
      <c r="IK27" s="48"/>
      <c r="IL27" s="48"/>
      <c r="IM27" s="48"/>
      <c r="IN27" s="48"/>
      <c r="IO27" s="48"/>
      <c r="IP27" s="48"/>
      <c r="IQ27" s="48"/>
      <c r="IR27" s="48"/>
      <c r="IS27" s="48"/>
      <c r="IT27" s="48"/>
      <c r="IU27" s="48"/>
      <c r="IV27" s="48"/>
      <c r="IW27" s="48"/>
      <c r="IX27" s="48"/>
      <c r="IY27" s="48"/>
      <c r="IZ27" s="48"/>
      <c r="JA27" s="48"/>
      <c r="JB27" s="48"/>
      <c r="JC27" s="48"/>
      <c r="JD27" s="48"/>
      <c r="JE27" s="48"/>
      <c r="JF27" s="48"/>
      <c r="JG27" s="48"/>
      <c r="JH27" s="48"/>
      <c r="JI27" s="48"/>
      <c r="JJ27" s="48"/>
      <c r="JK27" s="48"/>
      <c r="JL27" s="48"/>
      <c r="JM27" s="48"/>
      <c r="JN27" s="48"/>
      <c r="JO27" s="48"/>
      <c r="JP27" s="48"/>
      <c r="JQ27" s="48"/>
      <c r="JR27" s="48"/>
      <c r="JS27" s="48"/>
      <c r="JT27" s="48"/>
      <c r="JU27" s="48"/>
      <c r="JV27" s="48"/>
      <c r="JW27" s="48"/>
      <c r="JX27" s="48"/>
      <c r="JY27" s="48"/>
      <c r="JZ27" s="48"/>
      <c r="KA27" s="48"/>
      <c r="KB27" s="48"/>
      <c r="KC27" s="48"/>
      <c r="KD27" s="48"/>
      <c r="KE27" s="48"/>
      <c r="KF27" s="48"/>
      <c r="KG27" s="48"/>
      <c r="KH27" s="48"/>
      <c r="KI27" s="48"/>
      <c r="KJ27" s="48"/>
      <c r="KK27" s="48"/>
      <c r="KL27" s="48"/>
      <c r="KM27" s="48"/>
      <c r="KN27" s="48"/>
      <c r="KO27" s="48"/>
      <c r="KP27" s="48"/>
      <c r="KQ27" s="48"/>
      <c r="KR27" s="48"/>
      <c r="KS27" s="48"/>
      <c r="KT27" s="48"/>
      <c r="KU27" s="48"/>
      <c r="KV27" s="48"/>
      <c r="KW27" s="48"/>
      <c r="KX27" s="48"/>
      <c r="KY27" s="48"/>
      <c r="KZ27" s="48"/>
      <c r="LA27" s="48"/>
      <c r="LB27" s="48"/>
      <c r="LC27" s="48"/>
      <c r="LD27" s="48"/>
      <c r="LE27" s="48"/>
      <c r="LF27" s="48"/>
      <c r="LG27" s="48"/>
      <c r="LH27" s="48"/>
      <c r="LI27" s="48"/>
      <c r="LJ27" s="48"/>
      <c r="LK27" s="48"/>
      <c r="LL27" s="48"/>
      <c r="LM27" s="48"/>
      <c r="LN27" s="48"/>
      <c r="LO27" s="48"/>
      <c r="LP27" s="48"/>
      <c r="LQ27" s="48"/>
      <c r="LR27" s="48"/>
      <c r="LS27" s="48"/>
      <c r="LT27" s="48"/>
      <c r="LU27" s="48"/>
      <c r="LV27" s="48"/>
      <c r="LW27" s="48"/>
      <c r="LX27" s="48"/>
      <c r="LY27" s="48"/>
      <c r="LZ27" s="48"/>
      <c r="MA27" s="48"/>
    </row>
    <row r="28" spans="1:339" s="21" customFormat="1" ht="64.5" customHeight="1" x14ac:dyDescent="0.25">
      <c r="A28" s="669">
        <v>11</v>
      </c>
      <c r="B28" s="39">
        <v>1</v>
      </c>
      <c r="C28" s="40">
        <v>0</v>
      </c>
      <c r="D28" s="41" t="s">
        <v>1210</v>
      </c>
      <c r="E28" s="42" t="s">
        <v>1216</v>
      </c>
      <c r="F28" s="668" t="s">
        <v>1233</v>
      </c>
      <c r="G28" s="380" t="s">
        <v>323</v>
      </c>
      <c r="H28" s="43" t="s">
        <v>326</v>
      </c>
      <c r="I28" s="44">
        <v>0</v>
      </c>
      <c r="J28" s="44">
        <v>0.25</v>
      </c>
      <c r="K28" s="44">
        <v>0.25</v>
      </c>
      <c r="L28" s="44">
        <f>'Plan de Acción 2021'!Q103</f>
        <v>0.5</v>
      </c>
      <c r="M28" s="44"/>
      <c r="N28" s="44">
        <v>1</v>
      </c>
      <c r="O28" s="44">
        <f>('Plan de Acción 2021'!W103+'Plan de Acción 2021'!W104+'Plan de Acción 2021'!W105+'Plan de Acción 2021'!W189)/4</f>
        <v>0</v>
      </c>
      <c r="P28" s="44">
        <f>(O28*25%)/(L28-K28)</f>
        <v>0</v>
      </c>
      <c r="Q28" s="44"/>
      <c r="R28" s="44">
        <f>('Plan de Acción 2021'!Z103+'Plan de Acción 2021'!Z104+'Plan de Acción 2021'!Z105+'Plan de Acción 2021'!Z189)/4</f>
        <v>0</v>
      </c>
      <c r="S28" s="44">
        <f t="shared" si="3"/>
        <v>0</v>
      </c>
      <c r="T28" s="43"/>
      <c r="U28" s="44">
        <f>('Plan de Acción 2021'!AC103+'Plan de Acción 2021'!AC104+'Plan de Acción 2021'!AC105+'Plan de Acción 2021'!AC189)/4</f>
        <v>0</v>
      </c>
      <c r="V28" s="44">
        <f t="shared" si="0"/>
        <v>0</v>
      </c>
      <c r="W28" s="45"/>
      <c r="X28" s="44">
        <f>('Plan de Acción 2021'!AF103+'Plan de Acción 2021'!AF104+'Plan de Acción 2021'!AF105+'Plan de Acción 2021'!AF189)/4</f>
        <v>0</v>
      </c>
      <c r="Y28" s="44">
        <f t="shared" si="1"/>
        <v>0</v>
      </c>
      <c r="Z28" s="46"/>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18"/>
      <c r="BA28" s="1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8"/>
      <c r="GM28" s="48"/>
      <c r="GN28" s="48"/>
      <c r="GO28" s="48"/>
      <c r="GP28" s="48"/>
      <c r="GQ28" s="48"/>
      <c r="GR28" s="48"/>
      <c r="GS28" s="48"/>
      <c r="GT28" s="48"/>
      <c r="GU28" s="48"/>
      <c r="GV28" s="48"/>
      <c r="GW28" s="48"/>
      <c r="GX28" s="48"/>
      <c r="GY28" s="48"/>
      <c r="GZ28" s="48"/>
      <c r="HA28" s="48"/>
      <c r="HB28" s="48"/>
      <c r="HC28" s="48"/>
      <c r="HD28" s="48"/>
      <c r="HE28" s="48"/>
      <c r="HF28" s="48"/>
      <c r="HG28" s="48"/>
      <c r="HH28" s="48"/>
      <c r="HI28" s="48"/>
      <c r="HJ28" s="48"/>
      <c r="HK28" s="48"/>
      <c r="HL28" s="48"/>
      <c r="HM28" s="48"/>
      <c r="HN28" s="48"/>
      <c r="HO28" s="48"/>
      <c r="HP28" s="48"/>
      <c r="HQ28" s="48"/>
      <c r="HR28" s="48"/>
      <c r="HS28" s="48"/>
      <c r="HT28" s="48"/>
      <c r="HU28" s="48"/>
      <c r="HV28" s="48"/>
      <c r="HW28" s="48"/>
      <c r="HX28" s="48"/>
      <c r="HY28" s="48"/>
      <c r="HZ28" s="48"/>
      <c r="IA28" s="48"/>
      <c r="IB28" s="48"/>
      <c r="IC28" s="48"/>
      <c r="ID28" s="48"/>
      <c r="IE28" s="48"/>
      <c r="IF28" s="48"/>
      <c r="IG28" s="48"/>
      <c r="IH28" s="48"/>
      <c r="II28" s="48"/>
      <c r="IJ28" s="48"/>
      <c r="IK28" s="48"/>
      <c r="IL28" s="48"/>
      <c r="IM28" s="48"/>
      <c r="IN28" s="48"/>
      <c r="IO28" s="48"/>
      <c r="IP28" s="48"/>
      <c r="IQ28" s="48"/>
      <c r="IR28" s="48"/>
      <c r="IS28" s="48"/>
      <c r="IT28" s="48"/>
      <c r="IU28" s="48"/>
      <c r="IV28" s="48"/>
      <c r="IW28" s="48"/>
      <c r="IX28" s="48"/>
      <c r="IY28" s="48"/>
      <c r="IZ28" s="48"/>
      <c r="JA28" s="48"/>
      <c r="JB28" s="48"/>
      <c r="JC28" s="48"/>
      <c r="JD28" s="48"/>
      <c r="JE28" s="48"/>
      <c r="JF28" s="48"/>
      <c r="JG28" s="48"/>
      <c r="JH28" s="48"/>
      <c r="JI28" s="48"/>
      <c r="JJ28" s="48"/>
      <c r="JK28" s="48"/>
      <c r="JL28" s="48"/>
      <c r="JM28" s="48"/>
      <c r="JN28" s="48"/>
      <c r="JO28" s="48"/>
      <c r="JP28" s="48"/>
      <c r="JQ28" s="48"/>
      <c r="JR28" s="48"/>
      <c r="JS28" s="48"/>
      <c r="JT28" s="48"/>
      <c r="JU28" s="48"/>
      <c r="JV28" s="48"/>
      <c r="JW28" s="48"/>
      <c r="JX28" s="48"/>
      <c r="JY28" s="48"/>
      <c r="JZ28" s="48"/>
      <c r="KA28" s="48"/>
      <c r="KB28" s="48"/>
      <c r="KC28" s="48"/>
      <c r="KD28" s="48"/>
      <c r="KE28" s="48"/>
      <c r="KF28" s="48"/>
      <c r="KG28" s="48"/>
      <c r="KH28" s="48"/>
      <c r="KI28" s="48"/>
      <c r="KJ28" s="48"/>
      <c r="KK28" s="48"/>
      <c r="KL28" s="48"/>
      <c r="KM28" s="48"/>
      <c r="KN28" s="48"/>
      <c r="KO28" s="48"/>
      <c r="KP28" s="48"/>
      <c r="KQ28" s="48"/>
      <c r="KR28" s="48"/>
      <c r="KS28" s="48"/>
      <c r="KT28" s="48"/>
      <c r="KU28" s="48"/>
      <c r="KV28" s="48"/>
      <c r="KW28" s="48"/>
      <c r="KX28" s="48"/>
      <c r="KY28" s="48"/>
      <c r="KZ28" s="48"/>
      <c r="LA28" s="48"/>
      <c r="LB28" s="48"/>
      <c r="LC28" s="48"/>
      <c r="LD28" s="48"/>
      <c r="LE28" s="48"/>
      <c r="LF28" s="48"/>
      <c r="LG28" s="48"/>
      <c r="LH28" s="48"/>
      <c r="LI28" s="48"/>
      <c r="LJ28" s="48"/>
      <c r="LK28" s="48"/>
      <c r="LL28" s="48"/>
      <c r="LM28" s="48"/>
      <c r="LN28" s="48"/>
      <c r="LO28" s="48"/>
      <c r="LP28" s="48"/>
      <c r="LQ28" s="48"/>
      <c r="LR28" s="48"/>
      <c r="LS28" s="48"/>
      <c r="LT28" s="48"/>
      <c r="LU28" s="48"/>
      <c r="LV28" s="48"/>
      <c r="LW28" s="48"/>
      <c r="LX28" s="48"/>
      <c r="LY28" s="48"/>
      <c r="LZ28" s="48"/>
      <c r="MA28" s="48"/>
    </row>
    <row r="29" spans="1:339" s="68" customFormat="1" ht="63.75" customHeight="1" thickBot="1" x14ac:dyDescent="0.3">
      <c r="A29" s="700"/>
      <c r="B29" s="39">
        <v>0</v>
      </c>
      <c r="C29" s="40">
        <v>1</v>
      </c>
      <c r="D29" s="41" t="s">
        <v>1224</v>
      </c>
      <c r="E29" s="43" t="s">
        <v>1234</v>
      </c>
      <c r="F29" s="668"/>
      <c r="G29" s="43" t="s">
        <v>491</v>
      </c>
      <c r="H29" s="43" t="s">
        <v>494</v>
      </c>
      <c r="I29" s="43">
        <v>0</v>
      </c>
      <c r="J29" s="44">
        <v>0.05</v>
      </c>
      <c r="K29" s="44">
        <v>4.8000000000000001E-2</v>
      </c>
      <c r="L29" s="44">
        <f>'Plan de Acción 2021'!Q183</f>
        <v>0.09</v>
      </c>
      <c r="M29" s="44"/>
      <c r="N29" s="44">
        <v>0.13</v>
      </c>
      <c r="O29" s="44">
        <f>('Plan de Acción 2021'!W183+'Plan de Acción 2021'!W184+'Plan de Acción 2021'!W185+'Plan de Acción 2021'!W186+'Plan de Acción 2021'!W187)/5</f>
        <v>0</v>
      </c>
      <c r="P29" s="44">
        <f>(O29*4.1%)/(L29-K29)</f>
        <v>0</v>
      </c>
      <c r="Q29" s="44"/>
      <c r="R29" s="44">
        <f>('Plan de Acción 2021'!Z183+'Plan de Acción 2021'!Z184+'Plan de Acción 2021'!Z185+'Plan de Acción 2021'!Z186+'Plan de Acción 2021'!Z187)/5</f>
        <v>0</v>
      </c>
      <c r="S29" s="44">
        <f>(R29*4.1%)/(L29-K29)</f>
        <v>0</v>
      </c>
      <c r="T29" s="43"/>
      <c r="U29" s="44">
        <f>('Plan de Acción 2021'!AC183+'Plan de Acción 2021'!AC184+'Plan de Acción 2021'!AC185+'Plan de Acción 2021'!AC186+'Plan de Acción 2021'!AC187)/5</f>
        <v>0</v>
      </c>
      <c r="V29" s="44">
        <f>(U29*4.1%)/(L29-K29)</f>
        <v>0</v>
      </c>
      <c r="W29" s="45"/>
      <c r="X29" s="44">
        <f>('Plan de Acción 2021'!AF183+'Plan de Acción 2021'!AF184+'Plan de Acción 2021'!AF185+'Plan de Acción 2021'!AF186+'Plan de Acción 2021'!AF187)/5</f>
        <v>0</v>
      </c>
      <c r="Y29" s="44">
        <f>(X29*4.1%)/(L29-K29)</f>
        <v>0</v>
      </c>
      <c r="Z29" s="122"/>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18"/>
      <c r="BA29" s="18"/>
      <c r="BB29" s="48"/>
      <c r="BC29" s="48"/>
      <c r="BD29" s="48"/>
      <c r="BE29" s="48"/>
      <c r="BF29" s="48"/>
      <c r="BG29" s="48"/>
      <c r="BH29" s="48"/>
      <c r="BI29" s="48"/>
      <c r="BJ29" s="48"/>
      <c r="BK29" s="48"/>
      <c r="BL29" s="48"/>
      <c r="BM29" s="48"/>
      <c r="BN29" s="48"/>
      <c r="BO29" s="48"/>
      <c r="BP29" s="48"/>
      <c r="BQ29" s="48"/>
      <c r="BR29" s="48"/>
      <c r="BS29" s="48"/>
      <c r="BT29" s="48"/>
      <c r="BU29" s="48"/>
      <c r="BV29" s="48"/>
      <c r="BW29" s="48"/>
      <c r="BX29" s="48"/>
      <c r="BY29" s="48"/>
      <c r="BZ29" s="48"/>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48"/>
      <c r="CY29" s="48"/>
      <c r="CZ29" s="48"/>
      <c r="DA29" s="48"/>
      <c r="DB29" s="48"/>
      <c r="DC29" s="48"/>
      <c r="DD29" s="48"/>
      <c r="DE29" s="48"/>
      <c r="DF29" s="48"/>
      <c r="DG29" s="48"/>
      <c r="DH29" s="48"/>
      <c r="DI29" s="48"/>
      <c r="DJ29" s="48"/>
      <c r="DK29" s="48"/>
      <c r="DL29" s="48"/>
      <c r="DM29" s="48"/>
      <c r="DN29" s="48"/>
      <c r="DO29" s="48"/>
      <c r="DP29" s="48"/>
      <c r="DQ29" s="48"/>
      <c r="DR29" s="48"/>
      <c r="DS29" s="48"/>
      <c r="DT29" s="48"/>
      <c r="DU29" s="48"/>
      <c r="DV29" s="48"/>
      <c r="DW29" s="48"/>
      <c r="DX29" s="48"/>
      <c r="DY29" s="48"/>
      <c r="DZ29" s="48"/>
      <c r="EA29" s="48"/>
      <c r="EB29" s="48"/>
      <c r="EC29" s="48"/>
      <c r="ED29" s="48"/>
      <c r="EE29" s="48"/>
      <c r="EF29" s="48"/>
      <c r="EG29" s="48"/>
      <c r="EH29" s="48"/>
      <c r="EI29" s="48"/>
      <c r="EJ29" s="48"/>
      <c r="EK29" s="48"/>
      <c r="EL29" s="48"/>
      <c r="EM29" s="48"/>
      <c r="EN29" s="48"/>
      <c r="EO29" s="48"/>
      <c r="EP29" s="48"/>
      <c r="EQ29" s="48"/>
      <c r="ER29" s="48"/>
      <c r="ES29" s="48"/>
      <c r="ET29" s="48"/>
      <c r="EU29" s="48"/>
      <c r="EV29" s="48"/>
      <c r="EW29" s="48"/>
      <c r="EX29" s="48"/>
      <c r="EY29" s="48"/>
      <c r="EZ29" s="48"/>
      <c r="FA29" s="48"/>
      <c r="FB29" s="48"/>
      <c r="FC29" s="48"/>
      <c r="FD29" s="48"/>
      <c r="FE29" s="48"/>
      <c r="FF29" s="48"/>
      <c r="FG29" s="48"/>
      <c r="FH29" s="48"/>
      <c r="FI29" s="48"/>
      <c r="FJ29" s="48"/>
      <c r="FK29" s="48"/>
      <c r="FL29" s="48"/>
      <c r="FM29" s="48"/>
      <c r="FN29" s="48"/>
      <c r="FO29" s="48"/>
      <c r="FP29" s="48"/>
      <c r="FQ29" s="48"/>
      <c r="FR29" s="48"/>
      <c r="FS29" s="48"/>
      <c r="FT29" s="48"/>
      <c r="FU29" s="48"/>
      <c r="FV29" s="48"/>
      <c r="FW29" s="48"/>
      <c r="FX29" s="48"/>
      <c r="FY29" s="48"/>
      <c r="FZ29" s="48"/>
      <c r="GA29" s="48"/>
      <c r="GB29" s="48"/>
      <c r="GC29" s="48"/>
      <c r="GD29" s="48"/>
      <c r="GE29" s="48"/>
      <c r="GF29" s="48"/>
      <c r="GG29" s="48"/>
      <c r="GH29" s="48"/>
      <c r="GI29" s="48"/>
      <c r="GJ29" s="48"/>
      <c r="GK29" s="48"/>
      <c r="GL29" s="48"/>
      <c r="GM29" s="48"/>
      <c r="GN29" s="48"/>
      <c r="GO29" s="48"/>
      <c r="GP29" s="48"/>
      <c r="GQ29" s="48"/>
      <c r="GR29" s="48"/>
      <c r="GS29" s="48"/>
      <c r="GT29" s="48"/>
      <c r="GU29" s="48"/>
      <c r="GV29" s="48"/>
      <c r="GW29" s="48"/>
      <c r="GX29" s="48"/>
      <c r="GY29" s="48"/>
      <c r="GZ29" s="48"/>
      <c r="HA29" s="48"/>
      <c r="HB29" s="48"/>
      <c r="HC29" s="48"/>
      <c r="HD29" s="48"/>
      <c r="HE29" s="48"/>
      <c r="HF29" s="48"/>
      <c r="HG29" s="48"/>
      <c r="HH29" s="48"/>
      <c r="HI29" s="48"/>
      <c r="HJ29" s="48"/>
      <c r="HK29" s="48"/>
      <c r="HL29" s="48"/>
      <c r="HM29" s="48"/>
      <c r="HN29" s="48"/>
      <c r="HO29" s="48"/>
      <c r="HP29" s="48"/>
      <c r="HQ29" s="48"/>
      <c r="HR29" s="48"/>
      <c r="HS29" s="48"/>
      <c r="HT29" s="48"/>
      <c r="HU29" s="48"/>
      <c r="HV29" s="48"/>
      <c r="HW29" s="48"/>
      <c r="HX29" s="48"/>
      <c r="HY29" s="48"/>
      <c r="HZ29" s="48"/>
      <c r="IA29" s="48"/>
      <c r="IB29" s="48"/>
      <c r="IC29" s="48"/>
      <c r="ID29" s="48"/>
      <c r="IE29" s="48"/>
      <c r="IF29" s="48"/>
      <c r="IG29" s="48"/>
      <c r="IH29" s="48"/>
      <c r="II29" s="48"/>
      <c r="IJ29" s="48"/>
      <c r="IK29" s="48"/>
      <c r="IL29" s="48"/>
      <c r="IM29" s="48"/>
      <c r="IN29" s="48"/>
      <c r="IO29" s="48"/>
      <c r="IP29" s="48"/>
      <c r="IQ29" s="48"/>
      <c r="IR29" s="48"/>
      <c r="IS29" s="48"/>
      <c r="IT29" s="48"/>
      <c r="IU29" s="48"/>
      <c r="IV29" s="48"/>
      <c r="IW29" s="48"/>
      <c r="IX29" s="48"/>
      <c r="IY29" s="48"/>
      <c r="IZ29" s="48"/>
      <c r="JA29" s="48"/>
      <c r="JB29" s="48"/>
      <c r="JC29" s="48"/>
      <c r="JD29" s="48"/>
      <c r="JE29" s="48"/>
      <c r="JF29" s="48"/>
      <c r="JG29" s="48"/>
      <c r="JH29" s="48"/>
      <c r="JI29" s="48"/>
      <c r="JJ29" s="48"/>
      <c r="JK29" s="48"/>
      <c r="JL29" s="48"/>
      <c r="JM29" s="48"/>
      <c r="JN29" s="48"/>
      <c r="JO29" s="48"/>
      <c r="JP29" s="48"/>
      <c r="JQ29" s="48"/>
      <c r="JR29" s="48"/>
      <c r="JS29" s="48"/>
      <c r="JT29" s="48"/>
      <c r="JU29" s="48"/>
      <c r="JV29" s="48"/>
      <c r="JW29" s="48"/>
      <c r="JX29" s="48"/>
      <c r="JY29" s="48"/>
      <c r="JZ29" s="48"/>
      <c r="KA29" s="48"/>
      <c r="KB29" s="48"/>
      <c r="KC29" s="48"/>
      <c r="KD29" s="48"/>
      <c r="KE29" s="48"/>
      <c r="KF29" s="48"/>
      <c r="KG29" s="48"/>
      <c r="KH29" s="48"/>
      <c r="KI29" s="48"/>
      <c r="KJ29" s="48"/>
      <c r="KK29" s="48"/>
      <c r="KL29" s="48"/>
      <c r="KM29" s="48"/>
      <c r="KN29" s="48"/>
      <c r="KO29" s="48"/>
      <c r="KP29" s="48"/>
      <c r="KQ29" s="48"/>
      <c r="KR29" s="48"/>
      <c r="KS29" s="48"/>
      <c r="KT29" s="48"/>
      <c r="KU29" s="48"/>
      <c r="KV29" s="48"/>
      <c r="KW29" s="48"/>
      <c r="KX29" s="48"/>
      <c r="KY29" s="48"/>
      <c r="KZ29" s="48"/>
      <c r="LA29" s="48"/>
      <c r="LB29" s="48"/>
      <c r="LC29" s="48"/>
      <c r="LD29" s="48"/>
      <c r="LE29" s="48"/>
      <c r="LF29" s="48"/>
      <c r="LG29" s="48"/>
      <c r="LH29" s="48"/>
      <c r="LI29" s="48"/>
      <c r="LJ29" s="48"/>
      <c r="LK29" s="48"/>
      <c r="LL29" s="48"/>
      <c r="LM29" s="48"/>
      <c r="LN29" s="48"/>
      <c r="LO29" s="48"/>
      <c r="LP29" s="48"/>
      <c r="LQ29" s="48"/>
      <c r="LR29" s="48"/>
      <c r="LS29" s="48"/>
      <c r="LT29" s="48"/>
      <c r="LU29" s="48"/>
      <c r="LV29" s="48"/>
      <c r="LW29" s="48"/>
      <c r="LX29" s="48"/>
      <c r="LY29" s="48"/>
      <c r="LZ29" s="48"/>
      <c r="MA29" s="48"/>
    </row>
    <row r="30" spans="1:339" s="68" customFormat="1" ht="80.25" customHeight="1" thickBot="1" x14ac:dyDescent="0.3">
      <c r="A30" s="86">
        <v>12</v>
      </c>
      <c r="B30" s="39">
        <v>0</v>
      </c>
      <c r="C30" s="40">
        <v>1</v>
      </c>
      <c r="D30" s="41" t="s">
        <v>1210</v>
      </c>
      <c r="E30" s="43" t="s">
        <v>1235</v>
      </c>
      <c r="F30" s="43" t="s">
        <v>1236</v>
      </c>
      <c r="G30" s="64" t="s">
        <v>108</v>
      </c>
      <c r="H30" s="43" t="s">
        <v>110</v>
      </c>
      <c r="I30" s="70">
        <v>0.2</v>
      </c>
      <c r="J30" s="70">
        <v>0.4</v>
      </c>
      <c r="K30" s="70">
        <v>0.5</v>
      </c>
      <c r="L30" s="44">
        <f>'Plan de Acción 2021'!Q26</f>
        <v>0.6</v>
      </c>
      <c r="M30" s="44"/>
      <c r="N30" s="70">
        <v>1</v>
      </c>
      <c r="O30" s="70">
        <f>('Plan de Acción 2021'!W26+'Plan de Acción 2021'!W27+'Plan de Acción 2021'!W297+'Plan de Acción 2021'!W298+'Plan de Acción 2021'!W304+'Plan de Acción 2021'!W305+'Plan de Acción 2021'!W306+'Plan de Acción 2021'!W307+'Plan de Acción 2021'!W308+'Plan de Acción 2021'!W309+'Plan de Acción 2021'!W310+'Plan de Acción 2021'!W311+'Plan de Acción 2021'!W312+'Plan de Acción 2021'!W313+'Plan de Acción 2021'!W314)/15</f>
        <v>0</v>
      </c>
      <c r="P30" s="44">
        <f>(O30*10%)/(L30-K30)</f>
        <v>0</v>
      </c>
      <c r="Q30" s="70"/>
      <c r="R30" s="70">
        <f>('Plan de Acción 2021'!Z26+'Plan de Acción 2021'!Z27+'Plan de Acción 2021'!Z297+'Plan de Acción 2021'!Z298+'Plan de Acción 2021'!Z304+'Plan de Acción 2021'!Z305+'Plan de Acción 2021'!Z306+'Plan de Acción 2021'!Z307+'Plan de Acción 2021'!Z308+'Plan de Acción 2021'!Z309+'Plan de Acción 2021'!Z310+'Plan de Acción 2021'!Z311+'Plan de Acción 2021'!Z312+'Plan de Acción 2021'!Z313+'Plan de Acción 2021'!Z314)/15</f>
        <v>0</v>
      </c>
      <c r="S30" s="44">
        <f>(R30*10%)/(L30-K30)</f>
        <v>0</v>
      </c>
      <c r="T30" s="64"/>
      <c r="U30" s="70">
        <f>('Plan de Acción 2021'!AC26+'Plan de Acción 2021'!AC27+'Plan de Acción 2021'!AC297+'Plan de Acción 2021'!AC298+'Plan de Acción 2021'!AC304+'Plan de Acción 2021'!AC305+'Plan de Acción 2021'!AC306+'Plan de Acción 2021'!AC307+'Plan de Acción 2021'!AC308+'Plan de Acción 2021'!AC309+'Plan de Acción 2021'!AC310+'Plan de Acción 2021'!AC311+'Plan de Acción 2021'!AC312+'Plan de Acción 2021'!AC313+'Plan de Acción 2021'!AC314)/15</f>
        <v>0</v>
      </c>
      <c r="V30" s="44">
        <f>(U30*10%)/(L30-K30)</f>
        <v>0</v>
      </c>
      <c r="W30" s="87"/>
      <c r="X30" s="70">
        <f>('Plan de Acción 2021'!AF26+'Plan de Acción 2021'!AF27+'Plan de Acción 2021'!AF297+'Plan de Acción 2021'!AF298+'Plan de Acción 2021'!AF304+'Plan de Acción 2021'!AF305+'Plan de Acción 2021'!AF306+'Plan de Acción 2021'!AF307+'Plan de Acción 2021'!AF308+'Plan de Acción 2021'!AF309+'Plan de Acción 2021'!AF310+'Plan de Acción 2021'!AF311+'Plan de Acción 2021'!AF312+'Plan de Acción 2021'!AF313+'Plan de Acción 2021'!AF314)/15</f>
        <v>0</v>
      </c>
      <c r="Y30" s="44">
        <f>(X30*10%)/(L30-K30)</f>
        <v>0</v>
      </c>
      <c r="Z30" s="228"/>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18"/>
      <c r="BA30" s="18"/>
      <c r="BB30" s="48"/>
      <c r="BC30" s="48"/>
      <c r="BD30" s="48"/>
      <c r="BE30" s="48"/>
      <c r="BF30" s="48"/>
      <c r="BG30" s="48"/>
      <c r="BH30" s="48"/>
      <c r="BI30" s="48"/>
      <c r="BJ30" s="48"/>
      <c r="BK30" s="48"/>
      <c r="BL30" s="48"/>
      <c r="BM30" s="48"/>
      <c r="BN30" s="48"/>
      <c r="BO30" s="48"/>
      <c r="BP30" s="48"/>
      <c r="BQ30" s="48"/>
      <c r="BR30" s="48"/>
      <c r="BS30" s="48"/>
      <c r="BT30" s="48"/>
      <c r="BU30" s="48"/>
      <c r="BV30" s="48"/>
      <c r="BW30" s="48"/>
      <c r="BX30" s="48"/>
      <c r="BY30" s="48"/>
      <c r="BZ30" s="48"/>
      <c r="CA30" s="48"/>
      <c r="CB30" s="48"/>
      <c r="CC30" s="48"/>
      <c r="CD30" s="48"/>
      <c r="CE30" s="48"/>
      <c r="CF30" s="48"/>
      <c r="CG30" s="48"/>
      <c r="CH30" s="48"/>
      <c r="CI30" s="48"/>
      <c r="CJ30" s="48"/>
      <c r="CK30" s="48"/>
      <c r="CL30" s="48"/>
      <c r="CM30" s="48"/>
      <c r="CN30" s="48"/>
      <c r="CO30" s="48"/>
      <c r="CP30" s="48"/>
      <c r="CQ30" s="48"/>
      <c r="CR30" s="48"/>
      <c r="CS30" s="48"/>
      <c r="CT30" s="48"/>
      <c r="CU30" s="48"/>
      <c r="CV30" s="48"/>
      <c r="CW30" s="48"/>
      <c r="CX30" s="48"/>
      <c r="CY30" s="48"/>
      <c r="CZ30" s="48"/>
      <c r="DA30" s="48"/>
      <c r="DB30" s="48"/>
      <c r="DC30" s="48"/>
      <c r="DD30" s="48"/>
      <c r="DE30" s="48"/>
      <c r="DF30" s="48"/>
      <c r="DG30" s="48"/>
      <c r="DH30" s="48"/>
      <c r="DI30" s="48"/>
      <c r="DJ30" s="48"/>
      <c r="DK30" s="48"/>
      <c r="DL30" s="48"/>
      <c r="DM30" s="48"/>
      <c r="DN30" s="48"/>
      <c r="DO30" s="48"/>
      <c r="DP30" s="48"/>
      <c r="DQ30" s="48"/>
      <c r="DR30" s="48"/>
      <c r="DS30" s="48"/>
      <c r="DT30" s="48"/>
      <c r="DU30" s="48"/>
      <c r="DV30" s="48"/>
      <c r="DW30" s="48"/>
      <c r="DX30" s="48"/>
      <c r="DY30" s="48"/>
      <c r="DZ30" s="48"/>
      <c r="EA30" s="48"/>
      <c r="EB30" s="48"/>
      <c r="EC30" s="48"/>
      <c r="ED30" s="48"/>
      <c r="EE30" s="48"/>
      <c r="EF30" s="48"/>
      <c r="EG30" s="48"/>
      <c r="EH30" s="48"/>
      <c r="EI30" s="48"/>
      <c r="EJ30" s="48"/>
      <c r="EK30" s="48"/>
      <c r="EL30" s="48"/>
      <c r="EM30" s="48"/>
      <c r="EN30" s="48"/>
      <c r="EO30" s="48"/>
      <c r="EP30" s="48"/>
      <c r="EQ30" s="48"/>
      <c r="ER30" s="48"/>
      <c r="ES30" s="48"/>
      <c r="ET30" s="48"/>
      <c r="EU30" s="48"/>
      <c r="EV30" s="48"/>
      <c r="EW30" s="48"/>
      <c r="EX30" s="48"/>
      <c r="EY30" s="48"/>
      <c r="EZ30" s="48"/>
      <c r="FA30" s="48"/>
      <c r="FB30" s="48"/>
      <c r="FC30" s="48"/>
      <c r="FD30" s="48"/>
      <c r="FE30" s="48"/>
      <c r="FF30" s="48"/>
      <c r="FG30" s="48"/>
      <c r="FH30" s="48"/>
      <c r="FI30" s="48"/>
      <c r="FJ30" s="48"/>
      <c r="FK30" s="48"/>
      <c r="FL30" s="48"/>
      <c r="FM30" s="48"/>
      <c r="FN30" s="48"/>
      <c r="FO30" s="48"/>
      <c r="FP30" s="48"/>
      <c r="FQ30" s="48"/>
      <c r="FR30" s="48"/>
      <c r="FS30" s="48"/>
      <c r="FT30" s="48"/>
      <c r="FU30" s="48"/>
      <c r="FV30" s="48"/>
      <c r="FW30" s="48"/>
      <c r="FX30" s="48"/>
      <c r="FY30" s="48"/>
      <c r="FZ30" s="48"/>
      <c r="GA30" s="48"/>
      <c r="GB30" s="48"/>
      <c r="GC30" s="48"/>
      <c r="GD30" s="48"/>
      <c r="GE30" s="48"/>
      <c r="GF30" s="48"/>
      <c r="GG30" s="48"/>
      <c r="GH30" s="48"/>
      <c r="GI30" s="48"/>
      <c r="GJ30" s="48"/>
      <c r="GK30" s="48"/>
      <c r="GL30" s="48"/>
      <c r="GM30" s="48"/>
      <c r="GN30" s="48"/>
      <c r="GO30" s="48"/>
      <c r="GP30" s="48"/>
      <c r="GQ30" s="48"/>
      <c r="GR30" s="48"/>
      <c r="GS30" s="48"/>
      <c r="GT30" s="48"/>
      <c r="GU30" s="48"/>
      <c r="GV30" s="48"/>
      <c r="GW30" s="48"/>
      <c r="GX30" s="48"/>
      <c r="GY30" s="48"/>
      <c r="GZ30" s="48"/>
      <c r="HA30" s="48"/>
      <c r="HB30" s="48"/>
      <c r="HC30" s="48"/>
      <c r="HD30" s="48"/>
      <c r="HE30" s="48"/>
      <c r="HF30" s="48"/>
      <c r="HG30" s="48"/>
      <c r="HH30" s="48"/>
      <c r="HI30" s="48"/>
      <c r="HJ30" s="48"/>
      <c r="HK30" s="48"/>
      <c r="HL30" s="48"/>
      <c r="HM30" s="48"/>
      <c r="HN30" s="48"/>
      <c r="HO30" s="48"/>
      <c r="HP30" s="48"/>
      <c r="HQ30" s="48"/>
      <c r="HR30" s="48"/>
      <c r="HS30" s="48"/>
      <c r="HT30" s="48"/>
      <c r="HU30" s="48"/>
      <c r="HV30" s="48"/>
      <c r="HW30" s="48"/>
      <c r="HX30" s="48"/>
      <c r="HY30" s="48"/>
      <c r="HZ30" s="48"/>
      <c r="IA30" s="48"/>
      <c r="IB30" s="48"/>
      <c r="IC30" s="48"/>
      <c r="ID30" s="48"/>
      <c r="IE30" s="48"/>
      <c r="IF30" s="48"/>
      <c r="IG30" s="48"/>
      <c r="IH30" s="48"/>
      <c r="II30" s="48"/>
      <c r="IJ30" s="48"/>
      <c r="IK30" s="48"/>
      <c r="IL30" s="48"/>
      <c r="IM30" s="48"/>
      <c r="IN30" s="48"/>
      <c r="IO30" s="48"/>
      <c r="IP30" s="48"/>
      <c r="IQ30" s="48"/>
      <c r="IR30" s="48"/>
      <c r="IS30" s="48"/>
      <c r="IT30" s="48"/>
      <c r="IU30" s="48"/>
      <c r="IV30" s="48"/>
      <c r="IW30" s="48"/>
      <c r="IX30" s="48"/>
      <c r="IY30" s="48"/>
      <c r="IZ30" s="48"/>
      <c r="JA30" s="48"/>
      <c r="JB30" s="48"/>
      <c r="JC30" s="48"/>
      <c r="JD30" s="48"/>
      <c r="JE30" s="48"/>
      <c r="JF30" s="48"/>
      <c r="JG30" s="48"/>
      <c r="JH30" s="48"/>
      <c r="JI30" s="48"/>
      <c r="JJ30" s="48"/>
      <c r="JK30" s="48"/>
      <c r="JL30" s="48"/>
      <c r="JM30" s="48"/>
      <c r="JN30" s="48"/>
      <c r="JO30" s="48"/>
      <c r="JP30" s="48"/>
      <c r="JQ30" s="48"/>
      <c r="JR30" s="48"/>
      <c r="JS30" s="48"/>
      <c r="JT30" s="48"/>
      <c r="JU30" s="48"/>
      <c r="JV30" s="48"/>
      <c r="JW30" s="48"/>
      <c r="JX30" s="48"/>
      <c r="JY30" s="48"/>
      <c r="JZ30" s="48"/>
      <c r="KA30" s="48"/>
      <c r="KB30" s="48"/>
      <c r="KC30" s="48"/>
      <c r="KD30" s="48"/>
      <c r="KE30" s="48"/>
      <c r="KF30" s="48"/>
      <c r="KG30" s="48"/>
      <c r="KH30" s="48"/>
      <c r="KI30" s="48"/>
      <c r="KJ30" s="48"/>
      <c r="KK30" s="48"/>
      <c r="KL30" s="48"/>
      <c r="KM30" s="48"/>
      <c r="KN30" s="48"/>
      <c r="KO30" s="48"/>
      <c r="KP30" s="48"/>
      <c r="KQ30" s="48"/>
      <c r="KR30" s="48"/>
      <c r="KS30" s="48"/>
      <c r="KT30" s="48"/>
      <c r="KU30" s="48"/>
      <c r="KV30" s="48"/>
      <c r="KW30" s="48"/>
      <c r="KX30" s="48"/>
      <c r="KY30" s="48"/>
      <c r="KZ30" s="48"/>
      <c r="LA30" s="48"/>
      <c r="LB30" s="48"/>
      <c r="LC30" s="48"/>
      <c r="LD30" s="48"/>
      <c r="LE30" s="48"/>
      <c r="LF30" s="48"/>
      <c r="LG30" s="48"/>
      <c r="LH30" s="48"/>
      <c r="LI30" s="48"/>
      <c r="LJ30" s="48"/>
      <c r="LK30" s="48"/>
      <c r="LL30" s="48"/>
      <c r="LM30" s="48"/>
      <c r="LN30" s="48"/>
      <c r="LO30" s="48"/>
      <c r="LP30" s="48"/>
      <c r="LQ30" s="48"/>
      <c r="LR30" s="48"/>
      <c r="LS30" s="48"/>
      <c r="LT30" s="48"/>
      <c r="LU30" s="48"/>
      <c r="LV30" s="48"/>
      <c r="LW30" s="48"/>
      <c r="LX30" s="48"/>
      <c r="LY30" s="48"/>
      <c r="LZ30" s="48"/>
      <c r="MA30" s="48"/>
    </row>
    <row r="31" spans="1:339" s="21" customFormat="1" ht="80.25" customHeight="1" x14ac:dyDescent="0.25">
      <c r="A31" s="674">
        <v>13</v>
      </c>
      <c r="B31" s="39">
        <v>1</v>
      </c>
      <c r="C31" s="40">
        <v>0</v>
      </c>
      <c r="D31" s="41" t="s">
        <v>1212</v>
      </c>
      <c r="E31" s="54" t="s">
        <v>1212</v>
      </c>
      <c r="F31" s="673" t="s">
        <v>1237</v>
      </c>
      <c r="G31" s="43" t="s">
        <v>1238</v>
      </c>
      <c r="H31" s="43" t="s">
        <v>1239</v>
      </c>
      <c r="I31" s="44">
        <v>0.2</v>
      </c>
      <c r="J31" s="44">
        <v>0.5</v>
      </c>
      <c r="K31" s="44">
        <v>0.5</v>
      </c>
      <c r="L31" s="44">
        <f>'Plan de Acción 2021'!Q135</f>
        <v>0.65</v>
      </c>
      <c r="M31" s="44"/>
      <c r="N31" s="44">
        <v>1</v>
      </c>
      <c r="O31" s="44">
        <f>'Plan de Acción 2021'!W135</f>
        <v>0</v>
      </c>
      <c r="P31" s="44">
        <f>(O31*15%)/(L31-K31)</f>
        <v>0</v>
      </c>
      <c r="Q31" s="44"/>
      <c r="R31" s="44">
        <f>'Plan de Acción 2021'!Z135</f>
        <v>0</v>
      </c>
      <c r="S31" s="44">
        <f>(R31*15%)/(L31-K31)</f>
        <v>0</v>
      </c>
      <c r="T31" s="43"/>
      <c r="U31" s="44">
        <f>'Plan de Acción 2021'!AC135</f>
        <v>0</v>
      </c>
      <c r="V31" s="44">
        <f>(U31*15%)/(L31-K31)</f>
        <v>0</v>
      </c>
      <c r="W31" s="45"/>
      <c r="X31" s="44">
        <f>'Plan de Acción 2021'!AF135</f>
        <v>0</v>
      </c>
      <c r="Y31" s="44">
        <f>(X31*15%)/(L31-K31)</f>
        <v>0</v>
      </c>
      <c r="Z31" s="46"/>
      <c r="AA31" s="69"/>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18"/>
      <c r="BA31" s="18"/>
    </row>
    <row r="32" spans="1:339" s="21" customFormat="1" ht="77.25" customHeight="1" x14ac:dyDescent="0.25">
      <c r="A32" s="671"/>
      <c r="B32" s="39">
        <v>1</v>
      </c>
      <c r="C32" s="40">
        <v>0</v>
      </c>
      <c r="D32" s="41" t="s">
        <v>1212</v>
      </c>
      <c r="E32" s="42" t="s">
        <v>1212</v>
      </c>
      <c r="F32" s="673"/>
      <c r="G32" s="668" t="s">
        <v>1240</v>
      </c>
      <c r="H32" s="43" t="s">
        <v>1241</v>
      </c>
      <c r="I32" s="44">
        <v>0.5</v>
      </c>
      <c r="J32" s="44">
        <v>0.7</v>
      </c>
      <c r="K32" s="44">
        <v>0.55000000000000004</v>
      </c>
      <c r="L32" s="44">
        <f>'Plan de Acción 2021'!Q136</f>
        <v>0.8</v>
      </c>
      <c r="M32" s="44"/>
      <c r="N32" s="44">
        <v>1</v>
      </c>
      <c r="O32" s="44">
        <f>'Plan de Acción 2021'!W136</f>
        <v>0</v>
      </c>
      <c r="P32" s="44">
        <f>(O32*25%)/(L32-K32)</f>
        <v>0</v>
      </c>
      <c r="Q32" s="44"/>
      <c r="R32" s="44">
        <f>'Plan de Acción 2021'!Z136</f>
        <v>0</v>
      </c>
      <c r="S32" s="44">
        <f>(R32*25%)/(L32-K32)</f>
        <v>0</v>
      </c>
      <c r="T32" s="43"/>
      <c r="U32" s="44">
        <f>'Plan de Acción 2021'!AC136</f>
        <v>0</v>
      </c>
      <c r="V32" s="44">
        <f>(U32*25%)/(L32-K32)</f>
        <v>0</v>
      </c>
      <c r="W32" s="385"/>
      <c r="X32" s="44">
        <f>'Plan de Acción 2021'!AF136</f>
        <v>0</v>
      </c>
      <c r="Y32" s="44">
        <f>(X32*25%)/(L32-K32)</f>
        <v>0</v>
      </c>
      <c r="Z32" s="46"/>
      <c r="AA32" s="88"/>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18"/>
      <c r="BA32" s="18"/>
    </row>
    <row r="33" spans="1:53" s="21" customFormat="1" ht="43.5" customHeight="1" x14ac:dyDescent="0.25">
      <c r="A33" s="671"/>
      <c r="B33" s="39">
        <v>1</v>
      </c>
      <c r="C33" s="40">
        <v>0</v>
      </c>
      <c r="D33" s="41" t="s">
        <v>1212</v>
      </c>
      <c r="E33" s="42" t="s">
        <v>1212</v>
      </c>
      <c r="F33" s="673"/>
      <c r="G33" s="668"/>
      <c r="H33" s="43" t="s">
        <v>386</v>
      </c>
      <c r="I33" s="44">
        <v>0.4</v>
      </c>
      <c r="J33" s="44">
        <v>0.6</v>
      </c>
      <c r="K33" s="44">
        <v>0.42</v>
      </c>
      <c r="L33" s="44">
        <v>0.75</v>
      </c>
      <c r="M33" s="44"/>
      <c r="N33" s="44">
        <f>'Plan de Acción 2021'!Q137</f>
        <v>0.75</v>
      </c>
      <c r="O33" s="44">
        <f>'Plan de Acción 2021'!W137</f>
        <v>0</v>
      </c>
      <c r="P33" s="44">
        <f>(O33*33%)/(L33-K33)</f>
        <v>0</v>
      </c>
      <c r="Q33" s="44"/>
      <c r="R33" s="44">
        <f>'Plan de Acción 2021'!Z137</f>
        <v>0</v>
      </c>
      <c r="S33" s="44">
        <f>(R33*33%)/(L33-K33)</f>
        <v>0</v>
      </c>
      <c r="T33" s="43"/>
      <c r="U33" s="44">
        <f>'Plan de Acción 2021'!AC137</f>
        <v>0</v>
      </c>
      <c r="V33" s="44">
        <f>(U33*33%)/(L33-K33)</f>
        <v>0</v>
      </c>
      <c r="W33" s="384"/>
      <c r="X33" s="44">
        <f>'Plan de Acción 2021'!AF137</f>
        <v>0</v>
      </c>
      <c r="Y33" s="44">
        <f>(X33*33%)/(L33-K33)</f>
        <v>0</v>
      </c>
      <c r="Z33" s="46"/>
      <c r="AA33" s="88"/>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18"/>
      <c r="BA33" s="18"/>
    </row>
    <row r="34" spans="1:53" s="21" customFormat="1" ht="77.25" customHeight="1" x14ac:dyDescent="0.25">
      <c r="A34" s="671"/>
      <c r="B34" s="39">
        <v>1</v>
      </c>
      <c r="C34" s="40">
        <v>0</v>
      </c>
      <c r="D34" s="41" t="s">
        <v>1212</v>
      </c>
      <c r="E34" s="41" t="s">
        <v>1212</v>
      </c>
      <c r="F34" s="673"/>
      <c r="G34" s="673" t="s">
        <v>1242</v>
      </c>
      <c r="H34" s="43" t="s">
        <v>1001</v>
      </c>
      <c r="I34" s="44">
        <v>0</v>
      </c>
      <c r="J34" s="44">
        <v>0.9</v>
      </c>
      <c r="K34" s="44">
        <v>0.9</v>
      </c>
      <c r="L34" s="44">
        <f>'Plan de Acción 2021'!Q138</f>
        <v>1</v>
      </c>
      <c r="M34" s="44"/>
      <c r="N34" s="44">
        <v>1</v>
      </c>
      <c r="O34" s="44">
        <f>('Plan de Acción 2021'!W138+'Plan de Acción 2021'!W401+'Plan de Acción 2021'!W403+'Plan de Acción 2021'!W404+'Plan de Acción 2021'!W406)/5</f>
        <v>0</v>
      </c>
      <c r="P34" s="44">
        <f>(O34*10%)/(L34-K34)</f>
        <v>0</v>
      </c>
      <c r="Q34" s="44"/>
      <c r="R34" s="44">
        <f>('Plan de Acción 2021'!Z138+'Plan de Acción 2021'!Z401+'Plan de Acción 2021'!Z403+'Plan de Acción 2021'!Z404+'Plan de Acción 2021'!Z406)/5</f>
        <v>0</v>
      </c>
      <c r="S34" s="44">
        <f>(R34*20%)/(L34-K34)</f>
        <v>0</v>
      </c>
      <c r="T34" s="43"/>
      <c r="U34" s="44">
        <f>('Plan de Acción 2021'!AC138+'Plan de Acción 2021'!AC401+'Plan de Acción 2021'!AC403+'Plan de Acción 2021'!AC404+'Plan de Acción 2021'!AC406)/5</f>
        <v>0</v>
      </c>
      <c r="V34" s="44">
        <f>(U34*20%)/(L34-K34)</f>
        <v>0</v>
      </c>
      <c r="W34" s="45"/>
      <c r="X34" s="44">
        <f>('Plan de Acción 2021'!AF138+'Plan de Acción 2021'!AF401+'Plan de Acción 2021'!AF403+'Plan de Acción 2021'!AF404+'Plan de Acción 2021'!AF406)/5</f>
        <v>0</v>
      </c>
      <c r="Y34" s="44">
        <f>(X34*20%)/(L34-K34)</f>
        <v>0</v>
      </c>
      <c r="Z34" s="46"/>
      <c r="AA34" s="69"/>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18"/>
      <c r="BA34" s="18"/>
    </row>
    <row r="35" spans="1:53" s="21" customFormat="1" ht="75" customHeight="1" x14ac:dyDescent="0.25">
      <c r="A35" s="671"/>
      <c r="B35" s="39">
        <v>1</v>
      </c>
      <c r="C35" s="40">
        <v>0</v>
      </c>
      <c r="D35" s="41" t="s">
        <v>1212</v>
      </c>
      <c r="E35" s="42" t="s">
        <v>1212</v>
      </c>
      <c r="F35" s="673"/>
      <c r="G35" s="673"/>
      <c r="H35" s="43" t="s">
        <v>1006</v>
      </c>
      <c r="I35" s="44">
        <v>0</v>
      </c>
      <c r="J35" s="44">
        <v>0.2</v>
      </c>
      <c r="K35" s="44">
        <v>0.2</v>
      </c>
      <c r="L35" s="44">
        <f>'Plan de Acción 2021'!Q139</f>
        <v>0.5</v>
      </c>
      <c r="M35" s="44"/>
      <c r="N35" s="44">
        <v>1</v>
      </c>
      <c r="O35" s="44">
        <f>('Plan de Acción 2021'!W139+'Plan de Acción 2021'!W402+'Plan de Acción 2021'!W405)/3</f>
        <v>0</v>
      </c>
      <c r="P35" s="44">
        <f>(O35*30%)/(L35-K35)</f>
        <v>0</v>
      </c>
      <c r="Q35" s="44"/>
      <c r="R35" s="44">
        <f>('Plan de Acción 2021'!Z139+'Plan de Acción 2021'!Z402+'Plan de Acción 2021'!Z405)/3</f>
        <v>0</v>
      </c>
      <c r="S35" s="44">
        <f>(R35*30%)/(L35-K35)</f>
        <v>0</v>
      </c>
      <c r="T35" s="43"/>
      <c r="U35" s="44">
        <f>('Plan de Acción 2021'!AC139+'Plan de Acción 2021'!AC402+'Plan de Acción 2021'!AC405)/3</f>
        <v>0</v>
      </c>
      <c r="V35" s="44">
        <f>(U35*30%)/(L35-K35)</f>
        <v>0</v>
      </c>
      <c r="W35" s="45"/>
      <c r="X35" s="44">
        <f>('Plan de Acción 2021'!AF139+'Plan de Acción 2021'!AF402+'Plan de Acción 2021'!AF405)/3</f>
        <v>0</v>
      </c>
      <c r="Y35" s="44">
        <f>(X35*30%)/(L35-K35)</f>
        <v>0</v>
      </c>
      <c r="Z35" s="46"/>
      <c r="AA35" s="69"/>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18"/>
      <c r="BA35" s="18"/>
    </row>
    <row r="36" spans="1:53" s="21" customFormat="1" ht="77.25" customHeight="1" x14ac:dyDescent="0.25">
      <c r="A36" s="671"/>
      <c r="B36" s="39">
        <v>1</v>
      </c>
      <c r="C36" s="40">
        <v>0</v>
      </c>
      <c r="D36" s="41" t="s">
        <v>1212</v>
      </c>
      <c r="E36" s="42" t="s">
        <v>1212</v>
      </c>
      <c r="F36" s="673"/>
      <c r="G36" s="43" t="s">
        <v>1243</v>
      </c>
      <c r="H36" s="43" t="s">
        <v>395</v>
      </c>
      <c r="I36" s="44">
        <v>0.1</v>
      </c>
      <c r="J36" s="44">
        <v>0.5</v>
      </c>
      <c r="K36" s="80">
        <v>0.5</v>
      </c>
      <c r="L36" s="44">
        <f>'Plan de Acción 2021'!Q140</f>
        <v>1</v>
      </c>
      <c r="M36" s="44"/>
      <c r="N36" s="44">
        <v>1</v>
      </c>
      <c r="O36" s="44">
        <f>('Plan de Acción 2021'!W140+'Plan de Acción 2021'!W180)/2</f>
        <v>0</v>
      </c>
      <c r="P36" s="44">
        <f>(O36*50%)/(L36-K36)</f>
        <v>0</v>
      </c>
      <c r="Q36" s="44"/>
      <c r="R36" s="44">
        <f>('Plan de Acción 2021'!Z140+'Plan de Acción 2021'!Z180)/2</f>
        <v>0</v>
      </c>
      <c r="S36" s="44">
        <f>(R36*50%)/(L36-K36)</f>
        <v>0</v>
      </c>
      <c r="T36" s="43"/>
      <c r="U36" s="44">
        <f>('Plan de Acción 2021'!AC140+'Plan de Acción 2021'!AC180)/2</f>
        <v>0</v>
      </c>
      <c r="V36" s="44">
        <f>(U36*50%)/(L36-K36)</f>
        <v>0</v>
      </c>
      <c r="W36" s="55"/>
      <c r="X36" s="44">
        <f>('Plan de Acción 2021'!AF140+'Plan de Acción 2021'!AF180)/2</f>
        <v>0</v>
      </c>
      <c r="Y36" s="44">
        <f>(X36*50%)/(L36-K36)</f>
        <v>0</v>
      </c>
      <c r="Z36" s="56"/>
      <c r="AA36" s="67"/>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18"/>
      <c r="BA36" s="18"/>
    </row>
    <row r="37" spans="1:53" s="21" customFormat="1" ht="83.25" customHeight="1" thickBot="1" x14ac:dyDescent="0.3">
      <c r="A37" s="700"/>
      <c r="B37" s="39">
        <v>1</v>
      </c>
      <c r="C37" s="40">
        <v>0</v>
      </c>
      <c r="D37" s="89" t="s">
        <v>1212</v>
      </c>
      <c r="E37" s="90" t="s">
        <v>1212</v>
      </c>
      <c r="F37" s="701"/>
      <c r="G37" s="91" t="s">
        <v>1244</v>
      </c>
      <c r="H37" s="91" t="s">
        <v>399</v>
      </c>
      <c r="I37" s="92">
        <v>0</v>
      </c>
      <c r="J37" s="92">
        <v>0.25</v>
      </c>
      <c r="K37" s="92">
        <v>0.2</v>
      </c>
      <c r="L37" s="44">
        <f>'Plan de Acción 2021'!Q142</f>
        <v>0.5</v>
      </c>
      <c r="M37" s="92"/>
      <c r="N37" s="92">
        <v>1</v>
      </c>
      <c r="O37" s="92">
        <f>'Plan de Acción 2021'!W142</f>
        <v>0</v>
      </c>
      <c r="P37" s="92">
        <f>(O37*30%)/(L37-K37)</f>
        <v>0</v>
      </c>
      <c r="Q37" s="92"/>
      <c r="R37" s="92">
        <f>'Plan de Acción 2021'!Z142</f>
        <v>0</v>
      </c>
      <c r="S37" s="92">
        <f>(R37*30%)/(L37-K37)</f>
        <v>0</v>
      </c>
      <c r="T37" s="93"/>
      <c r="U37" s="92">
        <f>'Plan de Acción 2021'!AC142</f>
        <v>0</v>
      </c>
      <c r="V37" s="92">
        <f>(U37*30%)/(L37-K37)</f>
        <v>0</v>
      </c>
      <c r="W37" s="94"/>
      <c r="X37" s="92">
        <f>'Plan de Acción 2021'!AF142</f>
        <v>0</v>
      </c>
      <c r="Y37" s="92">
        <f>(X37*30%)/(L37-K37)</f>
        <v>0</v>
      </c>
      <c r="Z37" s="95"/>
      <c r="AA37" s="69"/>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18"/>
      <c r="BA37" s="18"/>
    </row>
    <row r="38" spans="1:53" ht="43.5" customHeight="1" thickBot="1" x14ac:dyDescent="0.3">
      <c r="A38" s="96">
        <v>13</v>
      </c>
      <c r="B38" s="96"/>
      <c r="C38" s="96"/>
      <c r="D38" s="698"/>
      <c r="E38" s="699"/>
      <c r="F38" s="699"/>
      <c r="G38" s="699"/>
      <c r="H38" s="699"/>
      <c r="I38" s="699"/>
      <c r="J38" s="699"/>
      <c r="K38" s="218"/>
      <c r="L38" s="218"/>
      <c r="M38" s="218"/>
      <c r="N38" s="218"/>
      <c r="O38" s="246"/>
      <c r="P38" s="247"/>
      <c r="Q38" s="246"/>
      <c r="R38" s="246"/>
      <c r="S38" s="247"/>
      <c r="T38" s="248"/>
      <c r="U38" s="246"/>
      <c r="V38" s="247"/>
      <c r="W38" s="248"/>
      <c r="X38" s="246"/>
      <c r="Y38" s="247"/>
      <c r="Z38" s="250">
        <f>AVERAGE(Z39:Z41)/4</f>
        <v>0</v>
      </c>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row>
    <row r="39" spans="1:53" ht="42" hidden="1" customHeight="1" x14ac:dyDescent="0.2">
      <c r="E39" s="17"/>
      <c r="G39" s="285"/>
      <c r="I39" s="17"/>
      <c r="J39" s="17"/>
      <c r="K39" s="17"/>
      <c r="L39" s="17"/>
      <c r="M39" s="17"/>
      <c r="N39" s="17"/>
      <c r="O39" s="244" t="s">
        <v>1210</v>
      </c>
      <c r="P39" s="251">
        <f>AVERAGE(P8+P12+P13+P14+P16+P19+P28+P30)/8</f>
        <v>0</v>
      </c>
      <c r="Q39" s="251"/>
      <c r="R39" s="251"/>
      <c r="S39" s="251">
        <f>AVERAGE(S8,S12,S13,S14,S16,S19,S28,S30)/8</f>
        <v>0</v>
      </c>
      <c r="T39" s="251"/>
      <c r="U39" s="251"/>
      <c r="V39" s="251">
        <f>AVERAGE(V8+V12+V13+V14+V16+V19+V28+V30)/8</f>
        <v>0</v>
      </c>
      <c r="W39" s="251"/>
      <c r="X39" s="251"/>
      <c r="Y39" s="251">
        <f>AVERAGE(Y8+Y12+Y13+Y14+Y16+Y19+Y28+Y30)/8</f>
        <v>0</v>
      </c>
      <c r="Z39" s="240">
        <f>AVERAGE(P39+S39+V39+Y39)</f>
        <v>0</v>
      </c>
    </row>
    <row r="40" spans="1:53" ht="43.5" hidden="1" customHeight="1" x14ac:dyDescent="0.2">
      <c r="E40" s="17"/>
      <c r="G40" s="285"/>
      <c r="I40" s="17"/>
      <c r="J40" s="17"/>
      <c r="K40" s="17"/>
      <c r="L40" s="17"/>
      <c r="M40" s="17"/>
      <c r="N40" s="17"/>
      <c r="O40" s="239" t="s">
        <v>1213</v>
      </c>
      <c r="P40" s="240">
        <f>AVERAGE(P10+P11+P21+P23)/4</f>
        <v>0</v>
      </c>
      <c r="Q40" s="240"/>
      <c r="R40" s="240"/>
      <c r="S40" s="240">
        <f>AVERAGE(S10+S11+S21+S23)/4</f>
        <v>0</v>
      </c>
      <c r="T40" s="240"/>
      <c r="U40" s="240"/>
      <c r="V40" s="240">
        <f>AVERAGE(V10+V11+V21+V23)/4</f>
        <v>0</v>
      </c>
      <c r="W40" s="240"/>
      <c r="X40" s="240"/>
      <c r="Y40" s="240">
        <f>AVERAGE(Y10+Y11+Y21+Y23)/4</f>
        <v>0</v>
      </c>
      <c r="Z40" s="240">
        <f>AVERAGE(P40+S40+V40+Y40)</f>
        <v>0</v>
      </c>
    </row>
    <row r="41" spans="1:53" ht="43.5" hidden="1" customHeight="1" x14ac:dyDescent="0.2">
      <c r="E41" s="17"/>
      <c r="G41" s="285"/>
      <c r="I41" s="17"/>
      <c r="J41" s="17"/>
      <c r="K41" s="17"/>
      <c r="L41" s="17"/>
      <c r="M41" s="17"/>
      <c r="N41" s="17"/>
      <c r="O41" s="239" t="s">
        <v>1212</v>
      </c>
      <c r="P41" s="240">
        <f>AVERAGE(P15+P9+P20+P22+P24+P25+P26+P27+P29+P31+P32+P33+P34+P35+P36+P37)/16</f>
        <v>0</v>
      </c>
      <c r="Q41" s="240"/>
      <c r="R41" s="240"/>
      <c r="S41" s="240">
        <f>AVERAGE(S15+S9+S20+S22+S24+S25+S26+S27+S29++S31+S32+S33+S34+S35++S36+S37)/16</f>
        <v>0</v>
      </c>
      <c r="T41" s="240"/>
      <c r="U41" s="240"/>
      <c r="V41" s="240">
        <f>AVERAGE(V15+V9+V20+V22+V24+V25+V26+V27+V29++V31+V32+V33+V34+V35++V36+V37)/16</f>
        <v>0</v>
      </c>
      <c r="W41" s="240"/>
      <c r="X41" s="240"/>
      <c r="Y41" s="240">
        <f>AVERAGE(Y15+Y9+Y20+Y22+Y24+Y25+Y26+Y27+Y29++Y31+Y32+Y33+Y34+Y35++Y36+Y37)/16</f>
        <v>0</v>
      </c>
      <c r="Z41" s="240">
        <f>AVERAGE(P41+S41+V41+Y41)</f>
        <v>0</v>
      </c>
    </row>
    <row r="42" spans="1:53" ht="43.5" customHeight="1" thickBot="1" x14ac:dyDescent="0.25">
      <c r="R42" s="98"/>
      <c r="S42" s="97"/>
      <c r="X42" s="19"/>
      <c r="Y42" s="19"/>
      <c r="Z42" s="17"/>
    </row>
    <row r="43" spans="1:53" s="430" customFormat="1" ht="10.5" customHeight="1" thickTop="1" x14ac:dyDescent="0.2">
      <c r="A43" s="682" t="s">
        <v>1183</v>
      </c>
      <c r="B43" s="683"/>
      <c r="C43" s="683"/>
      <c r="D43" s="683"/>
      <c r="E43" s="683"/>
      <c r="F43" s="683"/>
      <c r="G43" s="683"/>
      <c r="H43" s="683"/>
      <c r="I43" s="684"/>
      <c r="J43" s="688" t="s">
        <v>1184</v>
      </c>
      <c r="K43" s="689"/>
      <c r="L43" s="689"/>
      <c r="M43" s="689"/>
      <c r="N43" s="689"/>
      <c r="O43" s="689"/>
      <c r="P43" s="689"/>
      <c r="Q43" s="690"/>
      <c r="R43" s="688" t="s">
        <v>1185</v>
      </c>
      <c r="S43" s="694"/>
      <c r="T43" s="682" t="s">
        <v>1186</v>
      </c>
      <c r="U43" s="683"/>
      <c r="V43" s="683"/>
      <c r="W43" s="683"/>
      <c r="X43" s="696"/>
      <c r="Y43" s="677">
        <v>1</v>
      </c>
      <c r="Z43" s="429"/>
      <c r="AC43" s="429"/>
      <c r="AF43" s="429"/>
    </row>
    <row r="44" spans="1:53" s="430" customFormat="1" ht="13.15" customHeight="1" thickBot="1" x14ac:dyDescent="0.25">
      <c r="A44" s="685"/>
      <c r="B44" s="686"/>
      <c r="C44" s="686"/>
      <c r="D44" s="686"/>
      <c r="E44" s="686"/>
      <c r="F44" s="686"/>
      <c r="G44" s="686"/>
      <c r="H44" s="686"/>
      <c r="I44" s="687"/>
      <c r="J44" s="691"/>
      <c r="K44" s="692"/>
      <c r="L44" s="692"/>
      <c r="M44" s="692"/>
      <c r="N44" s="692"/>
      <c r="O44" s="692"/>
      <c r="P44" s="692"/>
      <c r="Q44" s="693"/>
      <c r="R44" s="691"/>
      <c r="S44" s="695"/>
      <c r="T44" s="685"/>
      <c r="U44" s="686"/>
      <c r="V44" s="686"/>
      <c r="W44" s="686"/>
      <c r="X44" s="697"/>
      <c r="Y44" s="678"/>
      <c r="Z44" s="429"/>
      <c r="AC44" s="429"/>
      <c r="AF44" s="429"/>
    </row>
    <row r="45" spans="1:53" ht="43.5" customHeight="1" x14ac:dyDescent="0.2">
      <c r="X45" s="19"/>
      <c r="Y45" s="19"/>
      <c r="Z45" s="18"/>
    </row>
    <row r="46" spans="1:53" ht="43.5" customHeight="1" x14ac:dyDescent="0.2">
      <c r="X46" s="19"/>
      <c r="Y46" s="19"/>
      <c r="Z46" s="18"/>
    </row>
    <row r="47" spans="1:53" ht="43.5" customHeight="1" x14ac:dyDescent="0.2">
      <c r="X47" s="19"/>
      <c r="Y47" s="19"/>
      <c r="Z47" s="18"/>
    </row>
    <row r="48" spans="1:53" ht="43.5" customHeight="1" x14ac:dyDescent="0.2">
      <c r="X48" s="19"/>
      <c r="Y48" s="19"/>
      <c r="Z48" s="18"/>
    </row>
    <row r="49" spans="24:26" ht="43.5" customHeight="1" x14ac:dyDescent="0.2">
      <c r="X49" s="19"/>
      <c r="Y49" s="19"/>
      <c r="Z49" s="18"/>
    </row>
    <row r="50" spans="24:26" ht="43.5" customHeight="1" x14ac:dyDescent="0.2">
      <c r="X50" s="19"/>
      <c r="Y50" s="19"/>
      <c r="Z50" s="18"/>
    </row>
    <row r="51" spans="24:26" ht="43.5" customHeight="1" x14ac:dyDescent="0.2">
      <c r="X51" s="19"/>
      <c r="Y51" s="19"/>
      <c r="Z51" s="18"/>
    </row>
    <row r="52" spans="24:26" ht="43.5" customHeight="1" x14ac:dyDescent="0.2">
      <c r="X52" s="19"/>
      <c r="Y52" s="19"/>
      <c r="Z52" s="18"/>
    </row>
    <row r="53" spans="24:26" ht="43.5" customHeight="1" x14ac:dyDescent="0.2">
      <c r="X53" s="19"/>
      <c r="Y53" s="19"/>
      <c r="Z53" s="18"/>
    </row>
    <row r="54" spans="24:26" ht="43.5" customHeight="1" x14ac:dyDescent="0.2">
      <c r="X54" s="19"/>
      <c r="Y54" s="19"/>
      <c r="Z54" s="18"/>
    </row>
    <row r="55" spans="24:26" ht="43.5" customHeight="1" x14ac:dyDescent="0.2">
      <c r="X55" s="19"/>
      <c r="Y55" s="19"/>
      <c r="Z55" s="18"/>
    </row>
    <row r="56" spans="24:26" ht="43.5" customHeight="1" x14ac:dyDescent="0.2">
      <c r="X56" s="19"/>
      <c r="Y56" s="19"/>
      <c r="Z56" s="18"/>
    </row>
    <row r="57" spans="24:26" ht="43.5" customHeight="1" x14ac:dyDescent="0.2">
      <c r="X57" s="19"/>
      <c r="Y57" s="19"/>
      <c r="Z57" s="18"/>
    </row>
    <row r="58" spans="24:26" ht="43.5" customHeight="1" x14ac:dyDescent="0.2">
      <c r="X58" s="19"/>
      <c r="Y58" s="19"/>
      <c r="Z58" s="18"/>
    </row>
    <row r="59" spans="24:26" ht="43.5" customHeight="1" x14ac:dyDescent="0.2">
      <c r="X59" s="19"/>
      <c r="Y59" s="19"/>
      <c r="Z59" s="18"/>
    </row>
    <row r="60" spans="24:26" ht="43.5" customHeight="1" x14ac:dyDescent="0.2">
      <c r="X60" s="19"/>
      <c r="Y60" s="19"/>
      <c r="Z60" s="18"/>
    </row>
    <row r="61" spans="24:26" ht="43.5" customHeight="1" x14ac:dyDescent="0.2">
      <c r="X61" s="19"/>
      <c r="Y61" s="19"/>
      <c r="Z61" s="18"/>
    </row>
    <row r="62" spans="24:26" ht="43.5" customHeight="1" x14ac:dyDescent="0.2">
      <c r="X62" s="19"/>
      <c r="Y62" s="19"/>
      <c r="Z62" s="18"/>
    </row>
    <row r="63" spans="24:26" ht="43.5" customHeight="1" x14ac:dyDescent="0.2">
      <c r="X63" s="19"/>
      <c r="Y63" s="19"/>
      <c r="Z63" s="18"/>
    </row>
    <row r="64" spans="24:26" ht="43.5" customHeight="1" x14ac:dyDescent="0.2">
      <c r="X64" s="19"/>
      <c r="Y64" s="19"/>
      <c r="Z64" s="18"/>
    </row>
    <row r="65" spans="24:26" ht="43.5" customHeight="1" x14ac:dyDescent="0.2">
      <c r="X65" s="19"/>
      <c r="Y65" s="19"/>
      <c r="Z65" s="18"/>
    </row>
    <row r="66" spans="24:26" ht="43.5" customHeight="1" x14ac:dyDescent="0.2">
      <c r="X66" s="19"/>
      <c r="Y66" s="19"/>
      <c r="Z66" s="18"/>
    </row>
    <row r="67" spans="24:26" ht="43.5" customHeight="1" x14ac:dyDescent="0.2">
      <c r="X67" s="19"/>
      <c r="Y67" s="19"/>
      <c r="Z67" s="18"/>
    </row>
    <row r="68" spans="24:26" ht="43.5" customHeight="1" x14ac:dyDescent="0.2">
      <c r="X68" s="19"/>
      <c r="Y68" s="19"/>
      <c r="Z68" s="18"/>
    </row>
    <row r="69" spans="24:26" ht="43.5" customHeight="1" x14ac:dyDescent="0.2">
      <c r="X69" s="19"/>
      <c r="Y69" s="19"/>
      <c r="Z69" s="18"/>
    </row>
    <row r="70" spans="24:26" ht="43.5" customHeight="1" x14ac:dyDescent="0.2">
      <c r="X70" s="19"/>
      <c r="Y70" s="19"/>
      <c r="Z70" s="18"/>
    </row>
    <row r="71" spans="24:26" ht="43.5" customHeight="1" x14ac:dyDescent="0.2">
      <c r="X71" s="19"/>
      <c r="Y71" s="19"/>
      <c r="Z71" s="18"/>
    </row>
    <row r="72" spans="24:26" ht="43.5" customHeight="1" x14ac:dyDescent="0.2">
      <c r="X72" s="19"/>
      <c r="Y72" s="19"/>
      <c r="Z72" s="18"/>
    </row>
    <row r="73" spans="24:26" ht="43.5" customHeight="1" x14ac:dyDescent="0.2">
      <c r="X73" s="19"/>
      <c r="Y73" s="19"/>
      <c r="Z73" s="18"/>
    </row>
    <row r="74" spans="24:26" ht="43.5" customHeight="1" x14ac:dyDescent="0.2">
      <c r="X74" s="19"/>
      <c r="Y74" s="19"/>
      <c r="Z74" s="18"/>
    </row>
    <row r="75" spans="24:26" ht="43.5" customHeight="1" x14ac:dyDescent="0.2">
      <c r="X75" s="19"/>
      <c r="Y75" s="19"/>
      <c r="Z75" s="18"/>
    </row>
    <row r="76" spans="24:26" ht="43.5" customHeight="1" x14ac:dyDescent="0.2">
      <c r="X76" s="19"/>
      <c r="Y76" s="19"/>
      <c r="Z76" s="18"/>
    </row>
    <row r="77" spans="24:26" ht="43.5" customHeight="1" x14ac:dyDescent="0.2">
      <c r="X77" s="19"/>
      <c r="Y77" s="19"/>
      <c r="Z77" s="18"/>
    </row>
    <row r="78" spans="24:26" ht="43.5" customHeight="1" x14ac:dyDescent="0.2">
      <c r="X78" s="19"/>
      <c r="Y78" s="19"/>
      <c r="Z78" s="18"/>
    </row>
    <row r="79" spans="24:26" ht="43.5" customHeight="1" x14ac:dyDescent="0.2">
      <c r="X79" s="19"/>
      <c r="Y79" s="19"/>
      <c r="Z79" s="18"/>
    </row>
    <row r="80" spans="24:26" ht="43.5" customHeight="1" x14ac:dyDescent="0.2">
      <c r="X80" s="19"/>
      <c r="Y80" s="19"/>
      <c r="Z80" s="18"/>
    </row>
    <row r="81" spans="24:26" ht="43.5" customHeight="1" x14ac:dyDescent="0.2">
      <c r="X81" s="19"/>
      <c r="Y81" s="19"/>
      <c r="Z81" s="18"/>
    </row>
    <row r="82" spans="24:26" ht="43.5" customHeight="1" x14ac:dyDescent="0.2">
      <c r="X82" s="19"/>
      <c r="Y82" s="19"/>
      <c r="Z82" s="18"/>
    </row>
    <row r="83" spans="24:26" ht="43.5" customHeight="1" x14ac:dyDescent="0.2">
      <c r="X83" s="19"/>
      <c r="Y83" s="19"/>
      <c r="Z83" s="18"/>
    </row>
    <row r="84" spans="24:26" ht="43.5" customHeight="1" x14ac:dyDescent="0.2">
      <c r="X84" s="19"/>
      <c r="Y84" s="19"/>
      <c r="Z84" s="18"/>
    </row>
    <row r="85" spans="24:26" ht="43.5" customHeight="1" x14ac:dyDescent="0.2">
      <c r="X85" s="19"/>
      <c r="Y85" s="19"/>
      <c r="Z85" s="18"/>
    </row>
    <row r="86" spans="24:26" ht="43.5" customHeight="1" x14ac:dyDescent="0.2">
      <c r="X86" s="19"/>
      <c r="Y86" s="19"/>
      <c r="Z86" s="18"/>
    </row>
    <row r="87" spans="24:26" ht="43.5" customHeight="1" x14ac:dyDescent="0.2">
      <c r="X87" s="19"/>
      <c r="Y87" s="19"/>
      <c r="Z87" s="18"/>
    </row>
    <row r="88" spans="24:26" ht="43.5" customHeight="1" x14ac:dyDescent="0.2">
      <c r="X88" s="19"/>
      <c r="Y88" s="19"/>
      <c r="Z88" s="18"/>
    </row>
    <row r="89" spans="24:26" ht="43.5" customHeight="1" x14ac:dyDescent="0.2">
      <c r="X89" s="19"/>
      <c r="Y89" s="19"/>
      <c r="Z89" s="18"/>
    </row>
    <row r="90" spans="24:26" ht="43.5" customHeight="1" x14ac:dyDescent="0.2">
      <c r="X90" s="19"/>
      <c r="Y90" s="19"/>
      <c r="Z90" s="18"/>
    </row>
    <row r="91" spans="24:26" ht="43.5" customHeight="1" x14ac:dyDescent="0.2">
      <c r="X91" s="19"/>
      <c r="Y91" s="19"/>
      <c r="Z91" s="18"/>
    </row>
    <row r="92" spans="24:26" ht="43.5" customHeight="1" x14ac:dyDescent="0.2">
      <c r="X92" s="19"/>
      <c r="Y92" s="19"/>
      <c r="Z92" s="18"/>
    </row>
    <row r="93" spans="24:26" ht="43.5" customHeight="1" x14ac:dyDescent="0.2">
      <c r="X93" s="19"/>
      <c r="Y93" s="19"/>
      <c r="Z93" s="18"/>
    </row>
    <row r="94" spans="24:26" ht="43.5" customHeight="1" x14ac:dyDescent="0.2">
      <c r="X94" s="19"/>
      <c r="Y94" s="19"/>
      <c r="Z94" s="18"/>
    </row>
    <row r="95" spans="24:26" ht="43.5" customHeight="1" x14ac:dyDescent="0.2">
      <c r="X95" s="19"/>
      <c r="Y95" s="19"/>
      <c r="Z95" s="18"/>
    </row>
    <row r="96" spans="24:26" ht="43.5" customHeight="1" x14ac:dyDescent="0.2">
      <c r="X96" s="19"/>
      <c r="Y96" s="19"/>
      <c r="Z96" s="18"/>
    </row>
    <row r="97" spans="24:26" ht="43.5" customHeight="1" x14ac:dyDescent="0.2">
      <c r="X97" s="19"/>
      <c r="Y97" s="19"/>
      <c r="Z97" s="18"/>
    </row>
    <row r="98" spans="24:26" ht="43.5" customHeight="1" x14ac:dyDescent="0.2">
      <c r="X98" s="19"/>
      <c r="Y98" s="19"/>
      <c r="Z98" s="18"/>
    </row>
    <row r="99" spans="24:26" ht="43.5" customHeight="1" x14ac:dyDescent="0.2">
      <c r="X99" s="19"/>
      <c r="Y99" s="19"/>
      <c r="Z99" s="18"/>
    </row>
    <row r="100" spans="24:26" ht="43.5" customHeight="1" x14ac:dyDescent="0.2">
      <c r="X100" s="19"/>
      <c r="Y100" s="19"/>
      <c r="Z100" s="18"/>
    </row>
    <row r="101" spans="24:26" ht="43.5" customHeight="1" x14ac:dyDescent="0.2">
      <c r="X101" s="19"/>
      <c r="Y101" s="19"/>
      <c r="Z101" s="18"/>
    </row>
    <row r="102" spans="24:26" ht="43.5" customHeight="1" x14ac:dyDescent="0.2">
      <c r="X102" s="19"/>
      <c r="Y102" s="19"/>
      <c r="Z102" s="18"/>
    </row>
    <row r="103" spans="24:26" ht="43.5" customHeight="1" x14ac:dyDescent="0.2">
      <c r="X103" s="19"/>
      <c r="Y103" s="19"/>
      <c r="Z103" s="18"/>
    </row>
    <row r="104" spans="24:26" ht="43.5" customHeight="1" x14ac:dyDescent="0.2">
      <c r="X104" s="19"/>
      <c r="Y104" s="19"/>
      <c r="Z104" s="18"/>
    </row>
    <row r="105" spans="24:26" ht="43.5" customHeight="1" x14ac:dyDescent="0.2">
      <c r="X105" s="19"/>
      <c r="Y105" s="19"/>
      <c r="Z105" s="18"/>
    </row>
    <row r="106" spans="24:26" ht="43.5" customHeight="1" x14ac:dyDescent="0.2">
      <c r="X106" s="19"/>
      <c r="Y106" s="19"/>
      <c r="Z106" s="18"/>
    </row>
    <row r="107" spans="24:26" ht="43.5" customHeight="1" x14ac:dyDescent="0.2">
      <c r="X107" s="19"/>
      <c r="Y107" s="19"/>
      <c r="Z107" s="18"/>
    </row>
    <row r="108" spans="24:26" ht="43.5" customHeight="1" x14ac:dyDescent="0.2">
      <c r="X108" s="19"/>
      <c r="Y108" s="19"/>
      <c r="Z108" s="18"/>
    </row>
    <row r="109" spans="24:26" ht="43.5" customHeight="1" x14ac:dyDescent="0.2">
      <c r="X109" s="19"/>
      <c r="Y109" s="19"/>
      <c r="Z109" s="18"/>
    </row>
    <row r="110" spans="24:26" ht="43.5" customHeight="1" x14ac:dyDescent="0.2">
      <c r="X110" s="19"/>
      <c r="Y110" s="19"/>
      <c r="Z110" s="18"/>
    </row>
    <row r="111" spans="24:26" ht="43.5" customHeight="1" x14ac:dyDescent="0.2">
      <c r="X111" s="19"/>
      <c r="Y111" s="19"/>
      <c r="Z111" s="18"/>
    </row>
    <row r="112" spans="24:26" ht="43.5" customHeight="1" x14ac:dyDescent="0.2">
      <c r="X112" s="19"/>
      <c r="Y112" s="19"/>
      <c r="Z112" s="18"/>
    </row>
    <row r="113" spans="24:26" ht="43.5" customHeight="1" x14ac:dyDescent="0.2">
      <c r="X113" s="19"/>
      <c r="Y113" s="19"/>
      <c r="Z113" s="18"/>
    </row>
    <row r="114" spans="24:26" ht="43.5" customHeight="1" x14ac:dyDescent="0.2">
      <c r="X114" s="19"/>
      <c r="Y114" s="19"/>
      <c r="Z114" s="18"/>
    </row>
    <row r="115" spans="24:26" ht="43.5" customHeight="1" x14ac:dyDescent="0.2">
      <c r="X115" s="19"/>
      <c r="Y115" s="19"/>
      <c r="Z115" s="18"/>
    </row>
    <row r="116" spans="24:26" ht="43.5" customHeight="1" x14ac:dyDescent="0.2">
      <c r="X116" s="19"/>
      <c r="Y116" s="19"/>
      <c r="Z116" s="18"/>
    </row>
    <row r="117" spans="24:26" ht="43.5" customHeight="1" x14ac:dyDescent="0.2">
      <c r="X117" s="19"/>
      <c r="Y117" s="19"/>
      <c r="Z117" s="18"/>
    </row>
    <row r="118" spans="24:26" ht="43.5" customHeight="1" x14ac:dyDescent="0.2">
      <c r="X118" s="19"/>
      <c r="Y118" s="19"/>
      <c r="Z118" s="18"/>
    </row>
    <row r="119" spans="24:26" ht="43.5" customHeight="1" x14ac:dyDescent="0.2">
      <c r="X119" s="19"/>
      <c r="Y119" s="19"/>
      <c r="Z119" s="18"/>
    </row>
    <row r="120" spans="24:26" ht="43.5" customHeight="1" x14ac:dyDescent="0.2">
      <c r="X120" s="19"/>
      <c r="Y120" s="19"/>
      <c r="Z120" s="18"/>
    </row>
    <row r="121" spans="24:26" ht="43.5" customHeight="1" x14ac:dyDescent="0.2">
      <c r="X121" s="19"/>
      <c r="Y121" s="19"/>
      <c r="Z121" s="18"/>
    </row>
    <row r="122" spans="24:26" ht="43.5" customHeight="1" x14ac:dyDescent="0.2">
      <c r="X122" s="19"/>
      <c r="Y122" s="19"/>
      <c r="Z122" s="18"/>
    </row>
    <row r="123" spans="24:26" ht="43.5" customHeight="1" x14ac:dyDescent="0.2">
      <c r="X123" s="19"/>
      <c r="Y123" s="19"/>
      <c r="Z123" s="18"/>
    </row>
    <row r="124" spans="24:26" ht="43.5" customHeight="1" x14ac:dyDescent="0.2">
      <c r="X124" s="19"/>
      <c r="Y124" s="19"/>
      <c r="Z124" s="18"/>
    </row>
    <row r="125" spans="24:26" ht="43.5" customHeight="1" x14ac:dyDescent="0.2">
      <c r="X125" s="19"/>
      <c r="Y125" s="19"/>
      <c r="Z125" s="18"/>
    </row>
    <row r="126" spans="24:26" ht="43.5" customHeight="1" x14ac:dyDescent="0.2">
      <c r="X126" s="19"/>
      <c r="Y126" s="19"/>
      <c r="Z126" s="18"/>
    </row>
    <row r="127" spans="24:26" ht="43.5" customHeight="1" x14ac:dyDescent="0.2">
      <c r="X127" s="19"/>
      <c r="Y127" s="19"/>
      <c r="Z127" s="18"/>
    </row>
    <row r="128" spans="24:26" ht="43.5" customHeight="1" x14ac:dyDescent="0.2">
      <c r="X128" s="19"/>
      <c r="Y128" s="19"/>
      <c r="Z128" s="18"/>
    </row>
    <row r="129" spans="24:26" ht="43.5" customHeight="1" x14ac:dyDescent="0.2">
      <c r="X129" s="19"/>
      <c r="Y129" s="19"/>
      <c r="Z129" s="18"/>
    </row>
    <row r="130" spans="24:26" ht="43.5" customHeight="1" x14ac:dyDescent="0.2">
      <c r="X130" s="19"/>
      <c r="Y130" s="19"/>
      <c r="Z130" s="18"/>
    </row>
    <row r="131" spans="24:26" ht="43.5" customHeight="1" x14ac:dyDescent="0.2">
      <c r="X131" s="19"/>
      <c r="Y131" s="19"/>
      <c r="Z131" s="18"/>
    </row>
    <row r="132" spans="24:26" ht="43.5" customHeight="1" x14ac:dyDescent="0.2">
      <c r="X132" s="19"/>
      <c r="Y132" s="19"/>
      <c r="Z132" s="18"/>
    </row>
    <row r="133" spans="24:26" ht="43.5" customHeight="1" x14ac:dyDescent="0.2">
      <c r="X133" s="19"/>
      <c r="Y133" s="19"/>
      <c r="Z133" s="18"/>
    </row>
    <row r="134" spans="24:26" ht="43.5" customHeight="1" x14ac:dyDescent="0.2">
      <c r="X134" s="19"/>
      <c r="Y134" s="19"/>
      <c r="Z134" s="18"/>
    </row>
    <row r="135" spans="24:26" ht="43.5" customHeight="1" x14ac:dyDescent="0.2">
      <c r="X135" s="19"/>
      <c r="Y135" s="19"/>
      <c r="Z135" s="18"/>
    </row>
    <row r="136" spans="24:26" ht="43.5" customHeight="1" x14ac:dyDescent="0.2">
      <c r="X136" s="19"/>
      <c r="Y136" s="19"/>
      <c r="Z136" s="18"/>
    </row>
    <row r="137" spans="24:26" ht="43.5" customHeight="1" x14ac:dyDescent="0.2">
      <c r="X137" s="19"/>
      <c r="Y137" s="19"/>
      <c r="Z137" s="18"/>
    </row>
    <row r="138" spans="24:26" ht="43.5" customHeight="1" x14ac:dyDescent="0.2">
      <c r="X138" s="19"/>
      <c r="Y138" s="19"/>
      <c r="Z138" s="18"/>
    </row>
    <row r="139" spans="24:26" ht="43.5" customHeight="1" x14ac:dyDescent="0.2">
      <c r="X139" s="19"/>
      <c r="Y139" s="19"/>
      <c r="Z139" s="18"/>
    </row>
    <row r="140" spans="24:26" ht="43.5" customHeight="1" x14ac:dyDescent="0.2">
      <c r="X140" s="19"/>
      <c r="Y140" s="19"/>
      <c r="Z140" s="18"/>
    </row>
    <row r="141" spans="24:26" ht="43.5" customHeight="1" x14ac:dyDescent="0.2">
      <c r="X141" s="19"/>
      <c r="Y141" s="19"/>
      <c r="Z141" s="18"/>
    </row>
    <row r="142" spans="24:26" ht="43.5" customHeight="1" x14ac:dyDescent="0.2">
      <c r="X142" s="19"/>
      <c r="Y142" s="19"/>
      <c r="Z142" s="18"/>
    </row>
    <row r="143" spans="24:26" ht="43.5" customHeight="1" x14ac:dyDescent="0.2">
      <c r="X143" s="19"/>
      <c r="Y143" s="19"/>
      <c r="Z143" s="18"/>
    </row>
    <row r="144" spans="24:26" ht="43.5" customHeight="1" x14ac:dyDescent="0.2">
      <c r="X144" s="19"/>
      <c r="Y144" s="19"/>
      <c r="Z144" s="18"/>
    </row>
    <row r="145" spans="24:26" ht="43.5" customHeight="1" x14ac:dyDescent="0.2">
      <c r="X145" s="19"/>
      <c r="Y145" s="19"/>
      <c r="Z145" s="18"/>
    </row>
    <row r="146" spans="24:26" ht="43.5" customHeight="1" x14ac:dyDescent="0.2">
      <c r="X146" s="19"/>
      <c r="Y146" s="19"/>
      <c r="Z146" s="18"/>
    </row>
    <row r="147" spans="24:26" ht="43.5" customHeight="1" x14ac:dyDescent="0.2">
      <c r="X147" s="19"/>
      <c r="Y147" s="19"/>
      <c r="Z147" s="18"/>
    </row>
    <row r="148" spans="24:26" ht="43.5" customHeight="1" x14ac:dyDescent="0.2">
      <c r="X148" s="19"/>
      <c r="Y148" s="19"/>
      <c r="Z148" s="18"/>
    </row>
    <row r="149" spans="24:26" ht="43.5" customHeight="1" x14ac:dyDescent="0.2">
      <c r="X149" s="19"/>
      <c r="Y149" s="19"/>
      <c r="Z149" s="18"/>
    </row>
    <row r="150" spans="24:26" ht="43.5" customHeight="1" x14ac:dyDescent="0.2">
      <c r="X150" s="19"/>
      <c r="Y150" s="19"/>
      <c r="Z150" s="18"/>
    </row>
    <row r="151" spans="24:26" ht="43.5" customHeight="1" x14ac:dyDescent="0.2">
      <c r="X151" s="19"/>
      <c r="Y151" s="19"/>
      <c r="Z151" s="18"/>
    </row>
    <row r="152" spans="24:26" ht="43.5" customHeight="1" x14ac:dyDescent="0.2">
      <c r="X152" s="19"/>
      <c r="Y152" s="19"/>
      <c r="Z152" s="18"/>
    </row>
    <row r="153" spans="24:26" ht="43.5" customHeight="1" x14ac:dyDescent="0.2">
      <c r="X153" s="19"/>
      <c r="Y153" s="19"/>
      <c r="Z153" s="18"/>
    </row>
    <row r="154" spans="24:26" ht="43.5" customHeight="1" x14ac:dyDescent="0.2">
      <c r="X154" s="19"/>
      <c r="Y154" s="19"/>
      <c r="Z154" s="18"/>
    </row>
    <row r="155" spans="24:26" ht="43.5" customHeight="1" x14ac:dyDescent="0.2">
      <c r="X155" s="19"/>
      <c r="Y155" s="19"/>
      <c r="Z155" s="18"/>
    </row>
    <row r="156" spans="24:26" ht="43.5" customHeight="1" x14ac:dyDescent="0.2">
      <c r="X156" s="19"/>
      <c r="Y156" s="19"/>
      <c r="Z156" s="18"/>
    </row>
    <row r="157" spans="24:26" ht="43.5" customHeight="1" x14ac:dyDescent="0.2">
      <c r="X157" s="19"/>
      <c r="Y157" s="19"/>
      <c r="Z157" s="18"/>
    </row>
    <row r="158" spans="24:26" ht="43.5" customHeight="1" x14ac:dyDescent="0.2">
      <c r="X158" s="19"/>
      <c r="Y158" s="19"/>
      <c r="Z158" s="18"/>
    </row>
    <row r="159" spans="24:26" ht="43.5" customHeight="1" x14ac:dyDescent="0.2">
      <c r="X159" s="19"/>
      <c r="Y159" s="19"/>
      <c r="Z159" s="18"/>
    </row>
    <row r="160" spans="24:26" ht="43.5" customHeight="1" x14ac:dyDescent="0.2">
      <c r="X160" s="19"/>
      <c r="Y160" s="19"/>
      <c r="Z160" s="18"/>
    </row>
    <row r="161" spans="24:26" ht="43.5" customHeight="1" x14ac:dyDescent="0.2">
      <c r="X161" s="19"/>
      <c r="Y161" s="19"/>
      <c r="Z161" s="18"/>
    </row>
    <row r="162" spans="24:26" ht="43.5" customHeight="1" x14ac:dyDescent="0.2">
      <c r="X162" s="19"/>
      <c r="Y162" s="19"/>
      <c r="Z162" s="18"/>
    </row>
    <row r="163" spans="24:26" ht="43.5" customHeight="1" x14ac:dyDescent="0.2">
      <c r="X163" s="19"/>
      <c r="Y163" s="19"/>
      <c r="Z163" s="18"/>
    </row>
    <row r="164" spans="24:26" ht="43.5" customHeight="1" x14ac:dyDescent="0.2">
      <c r="X164" s="19"/>
      <c r="Y164" s="19"/>
      <c r="Z164" s="18"/>
    </row>
    <row r="165" spans="24:26" ht="43.5" customHeight="1" x14ac:dyDescent="0.2">
      <c r="X165" s="19"/>
      <c r="Y165" s="19"/>
      <c r="Z165" s="18"/>
    </row>
    <row r="166" spans="24:26" ht="43.5" customHeight="1" x14ac:dyDescent="0.2">
      <c r="X166" s="19"/>
      <c r="Y166" s="19"/>
      <c r="Z166" s="18"/>
    </row>
    <row r="167" spans="24:26" ht="43.5" customHeight="1" x14ac:dyDescent="0.2">
      <c r="X167" s="19"/>
      <c r="Y167" s="19"/>
      <c r="Z167" s="18"/>
    </row>
    <row r="168" spans="24:26" ht="43.5" customHeight="1" x14ac:dyDescent="0.2">
      <c r="X168" s="19"/>
      <c r="Y168" s="19"/>
      <c r="Z168" s="18"/>
    </row>
    <row r="169" spans="24:26" ht="43.5" customHeight="1" x14ac:dyDescent="0.2">
      <c r="X169" s="19"/>
      <c r="Y169" s="19"/>
      <c r="Z169" s="18"/>
    </row>
    <row r="170" spans="24:26" ht="43.5" customHeight="1" x14ac:dyDescent="0.2">
      <c r="X170" s="19"/>
      <c r="Y170" s="19"/>
      <c r="Z170" s="18"/>
    </row>
    <row r="171" spans="24:26" ht="43.5" customHeight="1" x14ac:dyDescent="0.2">
      <c r="X171" s="19"/>
      <c r="Y171" s="19"/>
      <c r="Z171" s="18"/>
    </row>
    <row r="172" spans="24:26" ht="43.5" customHeight="1" x14ac:dyDescent="0.2">
      <c r="X172" s="19"/>
      <c r="Y172" s="19"/>
      <c r="Z172" s="18"/>
    </row>
    <row r="173" spans="24:26" ht="43.5" customHeight="1" x14ac:dyDescent="0.2">
      <c r="X173" s="19"/>
      <c r="Y173" s="19"/>
      <c r="Z173" s="18"/>
    </row>
    <row r="174" spans="24:26" ht="43.5" customHeight="1" x14ac:dyDescent="0.2">
      <c r="X174" s="19"/>
      <c r="Y174" s="19"/>
      <c r="Z174" s="18"/>
    </row>
    <row r="175" spans="24:26" ht="43.5" customHeight="1" x14ac:dyDescent="0.2">
      <c r="X175" s="19"/>
      <c r="Y175" s="19"/>
      <c r="Z175" s="18"/>
    </row>
    <row r="176" spans="24:26" ht="43.5" customHeight="1" x14ac:dyDescent="0.2">
      <c r="X176" s="19"/>
      <c r="Y176" s="19"/>
      <c r="Z176" s="18"/>
    </row>
    <row r="177" spans="24:26" ht="43.5" customHeight="1" x14ac:dyDescent="0.2">
      <c r="X177" s="19"/>
      <c r="Y177" s="19"/>
      <c r="Z177" s="18"/>
    </row>
    <row r="178" spans="24:26" ht="43.5" customHeight="1" x14ac:dyDescent="0.2">
      <c r="X178" s="19"/>
      <c r="Y178" s="19"/>
      <c r="Z178" s="18"/>
    </row>
    <row r="179" spans="24:26" ht="43.5" customHeight="1" x14ac:dyDescent="0.2">
      <c r="X179" s="19"/>
      <c r="Y179" s="19"/>
      <c r="Z179" s="18"/>
    </row>
    <row r="180" spans="24:26" ht="43.5" customHeight="1" x14ac:dyDescent="0.2">
      <c r="X180" s="19"/>
      <c r="Y180" s="19"/>
      <c r="Z180" s="18"/>
    </row>
    <row r="181" spans="24:26" ht="43.5" customHeight="1" x14ac:dyDescent="0.2">
      <c r="X181" s="19"/>
      <c r="Y181" s="19"/>
      <c r="Z181" s="18"/>
    </row>
    <row r="182" spans="24:26" ht="43.5" customHeight="1" x14ac:dyDescent="0.2">
      <c r="X182" s="19"/>
      <c r="Y182" s="19"/>
      <c r="Z182" s="18"/>
    </row>
    <row r="183" spans="24:26" ht="43.5" customHeight="1" x14ac:dyDescent="0.2">
      <c r="X183" s="19"/>
      <c r="Y183" s="19"/>
      <c r="Z183" s="18"/>
    </row>
    <row r="184" spans="24:26" ht="43.5" customHeight="1" x14ac:dyDescent="0.2">
      <c r="X184" s="19"/>
      <c r="Y184" s="19"/>
      <c r="Z184" s="18"/>
    </row>
    <row r="185" spans="24:26" ht="43.5" customHeight="1" x14ac:dyDescent="0.2">
      <c r="X185" s="19"/>
      <c r="Y185" s="19"/>
      <c r="Z185" s="18"/>
    </row>
    <row r="186" spans="24:26" ht="43.5" customHeight="1" x14ac:dyDescent="0.2">
      <c r="X186" s="19"/>
      <c r="Y186" s="19"/>
      <c r="Z186" s="18"/>
    </row>
    <row r="187" spans="24:26" ht="43.5" customHeight="1" x14ac:dyDescent="0.2">
      <c r="X187" s="19"/>
      <c r="Y187" s="19"/>
      <c r="Z187" s="18"/>
    </row>
    <row r="188" spans="24:26" ht="43.5" customHeight="1" x14ac:dyDescent="0.2">
      <c r="X188" s="19"/>
      <c r="Y188" s="19"/>
      <c r="Z188" s="18"/>
    </row>
    <row r="189" spans="24:26" ht="43.5" customHeight="1" x14ac:dyDescent="0.2">
      <c r="X189" s="19"/>
      <c r="Y189" s="19"/>
      <c r="Z189" s="18"/>
    </row>
    <row r="190" spans="24:26" ht="43.5" customHeight="1" x14ac:dyDescent="0.2">
      <c r="X190" s="19"/>
      <c r="Y190" s="19"/>
      <c r="Z190" s="18"/>
    </row>
    <row r="191" spans="24:26" ht="43.5" customHeight="1" x14ac:dyDescent="0.2">
      <c r="X191" s="19"/>
      <c r="Y191" s="19"/>
      <c r="Z191" s="18"/>
    </row>
    <row r="192" spans="24:26" ht="43.5" customHeight="1" x14ac:dyDescent="0.2">
      <c r="X192" s="19"/>
      <c r="Y192" s="19"/>
      <c r="Z192" s="18"/>
    </row>
    <row r="193" spans="24:26" ht="43.5" customHeight="1" x14ac:dyDescent="0.2">
      <c r="X193" s="19"/>
      <c r="Y193" s="19"/>
      <c r="Z193" s="18"/>
    </row>
    <row r="194" spans="24:26" ht="43.5" customHeight="1" x14ac:dyDescent="0.2">
      <c r="X194" s="19"/>
      <c r="Y194" s="19"/>
      <c r="Z194" s="18"/>
    </row>
    <row r="195" spans="24:26" ht="43.5" customHeight="1" x14ac:dyDescent="0.2">
      <c r="X195" s="19"/>
      <c r="Y195" s="19"/>
      <c r="Z195" s="18"/>
    </row>
    <row r="196" spans="24:26" ht="43.5" customHeight="1" x14ac:dyDescent="0.2">
      <c r="X196" s="19"/>
      <c r="Y196" s="19"/>
      <c r="Z196" s="18"/>
    </row>
    <row r="197" spans="24:26" ht="43.5" customHeight="1" x14ac:dyDescent="0.2">
      <c r="X197" s="19"/>
      <c r="Y197" s="19"/>
      <c r="Z197" s="18"/>
    </row>
    <row r="198" spans="24:26" ht="43.5" customHeight="1" x14ac:dyDescent="0.2">
      <c r="X198" s="19"/>
      <c r="Y198" s="19"/>
      <c r="Z198" s="18"/>
    </row>
    <row r="199" spans="24:26" ht="43.5" customHeight="1" x14ac:dyDescent="0.2">
      <c r="X199" s="19"/>
      <c r="Y199" s="19"/>
      <c r="Z199" s="18"/>
    </row>
    <row r="200" spans="24:26" ht="43.5" customHeight="1" x14ac:dyDescent="0.2">
      <c r="X200" s="19"/>
      <c r="Y200" s="19"/>
      <c r="Z200" s="18"/>
    </row>
    <row r="201" spans="24:26" ht="43.5" customHeight="1" x14ac:dyDescent="0.2">
      <c r="X201" s="19"/>
      <c r="Y201" s="19"/>
      <c r="Z201" s="18"/>
    </row>
    <row r="202" spans="24:26" ht="43.5" customHeight="1" x14ac:dyDescent="0.2">
      <c r="X202" s="19"/>
      <c r="Y202" s="19"/>
      <c r="Z202" s="18"/>
    </row>
    <row r="203" spans="24:26" ht="43.5" customHeight="1" x14ac:dyDescent="0.2">
      <c r="X203" s="19"/>
      <c r="Y203" s="19"/>
      <c r="Z203" s="18"/>
    </row>
    <row r="204" spans="24:26" ht="43.5" customHeight="1" x14ac:dyDescent="0.2">
      <c r="X204" s="19"/>
      <c r="Y204" s="19"/>
      <c r="Z204" s="18"/>
    </row>
    <row r="205" spans="24:26" ht="43.5" customHeight="1" x14ac:dyDescent="0.2">
      <c r="X205" s="19"/>
      <c r="Y205" s="19"/>
      <c r="Z205" s="18"/>
    </row>
    <row r="206" spans="24:26" ht="43.5" customHeight="1" x14ac:dyDescent="0.2">
      <c r="X206" s="19"/>
      <c r="Y206" s="19"/>
      <c r="Z206" s="18"/>
    </row>
    <row r="207" spans="24:26" ht="43.5" customHeight="1" x14ac:dyDescent="0.2">
      <c r="X207" s="19"/>
      <c r="Y207" s="19"/>
      <c r="Z207" s="18"/>
    </row>
    <row r="208" spans="24:26" ht="43.5" customHeight="1" x14ac:dyDescent="0.2">
      <c r="X208" s="19"/>
      <c r="Y208" s="19"/>
      <c r="Z208" s="18"/>
    </row>
    <row r="209" spans="24:26" ht="43.5" customHeight="1" x14ac:dyDescent="0.2">
      <c r="X209" s="19"/>
      <c r="Y209" s="19"/>
      <c r="Z209" s="18"/>
    </row>
    <row r="210" spans="24:26" ht="43.5" customHeight="1" x14ac:dyDescent="0.2">
      <c r="X210" s="19"/>
      <c r="Y210" s="19"/>
      <c r="Z210" s="18"/>
    </row>
    <row r="211" spans="24:26" ht="43.5" customHeight="1" x14ac:dyDescent="0.2">
      <c r="X211" s="19"/>
      <c r="Y211" s="19"/>
      <c r="Z211" s="18"/>
    </row>
    <row r="212" spans="24:26" ht="43.5" customHeight="1" x14ac:dyDescent="0.2">
      <c r="X212" s="19"/>
      <c r="Y212" s="19"/>
      <c r="Z212" s="18"/>
    </row>
    <row r="213" spans="24:26" ht="43.5" customHeight="1" x14ac:dyDescent="0.2">
      <c r="X213" s="19"/>
      <c r="Y213" s="19"/>
      <c r="Z213" s="18"/>
    </row>
    <row r="214" spans="24:26" ht="43.5" customHeight="1" x14ac:dyDescent="0.2">
      <c r="X214" s="19"/>
      <c r="Y214" s="19"/>
      <c r="Z214" s="18"/>
    </row>
    <row r="215" spans="24:26" ht="43.5" customHeight="1" x14ac:dyDescent="0.2">
      <c r="X215" s="19"/>
      <c r="Y215" s="19"/>
      <c r="Z215" s="18"/>
    </row>
    <row r="216" spans="24:26" ht="43.5" customHeight="1" x14ac:dyDescent="0.2">
      <c r="X216" s="19"/>
      <c r="Y216" s="19"/>
      <c r="Z216" s="18"/>
    </row>
    <row r="217" spans="24:26" ht="43.5" customHeight="1" x14ac:dyDescent="0.2">
      <c r="X217" s="19"/>
      <c r="Y217" s="19"/>
      <c r="Z217" s="18"/>
    </row>
    <row r="218" spans="24:26" ht="43.5" customHeight="1" x14ac:dyDescent="0.2">
      <c r="X218" s="19"/>
      <c r="Y218" s="19"/>
      <c r="Z218" s="18"/>
    </row>
    <row r="219" spans="24:26" ht="43.5" customHeight="1" x14ac:dyDescent="0.2">
      <c r="X219" s="19"/>
      <c r="Y219" s="19"/>
      <c r="Z219" s="18"/>
    </row>
    <row r="220" spans="24:26" ht="43.5" customHeight="1" x14ac:dyDescent="0.2">
      <c r="X220" s="19"/>
      <c r="Y220" s="19"/>
      <c r="Z220" s="18"/>
    </row>
    <row r="221" spans="24:26" ht="43.5" customHeight="1" x14ac:dyDescent="0.2">
      <c r="X221" s="19"/>
      <c r="Y221" s="19"/>
      <c r="Z221" s="18"/>
    </row>
    <row r="222" spans="24:26" ht="43.5" customHeight="1" x14ac:dyDescent="0.2">
      <c r="X222" s="19"/>
      <c r="Y222" s="19"/>
      <c r="Z222" s="18"/>
    </row>
    <row r="223" spans="24:26" ht="43.5" customHeight="1" x14ac:dyDescent="0.2">
      <c r="X223" s="19"/>
      <c r="Y223" s="19"/>
      <c r="Z223" s="18"/>
    </row>
    <row r="224" spans="24:26" ht="43.5" customHeight="1" x14ac:dyDescent="0.2">
      <c r="X224" s="19"/>
      <c r="Y224" s="19"/>
      <c r="Z224" s="18"/>
    </row>
    <row r="225" spans="24:26" ht="43.5" customHeight="1" x14ac:dyDescent="0.2">
      <c r="X225" s="19"/>
      <c r="Y225" s="19"/>
      <c r="Z225" s="18"/>
    </row>
    <row r="226" spans="24:26" ht="43.5" customHeight="1" x14ac:dyDescent="0.2">
      <c r="X226" s="19"/>
      <c r="Y226" s="19"/>
      <c r="Z226" s="18"/>
    </row>
    <row r="227" spans="24:26" ht="43.5" customHeight="1" x14ac:dyDescent="0.2">
      <c r="X227" s="19"/>
      <c r="Y227" s="19"/>
      <c r="Z227" s="18"/>
    </row>
    <row r="228" spans="24:26" ht="43.5" customHeight="1" x14ac:dyDescent="0.2">
      <c r="X228" s="19"/>
      <c r="Y228" s="19"/>
      <c r="Z228" s="18"/>
    </row>
    <row r="229" spans="24:26" ht="43.5" customHeight="1" x14ac:dyDescent="0.2">
      <c r="X229" s="19"/>
      <c r="Y229" s="19"/>
      <c r="Z229" s="18"/>
    </row>
    <row r="230" spans="24:26" ht="43.5" customHeight="1" x14ac:dyDescent="0.2">
      <c r="X230" s="19"/>
      <c r="Y230" s="19"/>
      <c r="Z230" s="18"/>
    </row>
    <row r="231" spans="24:26" ht="43.5" customHeight="1" x14ac:dyDescent="0.2">
      <c r="X231" s="19"/>
      <c r="Y231" s="19"/>
      <c r="Z231" s="18"/>
    </row>
    <row r="232" spans="24:26" ht="43.5" customHeight="1" x14ac:dyDescent="0.2">
      <c r="X232" s="19"/>
      <c r="Y232" s="19"/>
      <c r="Z232" s="18"/>
    </row>
    <row r="233" spans="24:26" ht="43.5" customHeight="1" x14ac:dyDescent="0.2">
      <c r="X233" s="19"/>
      <c r="Y233" s="19"/>
      <c r="Z233" s="18"/>
    </row>
    <row r="234" spans="24:26" ht="43.5" customHeight="1" x14ac:dyDescent="0.2">
      <c r="X234" s="19"/>
      <c r="Y234" s="19"/>
      <c r="Z234" s="18"/>
    </row>
    <row r="235" spans="24:26" ht="43.5" customHeight="1" x14ac:dyDescent="0.2">
      <c r="X235" s="19"/>
      <c r="Y235" s="19"/>
      <c r="Z235" s="18"/>
    </row>
    <row r="236" spans="24:26" ht="43.5" customHeight="1" x14ac:dyDescent="0.2">
      <c r="X236" s="19"/>
      <c r="Y236" s="19"/>
      <c r="Z236" s="18"/>
    </row>
    <row r="237" spans="24:26" ht="43.5" customHeight="1" x14ac:dyDescent="0.2">
      <c r="X237" s="19"/>
      <c r="Y237" s="19"/>
      <c r="Z237" s="18"/>
    </row>
    <row r="238" spans="24:26" ht="43.5" customHeight="1" x14ac:dyDescent="0.2">
      <c r="X238" s="19"/>
      <c r="Y238" s="19"/>
      <c r="Z238" s="18"/>
    </row>
    <row r="239" spans="24:26" ht="43.5" customHeight="1" x14ac:dyDescent="0.2">
      <c r="X239" s="19"/>
      <c r="Y239" s="19"/>
      <c r="Z239" s="18"/>
    </row>
    <row r="240" spans="24:26" ht="43.5" customHeight="1" x14ac:dyDescent="0.2">
      <c r="X240" s="19"/>
      <c r="Y240" s="19"/>
      <c r="Z240" s="18"/>
    </row>
    <row r="241" spans="24:26" ht="43.5" customHeight="1" x14ac:dyDescent="0.2">
      <c r="X241" s="19"/>
      <c r="Y241" s="19"/>
      <c r="Z241" s="18"/>
    </row>
    <row r="242" spans="24:26" ht="43.5" customHeight="1" x14ac:dyDescent="0.2">
      <c r="X242" s="19"/>
      <c r="Y242" s="19"/>
      <c r="Z242" s="18"/>
    </row>
    <row r="243" spans="24:26" ht="43.5" customHeight="1" x14ac:dyDescent="0.2">
      <c r="X243" s="19"/>
      <c r="Y243" s="19"/>
      <c r="Z243" s="18"/>
    </row>
    <row r="244" spans="24:26" ht="43.5" customHeight="1" x14ac:dyDescent="0.2">
      <c r="X244" s="19"/>
      <c r="Y244" s="19"/>
      <c r="Z244" s="18"/>
    </row>
    <row r="245" spans="24:26" ht="43.5" customHeight="1" x14ac:dyDescent="0.2">
      <c r="X245" s="19"/>
      <c r="Y245" s="19"/>
      <c r="Z245" s="18"/>
    </row>
    <row r="246" spans="24:26" ht="43.5" customHeight="1" x14ac:dyDescent="0.2">
      <c r="X246" s="19"/>
      <c r="Y246" s="19"/>
      <c r="Z246" s="18"/>
    </row>
    <row r="247" spans="24:26" ht="43.5" customHeight="1" x14ac:dyDescent="0.2">
      <c r="X247" s="19"/>
      <c r="Y247" s="19"/>
      <c r="Z247" s="18"/>
    </row>
    <row r="248" spans="24:26" ht="43.5" customHeight="1" x14ac:dyDescent="0.2">
      <c r="X248" s="19"/>
      <c r="Y248" s="19"/>
      <c r="Z248" s="18"/>
    </row>
    <row r="249" spans="24:26" ht="43.5" customHeight="1" x14ac:dyDescent="0.2">
      <c r="X249" s="19"/>
      <c r="Y249" s="19"/>
      <c r="Z249" s="18"/>
    </row>
    <row r="250" spans="24:26" ht="43.5" customHeight="1" x14ac:dyDescent="0.2">
      <c r="X250" s="19"/>
      <c r="Y250" s="19"/>
      <c r="Z250" s="18"/>
    </row>
    <row r="251" spans="24:26" ht="43.5" customHeight="1" x14ac:dyDescent="0.2">
      <c r="X251" s="19"/>
      <c r="Y251" s="19"/>
      <c r="Z251" s="18"/>
    </row>
    <row r="252" spans="24:26" ht="43.5" customHeight="1" x14ac:dyDescent="0.2">
      <c r="X252" s="19"/>
      <c r="Y252" s="19"/>
      <c r="Z252" s="18"/>
    </row>
    <row r="253" spans="24:26" ht="43.5" customHeight="1" x14ac:dyDescent="0.2">
      <c r="X253" s="19"/>
      <c r="Y253" s="19"/>
      <c r="Z253" s="18"/>
    </row>
    <row r="254" spans="24:26" ht="43.5" customHeight="1" x14ac:dyDescent="0.2">
      <c r="X254" s="19"/>
      <c r="Y254" s="19"/>
      <c r="Z254" s="18"/>
    </row>
    <row r="255" spans="24:26" ht="43.5" customHeight="1" x14ac:dyDescent="0.2">
      <c r="X255" s="19"/>
      <c r="Y255" s="19"/>
      <c r="Z255" s="18"/>
    </row>
    <row r="256" spans="24:26" ht="43.5" customHeight="1" x14ac:dyDescent="0.2">
      <c r="X256" s="19"/>
      <c r="Y256" s="19"/>
      <c r="Z256" s="18"/>
    </row>
    <row r="257" spans="24:26" ht="43.5" customHeight="1" x14ac:dyDescent="0.2">
      <c r="X257" s="19"/>
      <c r="Y257" s="19"/>
      <c r="Z257" s="18"/>
    </row>
    <row r="258" spans="24:26" ht="43.5" customHeight="1" x14ac:dyDescent="0.2">
      <c r="X258" s="19"/>
      <c r="Y258" s="19"/>
      <c r="Z258" s="18"/>
    </row>
    <row r="259" spans="24:26" ht="43.5" customHeight="1" x14ac:dyDescent="0.2">
      <c r="X259" s="19"/>
      <c r="Y259" s="19"/>
      <c r="Z259" s="18"/>
    </row>
    <row r="260" spans="24:26" ht="43.5" customHeight="1" x14ac:dyDescent="0.2">
      <c r="X260" s="19"/>
      <c r="Y260" s="19"/>
      <c r="Z260" s="18"/>
    </row>
    <row r="261" spans="24:26" ht="43.5" customHeight="1" x14ac:dyDescent="0.2">
      <c r="X261" s="19"/>
      <c r="Y261" s="19"/>
      <c r="Z261" s="18"/>
    </row>
    <row r="262" spans="24:26" ht="43.5" customHeight="1" x14ac:dyDescent="0.2">
      <c r="X262" s="19"/>
      <c r="Y262" s="19"/>
      <c r="Z262" s="18"/>
    </row>
    <row r="263" spans="24:26" ht="43.5" customHeight="1" x14ac:dyDescent="0.2">
      <c r="X263" s="19"/>
      <c r="Y263" s="19"/>
      <c r="Z263" s="18"/>
    </row>
    <row r="264" spans="24:26" ht="43.5" customHeight="1" x14ac:dyDescent="0.2">
      <c r="X264" s="19"/>
      <c r="Y264" s="19"/>
      <c r="Z264" s="18"/>
    </row>
    <row r="265" spans="24:26" ht="43.5" customHeight="1" x14ac:dyDescent="0.2">
      <c r="X265" s="19"/>
      <c r="Y265" s="19"/>
      <c r="Z265" s="18"/>
    </row>
    <row r="266" spans="24:26" ht="43.5" customHeight="1" x14ac:dyDescent="0.2">
      <c r="X266" s="19"/>
      <c r="Y266" s="19"/>
      <c r="Z266" s="18"/>
    </row>
    <row r="267" spans="24:26" ht="43.5" customHeight="1" x14ac:dyDescent="0.2">
      <c r="X267" s="19"/>
      <c r="Y267" s="19"/>
      <c r="Z267" s="18"/>
    </row>
    <row r="268" spans="24:26" ht="43.5" customHeight="1" x14ac:dyDescent="0.2">
      <c r="X268" s="19"/>
      <c r="Y268" s="19"/>
      <c r="Z268" s="18"/>
    </row>
    <row r="269" spans="24:26" ht="43.5" customHeight="1" x14ac:dyDescent="0.2">
      <c r="X269" s="19"/>
      <c r="Y269" s="19"/>
      <c r="Z269" s="18"/>
    </row>
    <row r="270" spans="24:26" ht="43.5" customHeight="1" x14ac:dyDescent="0.2">
      <c r="X270" s="19"/>
      <c r="Y270" s="19"/>
      <c r="Z270" s="18"/>
    </row>
    <row r="271" spans="24:26" ht="43.5" customHeight="1" x14ac:dyDescent="0.2">
      <c r="X271" s="19"/>
      <c r="Y271" s="19"/>
      <c r="Z271" s="18"/>
    </row>
    <row r="272" spans="24:26" ht="43.5" customHeight="1" x14ac:dyDescent="0.2">
      <c r="X272" s="19"/>
      <c r="Y272" s="19"/>
      <c r="Z272" s="18"/>
    </row>
    <row r="273" spans="24:26" ht="43.5" customHeight="1" x14ac:dyDescent="0.2">
      <c r="X273" s="19"/>
      <c r="Y273" s="19"/>
      <c r="Z273" s="18"/>
    </row>
    <row r="274" spans="24:26" ht="43.5" customHeight="1" x14ac:dyDescent="0.2">
      <c r="X274" s="19"/>
      <c r="Y274" s="19"/>
      <c r="Z274" s="18"/>
    </row>
    <row r="275" spans="24:26" ht="43.5" customHeight="1" x14ac:dyDescent="0.2">
      <c r="X275" s="19"/>
      <c r="Y275" s="19"/>
      <c r="Z275" s="18"/>
    </row>
    <row r="276" spans="24:26" ht="43.5" customHeight="1" x14ac:dyDescent="0.2">
      <c r="X276" s="19"/>
      <c r="Y276" s="19"/>
      <c r="Z276" s="18"/>
    </row>
    <row r="277" spans="24:26" ht="43.5" customHeight="1" x14ac:dyDescent="0.2">
      <c r="X277" s="19"/>
      <c r="Y277" s="19"/>
      <c r="Z277" s="18"/>
    </row>
    <row r="278" spans="24:26" ht="43.5" customHeight="1" x14ac:dyDescent="0.2">
      <c r="X278" s="19"/>
      <c r="Y278" s="19"/>
      <c r="Z278" s="18"/>
    </row>
    <row r="279" spans="24:26" ht="43.5" customHeight="1" x14ac:dyDescent="0.2">
      <c r="X279" s="19"/>
      <c r="Y279" s="19"/>
      <c r="Z279" s="18"/>
    </row>
    <row r="280" spans="24:26" ht="43.5" customHeight="1" x14ac:dyDescent="0.2">
      <c r="X280" s="19"/>
      <c r="Y280" s="19"/>
      <c r="Z280" s="18"/>
    </row>
    <row r="281" spans="24:26" ht="43.5" customHeight="1" x14ac:dyDescent="0.2">
      <c r="X281" s="19"/>
      <c r="Y281" s="19"/>
      <c r="Z281" s="18"/>
    </row>
    <row r="282" spans="24:26" ht="43.5" customHeight="1" x14ac:dyDescent="0.2">
      <c r="X282" s="19"/>
      <c r="Y282" s="19"/>
      <c r="Z282" s="18"/>
    </row>
    <row r="283" spans="24:26" ht="43.5" customHeight="1" x14ac:dyDescent="0.2">
      <c r="X283" s="19"/>
      <c r="Y283" s="19"/>
      <c r="Z283" s="18"/>
    </row>
    <row r="284" spans="24:26" ht="43.5" customHeight="1" x14ac:dyDescent="0.2">
      <c r="X284" s="19"/>
      <c r="Y284" s="19"/>
      <c r="Z284" s="18"/>
    </row>
    <row r="285" spans="24:26" ht="43.5" customHeight="1" x14ac:dyDescent="0.2">
      <c r="X285" s="19"/>
      <c r="Y285" s="19"/>
      <c r="Z285" s="18"/>
    </row>
    <row r="286" spans="24:26" ht="43.5" customHeight="1" x14ac:dyDescent="0.2">
      <c r="X286" s="19"/>
      <c r="Y286" s="19"/>
      <c r="Z286" s="18"/>
    </row>
    <row r="287" spans="24:26" ht="43.5" customHeight="1" x14ac:dyDescent="0.2">
      <c r="X287" s="19"/>
      <c r="Y287" s="19"/>
      <c r="Z287" s="18"/>
    </row>
    <row r="288" spans="24:26" ht="43.5" customHeight="1" x14ac:dyDescent="0.2">
      <c r="X288" s="19"/>
      <c r="Y288" s="19"/>
      <c r="Z288" s="18"/>
    </row>
    <row r="289" spans="24:26" ht="43.5" customHeight="1" x14ac:dyDescent="0.2">
      <c r="X289" s="19"/>
      <c r="Y289" s="19"/>
      <c r="Z289" s="18"/>
    </row>
    <row r="290" spans="24:26" ht="43.5" customHeight="1" x14ac:dyDescent="0.2">
      <c r="X290" s="19"/>
      <c r="Y290" s="19"/>
      <c r="Z290" s="18"/>
    </row>
    <row r="291" spans="24:26" ht="43.5" customHeight="1" x14ac:dyDescent="0.2">
      <c r="X291" s="19"/>
      <c r="Y291" s="19"/>
      <c r="Z291" s="18"/>
    </row>
    <row r="292" spans="24:26" ht="43.5" customHeight="1" x14ac:dyDescent="0.2">
      <c r="X292" s="19"/>
      <c r="Y292" s="19"/>
      <c r="Z292" s="18"/>
    </row>
    <row r="293" spans="24:26" ht="43.5" customHeight="1" x14ac:dyDescent="0.2">
      <c r="X293" s="19"/>
      <c r="Y293" s="19"/>
      <c r="Z293" s="18"/>
    </row>
    <row r="294" spans="24:26" ht="43.5" customHeight="1" x14ac:dyDescent="0.2">
      <c r="X294" s="19"/>
      <c r="Y294" s="19"/>
      <c r="Z294" s="18"/>
    </row>
    <row r="295" spans="24:26" ht="43.5" customHeight="1" x14ac:dyDescent="0.2">
      <c r="X295" s="19"/>
      <c r="Y295" s="19"/>
      <c r="Z295" s="18"/>
    </row>
    <row r="296" spans="24:26" ht="43.5" customHeight="1" x14ac:dyDescent="0.2">
      <c r="X296" s="19"/>
      <c r="Y296" s="19"/>
      <c r="Z296" s="18"/>
    </row>
    <row r="297" spans="24:26" ht="43.5" customHeight="1" x14ac:dyDescent="0.2">
      <c r="X297" s="19"/>
      <c r="Y297" s="19"/>
      <c r="Z297" s="18"/>
    </row>
    <row r="298" spans="24:26" ht="43.5" customHeight="1" x14ac:dyDescent="0.2">
      <c r="X298" s="19"/>
      <c r="Y298" s="19"/>
      <c r="Z298" s="18"/>
    </row>
    <row r="299" spans="24:26" ht="43.5" customHeight="1" x14ac:dyDescent="0.2">
      <c r="X299" s="19"/>
      <c r="Y299" s="19"/>
      <c r="Z299" s="18"/>
    </row>
    <row r="300" spans="24:26" ht="43.5" customHeight="1" x14ac:dyDescent="0.2">
      <c r="X300" s="19"/>
      <c r="Y300" s="19"/>
      <c r="Z300" s="18"/>
    </row>
    <row r="301" spans="24:26" ht="43.5" customHeight="1" x14ac:dyDescent="0.2">
      <c r="X301" s="19"/>
      <c r="Y301" s="19"/>
      <c r="Z301" s="18"/>
    </row>
    <row r="302" spans="24:26" ht="43.5" customHeight="1" x14ac:dyDescent="0.2">
      <c r="X302" s="19"/>
      <c r="Y302" s="19"/>
      <c r="Z302" s="18"/>
    </row>
    <row r="303" spans="24:26" ht="43.5" customHeight="1" x14ac:dyDescent="0.2">
      <c r="X303" s="19"/>
      <c r="Y303" s="19"/>
      <c r="Z303" s="18"/>
    </row>
    <row r="304" spans="24:26" ht="43.5" customHeight="1" x14ac:dyDescent="0.2">
      <c r="X304" s="19"/>
      <c r="Y304" s="19"/>
      <c r="Z304" s="18"/>
    </row>
    <row r="305" spans="24:26" ht="43.5" customHeight="1" x14ac:dyDescent="0.2">
      <c r="X305" s="19"/>
      <c r="Y305" s="19"/>
      <c r="Z305" s="18"/>
    </row>
    <row r="306" spans="24:26" ht="43.5" customHeight="1" x14ac:dyDescent="0.2">
      <c r="X306" s="19"/>
      <c r="Y306" s="19"/>
      <c r="Z306" s="18"/>
    </row>
    <row r="307" spans="24:26" ht="43.5" customHeight="1" x14ac:dyDescent="0.2">
      <c r="X307" s="19"/>
      <c r="Y307" s="19"/>
      <c r="Z307" s="18"/>
    </row>
    <row r="308" spans="24:26" ht="43.5" customHeight="1" x14ac:dyDescent="0.2">
      <c r="X308" s="19"/>
      <c r="Y308" s="19"/>
      <c r="Z308" s="18"/>
    </row>
    <row r="309" spans="24:26" ht="43.5" customHeight="1" x14ac:dyDescent="0.2">
      <c r="X309" s="19"/>
      <c r="Y309" s="19"/>
      <c r="Z309" s="18"/>
    </row>
    <row r="310" spans="24:26" ht="43.5" customHeight="1" x14ac:dyDescent="0.2">
      <c r="X310" s="19"/>
      <c r="Y310" s="19"/>
      <c r="Z310" s="18"/>
    </row>
    <row r="311" spans="24:26" ht="43.5" customHeight="1" x14ac:dyDescent="0.2">
      <c r="X311" s="19"/>
      <c r="Y311" s="19"/>
      <c r="Z311" s="18"/>
    </row>
    <row r="312" spans="24:26" ht="43.5" customHeight="1" x14ac:dyDescent="0.2">
      <c r="X312" s="19"/>
      <c r="Y312" s="19"/>
      <c r="Z312" s="18"/>
    </row>
    <row r="313" spans="24:26" ht="43.5" customHeight="1" x14ac:dyDescent="0.2">
      <c r="X313" s="19"/>
      <c r="Y313" s="19"/>
      <c r="Z313" s="18"/>
    </row>
    <row r="314" spans="24:26" ht="43.5" customHeight="1" x14ac:dyDescent="0.2">
      <c r="X314" s="19"/>
      <c r="Y314" s="19"/>
      <c r="Z314" s="18"/>
    </row>
    <row r="315" spans="24:26" ht="43.5" customHeight="1" x14ac:dyDescent="0.2">
      <c r="X315" s="19"/>
      <c r="Y315" s="19"/>
      <c r="Z315" s="18"/>
    </row>
    <row r="316" spans="24:26" ht="43.5" customHeight="1" x14ac:dyDescent="0.2">
      <c r="X316" s="19"/>
      <c r="Y316" s="19"/>
      <c r="Z316" s="18"/>
    </row>
    <row r="317" spans="24:26" ht="43.5" customHeight="1" x14ac:dyDescent="0.2">
      <c r="X317" s="19"/>
      <c r="Y317" s="19"/>
      <c r="Z317" s="18"/>
    </row>
    <row r="318" spans="24:26" ht="43.5" customHeight="1" x14ac:dyDescent="0.2">
      <c r="X318" s="19"/>
      <c r="Y318" s="19"/>
      <c r="Z318" s="18"/>
    </row>
    <row r="319" spans="24:26" ht="43.5" customHeight="1" x14ac:dyDescent="0.2">
      <c r="X319" s="19"/>
      <c r="Y319" s="19"/>
      <c r="Z319" s="18"/>
    </row>
    <row r="320" spans="24:26" ht="43.5" customHeight="1" x14ac:dyDescent="0.2">
      <c r="X320" s="19"/>
      <c r="Y320" s="19"/>
      <c r="Z320" s="18"/>
    </row>
    <row r="321" spans="24:26" ht="43.5" customHeight="1" x14ac:dyDescent="0.2">
      <c r="X321" s="19"/>
      <c r="Y321" s="19"/>
      <c r="Z321" s="18"/>
    </row>
    <row r="322" spans="24:26" ht="43.5" customHeight="1" x14ac:dyDescent="0.2">
      <c r="X322" s="19"/>
      <c r="Y322" s="19"/>
      <c r="Z322" s="18"/>
    </row>
    <row r="323" spans="24:26" ht="43.5" customHeight="1" x14ac:dyDescent="0.2">
      <c r="X323" s="19"/>
      <c r="Y323" s="19"/>
      <c r="Z323" s="18"/>
    </row>
    <row r="324" spans="24:26" ht="43.5" customHeight="1" x14ac:dyDescent="0.2">
      <c r="X324" s="19"/>
      <c r="Y324" s="19"/>
      <c r="Z324" s="18"/>
    </row>
    <row r="325" spans="24:26" ht="43.5" customHeight="1" x14ac:dyDescent="0.2">
      <c r="X325" s="19"/>
      <c r="Y325" s="19"/>
      <c r="Z325" s="18"/>
    </row>
    <row r="326" spans="24:26" ht="43.5" customHeight="1" x14ac:dyDescent="0.2">
      <c r="X326" s="19"/>
      <c r="Y326" s="19"/>
      <c r="Z326" s="18"/>
    </row>
    <row r="327" spans="24:26" ht="43.5" customHeight="1" x14ac:dyDescent="0.2">
      <c r="X327" s="19"/>
      <c r="Y327" s="19"/>
      <c r="Z327" s="18"/>
    </row>
    <row r="328" spans="24:26" ht="43.5" customHeight="1" x14ac:dyDescent="0.2">
      <c r="X328" s="19"/>
      <c r="Y328" s="19"/>
      <c r="Z328" s="18"/>
    </row>
    <row r="329" spans="24:26" ht="43.5" customHeight="1" x14ac:dyDescent="0.2">
      <c r="X329" s="19"/>
      <c r="Y329" s="19"/>
      <c r="Z329" s="18"/>
    </row>
    <row r="330" spans="24:26" ht="43.5" customHeight="1" x14ac:dyDescent="0.2">
      <c r="X330" s="19"/>
      <c r="Y330" s="19"/>
      <c r="Z330" s="18"/>
    </row>
    <row r="331" spans="24:26" ht="43.5" customHeight="1" x14ac:dyDescent="0.2">
      <c r="X331" s="19"/>
      <c r="Y331" s="19"/>
      <c r="Z331" s="18"/>
    </row>
    <row r="332" spans="24:26" ht="43.5" customHeight="1" x14ac:dyDescent="0.2">
      <c r="X332" s="19"/>
      <c r="Y332" s="19"/>
      <c r="Z332" s="18"/>
    </row>
    <row r="333" spans="24:26" ht="43.5" customHeight="1" x14ac:dyDescent="0.2">
      <c r="X333" s="19"/>
      <c r="Y333" s="19"/>
      <c r="Z333" s="18"/>
    </row>
    <row r="334" spans="24:26" ht="43.5" customHeight="1" x14ac:dyDescent="0.2">
      <c r="X334" s="19"/>
      <c r="Y334" s="19"/>
      <c r="Z334" s="18"/>
    </row>
    <row r="335" spans="24:26" ht="43.5" customHeight="1" x14ac:dyDescent="0.2">
      <c r="X335" s="19"/>
      <c r="Y335" s="19"/>
      <c r="Z335" s="18"/>
    </row>
    <row r="336" spans="24:26" ht="43.5" customHeight="1" x14ac:dyDescent="0.2">
      <c r="X336" s="19"/>
      <c r="Y336" s="19"/>
      <c r="Z336" s="18"/>
    </row>
    <row r="337" spans="24:26" ht="43.5" customHeight="1" x14ac:dyDescent="0.2">
      <c r="X337" s="19"/>
      <c r="Y337" s="19"/>
      <c r="Z337" s="18"/>
    </row>
    <row r="338" spans="24:26" ht="43.5" customHeight="1" x14ac:dyDescent="0.2">
      <c r="X338" s="19"/>
      <c r="Y338" s="19"/>
      <c r="Z338" s="18"/>
    </row>
    <row r="339" spans="24:26" ht="43.5" customHeight="1" x14ac:dyDescent="0.2">
      <c r="X339" s="19"/>
      <c r="Y339" s="19"/>
      <c r="Z339" s="18"/>
    </row>
    <row r="340" spans="24:26" ht="43.5" customHeight="1" x14ac:dyDescent="0.2">
      <c r="X340" s="19"/>
      <c r="Y340" s="19"/>
      <c r="Z340" s="18"/>
    </row>
    <row r="341" spans="24:26" ht="43.5" customHeight="1" x14ac:dyDescent="0.2">
      <c r="X341" s="19"/>
      <c r="Y341" s="19"/>
      <c r="Z341" s="18"/>
    </row>
    <row r="342" spans="24:26" ht="43.5" customHeight="1" x14ac:dyDescent="0.2">
      <c r="X342" s="19"/>
      <c r="Y342" s="19"/>
      <c r="Z342" s="18"/>
    </row>
    <row r="343" spans="24:26" ht="43.5" customHeight="1" x14ac:dyDescent="0.2">
      <c r="X343" s="19"/>
      <c r="Y343" s="19"/>
      <c r="Z343" s="18"/>
    </row>
    <row r="344" spans="24:26" ht="43.5" customHeight="1" x14ac:dyDescent="0.2">
      <c r="X344" s="19"/>
      <c r="Y344" s="19"/>
      <c r="Z344" s="18"/>
    </row>
    <row r="345" spans="24:26" ht="43.5" customHeight="1" x14ac:dyDescent="0.2">
      <c r="X345" s="19"/>
      <c r="Y345" s="19"/>
      <c r="Z345" s="18"/>
    </row>
    <row r="346" spans="24:26" ht="43.5" customHeight="1" x14ac:dyDescent="0.2">
      <c r="X346" s="19"/>
      <c r="Y346" s="19"/>
      <c r="Z346" s="18"/>
    </row>
    <row r="347" spans="24:26" ht="43.5" customHeight="1" x14ac:dyDescent="0.2">
      <c r="X347" s="19"/>
      <c r="Y347" s="19"/>
      <c r="Z347" s="18"/>
    </row>
    <row r="348" spans="24:26" ht="43.5" customHeight="1" x14ac:dyDescent="0.2">
      <c r="X348" s="19"/>
      <c r="Y348" s="19"/>
      <c r="Z348" s="18"/>
    </row>
    <row r="349" spans="24:26" ht="43.5" customHeight="1" x14ac:dyDescent="0.2">
      <c r="X349" s="19"/>
      <c r="Y349" s="19"/>
      <c r="Z349" s="18"/>
    </row>
    <row r="350" spans="24:26" ht="43.5" customHeight="1" x14ac:dyDescent="0.2">
      <c r="X350" s="19"/>
      <c r="Y350" s="19"/>
      <c r="Z350" s="18"/>
    </row>
    <row r="351" spans="24:26" ht="43.5" customHeight="1" x14ac:dyDescent="0.2">
      <c r="X351" s="19"/>
      <c r="Y351" s="19"/>
      <c r="Z351" s="18"/>
    </row>
    <row r="352" spans="24:26" ht="43.5" customHeight="1" x14ac:dyDescent="0.2">
      <c r="X352" s="19"/>
      <c r="Y352" s="19"/>
      <c r="Z352" s="18"/>
    </row>
    <row r="353" spans="24:26" ht="43.5" customHeight="1" x14ac:dyDescent="0.2">
      <c r="X353" s="19"/>
      <c r="Y353" s="19"/>
      <c r="Z353" s="18"/>
    </row>
    <row r="354" spans="24:26" ht="43.5" customHeight="1" x14ac:dyDescent="0.2">
      <c r="X354" s="19"/>
      <c r="Y354" s="19"/>
      <c r="Z354" s="18"/>
    </row>
    <row r="355" spans="24:26" ht="43.5" customHeight="1" x14ac:dyDescent="0.2">
      <c r="X355" s="19"/>
      <c r="Y355" s="19"/>
      <c r="Z355" s="18"/>
    </row>
    <row r="356" spans="24:26" ht="43.5" customHeight="1" x14ac:dyDescent="0.2">
      <c r="X356" s="19"/>
      <c r="Y356" s="19"/>
      <c r="Z356" s="18"/>
    </row>
    <row r="357" spans="24:26" ht="43.5" customHeight="1" x14ac:dyDescent="0.2">
      <c r="X357" s="19"/>
      <c r="Y357" s="19"/>
      <c r="Z357" s="18"/>
    </row>
    <row r="358" spans="24:26" ht="43.5" customHeight="1" x14ac:dyDescent="0.2">
      <c r="X358" s="19"/>
      <c r="Y358" s="19"/>
      <c r="Z358" s="18"/>
    </row>
    <row r="359" spans="24:26" ht="43.5" customHeight="1" x14ac:dyDescent="0.2">
      <c r="X359" s="19"/>
      <c r="Y359" s="19"/>
      <c r="Z359" s="18"/>
    </row>
    <row r="360" spans="24:26" ht="43.5" customHeight="1" x14ac:dyDescent="0.2">
      <c r="X360" s="19"/>
      <c r="Y360" s="19"/>
      <c r="Z360" s="18"/>
    </row>
    <row r="361" spans="24:26" ht="43.5" customHeight="1" x14ac:dyDescent="0.2">
      <c r="X361" s="19"/>
      <c r="Y361" s="19"/>
      <c r="Z361" s="18"/>
    </row>
    <row r="362" spans="24:26" ht="43.5" customHeight="1" x14ac:dyDescent="0.2">
      <c r="X362" s="19"/>
      <c r="Y362" s="19"/>
      <c r="Z362" s="18"/>
    </row>
    <row r="363" spans="24:26" ht="43.5" customHeight="1" x14ac:dyDescent="0.2">
      <c r="X363" s="19"/>
      <c r="Y363" s="19"/>
      <c r="Z363" s="18"/>
    </row>
    <row r="364" spans="24:26" ht="43.5" customHeight="1" x14ac:dyDescent="0.2">
      <c r="X364" s="19"/>
      <c r="Y364" s="19"/>
      <c r="Z364" s="18"/>
    </row>
    <row r="365" spans="24:26" ht="43.5" customHeight="1" x14ac:dyDescent="0.2">
      <c r="X365" s="19"/>
      <c r="Y365" s="19"/>
      <c r="Z365" s="18"/>
    </row>
    <row r="366" spans="24:26" ht="43.5" customHeight="1" x14ac:dyDescent="0.2">
      <c r="X366" s="19"/>
      <c r="Y366" s="19"/>
      <c r="Z366" s="18"/>
    </row>
    <row r="367" spans="24:26" ht="43.5" customHeight="1" x14ac:dyDescent="0.2">
      <c r="X367" s="19"/>
      <c r="Y367" s="19"/>
      <c r="Z367" s="18"/>
    </row>
    <row r="368" spans="24:26" ht="43.5" customHeight="1" x14ac:dyDescent="0.2">
      <c r="X368" s="19"/>
      <c r="Y368" s="19"/>
      <c r="Z368" s="18"/>
    </row>
    <row r="369" spans="24:26" ht="43.5" customHeight="1" x14ac:dyDescent="0.2">
      <c r="X369" s="19"/>
      <c r="Y369" s="19"/>
      <c r="Z369" s="18"/>
    </row>
    <row r="370" spans="24:26" ht="43.5" customHeight="1" x14ac:dyDescent="0.2">
      <c r="X370" s="19"/>
      <c r="Y370" s="19"/>
      <c r="Z370" s="18"/>
    </row>
    <row r="371" spans="24:26" ht="43.5" customHeight="1" x14ac:dyDescent="0.2">
      <c r="X371" s="19"/>
      <c r="Y371" s="19"/>
      <c r="Z371" s="18"/>
    </row>
    <row r="372" spans="24:26" ht="43.5" customHeight="1" x14ac:dyDescent="0.2">
      <c r="X372" s="19"/>
      <c r="Y372" s="19"/>
      <c r="Z372" s="18"/>
    </row>
    <row r="373" spans="24:26" ht="43.5" customHeight="1" x14ac:dyDescent="0.2">
      <c r="X373" s="19"/>
      <c r="Y373" s="19"/>
      <c r="Z373" s="18"/>
    </row>
    <row r="374" spans="24:26" ht="43.5" customHeight="1" x14ac:dyDescent="0.2">
      <c r="X374" s="19"/>
      <c r="Y374" s="19"/>
      <c r="Z374" s="18"/>
    </row>
    <row r="375" spans="24:26" ht="43.5" customHeight="1" x14ac:dyDescent="0.2">
      <c r="X375" s="19"/>
      <c r="Y375" s="19"/>
      <c r="Z375" s="18"/>
    </row>
    <row r="376" spans="24:26" ht="43.5" customHeight="1" x14ac:dyDescent="0.2">
      <c r="X376" s="19"/>
      <c r="Y376" s="19"/>
      <c r="Z376" s="18"/>
    </row>
    <row r="377" spans="24:26" ht="43.5" customHeight="1" x14ac:dyDescent="0.2">
      <c r="X377" s="19"/>
      <c r="Y377" s="19"/>
      <c r="Z377" s="18"/>
    </row>
    <row r="378" spans="24:26" ht="43.5" customHeight="1" x14ac:dyDescent="0.2">
      <c r="X378" s="19"/>
      <c r="Y378" s="19"/>
      <c r="Z378" s="18"/>
    </row>
    <row r="379" spans="24:26" ht="43.5" customHeight="1" x14ac:dyDescent="0.2">
      <c r="X379" s="19"/>
      <c r="Y379" s="19"/>
      <c r="Z379" s="18"/>
    </row>
    <row r="380" spans="24:26" ht="43.5" customHeight="1" x14ac:dyDescent="0.2">
      <c r="X380" s="19"/>
      <c r="Y380" s="19"/>
      <c r="Z380" s="18"/>
    </row>
    <row r="381" spans="24:26" ht="43.5" customHeight="1" x14ac:dyDescent="0.2">
      <c r="X381" s="19"/>
      <c r="Y381" s="19"/>
      <c r="Z381" s="18"/>
    </row>
    <row r="382" spans="24:26" ht="43.5" customHeight="1" x14ac:dyDescent="0.2">
      <c r="X382" s="19"/>
      <c r="Y382" s="19"/>
      <c r="Z382" s="18"/>
    </row>
    <row r="383" spans="24:26" ht="43.5" customHeight="1" x14ac:dyDescent="0.2">
      <c r="X383" s="19"/>
      <c r="Y383" s="19"/>
      <c r="Z383" s="18"/>
    </row>
    <row r="384" spans="24:26" ht="43.5" customHeight="1" x14ac:dyDescent="0.2">
      <c r="X384" s="19"/>
      <c r="Y384" s="19"/>
      <c r="Z384" s="18"/>
    </row>
    <row r="385" spans="24:26" ht="43.5" customHeight="1" x14ac:dyDescent="0.2">
      <c r="X385" s="19"/>
      <c r="Y385" s="19"/>
      <c r="Z385" s="18"/>
    </row>
    <row r="386" spans="24:26" ht="43.5" customHeight="1" x14ac:dyDescent="0.2">
      <c r="X386" s="19"/>
      <c r="Y386" s="19"/>
      <c r="Z386" s="18"/>
    </row>
    <row r="387" spans="24:26" ht="43.5" customHeight="1" x14ac:dyDescent="0.2">
      <c r="X387" s="19"/>
      <c r="Y387" s="19"/>
      <c r="Z387" s="18"/>
    </row>
    <row r="388" spans="24:26" ht="43.5" customHeight="1" x14ac:dyDescent="0.2">
      <c r="X388" s="19"/>
      <c r="Y388" s="19"/>
      <c r="Z388" s="18"/>
    </row>
    <row r="389" spans="24:26" ht="43.5" customHeight="1" x14ac:dyDescent="0.2">
      <c r="X389" s="19"/>
      <c r="Y389" s="19"/>
      <c r="Z389" s="18"/>
    </row>
    <row r="390" spans="24:26" ht="43.5" customHeight="1" x14ac:dyDescent="0.2">
      <c r="X390" s="19"/>
      <c r="Y390" s="19"/>
      <c r="Z390" s="18"/>
    </row>
    <row r="391" spans="24:26" ht="43.5" customHeight="1" x14ac:dyDescent="0.2">
      <c r="X391" s="19"/>
      <c r="Y391" s="19"/>
      <c r="Z391" s="18"/>
    </row>
    <row r="392" spans="24:26" ht="43.5" customHeight="1" x14ac:dyDescent="0.2">
      <c r="X392" s="19"/>
      <c r="Y392" s="19"/>
      <c r="Z392" s="18"/>
    </row>
    <row r="393" spans="24:26" ht="43.5" customHeight="1" x14ac:dyDescent="0.2">
      <c r="X393" s="19"/>
      <c r="Y393" s="19"/>
      <c r="Z393" s="18"/>
    </row>
    <row r="394" spans="24:26" ht="43.5" customHeight="1" x14ac:dyDescent="0.2">
      <c r="X394" s="19"/>
      <c r="Y394" s="19"/>
      <c r="Z394" s="18"/>
    </row>
    <row r="395" spans="24:26" ht="43.5" customHeight="1" x14ac:dyDescent="0.2">
      <c r="X395" s="19"/>
      <c r="Y395" s="19"/>
      <c r="Z395" s="18"/>
    </row>
    <row r="396" spans="24:26" ht="43.5" customHeight="1" x14ac:dyDescent="0.2">
      <c r="X396" s="19"/>
      <c r="Y396" s="19"/>
      <c r="Z396" s="18"/>
    </row>
    <row r="397" spans="24:26" ht="43.5" customHeight="1" x14ac:dyDescent="0.2">
      <c r="X397" s="19"/>
      <c r="Y397" s="19"/>
      <c r="Z397" s="18"/>
    </row>
    <row r="398" spans="24:26" ht="43.5" customHeight="1" x14ac:dyDescent="0.2">
      <c r="X398" s="19"/>
      <c r="Y398" s="19"/>
      <c r="Z398" s="18"/>
    </row>
    <row r="399" spans="24:26" ht="43.5" customHeight="1" x14ac:dyDescent="0.2">
      <c r="X399" s="19"/>
      <c r="Y399" s="19"/>
      <c r="Z399" s="18"/>
    </row>
    <row r="400" spans="24:26" ht="43.5" customHeight="1" x14ac:dyDescent="0.2">
      <c r="X400" s="19"/>
      <c r="Y400" s="19"/>
      <c r="Z400" s="18"/>
    </row>
    <row r="401" spans="24:26" ht="43.5" customHeight="1" x14ac:dyDescent="0.2">
      <c r="X401" s="19"/>
      <c r="Y401" s="19"/>
      <c r="Z401" s="18"/>
    </row>
    <row r="402" spans="24:26" ht="43.5" customHeight="1" x14ac:dyDescent="0.2">
      <c r="X402" s="19"/>
      <c r="Y402" s="19"/>
      <c r="Z402" s="18"/>
    </row>
    <row r="403" spans="24:26" ht="43.5" customHeight="1" x14ac:dyDescent="0.2">
      <c r="X403" s="19"/>
      <c r="Y403" s="19"/>
      <c r="Z403" s="18"/>
    </row>
    <row r="404" spans="24:26" ht="43.5" customHeight="1" x14ac:dyDescent="0.2">
      <c r="X404" s="19"/>
      <c r="Y404" s="19"/>
      <c r="Z404" s="18"/>
    </row>
    <row r="405" spans="24:26" ht="43.5" customHeight="1" x14ac:dyDescent="0.2">
      <c r="X405" s="19"/>
      <c r="Y405" s="19"/>
      <c r="Z405" s="18"/>
    </row>
    <row r="406" spans="24:26" ht="43.5" customHeight="1" x14ac:dyDescent="0.2">
      <c r="X406" s="19"/>
      <c r="Y406" s="19"/>
      <c r="Z406" s="18"/>
    </row>
    <row r="407" spans="24:26" ht="43.5" customHeight="1" x14ac:dyDescent="0.2">
      <c r="X407" s="19"/>
      <c r="Y407" s="19"/>
      <c r="Z407" s="18"/>
    </row>
    <row r="408" spans="24:26" ht="43.5" customHeight="1" x14ac:dyDescent="0.2">
      <c r="X408" s="19"/>
      <c r="Y408" s="19"/>
      <c r="Z408" s="18"/>
    </row>
    <row r="409" spans="24:26" ht="43.5" customHeight="1" x14ac:dyDescent="0.2">
      <c r="X409" s="19"/>
      <c r="Y409" s="19"/>
      <c r="Z409" s="18"/>
    </row>
    <row r="410" spans="24:26" ht="43.5" customHeight="1" x14ac:dyDescent="0.2">
      <c r="X410" s="19"/>
      <c r="Y410" s="19"/>
      <c r="Z410" s="18"/>
    </row>
    <row r="411" spans="24:26" ht="43.5" customHeight="1" x14ac:dyDescent="0.2">
      <c r="X411" s="19"/>
      <c r="Y411" s="19"/>
      <c r="Z411" s="18"/>
    </row>
    <row r="412" spans="24:26" ht="43.5" customHeight="1" x14ac:dyDescent="0.2">
      <c r="X412" s="19"/>
      <c r="Y412" s="19"/>
      <c r="Z412" s="18"/>
    </row>
    <row r="413" spans="24:26" ht="43.5" customHeight="1" x14ac:dyDescent="0.2">
      <c r="X413" s="19"/>
      <c r="Y413" s="19"/>
      <c r="Z413" s="18"/>
    </row>
    <row r="414" spans="24:26" ht="43.5" customHeight="1" x14ac:dyDescent="0.2">
      <c r="X414" s="19"/>
      <c r="Y414" s="19"/>
      <c r="Z414" s="18"/>
    </row>
    <row r="415" spans="24:26" ht="43.5" customHeight="1" x14ac:dyDescent="0.2">
      <c r="X415" s="19"/>
      <c r="Y415" s="19"/>
      <c r="Z415" s="18"/>
    </row>
    <row r="416" spans="24:26" ht="43.5" customHeight="1" x14ac:dyDescent="0.2">
      <c r="X416" s="19"/>
      <c r="Y416" s="19"/>
      <c r="Z416" s="18"/>
    </row>
    <row r="417" spans="24:26" ht="43.5" customHeight="1" x14ac:dyDescent="0.2">
      <c r="X417" s="19"/>
      <c r="Y417" s="19"/>
      <c r="Z417" s="18"/>
    </row>
    <row r="418" spans="24:26" ht="43.5" customHeight="1" x14ac:dyDescent="0.2">
      <c r="X418" s="19"/>
      <c r="Y418" s="19"/>
      <c r="Z418" s="18"/>
    </row>
    <row r="419" spans="24:26" ht="43.5" customHeight="1" x14ac:dyDescent="0.2">
      <c r="X419" s="19"/>
      <c r="Y419" s="19"/>
      <c r="Z419" s="18"/>
    </row>
    <row r="420" spans="24:26" ht="43.5" customHeight="1" x14ac:dyDescent="0.2">
      <c r="X420" s="19"/>
      <c r="Y420" s="19"/>
      <c r="Z420" s="18"/>
    </row>
    <row r="421" spans="24:26" ht="43.5" customHeight="1" x14ac:dyDescent="0.2">
      <c r="X421" s="19"/>
      <c r="Y421" s="19"/>
      <c r="Z421" s="18"/>
    </row>
    <row r="422" spans="24:26" ht="43.5" customHeight="1" x14ac:dyDescent="0.2">
      <c r="X422" s="19"/>
      <c r="Y422" s="19"/>
      <c r="Z422" s="18"/>
    </row>
    <row r="423" spans="24:26" ht="43.5" customHeight="1" x14ac:dyDescent="0.2">
      <c r="X423" s="19"/>
      <c r="Y423" s="19"/>
      <c r="Z423" s="18"/>
    </row>
    <row r="424" spans="24:26" ht="43.5" customHeight="1" x14ac:dyDescent="0.2">
      <c r="X424" s="19"/>
      <c r="Y424" s="19"/>
      <c r="Z424" s="18"/>
    </row>
    <row r="425" spans="24:26" ht="43.5" customHeight="1" x14ac:dyDescent="0.2">
      <c r="X425" s="19"/>
      <c r="Y425" s="19"/>
      <c r="Z425" s="18"/>
    </row>
    <row r="426" spans="24:26" ht="43.5" customHeight="1" x14ac:dyDescent="0.2">
      <c r="X426" s="19"/>
      <c r="Y426" s="19"/>
      <c r="Z426" s="18"/>
    </row>
    <row r="427" spans="24:26" ht="43.5" customHeight="1" x14ac:dyDescent="0.2">
      <c r="X427" s="19"/>
      <c r="Y427" s="19"/>
      <c r="Z427" s="18"/>
    </row>
    <row r="428" spans="24:26" ht="43.5" customHeight="1" x14ac:dyDescent="0.2">
      <c r="X428" s="19"/>
      <c r="Y428" s="19"/>
      <c r="Z428" s="18"/>
    </row>
    <row r="429" spans="24:26" ht="43.5" customHeight="1" x14ac:dyDescent="0.2">
      <c r="X429" s="19"/>
      <c r="Y429" s="19"/>
      <c r="Z429" s="18"/>
    </row>
    <row r="430" spans="24:26" ht="43.5" customHeight="1" x14ac:dyDescent="0.2">
      <c r="X430" s="19"/>
      <c r="Y430" s="19"/>
      <c r="Z430" s="18"/>
    </row>
    <row r="431" spans="24:26" ht="43.5" customHeight="1" x14ac:dyDescent="0.2">
      <c r="X431" s="19"/>
      <c r="Y431" s="19"/>
      <c r="Z431" s="18"/>
    </row>
    <row r="432" spans="24:26" ht="43.5" customHeight="1" x14ac:dyDescent="0.2">
      <c r="X432" s="19"/>
      <c r="Y432" s="19"/>
      <c r="Z432" s="18"/>
    </row>
    <row r="433" spans="24:26" ht="43.5" customHeight="1" x14ac:dyDescent="0.2">
      <c r="X433" s="19"/>
      <c r="Y433" s="19"/>
      <c r="Z433" s="18"/>
    </row>
    <row r="434" spans="24:26" ht="43.5" customHeight="1" x14ac:dyDescent="0.2">
      <c r="X434" s="19"/>
      <c r="Y434" s="19"/>
      <c r="Z434" s="18"/>
    </row>
    <row r="435" spans="24:26" ht="43.5" customHeight="1" x14ac:dyDescent="0.2">
      <c r="X435" s="19"/>
      <c r="Y435" s="19"/>
      <c r="Z435" s="18"/>
    </row>
    <row r="436" spans="24:26" ht="43.5" customHeight="1" x14ac:dyDescent="0.2">
      <c r="X436" s="19"/>
      <c r="Y436" s="19"/>
      <c r="Z436" s="18"/>
    </row>
    <row r="437" spans="24:26" ht="43.5" customHeight="1" x14ac:dyDescent="0.2">
      <c r="X437" s="19"/>
      <c r="Y437" s="19"/>
      <c r="Z437" s="18"/>
    </row>
    <row r="438" spans="24:26" ht="43.5" customHeight="1" x14ac:dyDescent="0.2">
      <c r="X438" s="19"/>
      <c r="Y438" s="19"/>
      <c r="Z438" s="18"/>
    </row>
    <row r="439" spans="24:26" ht="43.5" customHeight="1" x14ac:dyDescent="0.2">
      <c r="X439" s="19"/>
      <c r="Y439" s="19"/>
      <c r="Z439" s="18"/>
    </row>
    <row r="440" spans="24:26" ht="43.5" customHeight="1" x14ac:dyDescent="0.2">
      <c r="X440" s="19"/>
      <c r="Y440" s="19"/>
      <c r="Z440" s="18"/>
    </row>
    <row r="441" spans="24:26" ht="43.5" customHeight="1" x14ac:dyDescent="0.2">
      <c r="X441" s="19"/>
      <c r="Y441" s="19"/>
      <c r="Z441" s="18"/>
    </row>
    <row r="442" spans="24:26" ht="43.5" customHeight="1" x14ac:dyDescent="0.2">
      <c r="X442" s="19"/>
      <c r="Y442" s="19"/>
      <c r="Z442" s="18"/>
    </row>
    <row r="443" spans="24:26" ht="43.5" customHeight="1" x14ac:dyDescent="0.2">
      <c r="X443" s="19"/>
      <c r="Y443" s="19"/>
      <c r="Z443" s="18"/>
    </row>
    <row r="444" spans="24:26" ht="43.5" customHeight="1" x14ac:dyDescent="0.2">
      <c r="X444" s="19"/>
      <c r="Y444" s="19"/>
      <c r="Z444" s="18"/>
    </row>
    <row r="445" spans="24:26" ht="43.5" customHeight="1" x14ac:dyDescent="0.2">
      <c r="X445" s="19"/>
      <c r="Y445" s="19"/>
      <c r="Z445" s="18"/>
    </row>
    <row r="446" spans="24:26" ht="43.5" customHeight="1" x14ac:dyDescent="0.2">
      <c r="X446" s="19"/>
      <c r="Y446" s="19"/>
      <c r="Z446" s="18"/>
    </row>
    <row r="447" spans="24:26" ht="43.5" customHeight="1" x14ac:dyDescent="0.2">
      <c r="X447" s="19"/>
      <c r="Y447" s="19"/>
      <c r="Z447" s="18"/>
    </row>
    <row r="448" spans="24:26" ht="43.5" customHeight="1" x14ac:dyDescent="0.2">
      <c r="X448" s="19"/>
      <c r="Y448" s="19"/>
      <c r="Z448" s="18"/>
    </row>
    <row r="449" spans="24:26" ht="43.5" customHeight="1" x14ac:dyDescent="0.2">
      <c r="X449" s="19"/>
      <c r="Y449" s="19"/>
      <c r="Z449" s="18"/>
    </row>
    <row r="450" spans="24:26" ht="43.5" customHeight="1" x14ac:dyDescent="0.2">
      <c r="X450" s="19"/>
      <c r="Y450" s="19"/>
      <c r="Z450" s="18"/>
    </row>
    <row r="451" spans="24:26" ht="43.5" customHeight="1" x14ac:dyDescent="0.2">
      <c r="X451" s="19"/>
      <c r="Y451" s="19"/>
      <c r="Z451" s="18"/>
    </row>
    <row r="452" spans="24:26" ht="43.5" customHeight="1" x14ac:dyDescent="0.2">
      <c r="X452" s="19"/>
      <c r="Y452" s="19"/>
      <c r="Z452" s="18"/>
    </row>
    <row r="453" spans="24:26" ht="43.5" customHeight="1" x14ac:dyDescent="0.2">
      <c r="X453" s="19"/>
      <c r="Y453" s="19"/>
      <c r="Z453" s="18"/>
    </row>
    <row r="454" spans="24:26" ht="43.5" customHeight="1" x14ac:dyDescent="0.2">
      <c r="X454" s="19"/>
      <c r="Y454" s="19"/>
      <c r="Z454" s="18"/>
    </row>
    <row r="455" spans="24:26" ht="43.5" customHeight="1" x14ac:dyDescent="0.2">
      <c r="X455" s="19"/>
      <c r="Y455" s="19"/>
      <c r="Z455" s="18"/>
    </row>
    <row r="456" spans="24:26" ht="43.5" customHeight="1" x14ac:dyDescent="0.2">
      <c r="X456" s="19"/>
      <c r="Y456" s="19"/>
      <c r="Z456" s="18"/>
    </row>
    <row r="457" spans="24:26" ht="43.5" customHeight="1" x14ac:dyDescent="0.2">
      <c r="X457" s="19"/>
      <c r="Y457" s="19"/>
      <c r="Z457" s="18"/>
    </row>
    <row r="458" spans="24:26" ht="43.5" customHeight="1" x14ac:dyDescent="0.2">
      <c r="X458" s="19"/>
      <c r="Y458" s="19"/>
      <c r="Z458" s="18"/>
    </row>
    <row r="459" spans="24:26" ht="43.5" customHeight="1" x14ac:dyDescent="0.2">
      <c r="X459" s="19"/>
      <c r="Y459" s="19"/>
      <c r="Z459" s="18"/>
    </row>
    <row r="460" spans="24:26" ht="43.5" customHeight="1" x14ac:dyDescent="0.2">
      <c r="X460" s="19"/>
      <c r="Y460" s="19"/>
      <c r="Z460" s="18"/>
    </row>
    <row r="461" spans="24:26" ht="43.5" customHeight="1" x14ac:dyDescent="0.2">
      <c r="X461" s="19"/>
      <c r="Y461" s="19"/>
      <c r="Z461" s="18"/>
    </row>
    <row r="462" spans="24:26" ht="43.5" customHeight="1" x14ac:dyDescent="0.2">
      <c r="X462" s="19"/>
      <c r="Y462" s="19"/>
      <c r="Z462" s="18"/>
    </row>
    <row r="463" spans="24:26" ht="43.5" customHeight="1" x14ac:dyDescent="0.2">
      <c r="X463" s="19"/>
      <c r="Y463" s="19"/>
      <c r="Z463" s="18"/>
    </row>
    <row r="464" spans="24:26" ht="43.5" customHeight="1" x14ac:dyDescent="0.2">
      <c r="X464" s="19"/>
      <c r="Y464" s="19"/>
      <c r="Z464" s="18"/>
    </row>
    <row r="465" spans="24:26" ht="43.5" customHeight="1" x14ac:dyDescent="0.2">
      <c r="X465" s="19"/>
      <c r="Y465" s="19"/>
      <c r="Z465" s="18"/>
    </row>
    <row r="466" spans="24:26" ht="43.5" customHeight="1" x14ac:dyDescent="0.2">
      <c r="X466" s="19"/>
      <c r="Y466" s="19"/>
      <c r="Z466" s="18"/>
    </row>
    <row r="467" spans="24:26" ht="43.5" customHeight="1" x14ac:dyDescent="0.2">
      <c r="X467" s="19"/>
      <c r="Y467" s="19"/>
      <c r="Z467" s="18"/>
    </row>
    <row r="468" spans="24:26" ht="43.5" customHeight="1" x14ac:dyDescent="0.2">
      <c r="X468" s="19"/>
      <c r="Y468" s="19"/>
      <c r="Z468" s="18"/>
    </row>
    <row r="469" spans="24:26" ht="43.5" customHeight="1" x14ac:dyDescent="0.2">
      <c r="X469" s="19"/>
      <c r="Y469" s="19"/>
      <c r="Z469" s="18"/>
    </row>
    <row r="470" spans="24:26" ht="43.5" customHeight="1" x14ac:dyDescent="0.2">
      <c r="X470" s="19"/>
      <c r="Y470" s="19"/>
      <c r="Z470" s="18"/>
    </row>
    <row r="471" spans="24:26" ht="43.5" customHeight="1" x14ac:dyDescent="0.2">
      <c r="X471" s="19"/>
      <c r="Y471" s="19"/>
      <c r="Z471" s="18"/>
    </row>
    <row r="472" spans="24:26" ht="43.5" customHeight="1" x14ac:dyDescent="0.2">
      <c r="X472" s="19"/>
      <c r="Y472" s="19"/>
      <c r="Z472" s="18"/>
    </row>
    <row r="473" spans="24:26" ht="43.5" customHeight="1" x14ac:dyDescent="0.2">
      <c r="X473" s="19"/>
      <c r="Y473" s="19"/>
      <c r="Z473" s="18"/>
    </row>
    <row r="474" spans="24:26" ht="43.5" customHeight="1" x14ac:dyDescent="0.2">
      <c r="X474" s="19"/>
      <c r="Y474" s="19"/>
      <c r="Z474" s="18"/>
    </row>
    <row r="475" spans="24:26" ht="43.5" customHeight="1" x14ac:dyDescent="0.2">
      <c r="X475" s="19"/>
      <c r="Y475" s="19"/>
      <c r="Z475" s="18"/>
    </row>
    <row r="476" spans="24:26" ht="43.5" customHeight="1" x14ac:dyDescent="0.2">
      <c r="X476" s="19"/>
      <c r="Y476" s="19"/>
      <c r="Z476" s="18"/>
    </row>
    <row r="477" spans="24:26" ht="43.5" customHeight="1" x14ac:dyDescent="0.2">
      <c r="X477" s="19"/>
      <c r="Y477" s="19"/>
      <c r="Z477" s="18"/>
    </row>
    <row r="478" spans="24:26" ht="43.5" customHeight="1" x14ac:dyDescent="0.2">
      <c r="X478" s="19"/>
      <c r="Y478" s="19"/>
      <c r="Z478" s="18"/>
    </row>
    <row r="479" spans="24:26" ht="43.5" customHeight="1" x14ac:dyDescent="0.2">
      <c r="X479" s="19"/>
      <c r="Y479" s="19"/>
      <c r="Z479" s="18"/>
    </row>
    <row r="480" spans="24:26" ht="43.5" customHeight="1" x14ac:dyDescent="0.2">
      <c r="X480" s="19"/>
      <c r="Y480" s="19"/>
      <c r="Z480" s="18"/>
    </row>
    <row r="481" spans="24:26" ht="43.5" customHeight="1" x14ac:dyDescent="0.2">
      <c r="X481" s="19"/>
      <c r="Y481" s="19"/>
      <c r="Z481" s="18"/>
    </row>
    <row r="482" spans="24:26" ht="43.5" customHeight="1" x14ac:dyDescent="0.2">
      <c r="X482" s="19"/>
      <c r="Y482" s="19"/>
      <c r="Z482" s="18"/>
    </row>
    <row r="483" spans="24:26" ht="43.5" customHeight="1" x14ac:dyDescent="0.2">
      <c r="X483" s="19"/>
      <c r="Y483" s="19"/>
      <c r="Z483" s="18"/>
    </row>
    <row r="484" spans="24:26" ht="43.5" customHeight="1" x14ac:dyDescent="0.2">
      <c r="X484" s="19"/>
      <c r="Y484" s="19"/>
      <c r="Z484" s="18"/>
    </row>
    <row r="485" spans="24:26" ht="43.5" customHeight="1" x14ac:dyDescent="0.2">
      <c r="X485" s="19"/>
      <c r="Y485" s="19"/>
      <c r="Z485" s="18"/>
    </row>
    <row r="486" spans="24:26" ht="43.5" customHeight="1" x14ac:dyDescent="0.2">
      <c r="X486" s="19"/>
      <c r="Y486" s="19"/>
      <c r="Z486" s="18"/>
    </row>
    <row r="487" spans="24:26" ht="43.5" customHeight="1" x14ac:dyDescent="0.2">
      <c r="X487" s="19"/>
      <c r="Y487" s="19"/>
      <c r="Z487" s="18"/>
    </row>
    <row r="488" spans="24:26" ht="43.5" customHeight="1" x14ac:dyDescent="0.2">
      <c r="X488" s="19"/>
      <c r="Y488" s="19"/>
      <c r="Z488" s="18"/>
    </row>
    <row r="489" spans="24:26" ht="43.5" customHeight="1" x14ac:dyDescent="0.2">
      <c r="X489" s="19"/>
      <c r="Y489" s="19"/>
      <c r="Z489" s="18"/>
    </row>
    <row r="490" spans="24:26" ht="43.5" customHeight="1" x14ac:dyDescent="0.2">
      <c r="X490" s="19"/>
      <c r="Y490" s="19"/>
      <c r="Z490" s="18"/>
    </row>
    <row r="491" spans="24:26" ht="43.5" customHeight="1" x14ac:dyDescent="0.2">
      <c r="X491" s="19"/>
      <c r="Y491" s="19"/>
      <c r="Z491" s="18"/>
    </row>
    <row r="492" spans="24:26" ht="43.5" customHeight="1" x14ac:dyDescent="0.2">
      <c r="X492" s="19"/>
      <c r="Y492" s="19"/>
      <c r="Z492" s="18"/>
    </row>
    <row r="493" spans="24:26" ht="43.5" customHeight="1" x14ac:dyDescent="0.2">
      <c r="X493" s="19"/>
      <c r="Y493" s="19"/>
      <c r="Z493" s="18"/>
    </row>
    <row r="494" spans="24:26" ht="43.5" customHeight="1" x14ac:dyDescent="0.2">
      <c r="X494" s="19"/>
      <c r="Y494" s="19"/>
      <c r="Z494" s="18"/>
    </row>
  </sheetData>
  <mergeCells count="32">
    <mergeCell ref="Y43:Y44"/>
    <mergeCell ref="D6:N6"/>
    <mergeCell ref="A43:I44"/>
    <mergeCell ref="J43:Q44"/>
    <mergeCell ref="R43:S44"/>
    <mergeCell ref="T43:X44"/>
    <mergeCell ref="G34:G35"/>
    <mergeCell ref="D38:J38"/>
    <mergeCell ref="A24:A25"/>
    <mergeCell ref="F24:F25"/>
    <mergeCell ref="A26:A27"/>
    <mergeCell ref="F26:F27"/>
    <mergeCell ref="A28:A29"/>
    <mergeCell ref="F28:F29"/>
    <mergeCell ref="A31:A37"/>
    <mergeCell ref="F31:F37"/>
    <mergeCell ref="G32:G33"/>
    <mergeCell ref="A12:A17"/>
    <mergeCell ref="F12:F17"/>
    <mergeCell ref="A19:A21"/>
    <mergeCell ref="F19:F21"/>
    <mergeCell ref="A22:A23"/>
    <mergeCell ref="F22:F23"/>
    <mergeCell ref="D1:Z1"/>
    <mergeCell ref="D2:Z2"/>
    <mergeCell ref="D3:Z3"/>
    <mergeCell ref="R5:T5"/>
    <mergeCell ref="U5:W5"/>
    <mergeCell ref="X5:Z5"/>
    <mergeCell ref="D5:N5"/>
    <mergeCell ref="O5:Q5"/>
    <mergeCell ref="D4:Z4"/>
  </mergeCells>
  <pageMargins left="0.7" right="0.7" top="0.75" bottom="0.75" header="0.3" footer="0.3"/>
  <pageSetup orientation="portrait" r:id="rId1"/>
  <ignoredErrors>
    <ignoredError sqref="Y10 V10 P15 S15 V15 Y15" formula="1"/>
  </ignoredError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I41"/>
  <sheetViews>
    <sheetView topLeftCell="J1" zoomScale="85" zoomScaleNormal="85" workbookViewId="0">
      <pane ySplit="5" topLeftCell="A33" activePane="bottomLeft" state="frozen"/>
      <selection pane="bottomLeft" activeCell="K41" sqref="K41"/>
    </sheetView>
  </sheetViews>
  <sheetFormatPr baseColWidth="10" defaultColWidth="11.5703125" defaultRowHeight="15.75" x14ac:dyDescent="0.2"/>
  <cols>
    <col min="1" max="2" width="7.28515625" style="143" customWidth="1"/>
    <col min="3" max="3" width="21.85546875" style="102" customWidth="1"/>
    <col min="4" max="4" width="43" style="102" customWidth="1"/>
    <col min="5" max="5" width="30.42578125" style="143" customWidth="1"/>
    <col min="6" max="6" width="8.28515625" style="143" customWidth="1"/>
    <col min="7" max="10" width="8.28515625" style="102" customWidth="1"/>
    <col min="11" max="11" width="20.140625" style="102" customWidth="1"/>
    <col min="12" max="12" width="13" style="102" customWidth="1"/>
    <col min="13" max="13" width="8.28515625" style="102" customWidth="1"/>
    <col min="14" max="14" width="16.5703125" style="102" customWidth="1"/>
    <col min="15" max="15" width="12.28515625" style="102" customWidth="1"/>
    <col min="16" max="16" width="13.85546875" style="102" customWidth="1"/>
    <col min="17" max="17" width="18.5703125" style="102" customWidth="1"/>
    <col min="18" max="18" width="10.42578125" style="102" customWidth="1"/>
    <col min="19" max="19" width="19.140625" style="102" customWidth="1"/>
    <col min="20" max="20" width="21.28515625" style="102" customWidth="1"/>
    <col min="21" max="21" width="12.7109375" style="102" customWidth="1"/>
    <col min="22" max="22" width="23.5703125" style="102" customWidth="1"/>
    <col min="23" max="23" width="17.140625" style="102" bestFit="1" customWidth="1"/>
    <col min="24" max="24" width="15" style="102" bestFit="1" customWidth="1"/>
    <col min="25" max="25" width="10.7109375" style="102" bestFit="1" customWidth="1"/>
    <col min="26" max="26" width="8.28515625" style="102" bestFit="1" customWidth="1"/>
    <col min="27" max="27" width="10.42578125" style="102" bestFit="1" customWidth="1"/>
    <col min="28" max="28" width="21.28515625" style="102" bestFit="1" customWidth="1"/>
    <col min="29" max="29" width="17.140625" style="102" bestFit="1" customWidth="1"/>
    <col min="30" max="30" width="15" style="102" bestFit="1" customWidth="1"/>
    <col min="31" max="31" width="10.7109375" style="102" bestFit="1" customWidth="1"/>
    <col min="32" max="32" width="8.28515625" style="102" bestFit="1" customWidth="1"/>
    <col min="33" max="33" width="10.42578125" style="102" bestFit="1" customWidth="1"/>
    <col min="34" max="34" width="21.28515625" style="102" bestFit="1" customWidth="1"/>
    <col min="35" max="35" width="17.140625" style="102" bestFit="1" customWidth="1"/>
    <col min="36" max="36" width="15" style="102" bestFit="1" customWidth="1"/>
    <col min="37" max="37" width="10.7109375" style="102" bestFit="1" customWidth="1"/>
    <col min="38" max="38" width="8.28515625" style="102" bestFit="1" customWidth="1"/>
    <col min="39" max="39" width="10.42578125" style="102" bestFit="1" customWidth="1"/>
    <col min="40" max="40" width="21.28515625" style="102" bestFit="1" customWidth="1"/>
    <col min="41" max="41" width="17.140625" style="102" bestFit="1" customWidth="1"/>
    <col min="42" max="42" width="15" style="102" bestFit="1" customWidth="1"/>
    <col min="43" max="43" width="10.7109375" style="102" bestFit="1" customWidth="1"/>
    <col min="44" max="44" width="8.28515625" style="102" bestFit="1" customWidth="1"/>
    <col min="45" max="45" width="10.42578125" style="102" bestFit="1" customWidth="1"/>
    <col min="46" max="46" width="10.42578125" style="102" customWidth="1"/>
    <col min="47" max="16384" width="11.5703125" style="102"/>
  </cols>
  <sheetData>
    <row r="1" spans="1:347" ht="70.5" customHeight="1" thickBot="1" x14ac:dyDescent="0.25">
      <c r="A1" s="703"/>
      <c r="B1" s="703"/>
      <c r="C1" s="703"/>
      <c r="D1" s="703"/>
      <c r="E1" s="703"/>
      <c r="F1" s="703"/>
      <c r="G1" s="703"/>
      <c r="H1" s="703"/>
      <c r="I1" s="703"/>
      <c r="J1" s="703"/>
      <c r="K1" s="703"/>
      <c r="L1" s="703"/>
      <c r="M1" s="703"/>
      <c r="N1" s="703"/>
      <c r="O1" s="703"/>
      <c r="P1" s="703"/>
      <c r="Q1" s="703"/>
      <c r="R1" s="703"/>
      <c r="S1" s="703"/>
      <c r="T1" s="703"/>
      <c r="U1" s="703"/>
      <c r="V1" s="704"/>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row>
    <row r="2" spans="1:347" ht="31.5" customHeight="1" thickBot="1" x14ac:dyDescent="0.25">
      <c r="A2" s="705" t="s">
        <v>1187</v>
      </c>
      <c r="B2" s="706"/>
      <c r="C2" s="706"/>
      <c r="D2" s="706"/>
      <c r="E2" s="706"/>
      <c r="F2" s="706"/>
      <c r="G2" s="706"/>
      <c r="H2" s="706"/>
      <c r="I2" s="706"/>
      <c r="J2" s="706"/>
      <c r="K2" s="706"/>
      <c r="L2" s="706"/>
      <c r="M2" s="706"/>
      <c r="N2" s="706"/>
      <c r="O2" s="706"/>
      <c r="P2" s="706"/>
      <c r="Q2" s="706"/>
      <c r="R2" s="706"/>
      <c r="S2" s="706"/>
      <c r="T2" s="706"/>
      <c r="U2" s="706"/>
      <c r="V2" s="707"/>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row>
    <row r="3" spans="1:347" ht="15.75" customHeight="1" x14ac:dyDescent="0.2">
      <c r="A3" s="708" t="s">
        <v>1245</v>
      </c>
      <c r="B3" s="709"/>
      <c r="C3" s="709"/>
      <c r="D3" s="709"/>
      <c r="E3" s="709"/>
      <c r="F3" s="709"/>
      <c r="G3" s="709"/>
      <c r="H3" s="709"/>
      <c r="I3" s="709"/>
      <c r="J3" s="709"/>
      <c r="K3" s="709"/>
      <c r="L3" s="709"/>
      <c r="M3" s="709"/>
      <c r="N3" s="709"/>
      <c r="O3" s="709"/>
      <c r="P3" s="709"/>
      <c r="Q3" s="709"/>
      <c r="R3" s="709"/>
      <c r="S3" s="709"/>
      <c r="T3" s="709"/>
      <c r="U3" s="709"/>
      <c r="V3" s="710"/>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row>
    <row r="4" spans="1:347" ht="15.75" customHeight="1" x14ac:dyDescent="0.2">
      <c r="A4" s="716" t="s">
        <v>1246</v>
      </c>
      <c r="B4" s="717"/>
      <c r="C4" s="717"/>
      <c r="D4" s="717"/>
      <c r="E4" s="717"/>
      <c r="F4" s="717"/>
      <c r="G4" s="717"/>
      <c r="H4" s="717"/>
      <c r="I4" s="717"/>
      <c r="J4" s="718"/>
      <c r="K4" s="663" t="s">
        <v>1190</v>
      </c>
      <c r="L4" s="663"/>
      <c r="M4" s="663"/>
      <c r="N4" s="663" t="s">
        <v>1191</v>
      </c>
      <c r="O4" s="663"/>
      <c r="P4" s="663"/>
      <c r="Q4" s="663" t="s">
        <v>1192</v>
      </c>
      <c r="R4" s="663"/>
      <c r="S4" s="663"/>
      <c r="T4" s="663" t="s">
        <v>1193</v>
      </c>
      <c r="U4" s="663"/>
      <c r="V4" s="663"/>
      <c r="W4" s="105"/>
      <c r="X4" s="105"/>
      <c r="Y4" s="105"/>
      <c r="Z4" s="105"/>
      <c r="AA4" s="105"/>
      <c r="AB4" s="711">
        <v>2022</v>
      </c>
      <c r="AC4" s="711"/>
      <c r="AD4" s="711"/>
      <c r="AE4" s="711"/>
      <c r="AF4" s="711"/>
      <c r="AG4" s="711"/>
      <c r="AH4" s="712">
        <v>2023</v>
      </c>
      <c r="AI4" s="712"/>
      <c r="AJ4" s="712"/>
      <c r="AK4" s="712"/>
      <c r="AL4" s="712"/>
      <c r="AM4" s="712"/>
      <c r="AN4" s="712">
        <v>2024</v>
      </c>
      <c r="AO4" s="712"/>
      <c r="AP4" s="712"/>
      <c r="AQ4" s="712"/>
      <c r="AR4" s="712"/>
      <c r="AS4" s="712"/>
      <c r="AT4" s="106"/>
      <c r="AU4" s="107"/>
      <c r="AV4" s="107"/>
      <c r="AW4" s="107"/>
      <c r="AX4" s="107"/>
      <c r="AY4" s="107"/>
      <c r="AZ4" s="107"/>
      <c r="BA4" s="107"/>
      <c r="BB4" s="107"/>
      <c r="BC4" s="107"/>
      <c r="BD4" s="107"/>
      <c r="BE4" s="107"/>
      <c r="BF4" s="107"/>
      <c r="BG4" s="107"/>
      <c r="BH4" s="107"/>
      <c r="BI4" s="107"/>
      <c r="BJ4" s="107"/>
      <c r="BK4" s="107"/>
      <c r="BL4" s="107"/>
      <c r="BM4" s="107"/>
      <c r="BN4" s="107"/>
      <c r="BO4" s="107"/>
      <c r="BP4" s="107"/>
      <c r="BQ4" s="107"/>
      <c r="BR4" s="107"/>
    </row>
    <row r="5" spans="1:347" s="110" customFormat="1" ht="48.75" customHeight="1" x14ac:dyDescent="0.2">
      <c r="A5" s="108" t="s">
        <v>1247</v>
      </c>
      <c r="B5" s="108" t="s">
        <v>1198</v>
      </c>
      <c r="C5" s="108" t="s">
        <v>1199</v>
      </c>
      <c r="D5" s="108" t="s">
        <v>1200</v>
      </c>
      <c r="E5" s="108" t="s">
        <v>1201</v>
      </c>
      <c r="F5" s="108" t="s">
        <v>1202</v>
      </c>
      <c r="G5" s="108" t="s">
        <v>1248</v>
      </c>
      <c r="H5" s="108" t="s">
        <v>1204</v>
      </c>
      <c r="I5" s="108" t="s">
        <v>1205</v>
      </c>
      <c r="J5" s="108" t="s">
        <v>1206</v>
      </c>
      <c r="K5" s="32" t="s">
        <v>1207</v>
      </c>
      <c r="L5" s="32" t="s">
        <v>1208</v>
      </c>
      <c r="M5" s="32" t="s">
        <v>1209</v>
      </c>
      <c r="N5" s="32" t="s">
        <v>1207</v>
      </c>
      <c r="O5" s="32" t="s">
        <v>1208</v>
      </c>
      <c r="P5" s="32" t="s">
        <v>1209</v>
      </c>
      <c r="Q5" s="32" t="s">
        <v>1207</v>
      </c>
      <c r="R5" s="32" t="s">
        <v>1208</v>
      </c>
      <c r="S5" s="32" t="s">
        <v>1209</v>
      </c>
      <c r="T5" s="32" t="s">
        <v>1207</v>
      </c>
      <c r="U5" s="32" t="s">
        <v>1208</v>
      </c>
      <c r="V5" s="32" t="s">
        <v>1209</v>
      </c>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c r="AU5" s="109"/>
      <c r="AV5" s="109"/>
      <c r="AW5" s="109"/>
      <c r="AX5" s="109"/>
      <c r="AY5" s="109"/>
      <c r="AZ5" s="109"/>
      <c r="BA5" s="109"/>
      <c r="BB5" s="109"/>
      <c r="BC5" s="109"/>
      <c r="BD5" s="109"/>
      <c r="BE5" s="109"/>
      <c r="BF5" s="109"/>
      <c r="BG5" s="109"/>
      <c r="BH5" s="109"/>
      <c r="BI5" s="109"/>
      <c r="BJ5" s="109"/>
      <c r="BK5" s="109"/>
      <c r="BL5" s="109"/>
      <c r="BM5" s="109"/>
      <c r="BN5" s="109"/>
      <c r="BO5" s="109"/>
      <c r="BP5" s="109"/>
      <c r="BQ5" s="109"/>
      <c r="BR5" s="109"/>
    </row>
    <row r="6" spans="1:347" s="107" customFormat="1" ht="78.75" x14ac:dyDescent="0.2">
      <c r="A6" s="232" t="s">
        <v>1249</v>
      </c>
      <c r="B6" s="232" t="s">
        <v>1249</v>
      </c>
      <c r="C6" s="713" t="s">
        <v>1250</v>
      </c>
      <c r="D6" s="231" t="s">
        <v>1251</v>
      </c>
      <c r="E6" s="231" t="s">
        <v>202</v>
      </c>
      <c r="F6" s="112">
        <v>0</v>
      </c>
      <c r="G6" s="229">
        <v>0</v>
      </c>
      <c r="H6" s="229">
        <v>0.1</v>
      </c>
      <c r="I6" s="229">
        <f>'Plan de Acción 2021'!Q286</f>
        <v>0.25</v>
      </c>
      <c r="J6" s="229">
        <v>1</v>
      </c>
      <c r="K6" s="229">
        <f>('Plan de Acción 2021'!W61+'Plan de Acción 2021'!W62+'Plan de Acción 2021'!W63+'Plan de Acción 2021'!W286+'Plan de Acción 2021'!W367+'Plan de Acción 2021'!W369)/6</f>
        <v>0</v>
      </c>
      <c r="L6" s="229">
        <f>(K6*15%)/(I6-H6)</f>
        <v>0</v>
      </c>
      <c r="M6" s="229"/>
      <c r="N6" s="229">
        <f>('Plan de Acción 2021'!Z61+'Plan de Acción 2021'!Z62+'Plan de Acción 2021'!Z63+'Plan de Acción 2021'!Z286+'Plan de Acción 2021'!Z367+'Plan de Acción 2021'!Z369)/6</f>
        <v>0</v>
      </c>
      <c r="O6" s="229">
        <f>(N6*15%)/(I6-H6)</f>
        <v>0</v>
      </c>
      <c r="P6" s="112"/>
      <c r="Q6" s="229">
        <f>('Plan de Acción 2021'!AC61+'Plan de Acción 2021'!AC62+'Plan de Acción 2021'!AC63+'Plan de Acción 2021'!AC286+'Plan de Acción 2021'!AC367+'Plan de Acción 2021'!AC369)/6</f>
        <v>0</v>
      </c>
      <c r="R6" s="229">
        <f>(Q6*15%)/(I6-H6)</f>
        <v>0</v>
      </c>
      <c r="S6" s="112"/>
      <c r="T6" s="229">
        <f>('Plan de Acción 2021'!AF61+'Plan de Acción 2021'!AF62+'Plan de Acción 2021'!AF63+'Plan de Acción 2021'!AF286+'Plan de Acción 2021'!AF367+'Plan de Acción 2021'!AF369)/6</f>
        <v>0</v>
      </c>
      <c r="U6" s="229">
        <f>(T6*15%)/(I6-H6)</f>
        <v>0</v>
      </c>
      <c r="V6" s="112"/>
    </row>
    <row r="7" spans="1:347" ht="78.75" x14ac:dyDescent="0.2">
      <c r="A7" s="113" t="s">
        <v>1249</v>
      </c>
      <c r="B7" s="114" t="s">
        <v>1</v>
      </c>
      <c r="C7" s="713"/>
      <c r="D7" s="236" t="s">
        <v>1252</v>
      </c>
      <c r="E7" s="236" t="s">
        <v>212</v>
      </c>
      <c r="F7" s="111">
        <v>0</v>
      </c>
      <c r="G7" s="115">
        <v>0.15</v>
      </c>
      <c r="H7" s="115">
        <v>0.02</v>
      </c>
      <c r="I7" s="115">
        <f>'Plan de Acción 2021'!Q287</f>
        <v>0.15</v>
      </c>
      <c r="J7" s="115">
        <v>0.5</v>
      </c>
      <c r="K7" s="115"/>
      <c r="L7" s="229">
        <f t="shared" ref="L7" si="0">(K7*100%)/(I7-H7)</f>
        <v>0</v>
      </c>
      <c r="M7" s="115"/>
      <c r="N7" s="111"/>
      <c r="O7" s="229">
        <f t="shared" ref="O7:O28" si="1">(N7*100%)/(I7-H7)</f>
        <v>0</v>
      </c>
      <c r="P7" s="111"/>
      <c r="Q7" s="115"/>
      <c r="R7" s="229">
        <f t="shared" ref="R7:R28" si="2">(Q7*100%)/(I7-H7)</f>
        <v>0</v>
      </c>
      <c r="S7" s="116"/>
      <c r="T7" s="115"/>
      <c r="U7" s="229">
        <f t="shared" ref="U7:U28" si="3">(T7*100%)/(I7-H7)</f>
        <v>0</v>
      </c>
      <c r="V7" s="111"/>
      <c r="EE7" s="107"/>
      <c r="EF7" s="107"/>
      <c r="EG7" s="107"/>
      <c r="EH7" s="107"/>
      <c r="EI7" s="107"/>
      <c r="EJ7" s="107"/>
      <c r="EK7" s="107"/>
      <c r="EL7" s="107"/>
      <c r="EM7" s="107"/>
      <c r="EN7" s="107"/>
      <c r="EO7" s="107"/>
      <c r="EP7" s="107"/>
      <c r="EQ7" s="107"/>
      <c r="ER7" s="107"/>
      <c r="ES7" s="107"/>
      <c r="ET7" s="107"/>
      <c r="EU7" s="107"/>
      <c r="EV7" s="107"/>
      <c r="EW7" s="107"/>
      <c r="EX7" s="107"/>
      <c r="EY7" s="107"/>
      <c r="EZ7" s="107"/>
      <c r="FA7" s="107"/>
      <c r="FB7" s="107"/>
      <c r="FC7" s="107"/>
      <c r="FD7" s="107"/>
      <c r="FE7" s="107"/>
      <c r="FF7" s="107"/>
      <c r="FG7" s="107"/>
      <c r="FH7" s="107"/>
      <c r="FI7" s="107"/>
      <c r="FJ7" s="107"/>
      <c r="FK7" s="107"/>
      <c r="FL7" s="107"/>
      <c r="FM7" s="107"/>
      <c r="FN7" s="107"/>
      <c r="FO7" s="107"/>
      <c r="FP7" s="107"/>
      <c r="FQ7" s="107"/>
      <c r="FR7" s="107"/>
      <c r="FS7" s="107"/>
      <c r="FT7" s="107"/>
      <c r="FU7" s="107"/>
      <c r="FV7" s="107"/>
      <c r="FW7" s="107"/>
      <c r="FX7" s="107"/>
      <c r="FY7" s="107"/>
      <c r="FZ7" s="107"/>
      <c r="GA7" s="107"/>
      <c r="GB7" s="107"/>
      <c r="GC7" s="107"/>
      <c r="GD7" s="107"/>
      <c r="GE7" s="107"/>
      <c r="GF7" s="107"/>
      <c r="GG7" s="107"/>
      <c r="GH7" s="107"/>
      <c r="GI7" s="107"/>
      <c r="GJ7" s="107"/>
      <c r="GK7" s="107"/>
      <c r="GL7" s="107"/>
      <c r="GM7" s="107"/>
      <c r="GN7" s="107"/>
      <c r="GO7" s="107"/>
      <c r="GP7" s="107"/>
      <c r="GQ7" s="107"/>
      <c r="GR7" s="107"/>
      <c r="GS7" s="107"/>
      <c r="GT7" s="107"/>
      <c r="GU7" s="107"/>
      <c r="GV7" s="107"/>
      <c r="GW7" s="107"/>
      <c r="GX7" s="107"/>
      <c r="GY7" s="107"/>
      <c r="GZ7" s="107"/>
      <c r="HA7" s="107"/>
      <c r="HB7" s="107"/>
      <c r="HC7" s="107"/>
      <c r="HD7" s="107"/>
      <c r="HE7" s="107"/>
      <c r="HF7" s="107"/>
      <c r="HG7" s="107"/>
      <c r="HH7" s="107"/>
      <c r="HI7" s="107"/>
      <c r="HJ7" s="107"/>
      <c r="HK7" s="107"/>
      <c r="HL7" s="107"/>
      <c r="HM7" s="107"/>
      <c r="HN7" s="107"/>
      <c r="HO7" s="107"/>
      <c r="HP7" s="107"/>
      <c r="HQ7" s="107"/>
      <c r="HR7" s="107"/>
      <c r="HS7" s="107"/>
      <c r="HT7" s="107"/>
      <c r="HU7" s="107"/>
      <c r="HV7" s="107"/>
      <c r="HW7" s="107"/>
      <c r="HX7" s="107"/>
      <c r="HY7" s="107"/>
      <c r="HZ7" s="107"/>
      <c r="IA7" s="107"/>
      <c r="IB7" s="107"/>
      <c r="IC7" s="107"/>
      <c r="ID7" s="107"/>
      <c r="IE7" s="107"/>
      <c r="IF7" s="107"/>
      <c r="IG7" s="107"/>
      <c r="IH7" s="107"/>
      <c r="II7" s="107"/>
      <c r="IJ7" s="107"/>
      <c r="IK7" s="107"/>
      <c r="IL7" s="107"/>
      <c r="IM7" s="107"/>
      <c r="IN7" s="107"/>
      <c r="IO7" s="107"/>
      <c r="IP7" s="107"/>
      <c r="IQ7" s="107"/>
      <c r="IR7" s="107"/>
      <c r="IS7" s="107"/>
      <c r="IT7" s="107"/>
      <c r="IU7" s="107"/>
      <c r="IV7" s="107"/>
      <c r="IW7" s="107"/>
      <c r="IX7" s="107"/>
      <c r="IY7" s="107"/>
      <c r="IZ7" s="107"/>
      <c r="JA7" s="107"/>
      <c r="JB7" s="107"/>
      <c r="JC7" s="107"/>
      <c r="JD7" s="107"/>
      <c r="JE7" s="107"/>
      <c r="JF7" s="107"/>
      <c r="JG7" s="107"/>
      <c r="JH7" s="107"/>
      <c r="JI7" s="107"/>
      <c r="JJ7" s="107"/>
      <c r="JK7" s="107"/>
      <c r="JL7" s="107"/>
      <c r="JM7" s="107"/>
      <c r="JN7" s="107"/>
      <c r="JO7" s="107"/>
      <c r="JP7" s="107"/>
      <c r="JQ7" s="107"/>
      <c r="JR7" s="107"/>
      <c r="JS7" s="107"/>
      <c r="JT7" s="107"/>
      <c r="JU7" s="107"/>
      <c r="JV7" s="107"/>
      <c r="JW7" s="107"/>
      <c r="JX7" s="107"/>
      <c r="JY7" s="107"/>
      <c r="JZ7" s="107"/>
      <c r="KA7" s="107"/>
      <c r="KB7" s="107"/>
      <c r="KC7" s="107"/>
      <c r="KD7" s="107"/>
      <c r="KE7" s="107"/>
      <c r="KF7" s="107"/>
      <c r="KG7" s="107"/>
      <c r="KH7" s="107"/>
      <c r="KI7" s="107"/>
      <c r="KJ7" s="107"/>
      <c r="KK7" s="107"/>
      <c r="KL7" s="107"/>
      <c r="KM7" s="107"/>
      <c r="KN7" s="107"/>
      <c r="KO7" s="107"/>
      <c r="KP7" s="107"/>
      <c r="KQ7" s="107"/>
      <c r="KR7" s="107"/>
      <c r="KS7" s="107"/>
      <c r="KT7" s="107"/>
      <c r="KU7" s="107"/>
      <c r="KV7" s="107"/>
      <c r="KW7" s="107"/>
      <c r="KX7" s="107"/>
      <c r="KY7" s="107"/>
      <c r="KZ7" s="107"/>
      <c r="LA7" s="107"/>
      <c r="LB7" s="107"/>
      <c r="LC7" s="107"/>
      <c r="LD7" s="107"/>
      <c r="LE7" s="107"/>
      <c r="LF7" s="107"/>
      <c r="LG7" s="107"/>
      <c r="LH7" s="107"/>
      <c r="LI7" s="107"/>
      <c r="LJ7" s="107"/>
      <c r="LK7" s="107"/>
      <c r="LL7" s="107"/>
      <c r="LM7" s="107"/>
      <c r="LN7" s="107"/>
      <c r="LO7" s="107"/>
      <c r="LP7" s="107"/>
      <c r="LQ7" s="107"/>
      <c r="LR7" s="107"/>
      <c r="LS7" s="107"/>
      <c r="LT7" s="107"/>
      <c r="LU7" s="107"/>
      <c r="LV7" s="107"/>
      <c r="LW7" s="107"/>
      <c r="LX7" s="107"/>
      <c r="LY7" s="107"/>
      <c r="LZ7" s="107"/>
      <c r="MA7" s="107"/>
      <c r="MB7" s="107"/>
      <c r="MC7" s="107"/>
      <c r="MD7" s="107"/>
      <c r="ME7" s="107"/>
      <c r="MF7" s="107"/>
      <c r="MG7" s="107"/>
      <c r="MH7" s="107"/>
      <c r="MI7" s="107"/>
    </row>
    <row r="8" spans="1:347" ht="78.75" x14ac:dyDescent="0.2">
      <c r="A8" s="117" t="s">
        <v>1249</v>
      </c>
      <c r="B8" s="117" t="s">
        <v>1253</v>
      </c>
      <c r="C8" s="714" t="s">
        <v>1254</v>
      </c>
      <c r="D8" s="117" t="s">
        <v>677</v>
      </c>
      <c r="E8" s="117" t="s">
        <v>679</v>
      </c>
      <c r="F8" s="118">
        <f>10/150</f>
        <v>6.6666666666666666E-2</v>
      </c>
      <c r="G8" s="119">
        <v>0.08</v>
      </c>
      <c r="H8" s="119">
        <v>2.0000000000000001E-4</v>
      </c>
      <c r="I8" s="119">
        <f>'Plan de Acción 2021'!Q259</f>
        <v>0.12</v>
      </c>
      <c r="J8" s="119">
        <v>0.2</v>
      </c>
      <c r="K8" s="119">
        <f>'Plan de Acción 2021'!W259</f>
        <v>0</v>
      </c>
      <c r="L8" s="229">
        <f>(K8*12%)/(I8-H8)</f>
        <v>0</v>
      </c>
      <c r="M8" s="119"/>
      <c r="N8" s="119">
        <f>'Plan de Acción 2021'!Z259</f>
        <v>0</v>
      </c>
      <c r="O8" s="229">
        <f>(N8*12%)/(I8-H8)</f>
        <v>0</v>
      </c>
      <c r="P8" s="120"/>
      <c r="Q8" s="119">
        <f>'Plan de Acción 2021'!AC259</f>
        <v>0</v>
      </c>
      <c r="R8" s="229">
        <f>(Q8*12%)/(I8-H8)</f>
        <v>0</v>
      </c>
      <c r="S8" s="120"/>
      <c r="T8" s="119">
        <f>'Plan de Acción 2021'!AF259</f>
        <v>0</v>
      </c>
      <c r="U8" s="229">
        <f>(T8*12%)/(I8-H8)</f>
        <v>0</v>
      </c>
      <c r="V8" s="121"/>
      <c r="EE8" s="107"/>
      <c r="EF8" s="107"/>
      <c r="EG8" s="107"/>
      <c r="EH8" s="107"/>
      <c r="EI8" s="107"/>
      <c r="EJ8" s="107"/>
      <c r="EK8" s="107"/>
      <c r="EL8" s="107"/>
      <c r="EM8" s="107"/>
      <c r="EN8" s="107"/>
      <c r="EO8" s="107"/>
      <c r="EP8" s="107"/>
      <c r="EQ8" s="107"/>
      <c r="ER8" s="107"/>
      <c r="ES8" s="107"/>
      <c r="ET8" s="107"/>
      <c r="EU8" s="107"/>
      <c r="EV8" s="107"/>
      <c r="EW8" s="107"/>
      <c r="EX8" s="107"/>
      <c r="EY8" s="107"/>
      <c r="EZ8" s="107"/>
      <c r="FA8" s="107"/>
      <c r="FB8" s="107"/>
      <c r="FC8" s="107"/>
      <c r="FD8" s="107"/>
      <c r="FE8" s="107"/>
      <c r="FF8" s="107"/>
      <c r="FG8" s="107"/>
      <c r="FH8" s="107"/>
      <c r="FI8" s="107"/>
      <c r="FJ8" s="107"/>
      <c r="FK8" s="107"/>
      <c r="FL8" s="107"/>
      <c r="FM8" s="107"/>
      <c r="FN8" s="107"/>
      <c r="FO8" s="107"/>
      <c r="FP8" s="107"/>
      <c r="FQ8" s="107"/>
      <c r="FR8" s="107"/>
      <c r="FS8" s="107"/>
      <c r="FT8" s="107"/>
      <c r="FU8" s="107"/>
      <c r="FV8" s="107"/>
      <c r="FW8" s="107"/>
      <c r="FX8" s="107"/>
      <c r="FY8" s="107"/>
      <c r="FZ8" s="107"/>
      <c r="GA8" s="107"/>
      <c r="GB8" s="107"/>
      <c r="GC8" s="107"/>
      <c r="GD8" s="107"/>
      <c r="GE8" s="107"/>
      <c r="GF8" s="107"/>
      <c r="GG8" s="107"/>
      <c r="GH8" s="107"/>
      <c r="GI8" s="107"/>
      <c r="GJ8" s="107"/>
      <c r="GK8" s="107"/>
      <c r="GL8" s="107"/>
      <c r="GM8" s="107"/>
      <c r="GN8" s="107"/>
      <c r="GO8" s="107"/>
      <c r="GP8" s="107"/>
      <c r="GQ8" s="107"/>
      <c r="GR8" s="107"/>
      <c r="GS8" s="107"/>
      <c r="GT8" s="107"/>
      <c r="GU8" s="107"/>
      <c r="GV8" s="107"/>
      <c r="GW8" s="107"/>
      <c r="GX8" s="107"/>
      <c r="GY8" s="107"/>
      <c r="GZ8" s="107"/>
      <c r="HA8" s="107"/>
      <c r="HB8" s="107"/>
      <c r="HC8" s="107"/>
      <c r="HD8" s="107"/>
      <c r="HE8" s="107"/>
      <c r="HF8" s="107"/>
      <c r="HG8" s="107"/>
      <c r="HH8" s="107"/>
      <c r="HI8" s="107"/>
      <c r="HJ8" s="107"/>
      <c r="HK8" s="107"/>
      <c r="HL8" s="107"/>
      <c r="HM8" s="107"/>
      <c r="HN8" s="107"/>
      <c r="HO8" s="107"/>
      <c r="HP8" s="107"/>
      <c r="HQ8" s="107"/>
      <c r="HR8" s="107"/>
      <c r="HS8" s="107"/>
      <c r="HT8" s="107"/>
      <c r="HU8" s="107"/>
      <c r="HV8" s="107"/>
      <c r="HW8" s="107"/>
      <c r="HX8" s="107"/>
      <c r="HY8" s="107"/>
      <c r="HZ8" s="107"/>
      <c r="IA8" s="107"/>
      <c r="IB8" s="107"/>
      <c r="IC8" s="107"/>
      <c r="ID8" s="107"/>
      <c r="IE8" s="107"/>
      <c r="IF8" s="107"/>
      <c r="IG8" s="107"/>
      <c r="IH8" s="107"/>
      <c r="II8" s="107"/>
      <c r="IJ8" s="107"/>
      <c r="IK8" s="107"/>
      <c r="IL8" s="107"/>
      <c r="IM8" s="107"/>
      <c r="IN8" s="107"/>
      <c r="IO8" s="107"/>
      <c r="IP8" s="107"/>
      <c r="IQ8" s="107"/>
      <c r="IR8" s="107"/>
      <c r="IS8" s="107"/>
      <c r="IT8" s="107"/>
      <c r="IU8" s="107"/>
      <c r="IV8" s="107"/>
      <c r="IW8" s="107"/>
      <c r="IX8" s="107"/>
      <c r="IY8" s="107"/>
      <c r="IZ8" s="107"/>
      <c r="JA8" s="107"/>
      <c r="JB8" s="107"/>
      <c r="JC8" s="107"/>
      <c r="JD8" s="107"/>
      <c r="JE8" s="107"/>
      <c r="JF8" s="107"/>
      <c r="JG8" s="107"/>
      <c r="JH8" s="107"/>
      <c r="JI8" s="107"/>
      <c r="JJ8" s="107"/>
      <c r="JK8" s="107"/>
      <c r="JL8" s="107"/>
      <c r="JM8" s="107"/>
      <c r="JN8" s="107"/>
      <c r="JO8" s="107"/>
      <c r="JP8" s="107"/>
      <c r="JQ8" s="107"/>
      <c r="JR8" s="107"/>
      <c r="JS8" s="107"/>
      <c r="JT8" s="107"/>
      <c r="JU8" s="107"/>
      <c r="JV8" s="107"/>
      <c r="JW8" s="107"/>
      <c r="JX8" s="107"/>
      <c r="JY8" s="107"/>
      <c r="JZ8" s="107"/>
      <c r="KA8" s="107"/>
      <c r="KB8" s="107"/>
      <c r="KC8" s="107"/>
      <c r="KD8" s="107"/>
      <c r="KE8" s="107"/>
      <c r="KF8" s="107"/>
      <c r="KG8" s="107"/>
      <c r="KH8" s="107"/>
      <c r="KI8" s="107"/>
      <c r="KJ8" s="107"/>
      <c r="KK8" s="107"/>
      <c r="KL8" s="107"/>
      <c r="KM8" s="107"/>
      <c r="KN8" s="107"/>
      <c r="KO8" s="107"/>
      <c r="KP8" s="107"/>
      <c r="KQ8" s="107"/>
      <c r="KR8" s="107"/>
      <c r="KS8" s="107"/>
      <c r="KT8" s="107"/>
      <c r="KU8" s="107"/>
      <c r="KV8" s="107"/>
      <c r="KW8" s="107"/>
      <c r="KX8" s="107"/>
      <c r="KY8" s="107"/>
      <c r="KZ8" s="107"/>
      <c r="LA8" s="107"/>
      <c r="LB8" s="107"/>
      <c r="LC8" s="107"/>
      <c r="LD8" s="107"/>
      <c r="LE8" s="107"/>
      <c r="LF8" s="107"/>
      <c r="LG8" s="107"/>
      <c r="LH8" s="107"/>
      <c r="LI8" s="107"/>
      <c r="LJ8" s="107"/>
      <c r="LK8" s="107"/>
      <c r="LL8" s="107"/>
      <c r="LM8" s="107"/>
      <c r="LN8" s="107"/>
      <c r="LO8" s="107"/>
      <c r="LP8" s="107"/>
      <c r="LQ8" s="107"/>
      <c r="LR8" s="107"/>
      <c r="LS8" s="107"/>
      <c r="LT8" s="107"/>
      <c r="LU8" s="107"/>
      <c r="LV8" s="107"/>
      <c r="LW8" s="107"/>
      <c r="LX8" s="107"/>
      <c r="LY8" s="107"/>
      <c r="LZ8" s="107"/>
      <c r="MA8" s="107"/>
      <c r="MB8" s="107"/>
      <c r="MC8" s="107"/>
      <c r="MD8" s="107"/>
      <c r="ME8" s="107"/>
      <c r="MF8" s="107"/>
      <c r="MG8" s="107"/>
      <c r="MH8" s="107"/>
      <c r="MI8" s="107"/>
    </row>
    <row r="9" spans="1:347" s="107" customFormat="1" ht="135" customHeight="1" x14ac:dyDescent="0.2">
      <c r="A9" s="122" t="s">
        <v>1249</v>
      </c>
      <c r="B9" s="122" t="s">
        <v>1253</v>
      </c>
      <c r="C9" s="715"/>
      <c r="D9" s="122" t="s">
        <v>1255</v>
      </c>
      <c r="E9" s="122" t="s">
        <v>673</v>
      </c>
      <c r="F9" s="123">
        <v>0.05</v>
      </c>
      <c r="G9" s="123">
        <v>0.3</v>
      </c>
      <c r="H9" s="123">
        <v>0.3</v>
      </c>
      <c r="I9" s="123">
        <f>'Plan de Acción 2021'!Q257</f>
        <v>0.6</v>
      </c>
      <c r="J9" s="123">
        <v>1</v>
      </c>
      <c r="K9" s="123">
        <f>('Plan de Acción 2021'!W257+'Plan de Acción 2021'!W258)/2</f>
        <v>0</v>
      </c>
      <c r="L9" s="229">
        <f>(K9*30%)/(I9-H9)</f>
        <v>0</v>
      </c>
      <c r="M9" s="123"/>
      <c r="N9" s="123">
        <f>('Plan de Acción 2021'!Z257+'Plan de Acción 2021'!Z258)/2</f>
        <v>0</v>
      </c>
      <c r="O9" s="229">
        <f>(N9*30%)/(I9-H9)</f>
        <v>0</v>
      </c>
      <c r="P9" s="123"/>
      <c r="Q9" s="123">
        <f>('Plan de Acción 2021'!AC257+'Plan de Acción 2021'!AC258)/2</f>
        <v>0</v>
      </c>
      <c r="R9" s="229">
        <f>(Q9*30%)/(I9-H9)</f>
        <v>0</v>
      </c>
      <c r="S9" s="124"/>
      <c r="T9" s="123">
        <f>('Plan de Acción 2021'!AF257+'Plan de Acción 2021'!AF258)/2</f>
        <v>0</v>
      </c>
      <c r="U9" s="229">
        <f>(T9*30%)/(I9-H9)</f>
        <v>0</v>
      </c>
      <c r="V9" s="125"/>
      <c r="W9" s="102"/>
      <c r="X9" s="102"/>
      <c r="Y9" s="102"/>
      <c r="Z9" s="102"/>
      <c r="AA9" s="102"/>
      <c r="AB9" s="102"/>
      <c r="AC9" s="102"/>
      <c r="AD9" s="102"/>
      <c r="AE9" s="102"/>
      <c r="AF9" s="102"/>
      <c r="AG9" s="102"/>
      <c r="AH9" s="102"/>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2"/>
      <c r="BK9" s="102"/>
      <c r="BL9" s="102"/>
      <c r="BM9" s="102"/>
      <c r="BN9" s="102"/>
      <c r="BO9" s="102"/>
      <c r="BP9" s="102"/>
      <c r="BQ9" s="102"/>
      <c r="BR9" s="102"/>
      <c r="BS9" s="102"/>
      <c r="BT9" s="102"/>
      <c r="BU9" s="102"/>
      <c r="BV9" s="102"/>
      <c r="BW9" s="102"/>
      <c r="BX9" s="102"/>
      <c r="BY9" s="102"/>
      <c r="BZ9" s="102"/>
      <c r="CA9" s="102"/>
      <c r="CB9" s="102"/>
      <c r="CC9" s="102"/>
      <c r="CD9" s="102"/>
      <c r="CE9" s="102"/>
      <c r="CF9" s="102"/>
      <c r="CG9" s="102"/>
      <c r="CH9" s="102"/>
      <c r="CI9" s="102"/>
      <c r="CJ9" s="102"/>
      <c r="CK9" s="102"/>
      <c r="CL9" s="102"/>
      <c r="CM9" s="102"/>
      <c r="CN9" s="102"/>
      <c r="CO9" s="102"/>
      <c r="CP9" s="102"/>
      <c r="CQ9" s="102"/>
      <c r="CR9" s="102"/>
      <c r="CS9" s="102"/>
      <c r="CT9" s="102"/>
      <c r="CU9" s="102"/>
      <c r="CV9" s="102"/>
      <c r="CW9" s="102"/>
      <c r="CX9" s="102"/>
      <c r="CY9" s="102"/>
      <c r="CZ9" s="102"/>
      <c r="DA9" s="102"/>
      <c r="DB9" s="102"/>
      <c r="DC9" s="102"/>
      <c r="DD9" s="102"/>
      <c r="DE9" s="102"/>
      <c r="DF9" s="102"/>
      <c r="DG9" s="102"/>
      <c r="DH9" s="102"/>
      <c r="DI9" s="102"/>
      <c r="DJ9" s="102"/>
      <c r="DK9" s="102"/>
      <c r="DL9" s="102"/>
      <c r="DM9" s="102"/>
      <c r="DN9" s="102"/>
      <c r="DO9" s="102"/>
      <c r="DP9" s="102"/>
      <c r="DQ9" s="102"/>
      <c r="DR9" s="102"/>
      <c r="DS9" s="102"/>
      <c r="DT9" s="102"/>
      <c r="DU9" s="102"/>
      <c r="DV9" s="102"/>
      <c r="DW9" s="102"/>
      <c r="DX9" s="102"/>
      <c r="DY9" s="102"/>
      <c r="DZ9" s="102"/>
      <c r="EA9" s="102"/>
      <c r="EB9" s="102"/>
      <c r="EC9" s="102"/>
      <c r="ED9" s="102"/>
    </row>
    <row r="10" spans="1:347" s="107" customFormat="1" ht="78.75" x14ac:dyDescent="0.2">
      <c r="A10" s="122" t="s">
        <v>1249</v>
      </c>
      <c r="B10" s="122" t="s">
        <v>1253</v>
      </c>
      <c r="C10" s="715"/>
      <c r="D10" s="126" t="s">
        <v>1256</v>
      </c>
      <c r="E10" s="122" t="s">
        <v>663</v>
      </c>
      <c r="F10" s="226" t="s">
        <v>1257</v>
      </c>
      <c r="G10" s="123">
        <v>0</v>
      </c>
      <c r="H10" s="123">
        <v>0</v>
      </c>
      <c r="I10" s="123">
        <f>'Plan de Acción 2021'!Q254</f>
        <v>0.33</v>
      </c>
      <c r="J10" s="226">
        <v>1300</v>
      </c>
      <c r="K10" s="123">
        <f>('Plan de Acción 2021'!W254+'Plan de Acción 2021'!W255+'Plan de Acción 2021'!W256)/3</f>
        <v>0</v>
      </c>
      <c r="L10" s="229">
        <f>(K10*33%)/(I10-H10)</f>
        <v>0</v>
      </c>
      <c r="M10" s="226"/>
      <c r="N10" s="123">
        <f>('Plan de Acción 2021'!Z254+'Plan de Acción 2021'!Z255+'Plan de Acción 2021'!Z256)/3</f>
        <v>0</v>
      </c>
      <c r="O10" s="229">
        <f>(N10*33%)/(I10-H10)</f>
        <v>0</v>
      </c>
      <c r="P10" s="122"/>
      <c r="Q10" s="123">
        <f>('Plan de Acción 2021'!AC254+'Plan de Acción 2021'!AC255+'Plan de Acción 2021'!AC256)/3</f>
        <v>0</v>
      </c>
      <c r="R10" s="229">
        <f>(Q10*33%)/(I10-H10)</f>
        <v>0</v>
      </c>
      <c r="S10" s="185"/>
      <c r="T10" s="123">
        <f>('Plan de Acción 2021'!AF254+'Plan de Acción 2021'!AF255+'Plan de Acción 2021'!AF256)/3</f>
        <v>0</v>
      </c>
      <c r="U10" s="229">
        <f>(T10*33%)/(I10-H10)</f>
        <v>0</v>
      </c>
      <c r="V10" s="227"/>
    </row>
    <row r="11" spans="1:347" s="107" customFormat="1" ht="78.75" x14ac:dyDescent="0.2">
      <c r="A11" s="122" t="s">
        <v>1249</v>
      </c>
      <c r="B11" s="122" t="s">
        <v>1258</v>
      </c>
      <c r="C11" s="702" t="s">
        <v>1259</v>
      </c>
      <c r="D11" s="126" t="s">
        <v>705</v>
      </c>
      <c r="E11" s="122" t="s">
        <v>708</v>
      </c>
      <c r="F11" s="123">
        <v>0.04</v>
      </c>
      <c r="G11" s="222">
        <v>0</v>
      </c>
      <c r="H11" s="123">
        <v>0</v>
      </c>
      <c r="I11" s="222">
        <f>'Plan de Acción 2021'!Q266</f>
        <v>0.1</v>
      </c>
      <c r="J11" s="136">
        <v>0.2</v>
      </c>
      <c r="K11" s="136">
        <f>('Plan de Acción 2021'!W266+'Plan de Acción 2021'!W267+'Plan de Acción 2021'!W268+'Plan de Acción 2021'!W269+'Plan de Acción 2021'!W270+'Plan de Acción 2021'!W271+'Plan de Acción 2021'!W272+'Plan de Acción 2021'!W273+'Plan de Acción 2021'!W274+'Plan de Acción 2021'!W275+'Plan de Acción 2021'!W276+'Plan de Acción 2021'!W277+'Plan de Acción 2021'!W278+'Plan de Acción 2021'!W279+'Plan de Acción 2021'!W299)/15</f>
        <v>0</v>
      </c>
      <c r="L11" s="229">
        <f>(K11*10%)/(I11-H11)</f>
        <v>0</v>
      </c>
      <c r="M11" s="136"/>
      <c r="N11" s="136">
        <f>('Plan de Acción 2021'!Z266+'Plan de Acción 2021'!Z267+'Plan de Acción 2021'!Z268+'Plan de Acción 2021'!Z269+'Plan de Acción 2021'!Z270+'Plan de Acción 2021'!Z271+'Plan de Acción 2021'!Z272+'Plan de Acción 2021'!Z273+'Plan de Acción 2021'!Z274+'Plan de Acción 2021'!Z275+'Plan de Acción 2021'!Z276+'Plan de Acción 2021'!Z277+'Plan de Acción 2021'!Z278+'Plan de Acción 2021'!Z279+'Plan de Acción 2021'!Z299)/15</f>
        <v>0</v>
      </c>
      <c r="O11" s="229">
        <f>(N11*10%)/(I11-H11)</f>
        <v>0</v>
      </c>
      <c r="P11" s="126"/>
      <c r="Q11" s="136">
        <f>('Plan de Acción 2021'!AC266+'Plan de Acción 2021'!AC267+'Plan de Acción 2021'!AC268+'Plan de Acción 2021'!AC269+'Plan de Acción 2021'!AC270+'Plan de Acción 2021'!AC271+'Plan de Acción 2021'!AC272+'Plan de Acción 2021'!AC273+'Plan de Acción 2021'!AC274+'Plan de Acción 2021'!AC275+'Plan de Acción 2021'!AC276+'Plan de Acción 2021'!AC277+'Plan de Acción 2021'!AC278+'Plan de Acción 2021'!AC279+'Plan de Acción 2021'!AC299)/15</f>
        <v>0</v>
      </c>
      <c r="R11" s="229">
        <f>(Q11*10%)/(I11-H11)</f>
        <v>0</v>
      </c>
      <c r="S11" s="122"/>
      <c r="T11" s="136">
        <f>('Plan de Acción 2021'!AF266+'Plan de Acción 2021'!AF267+'Plan de Acción 2021'!AF268+'Plan de Acción 2021'!AF269+'Plan de Acción 2021'!AF270+'Plan de Acción 2021'!AF271+'Plan de Acción 2021'!AF272+'Plan de Acción 2021'!AF273+'Plan de Acción 2021'!AF274+'Plan de Acción 2021'!AF275+'Plan de Acción 2021'!AF276+'Plan de Acción 2021'!AF277+'Plan de Acción 2021'!AF278+'Plan de Acción 2021'!AF279+'Plan de Acción 2021'!AF299)/15</f>
        <v>0</v>
      </c>
      <c r="U11" s="229">
        <f>(T11*10%)/(I11-H11)</f>
        <v>0</v>
      </c>
      <c r="V11" s="122"/>
    </row>
    <row r="12" spans="1:347" s="107" customFormat="1" ht="78.75" x14ac:dyDescent="0.2">
      <c r="A12" s="122" t="s">
        <v>1249</v>
      </c>
      <c r="B12" s="122" t="s">
        <v>1258</v>
      </c>
      <c r="C12" s="702"/>
      <c r="D12" s="122" t="s">
        <v>1260</v>
      </c>
      <c r="E12" s="122" t="s">
        <v>698</v>
      </c>
      <c r="F12" s="122">
        <v>0</v>
      </c>
      <c r="G12" s="123">
        <v>0</v>
      </c>
      <c r="H12" s="123">
        <v>0</v>
      </c>
      <c r="I12" s="123">
        <f>'Plan de Acción 2021'!Q263</f>
        <v>0.33</v>
      </c>
      <c r="J12" s="122">
        <v>3600</v>
      </c>
      <c r="K12" s="136">
        <f>('Plan de Acción 2021'!W263+'Plan de Acción 2021'!W264+'Plan de Acción 2021'!W265)/3</f>
        <v>0</v>
      </c>
      <c r="L12" s="229">
        <f>(K12*33%)/(I12-H12)</f>
        <v>0</v>
      </c>
      <c r="M12" s="122"/>
      <c r="N12" s="136">
        <f>('Plan de Acción 2021'!Z263+'Plan de Acción 2021'!Z264+'Plan de Acción 2021'!Z265)/3</f>
        <v>0</v>
      </c>
      <c r="O12" s="229">
        <f>(N12*33%)/(I12-H12)</f>
        <v>0</v>
      </c>
      <c r="P12" s="126"/>
      <c r="Q12" s="136">
        <f>('Plan de Acción 2021'!AC263+'Plan de Acción 2021'!AC264+'Plan de Acción 2021'!AC265)/3</f>
        <v>0</v>
      </c>
      <c r="R12" s="229">
        <f>(Q12*33%)/(I12-H12)</f>
        <v>0</v>
      </c>
      <c r="S12" s="122"/>
      <c r="T12" s="136">
        <f>('Plan de Acción 2021'!AF263+'Plan de Acción 2021'!AF264+'Plan de Acción 2021'!AF265)/3</f>
        <v>0</v>
      </c>
      <c r="U12" s="229">
        <f>(T12*33%)/(I12-H12)</f>
        <v>0</v>
      </c>
      <c r="V12" s="122"/>
    </row>
    <row r="13" spans="1:347" ht="117.75" customHeight="1" x14ac:dyDescent="0.2">
      <c r="A13" s="127" t="s">
        <v>1249</v>
      </c>
      <c r="B13" s="128" t="s">
        <v>1258</v>
      </c>
      <c r="C13" s="702"/>
      <c r="D13" s="128" t="s">
        <v>690</v>
      </c>
      <c r="E13" s="127" t="s">
        <v>693</v>
      </c>
      <c r="F13" s="127">
        <v>0</v>
      </c>
      <c r="G13" s="129" t="s">
        <v>1261</v>
      </c>
      <c r="H13" s="131">
        <v>0.01</v>
      </c>
      <c r="I13" s="129">
        <f>'Plan de Acción 2021'!Q262</f>
        <v>0.66</v>
      </c>
      <c r="J13" s="127">
        <v>3</v>
      </c>
      <c r="K13" s="237">
        <f>('Plan de Acción 2021'!W262)</f>
        <v>0</v>
      </c>
      <c r="L13" s="229">
        <f>(K13*65%)/(I13-H13)</f>
        <v>0</v>
      </c>
      <c r="M13" s="127"/>
      <c r="N13" s="237">
        <f>('Plan de Acción 2021'!Z262)</f>
        <v>0</v>
      </c>
      <c r="O13" s="229">
        <f>(N13*65%)/(I13-H13)</f>
        <v>0</v>
      </c>
      <c r="P13" s="130"/>
      <c r="Q13" s="237">
        <f>('Plan de Acción 2021'!AC262)</f>
        <v>0</v>
      </c>
      <c r="R13" s="229">
        <f>(Q13*65%)/(I13-H13)</f>
        <v>0</v>
      </c>
      <c r="S13" s="130"/>
      <c r="T13" s="237">
        <f>('Plan de Acción 2021'!AF262)</f>
        <v>0</v>
      </c>
      <c r="U13" s="229">
        <f>(T13*54%)/(I13-H13)</f>
        <v>0</v>
      </c>
      <c r="V13" s="132"/>
      <c r="EE13" s="107"/>
      <c r="EF13" s="107"/>
      <c r="EG13" s="107"/>
      <c r="EH13" s="107"/>
      <c r="EI13" s="107"/>
      <c r="EJ13" s="107"/>
      <c r="EK13" s="107"/>
      <c r="EL13" s="107"/>
      <c r="EM13" s="107"/>
      <c r="EN13" s="107"/>
      <c r="EO13" s="107"/>
      <c r="EP13" s="107"/>
      <c r="EQ13" s="107"/>
      <c r="ER13" s="107"/>
      <c r="ES13" s="107"/>
      <c r="ET13" s="107"/>
      <c r="EU13" s="107"/>
      <c r="EV13" s="107"/>
      <c r="EW13" s="107"/>
      <c r="EX13" s="107"/>
      <c r="EY13" s="107"/>
      <c r="EZ13" s="107"/>
      <c r="FA13" s="107"/>
      <c r="FB13" s="107"/>
      <c r="FC13" s="107"/>
      <c r="FD13" s="107"/>
      <c r="FE13" s="107"/>
      <c r="FF13" s="107"/>
      <c r="FG13" s="107"/>
      <c r="FH13" s="107"/>
      <c r="FI13" s="107"/>
      <c r="FJ13" s="107"/>
      <c r="FK13" s="107"/>
      <c r="FL13" s="107"/>
      <c r="FM13" s="107"/>
      <c r="FN13" s="107"/>
      <c r="FO13" s="107"/>
      <c r="FP13" s="107"/>
      <c r="FQ13" s="107"/>
      <c r="FR13" s="107"/>
      <c r="FS13" s="107"/>
      <c r="FT13" s="107"/>
      <c r="FU13" s="107"/>
      <c r="FV13" s="107"/>
      <c r="FW13" s="107"/>
      <c r="FX13" s="107"/>
      <c r="FY13" s="107"/>
      <c r="FZ13" s="107"/>
      <c r="GA13" s="107"/>
      <c r="GB13" s="107"/>
      <c r="GC13" s="107"/>
      <c r="GD13" s="107"/>
      <c r="GE13" s="107"/>
      <c r="GF13" s="107"/>
      <c r="GG13" s="107"/>
      <c r="GH13" s="107"/>
      <c r="GI13" s="107"/>
      <c r="GJ13" s="107"/>
      <c r="GK13" s="107"/>
      <c r="GL13" s="107"/>
      <c r="GM13" s="107"/>
      <c r="GN13" s="107"/>
      <c r="GO13" s="107"/>
      <c r="GP13" s="107"/>
      <c r="GQ13" s="107"/>
      <c r="GR13" s="107"/>
      <c r="GS13" s="107"/>
      <c r="GT13" s="107"/>
      <c r="GU13" s="107"/>
      <c r="GV13" s="107"/>
      <c r="GW13" s="107"/>
      <c r="GX13" s="107"/>
      <c r="GY13" s="107"/>
      <c r="GZ13" s="107"/>
      <c r="HA13" s="107"/>
      <c r="HB13" s="107"/>
      <c r="HC13" s="107"/>
      <c r="HD13" s="107"/>
      <c r="HE13" s="107"/>
      <c r="HF13" s="107"/>
      <c r="HG13" s="107"/>
      <c r="HH13" s="107"/>
      <c r="HI13" s="107"/>
      <c r="HJ13" s="107"/>
      <c r="HK13" s="107"/>
      <c r="HL13" s="107"/>
      <c r="HM13" s="107"/>
      <c r="HN13" s="107"/>
      <c r="HO13" s="107"/>
      <c r="HP13" s="107"/>
      <c r="HQ13" s="107"/>
      <c r="HR13" s="107"/>
      <c r="HS13" s="107"/>
      <c r="HT13" s="107"/>
      <c r="HU13" s="107"/>
      <c r="HV13" s="107"/>
      <c r="HW13" s="107"/>
      <c r="HX13" s="107"/>
      <c r="HY13" s="107"/>
      <c r="HZ13" s="107"/>
      <c r="IA13" s="107"/>
      <c r="IB13" s="107"/>
      <c r="IC13" s="107"/>
      <c r="ID13" s="107"/>
      <c r="IE13" s="107"/>
      <c r="IF13" s="107"/>
      <c r="IG13" s="107"/>
      <c r="IH13" s="107"/>
      <c r="II13" s="107"/>
      <c r="IJ13" s="107"/>
      <c r="IK13" s="107"/>
      <c r="IL13" s="107"/>
      <c r="IM13" s="107"/>
      <c r="IN13" s="107"/>
      <c r="IO13" s="107"/>
      <c r="IP13" s="107"/>
      <c r="IQ13" s="107"/>
      <c r="IR13" s="107"/>
      <c r="IS13" s="107"/>
      <c r="IT13" s="107"/>
      <c r="IU13" s="107"/>
      <c r="IV13" s="107"/>
      <c r="IW13" s="107"/>
      <c r="IX13" s="107"/>
      <c r="IY13" s="107"/>
      <c r="IZ13" s="107"/>
      <c r="JA13" s="107"/>
      <c r="JB13" s="107"/>
      <c r="JC13" s="107"/>
      <c r="JD13" s="107"/>
      <c r="JE13" s="107"/>
      <c r="JF13" s="107"/>
      <c r="JG13" s="107"/>
      <c r="JH13" s="107"/>
      <c r="JI13" s="107"/>
      <c r="JJ13" s="107"/>
      <c r="JK13" s="107"/>
      <c r="JL13" s="107"/>
      <c r="JM13" s="107"/>
      <c r="JN13" s="107"/>
      <c r="JO13" s="107"/>
      <c r="JP13" s="107"/>
      <c r="JQ13" s="107"/>
      <c r="JR13" s="107"/>
      <c r="JS13" s="107"/>
      <c r="JT13" s="107"/>
      <c r="JU13" s="107"/>
      <c r="JV13" s="107"/>
      <c r="JW13" s="107"/>
      <c r="JX13" s="107"/>
      <c r="JY13" s="107"/>
      <c r="JZ13" s="107"/>
      <c r="KA13" s="107"/>
      <c r="KB13" s="107"/>
      <c r="KC13" s="107"/>
      <c r="KD13" s="107"/>
      <c r="KE13" s="107"/>
      <c r="KF13" s="107"/>
      <c r="KG13" s="107"/>
      <c r="KH13" s="107"/>
      <c r="KI13" s="107"/>
      <c r="KJ13" s="107"/>
      <c r="KK13" s="107"/>
      <c r="KL13" s="107"/>
      <c r="KM13" s="107"/>
      <c r="KN13" s="107"/>
      <c r="KO13" s="107"/>
      <c r="KP13" s="107"/>
      <c r="KQ13" s="107"/>
      <c r="KR13" s="107"/>
      <c r="KS13" s="107"/>
      <c r="KT13" s="107"/>
      <c r="KU13" s="107"/>
      <c r="KV13" s="107"/>
      <c r="KW13" s="107"/>
      <c r="KX13" s="107"/>
      <c r="KY13" s="107"/>
      <c r="KZ13" s="107"/>
      <c r="LA13" s="107"/>
      <c r="LB13" s="107"/>
      <c r="LC13" s="107"/>
      <c r="LD13" s="107"/>
      <c r="LE13" s="107"/>
      <c r="LF13" s="107"/>
      <c r="LG13" s="107"/>
      <c r="LH13" s="107"/>
      <c r="LI13" s="107"/>
      <c r="LJ13" s="107"/>
      <c r="LK13" s="107"/>
      <c r="LL13" s="107"/>
      <c r="LM13" s="107"/>
      <c r="LN13" s="107"/>
      <c r="LO13" s="107"/>
      <c r="LP13" s="107"/>
      <c r="LQ13" s="107"/>
      <c r="LR13" s="107"/>
      <c r="LS13" s="107"/>
      <c r="LT13" s="107"/>
      <c r="LU13" s="107"/>
      <c r="LV13" s="107"/>
      <c r="LW13" s="107"/>
      <c r="LX13" s="107"/>
      <c r="LY13" s="107"/>
      <c r="LZ13" s="107"/>
      <c r="MA13" s="107"/>
      <c r="MB13" s="107"/>
      <c r="MC13" s="107"/>
      <c r="MD13" s="107"/>
      <c r="ME13" s="107"/>
      <c r="MF13" s="107"/>
      <c r="MG13" s="107"/>
      <c r="MH13" s="107"/>
      <c r="MI13" s="107"/>
    </row>
    <row r="14" spans="1:347" s="107" customFormat="1" ht="94.5" x14ac:dyDescent="0.2">
      <c r="A14" s="122" t="s">
        <v>1249</v>
      </c>
      <c r="B14" s="122" t="s">
        <v>1258</v>
      </c>
      <c r="C14" s="702"/>
      <c r="D14" s="122" t="s">
        <v>683</v>
      </c>
      <c r="E14" s="126" t="s">
        <v>686</v>
      </c>
      <c r="F14" s="122">
        <v>0</v>
      </c>
      <c r="G14" s="222">
        <v>0</v>
      </c>
      <c r="H14" s="136">
        <v>0</v>
      </c>
      <c r="I14" s="222">
        <f>'Plan de Acción 2021'!Q260</f>
        <v>0.1</v>
      </c>
      <c r="J14" s="123">
        <v>0.1</v>
      </c>
      <c r="K14" s="123">
        <f>('Plan de Acción 2021'!W260+'Plan de Acción 2021'!W261)/2</f>
        <v>0</v>
      </c>
      <c r="L14" s="229">
        <f>(K14*10%)/(I14-H14)</f>
        <v>0</v>
      </c>
      <c r="M14" s="123"/>
      <c r="N14" s="123">
        <f>('Plan de Acción 2021'!Z260+'Plan de Acción 2021'!Z261)/2</f>
        <v>0</v>
      </c>
      <c r="O14" s="229">
        <f>(N14*10%)/(I14-H14)</f>
        <v>0</v>
      </c>
      <c r="P14" s="126"/>
      <c r="Q14" s="123">
        <f>('Plan de Acción 2021'!AC260+'Plan de Acción 2021'!AC261)/2</f>
        <v>0</v>
      </c>
      <c r="R14" s="229">
        <f>(Q14*10%)/(I14-H14)</f>
        <v>0</v>
      </c>
      <c r="S14" s="126"/>
      <c r="T14" s="123">
        <f>('Plan de Acción 2021'!AF260+'Plan de Acción 2021'!AF261)/2</f>
        <v>0</v>
      </c>
      <c r="U14" s="229">
        <f>(T14*10%)/(I14-H14)</f>
        <v>0</v>
      </c>
      <c r="V14" s="223"/>
    </row>
    <row r="15" spans="1:347" s="107" customFormat="1" ht="122.25" customHeight="1" x14ac:dyDescent="0.2">
      <c r="A15" s="122" t="s">
        <v>1262</v>
      </c>
      <c r="B15" s="122" t="s">
        <v>1263</v>
      </c>
      <c r="C15" s="702" t="s">
        <v>1264</v>
      </c>
      <c r="D15" s="122" t="s">
        <v>1265</v>
      </c>
      <c r="E15" s="122" t="s">
        <v>1266</v>
      </c>
      <c r="F15" s="122">
        <v>0</v>
      </c>
      <c r="G15" s="123">
        <v>0.5</v>
      </c>
      <c r="H15" s="123">
        <v>0.5</v>
      </c>
      <c r="I15" s="123">
        <f>'Plan de Acción 2021'!Q408</f>
        <v>1</v>
      </c>
      <c r="J15" s="123">
        <v>1</v>
      </c>
      <c r="K15" s="123">
        <f>'Plan de Acción 2021'!W408</f>
        <v>0</v>
      </c>
      <c r="L15" s="229">
        <f>(K15*50%)/(I15-H15)</f>
        <v>0</v>
      </c>
      <c r="M15" s="123"/>
      <c r="N15" s="123">
        <f>'Plan de Acción 2021'!Z408</f>
        <v>0</v>
      </c>
      <c r="O15" s="229">
        <f>(N15*50%)/(I15-H15)</f>
        <v>0</v>
      </c>
      <c r="P15" s="123"/>
      <c r="Q15" s="123">
        <f>'Plan de Acción 2021'!AC408</f>
        <v>0</v>
      </c>
      <c r="R15" s="229">
        <f>(Q15*50%)/(I15-H15)</f>
        <v>0</v>
      </c>
      <c r="S15" s="123"/>
      <c r="T15" s="123">
        <f>'Plan de Acción 2021'!AF408</f>
        <v>0</v>
      </c>
      <c r="U15" s="229">
        <f>(T15*50%)/(I15-H15)</f>
        <v>0</v>
      </c>
      <c r="V15" s="230"/>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102"/>
      <c r="BZ15" s="102"/>
      <c r="CA15" s="102"/>
      <c r="CB15" s="102"/>
      <c r="CC15" s="102"/>
      <c r="CD15" s="102"/>
      <c r="CE15" s="102"/>
      <c r="CF15" s="102"/>
      <c r="CG15" s="102"/>
      <c r="CH15" s="102"/>
      <c r="CI15" s="102"/>
      <c r="CJ15" s="102"/>
      <c r="CK15" s="102"/>
      <c r="CL15" s="102"/>
      <c r="CM15" s="102"/>
      <c r="CN15" s="102"/>
      <c r="CO15" s="102"/>
      <c r="CP15" s="102"/>
      <c r="CQ15" s="102"/>
      <c r="CR15" s="102"/>
      <c r="CS15" s="102"/>
      <c r="CT15" s="102"/>
      <c r="CU15" s="102"/>
      <c r="CV15" s="102"/>
      <c r="CW15" s="102"/>
      <c r="CX15" s="102"/>
      <c r="CY15" s="102"/>
      <c r="CZ15" s="102"/>
      <c r="DA15" s="102"/>
      <c r="DB15" s="102"/>
      <c r="DC15" s="102"/>
      <c r="DD15" s="102"/>
      <c r="DE15" s="102"/>
      <c r="DF15" s="102"/>
      <c r="DG15" s="102"/>
      <c r="DH15" s="102"/>
      <c r="DI15" s="102"/>
      <c r="DJ15" s="102"/>
      <c r="DK15" s="102"/>
      <c r="DL15" s="102"/>
      <c r="DM15" s="102"/>
      <c r="DN15" s="102"/>
      <c r="DO15" s="102"/>
      <c r="DP15" s="102"/>
      <c r="DQ15" s="102"/>
      <c r="DR15" s="102"/>
      <c r="DS15" s="102"/>
      <c r="DT15" s="102"/>
      <c r="DU15" s="102"/>
      <c r="DV15" s="102"/>
      <c r="DW15" s="102"/>
      <c r="DX15" s="102"/>
      <c r="DY15" s="102"/>
      <c r="DZ15" s="102"/>
      <c r="EA15" s="102"/>
      <c r="EB15" s="102"/>
      <c r="EC15" s="102"/>
      <c r="ED15" s="102"/>
    </row>
    <row r="16" spans="1:347" s="107" customFormat="1" ht="88.5" customHeight="1" x14ac:dyDescent="0.2">
      <c r="A16" s="122" t="s">
        <v>1262</v>
      </c>
      <c r="B16" s="122" t="s">
        <v>1263</v>
      </c>
      <c r="C16" s="702"/>
      <c r="D16" s="224" t="s">
        <v>1267</v>
      </c>
      <c r="E16" s="224" t="s">
        <v>1268</v>
      </c>
      <c r="F16" s="122">
        <v>0</v>
      </c>
      <c r="G16" s="123">
        <v>1</v>
      </c>
      <c r="H16" s="123">
        <v>1</v>
      </c>
      <c r="I16" s="123" t="s">
        <v>61</v>
      </c>
      <c r="J16" s="123">
        <v>1</v>
      </c>
      <c r="K16" s="123"/>
      <c r="L16" s="123" t="s">
        <v>61</v>
      </c>
      <c r="M16" s="229" t="s">
        <v>61</v>
      </c>
      <c r="N16" s="229" t="s">
        <v>61</v>
      </c>
      <c r="O16" s="123" t="s">
        <v>61</v>
      </c>
      <c r="P16" s="229" t="s">
        <v>61</v>
      </c>
      <c r="Q16" s="229" t="s">
        <v>61</v>
      </c>
      <c r="R16" s="123" t="s">
        <v>61</v>
      </c>
      <c r="S16" s="229" t="s">
        <v>61</v>
      </c>
      <c r="T16" s="229" t="s">
        <v>61</v>
      </c>
      <c r="U16" s="123" t="s">
        <v>61</v>
      </c>
      <c r="V16" s="229" t="s">
        <v>61</v>
      </c>
    </row>
    <row r="17" spans="1:347" ht="93" customHeight="1" x14ac:dyDescent="0.2">
      <c r="A17" s="127" t="s">
        <v>1262</v>
      </c>
      <c r="B17" s="127" t="s">
        <v>1263</v>
      </c>
      <c r="C17" s="702"/>
      <c r="D17" s="122" t="s">
        <v>1269</v>
      </c>
      <c r="E17" s="127" t="s">
        <v>1270</v>
      </c>
      <c r="F17" s="127">
        <v>0</v>
      </c>
      <c r="G17" s="129">
        <v>0.3</v>
      </c>
      <c r="H17" s="123">
        <v>0.3</v>
      </c>
      <c r="I17" s="129">
        <f>'Plan de Acción 2021'!Q409</f>
        <v>0.6</v>
      </c>
      <c r="J17" s="129">
        <v>1</v>
      </c>
      <c r="K17" s="129">
        <f>('Plan de Acción 2021'!W409+'Plan de Acción 2021'!W410+'Plan de Acción 2021'!W411)/3</f>
        <v>0</v>
      </c>
      <c r="L17" s="229">
        <f>(K17*30%)/(I17-H17)</f>
        <v>0</v>
      </c>
      <c r="M17" s="129"/>
      <c r="N17" s="129">
        <f>('Plan de Acción 2021'!Z409+'Plan de Acción 2021'!Z410+'Plan de Acción 2021'!Z411)/3</f>
        <v>0</v>
      </c>
      <c r="O17" s="229">
        <f>(N17*30%)/(I17-H17)</f>
        <v>0</v>
      </c>
      <c r="P17" s="127"/>
      <c r="Q17" s="129">
        <f>('Plan de Acción 2021'!AC409+'Plan de Acción 2021'!AC410+'Plan de Acción 2021'!AC411)/3</f>
        <v>0</v>
      </c>
      <c r="R17" s="229">
        <f>(Q17*30%)/(I17-H17)</f>
        <v>0</v>
      </c>
      <c r="S17" s="123"/>
      <c r="T17" s="129">
        <f>('Plan de Acción 2021'!AF409+'Plan de Acción 2021'!AF410+'Plan de Acción 2021'!AF411)/3</f>
        <v>0</v>
      </c>
      <c r="U17" s="229">
        <f>(T17*30%)/(I17-H17)</f>
        <v>0</v>
      </c>
      <c r="V17" s="230"/>
      <c r="EE17" s="107"/>
      <c r="EF17" s="107"/>
      <c r="EG17" s="107"/>
      <c r="EH17" s="107"/>
      <c r="EI17" s="107"/>
      <c r="EJ17" s="107"/>
      <c r="EK17" s="107"/>
      <c r="EL17" s="107"/>
      <c r="EM17" s="107"/>
      <c r="EN17" s="107"/>
      <c r="EO17" s="107"/>
      <c r="EP17" s="107"/>
      <c r="EQ17" s="107"/>
      <c r="ER17" s="107"/>
      <c r="ES17" s="107"/>
      <c r="ET17" s="107"/>
      <c r="EU17" s="107"/>
      <c r="EV17" s="107"/>
      <c r="EW17" s="107"/>
      <c r="EX17" s="107"/>
      <c r="EY17" s="107"/>
      <c r="EZ17" s="107"/>
      <c r="FA17" s="107"/>
      <c r="FB17" s="107"/>
      <c r="FC17" s="107"/>
      <c r="FD17" s="107"/>
      <c r="FE17" s="107"/>
      <c r="FF17" s="107"/>
      <c r="FG17" s="107"/>
      <c r="FH17" s="107"/>
      <c r="FI17" s="107"/>
      <c r="FJ17" s="107"/>
      <c r="FK17" s="107"/>
      <c r="FL17" s="107"/>
      <c r="FM17" s="107"/>
      <c r="FN17" s="107"/>
      <c r="FO17" s="107"/>
      <c r="FP17" s="107"/>
      <c r="FQ17" s="107"/>
      <c r="FR17" s="107"/>
      <c r="FS17" s="107"/>
      <c r="FT17" s="107"/>
      <c r="FU17" s="107"/>
      <c r="FV17" s="107"/>
      <c r="FW17" s="107"/>
      <c r="FX17" s="107"/>
      <c r="FY17" s="107"/>
      <c r="FZ17" s="107"/>
      <c r="GA17" s="107"/>
      <c r="GB17" s="107"/>
      <c r="GC17" s="107"/>
      <c r="GD17" s="107"/>
      <c r="GE17" s="107"/>
      <c r="GF17" s="107"/>
      <c r="GG17" s="107"/>
      <c r="GH17" s="107"/>
      <c r="GI17" s="107"/>
      <c r="GJ17" s="107"/>
      <c r="GK17" s="107"/>
      <c r="GL17" s="107"/>
      <c r="GM17" s="107"/>
      <c r="GN17" s="107"/>
      <c r="GO17" s="107"/>
      <c r="GP17" s="107"/>
      <c r="GQ17" s="107"/>
      <c r="GR17" s="107"/>
      <c r="GS17" s="107"/>
      <c r="GT17" s="107"/>
      <c r="GU17" s="107"/>
      <c r="GV17" s="107"/>
      <c r="GW17" s="107"/>
      <c r="GX17" s="107"/>
      <c r="GY17" s="107"/>
      <c r="GZ17" s="107"/>
      <c r="HA17" s="107"/>
      <c r="HB17" s="107"/>
      <c r="HC17" s="107"/>
      <c r="HD17" s="107"/>
      <c r="HE17" s="107"/>
      <c r="HF17" s="107"/>
      <c r="HG17" s="107"/>
      <c r="HH17" s="107"/>
      <c r="HI17" s="107"/>
      <c r="HJ17" s="107"/>
      <c r="HK17" s="107"/>
      <c r="HL17" s="107"/>
      <c r="HM17" s="107"/>
      <c r="HN17" s="107"/>
      <c r="HO17" s="107"/>
      <c r="HP17" s="107"/>
      <c r="HQ17" s="107"/>
      <c r="HR17" s="107"/>
      <c r="HS17" s="107"/>
      <c r="HT17" s="107"/>
      <c r="HU17" s="107"/>
      <c r="HV17" s="107"/>
      <c r="HW17" s="107"/>
      <c r="HX17" s="107"/>
      <c r="HY17" s="107"/>
      <c r="HZ17" s="107"/>
      <c r="IA17" s="107"/>
      <c r="IB17" s="107"/>
      <c r="IC17" s="107"/>
      <c r="ID17" s="107"/>
      <c r="IE17" s="107"/>
      <c r="IF17" s="107"/>
      <c r="IG17" s="107"/>
      <c r="IH17" s="107"/>
      <c r="II17" s="107"/>
      <c r="IJ17" s="107"/>
      <c r="IK17" s="107"/>
      <c r="IL17" s="107"/>
      <c r="IM17" s="107"/>
      <c r="IN17" s="107"/>
      <c r="IO17" s="107"/>
      <c r="IP17" s="107"/>
      <c r="IQ17" s="107"/>
      <c r="IR17" s="107"/>
      <c r="IS17" s="107"/>
      <c r="IT17" s="107"/>
      <c r="IU17" s="107"/>
      <c r="IV17" s="107"/>
      <c r="IW17" s="107"/>
      <c r="IX17" s="107"/>
      <c r="IY17" s="107"/>
      <c r="IZ17" s="107"/>
      <c r="JA17" s="107"/>
      <c r="JB17" s="107"/>
      <c r="JC17" s="107"/>
      <c r="JD17" s="107"/>
      <c r="JE17" s="107"/>
      <c r="JF17" s="107"/>
      <c r="JG17" s="107"/>
      <c r="JH17" s="107"/>
      <c r="JI17" s="107"/>
      <c r="JJ17" s="107"/>
      <c r="JK17" s="107"/>
      <c r="JL17" s="107"/>
      <c r="JM17" s="107"/>
      <c r="JN17" s="107"/>
      <c r="JO17" s="107"/>
      <c r="JP17" s="107"/>
      <c r="JQ17" s="107"/>
      <c r="JR17" s="107"/>
      <c r="JS17" s="107"/>
      <c r="JT17" s="107"/>
      <c r="JU17" s="107"/>
      <c r="JV17" s="107"/>
      <c r="JW17" s="107"/>
      <c r="JX17" s="107"/>
      <c r="JY17" s="107"/>
      <c r="JZ17" s="107"/>
      <c r="KA17" s="107"/>
      <c r="KB17" s="107"/>
      <c r="KC17" s="107"/>
      <c r="KD17" s="107"/>
      <c r="KE17" s="107"/>
      <c r="KF17" s="107"/>
      <c r="KG17" s="107"/>
      <c r="KH17" s="107"/>
      <c r="KI17" s="107"/>
      <c r="KJ17" s="107"/>
      <c r="KK17" s="107"/>
      <c r="KL17" s="107"/>
      <c r="KM17" s="107"/>
      <c r="KN17" s="107"/>
      <c r="KO17" s="107"/>
      <c r="KP17" s="107"/>
      <c r="KQ17" s="107"/>
      <c r="KR17" s="107"/>
      <c r="KS17" s="107"/>
      <c r="KT17" s="107"/>
      <c r="KU17" s="107"/>
      <c r="KV17" s="107"/>
      <c r="KW17" s="107"/>
      <c r="KX17" s="107"/>
      <c r="KY17" s="107"/>
      <c r="KZ17" s="107"/>
      <c r="LA17" s="107"/>
      <c r="LB17" s="107"/>
      <c r="LC17" s="107"/>
      <c r="LD17" s="107"/>
      <c r="LE17" s="107"/>
      <c r="LF17" s="107"/>
      <c r="LG17" s="107"/>
      <c r="LH17" s="107"/>
      <c r="LI17" s="107"/>
      <c r="LJ17" s="107"/>
      <c r="LK17" s="107"/>
      <c r="LL17" s="107"/>
      <c r="LM17" s="107"/>
      <c r="LN17" s="107"/>
      <c r="LO17" s="107"/>
      <c r="LP17" s="107"/>
      <c r="LQ17" s="107"/>
      <c r="LR17" s="107"/>
      <c r="LS17" s="107"/>
      <c r="LT17" s="107"/>
      <c r="LU17" s="107"/>
      <c r="LV17" s="107"/>
      <c r="LW17" s="107"/>
      <c r="LX17" s="107"/>
      <c r="LY17" s="107"/>
      <c r="LZ17" s="107"/>
      <c r="MA17" s="107"/>
      <c r="MB17" s="107"/>
      <c r="MC17" s="107"/>
      <c r="MD17" s="107"/>
      <c r="ME17" s="107"/>
      <c r="MF17" s="107"/>
      <c r="MG17" s="107"/>
      <c r="MH17" s="107"/>
      <c r="MI17" s="107"/>
    </row>
    <row r="18" spans="1:347" s="107" customFormat="1" ht="173.25" x14ac:dyDescent="0.2">
      <c r="A18" s="122" t="s">
        <v>1262</v>
      </c>
      <c r="B18" s="122" t="s">
        <v>1263</v>
      </c>
      <c r="C18" s="702"/>
      <c r="D18" s="224" t="s">
        <v>1271</v>
      </c>
      <c r="E18" s="224" t="s">
        <v>1272</v>
      </c>
      <c r="F18" s="123">
        <v>0</v>
      </c>
      <c r="G18" s="123">
        <v>0</v>
      </c>
      <c r="H18" s="123">
        <v>0</v>
      </c>
      <c r="I18" s="123">
        <v>0</v>
      </c>
      <c r="J18" s="123">
        <v>1</v>
      </c>
      <c r="K18" s="229"/>
      <c r="L18" s="123" t="s">
        <v>61</v>
      </c>
      <c r="M18" s="123" t="s">
        <v>61</v>
      </c>
      <c r="N18" s="123" t="s">
        <v>61</v>
      </c>
      <c r="O18" s="123" t="s">
        <v>61</v>
      </c>
      <c r="P18" s="123" t="s">
        <v>61</v>
      </c>
      <c r="Q18" s="123" t="s">
        <v>61</v>
      </c>
      <c r="R18" s="123" t="s">
        <v>61</v>
      </c>
      <c r="S18" s="229" t="s">
        <v>61</v>
      </c>
      <c r="T18" s="229" t="s">
        <v>61</v>
      </c>
      <c r="U18" s="123" t="s">
        <v>61</v>
      </c>
      <c r="V18" s="229" t="s">
        <v>61</v>
      </c>
    </row>
    <row r="19" spans="1:347" s="107" customFormat="1" ht="173.25" x14ac:dyDescent="0.2">
      <c r="A19" s="122" t="s">
        <v>1262</v>
      </c>
      <c r="B19" s="122" t="s">
        <v>1263</v>
      </c>
      <c r="C19" s="702"/>
      <c r="D19" s="224" t="s">
        <v>1273</v>
      </c>
      <c r="E19" s="224" t="s">
        <v>1274</v>
      </c>
      <c r="F19" s="123">
        <v>0</v>
      </c>
      <c r="G19" s="123">
        <v>0</v>
      </c>
      <c r="H19" s="123">
        <v>0</v>
      </c>
      <c r="I19" s="123">
        <v>0</v>
      </c>
      <c r="J19" s="123">
        <v>1</v>
      </c>
      <c r="K19" s="229" t="s">
        <v>61</v>
      </c>
      <c r="L19" s="123" t="s">
        <v>61</v>
      </c>
      <c r="M19" s="229" t="s">
        <v>61</v>
      </c>
      <c r="N19" s="229" t="s">
        <v>61</v>
      </c>
      <c r="O19" s="123" t="s">
        <v>61</v>
      </c>
      <c r="P19" s="229" t="s">
        <v>61</v>
      </c>
      <c r="Q19" s="229" t="s">
        <v>61</v>
      </c>
      <c r="R19" s="123" t="s">
        <v>61</v>
      </c>
      <c r="S19" s="123" t="s">
        <v>61</v>
      </c>
      <c r="T19" s="229" t="s">
        <v>61</v>
      </c>
      <c r="U19" s="123" t="s">
        <v>61</v>
      </c>
      <c r="V19" s="123" t="s">
        <v>61</v>
      </c>
    </row>
    <row r="20" spans="1:347" s="107" customFormat="1" ht="174.75" customHeight="1" x14ac:dyDescent="0.2">
      <c r="A20" s="122" t="s">
        <v>1262</v>
      </c>
      <c r="B20" s="122" t="s">
        <v>1275</v>
      </c>
      <c r="C20" s="722" t="s">
        <v>1276</v>
      </c>
      <c r="D20" s="126" t="s">
        <v>869</v>
      </c>
      <c r="E20" s="122" t="s">
        <v>870</v>
      </c>
      <c r="F20" s="122">
        <v>0</v>
      </c>
      <c r="G20" s="123">
        <v>1</v>
      </c>
      <c r="H20" s="123">
        <v>1</v>
      </c>
      <c r="I20" s="123">
        <f>'Plan de Acción 2021'!Q412</f>
        <v>1</v>
      </c>
      <c r="J20" s="123">
        <v>1</v>
      </c>
      <c r="K20" s="123">
        <f>('Plan de Acción 2021'!W412+'Plan de Acción 2021'!W413+'Plan de Acción 2021'!W414+'Plan de Acción 2021'!W415+'Plan de Acción 2021'!W416+'Plan de Acción 2021'!W417+'Plan de Acción 2021'!W418)/7</f>
        <v>0</v>
      </c>
      <c r="L20" s="229">
        <f>(K20*100%)/I20</f>
        <v>0</v>
      </c>
      <c r="M20" s="123"/>
      <c r="N20" s="123">
        <f>('Plan de Acción 2021'!Z412+'Plan de Acción 2021'!Z413+'Plan de Acción 2021'!Z414+'Plan de Acción 2021'!Z415+'Plan de Acción 2021'!Z416+'Plan de Acción 2021'!Z417+'Plan de Acción 2021'!Z418)/7</f>
        <v>0</v>
      </c>
      <c r="O20" s="229">
        <f>(N20*100%)/20</f>
        <v>0</v>
      </c>
      <c r="P20" s="123"/>
      <c r="Q20" s="123">
        <f>('Plan de Acción 2021'!AC412+'Plan de Acción 2021'!AC413+'Plan de Acción 2021'!AC414+'Plan de Acción 2021'!AC415+'Plan de Acción 2021'!AC416+'Plan de Acción 2021'!AC417+'Plan de Acción 2021'!AC418)/7</f>
        <v>0</v>
      </c>
      <c r="R20" s="229">
        <f>(Q20*100%)/I20</f>
        <v>0</v>
      </c>
      <c r="S20" s="123"/>
      <c r="T20" s="123">
        <f>('Plan de Acción 2021'!AF412+'Plan de Acción 2021'!AF413+'Plan de Acción 2021'!AF414+'Plan de Acción 2021'!AF415+'Plan de Acción 2021'!AF416+'Plan de Acción 2021'!AF417+'Plan de Acción 2021'!AF418)/7</f>
        <v>0</v>
      </c>
      <c r="U20" s="229">
        <f>(T20*100%)/I20</f>
        <v>0</v>
      </c>
      <c r="V20" s="133"/>
      <c r="W20" s="102"/>
      <c r="X20" s="102"/>
      <c r="Y20" s="102"/>
      <c r="Z20" s="102"/>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c r="CR20" s="102"/>
      <c r="CS20" s="102"/>
      <c r="CT20" s="102"/>
      <c r="CU20" s="102"/>
      <c r="CV20" s="102"/>
      <c r="CW20" s="102"/>
      <c r="CX20" s="102"/>
      <c r="CY20" s="102"/>
      <c r="CZ20" s="102"/>
      <c r="DA20" s="102"/>
      <c r="DB20" s="102"/>
      <c r="DC20" s="102"/>
      <c r="DD20" s="102"/>
      <c r="DE20" s="102"/>
      <c r="DF20" s="102"/>
      <c r="DG20" s="102"/>
      <c r="DH20" s="102"/>
      <c r="DI20" s="102"/>
      <c r="DJ20" s="102"/>
      <c r="DK20" s="102"/>
      <c r="DL20" s="102"/>
      <c r="DM20" s="102"/>
      <c r="DN20" s="102"/>
      <c r="DO20" s="102"/>
      <c r="DP20" s="102"/>
      <c r="DQ20" s="102"/>
      <c r="DR20" s="102"/>
      <c r="DS20" s="102"/>
      <c r="DT20" s="102"/>
      <c r="DU20" s="102"/>
      <c r="DV20" s="102"/>
      <c r="DW20" s="102"/>
      <c r="DX20" s="102"/>
      <c r="DY20" s="102"/>
      <c r="DZ20" s="102"/>
      <c r="EA20" s="102"/>
      <c r="EB20" s="102"/>
      <c r="EC20" s="102"/>
      <c r="ED20" s="102"/>
    </row>
    <row r="21" spans="1:347" s="107" customFormat="1" ht="98.25" customHeight="1" x14ac:dyDescent="0.2">
      <c r="A21" s="122" t="s">
        <v>1262</v>
      </c>
      <c r="B21" s="122" t="s">
        <v>1275</v>
      </c>
      <c r="C21" s="722"/>
      <c r="D21" s="126" t="s">
        <v>807</v>
      </c>
      <c r="E21" s="122" t="s">
        <v>809</v>
      </c>
      <c r="F21" s="122">
        <v>0</v>
      </c>
      <c r="G21" s="123">
        <v>1</v>
      </c>
      <c r="H21" s="123">
        <v>1</v>
      </c>
      <c r="I21" s="123">
        <f>'Plan de Acción 2021'!Q418</f>
        <v>1</v>
      </c>
      <c r="J21" s="123">
        <v>1</v>
      </c>
      <c r="K21" s="123">
        <f>('Plan de Acción 2021'!W418+'Plan de Acción 2021'!W419+'Plan de Acción 2021'!W420+'Plan de Acción 2021'!W421+'Plan de Acción 2021'!W422+'Plan de Acción 2021'!W423+'Plan de Acción 2021'!W424+'Plan de Acción 2021'!W425+'Plan de Acción 2021'!W426+'Plan de Acción 2021'!W427+'Plan de Acción 2021'!W428+'Plan de Acción 2021'!W429)/12</f>
        <v>0</v>
      </c>
      <c r="L21" s="229">
        <f t="shared" ref="L21:L24" si="4">(K21*100%)/I21</f>
        <v>0</v>
      </c>
      <c r="M21" s="123"/>
      <c r="N21" s="123">
        <f>('Plan de Acción 2021'!Z418+'Plan de Acción 2021'!Z419+'Plan de Acción 2021'!Z420+'Plan de Acción 2021'!Z421+'Plan de Acción 2021'!Z422+'Plan de Acción 2021'!Z423+'Plan de Acción 2021'!Z424+'Plan de Acción 2021'!Z425+'Plan de Acción 2021'!Z426+'Plan de Acción 2021'!Z427+'Plan de Acción 2021'!Z428+'Plan de Acción 2021'!Z429)/12</f>
        <v>0</v>
      </c>
      <c r="O21" s="229">
        <f>(N21*100%)/20</f>
        <v>0</v>
      </c>
      <c r="P21" s="123"/>
      <c r="Q21" s="123">
        <f>('Plan de Acción 2021'!AC418+'Plan de Acción 2021'!AC419+'Plan de Acción 2021'!AC420+'Plan de Acción 2021'!AC421+'Plan de Acción 2021'!AC422+'Plan de Acción 2021'!AC423+'Plan de Acción 2021'!AC424+'Plan de Acción 2021'!AC425+'Plan de Acción 2021'!AC426+'Plan de Acción 2021'!AC427+'Plan de Acción 2021'!AC428+'Plan de Acción 2021'!AC429)/12</f>
        <v>0</v>
      </c>
      <c r="R21" s="229">
        <f t="shared" ref="R21:R24" si="5">(Q21*100%)/I21</f>
        <v>0</v>
      </c>
      <c r="S21" s="123"/>
      <c r="T21" s="123">
        <f>('Plan de Acción 2021'!AF418+'Plan de Acción 2021'!AF419+'Plan de Acción 2021'!AF420+'Plan de Acción 2021'!AF421+'Plan de Acción 2021'!AF422+'Plan de Acción 2021'!AF423+'Plan de Acción 2021'!AF424+'Plan de Acción 2021'!AF425+'Plan de Acción 2021'!AF426+'Plan de Acción 2021'!AF427+'Plan de Acción 2021'!AF428+'Plan de Acción 2021'!AF429)/12</f>
        <v>0</v>
      </c>
      <c r="U21" s="229">
        <f t="shared" ref="U21:U24" si="6">(T21*100%)/I21</f>
        <v>0</v>
      </c>
      <c r="V21" s="133"/>
      <c r="W21" s="102"/>
      <c r="X21" s="102"/>
      <c r="Y21" s="102"/>
      <c r="Z21" s="102"/>
      <c r="AA21" s="102"/>
      <c r="AB21" s="102"/>
      <c r="AC21" s="102"/>
      <c r="AD21" s="102"/>
      <c r="AE21" s="102"/>
      <c r="AF21" s="102"/>
      <c r="AG21" s="102"/>
      <c r="AH21" s="102"/>
      <c r="AI21" s="102"/>
      <c r="AJ21" s="102"/>
      <c r="AK21" s="102"/>
      <c r="AL21" s="102"/>
      <c r="AM21" s="102"/>
      <c r="AN21" s="102"/>
      <c r="AO21" s="102"/>
      <c r="AP21" s="102"/>
      <c r="AQ21" s="102"/>
      <c r="AR21" s="102"/>
      <c r="AS21" s="102"/>
      <c r="AT21" s="102"/>
      <c r="AU21" s="102"/>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c r="CD21" s="102"/>
      <c r="CE21" s="102"/>
      <c r="CF21" s="102"/>
      <c r="CG21" s="102"/>
      <c r="CH21" s="102"/>
      <c r="CI21" s="102"/>
      <c r="CJ21" s="102"/>
      <c r="CK21" s="102"/>
      <c r="CL21" s="102"/>
      <c r="CM21" s="102"/>
      <c r="CN21" s="102"/>
      <c r="CO21" s="102"/>
      <c r="CP21" s="102"/>
      <c r="CQ21" s="102"/>
      <c r="CR21" s="102"/>
      <c r="CS21" s="102"/>
      <c r="CT21" s="102"/>
      <c r="CU21" s="102"/>
      <c r="CV21" s="102"/>
      <c r="CW21" s="102"/>
      <c r="CX21" s="102"/>
      <c r="CY21" s="102"/>
      <c r="CZ21" s="102"/>
      <c r="DA21" s="102"/>
      <c r="DB21" s="102"/>
      <c r="DC21" s="102"/>
      <c r="DD21" s="102"/>
      <c r="DE21" s="102"/>
      <c r="DF21" s="102"/>
      <c r="DG21" s="102"/>
      <c r="DH21" s="102"/>
      <c r="DI21" s="102"/>
      <c r="DJ21" s="102"/>
      <c r="DK21" s="102"/>
      <c r="DL21" s="102"/>
      <c r="DM21" s="102"/>
      <c r="DN21" s="102"/>
      <c r="DO21" s="102"/>
      <c r="DP21" s="102"/>
      <c r="DQ21" s="102"/>
      <c r="DR21" s="102"/>
      <c r="DS21" s="102"/>
      <c r="DT21" s="102"/>
      <c r="DU21" s="102"/>
      <c r="DV21" s="102"/>
      <c r="DW21" s="102"/>
      <c r="DX21" s="102"/>
      <c r="DY21" s="102"/>
      <c r="DZ21" s="102"/>
      <c r="EA21" s="102"/>
      <c r="EB21" s="102"/>
      <c r="EC21" s="102"/>
      <c r="ED21" s="102"/>
    </row>
    <row r="22" spans="1:347" s="107" customFormat="1" ht="128.25" customHeight="1" x14ac:dyDescent="0.2">
      <c r="A22" s="122" t="s">
        <v>1262</v>
      </c>
      <c r="B22" s="122" t="s">
        <v>1263</v>
      </c>
      <c r="C22" s="722" t="s">
        <v>1277</v>
      </c>
      <c r="D22" s="122" t="s">
        <v>1278</v>
      </c>
      <c r="E22" s="122" t="s">
        <v>1059</v>
      </c>
      <c r="F22" s="122">
        <v>0</v>
      </c>
      <c r="G22" s="123">
        <v>1</v>
      </c>
      <c r="H22" s="131">
        <v>1</v>
      </c>
      <c r="I22" s="123">
        <f>'Plan de Acción 2021'!Q430</f>
        <v>1</v>
      </c>
      <c r="J22" s="123">
        <v>1</v>
      </c>
      <c r="K22" s="123">
        <f>('Plan de Acción 2021'!W430+'Plan de Acción 2021'!W431)/2</f>
        <v>0</v>
      </c>
      <c r="L22" s="229">
        <f t="shared" si="4"/>
        <v>0</v>
      </c>
      <c r="M22" s="123"/>
      <c r="N22" s="123">
        <f>('Plan de Acción 2021'!Z430+'Plan de Acción 2021'!Z431)/2</f>
        <v>0</v>
      </c>
      <c r="O22" s="229">
        <f>(N22*100%)/20</f>
        <v>0</v>
      </c>
      <c r="P22" s="123"/>
      <c r="Q22" s="123">
        <f>('Plan de Acción 2021'!AC430+'Plan de Acción 2021'!AC431)/2</f>
        <v>0</v>
      </c>
      <c r="R22" s="229">
        <f t="shared" si="5"/>
        <v>0</v>
      </c>
      <c r="S22" s="130"/>
      <c r="T22" s="123">
        <f>('Plan de Acción 2021'!AF430+'Plan de Acción 2021'!AF431)/2</f>
        <v>0</v>
      </c>
      <c r="U22" s="229">
        <f t="shared" si="6"/>
        <v>0</v>
      </c>
      <c r="V22" s="132"/>
      <c r="W22" s="102"/>
      <c r="X22" s="102"/>
      <c r="Y22" s="102"/>
      <c r="Z22" s="102"/>
      <c r="AA22" s="102"/>
      <c r="AB22" s="102"/>
      <c r="AC22" s="102"/>
      <c r="AD22" s="102"/>
      <c r="AE22" s="102"/>
      <c r="AF22" s="102"/>
      <c r="AG22" s="102"/>
      <c r="AH22" s="102"/>
      <c r="AI22" s="102"/>
      <c r="AJ22" s="102"/>
      <c r="AK22" s="102"/>
      <c r="AL22" s="102"/>
      <c r="AM22" s="102"/>
      <c r="AN22" s="102"/>
      <c r="AO22" s="102"/>
      <c r="AP22" s="102"/>
      <c r="AQ22" s="102"/>
      <c r="AR22" s="102"/>
      <c r="AS22" s="102"/>
      <c r="AT22" s="102"/>
      <c r="AU22" s="102"/>
      <c r="AV22" s="102"/>
      <c r="AW22" s="102"/>
      <c r="AX22" s="102"/>
      <c r="AY22" s="102"/>
      <c r="AZ22" s="102"/>
      <c r="BA22" s="102"/>
      <c r="BB22" s="102"/>
      <c r="BC22" s="102"/>
      <c r="BD22" s="102"/>
      <c r="BE22" s="102"/>
      <c r="BF22" s="102"/>
      <c r="BG22" s="102"/>
      <c r="BH22" s="102"/>
      <c r="BI22" s="102"/>
      <c r="BJ22" s="102"/>
      <c r="BK22" s="102"/>
      <c r="BL22" s="102"/>
      <c r="BM22" s="102"/>
      <c r="BN22" s="102"/>
      <c r="BO22" s="102"/>
      <c r="BP22" s="102"/>
      <c r="BQ22" s="102"/>
      <c r="BR22" s="102"/>
      <c r="BS22" s="102"/>
      <c r="BT22" s="102"/>
      <c r="BU22" s="102"/>
      <c r="BV22" s="102"/>
      <c r="BW22" s="102"/>
      <c r="BX22" s="102"/>
      <c r="BY22" s="102"/>
      <c r="BZ22" s="102"/>
      <c r="CA22" s="102"/>
      <c r="CB22" s="102"/>
      <c r="CC22" s="102"/>
      <c r="CD22" s="102"/>
      <c r="CE22" s="102"/>
      <c r="CF22" s="102"/>
      <c r="CG22" s="102"/>
      <c r="CH22" s="102"/>
      <c r="CI22" s="102"/>
      <c r="CJ22" s="102"/>
      <c r="CK22" s="102"/>
      <c r="CL22" s="102"/>
      <c r="CM22" s="102"/>
      <c r="CN22" s="102"/>
      <c r="CO22" s="102"/>
      <c r="CP22" s="102"/>
      <c r="CQ22" s="102"/>
      <c r="CR22" s="102"/>
      <c r="CS22" s="102"/>
      <c r="CT22" s="102"/>
      <c r="CU22" s="102"/>
      <c r="CV22" s="102"/>
      <c r="CW22" s="102"/>
      <c r="CX22" s="102"/>
      <c r="CY22" s="102"/>
      <c r="CZ22" s="102"/>
      <c r="DA22" s="102"/>
      <c r="DB22" s="102"/>
      <c r="DC22" s="102"/>
      <c r="DD22" s="102"/>
      <c r="DE22" s="102"/>
      <c r="DF22" s="102"/>
      <c r="DG22" s="102"/>
      <c r="DH22" s="102"/>
      <c r="DI22" s="102"/>
      <c r="DJ22" s="102"/>
      <c r="DK22" s="102"/>
      <c r="DL22" s="102"/>
      <c r="DM22" s="102"/>
      <c r="DN22" s="102"/>
      <c r="DO22" s="102"/>
      <c r="DP22" s="102"/>
      <c r="DQ22" s="102"/>
      <c r="DR22" s="102"/>
      <c r="DS22" s="102"/>
      <c r="DT22" s="102"/>
      <c r="DU22" s="102"/>
      <c r="DV22" s="102"/>
      <c r="DW22" s="102"/>
      <c r="DX22" s="102"/>
      <c r="DY22" s="102"/>
      <c r="DZ22" s="102"/>
      <c r="EA22" s="102"/>
      <c r="EB22" s="102"/>
      <c r="EC22" s="102"/>
      <c r="ED22" s="102"/>
    </row>
    <row r="23" spans="1:347" s="107" customFormat="1" ht="109.5" customHeight="1" x14ac:dyDescent="0.2">
      <c r="A23" s="122" t="s">
        <v>1262</v>
      </c>
      <c r="B23" s="122" t="s">
        <v>1263</v>
      </c>
      <c r="C23" s="722"/>
      <c r="D23" s="122" t="s">
        <v>1279</v>
      </c>
      <c r="E23" s="122" t="s">
        <v>1280</v>
      </c>
      <c r="F23" s="122">
        <v>0</v>
      </c>
      <c r="G23" s="123">
        <v>0.25</v>
      </c>
      <c r="H23" s="131">
        <v>0.25</v>
      </c>
      <c r="I23" s="225">
        <v>1</v>
      </c>
      <c r="J23" s="123">
        <v>1</v>
      </c>
      <c r="K23" s="123">
        <f>'Plan de Acción 2021'!W432</f>
        <v>0</v>
      </c>
      <c r="L23" s="229">
        <f>(K23*75%)/(I23-H23)</f>
        <v>0</v>
      </c>
      <c r="M23" s="123"/>
      <c r="N23" s="123">
        <f>'Plan de Acción 2021'!Z432</f>
        <v>0</v>
      </c>
      <c r="O23" s="229">
        <f>(N23*75%)/(I23-H23)</f>
        <v>0</v>
      </c>
      <c r="P23" s="123"/>
      <c r="Q23" s="123">
        <f>'Plan de Acción 2021'!AC432</f>
        <v>0</v>
      </c>
      <c r="R23" s="229">
        <f>(Q23*75%)/(I23-H23)</f>
        <v>0</v>
      </c>
      <c r="S23" s="130"/>
      <c r="T23" s="123">
        <f>'Plan de Acción 2021'!AF432</f>
        <v>0</v>
      </c>
      <c r="U23" s="229">
        <f>(T23*75%)/(I23-H23)</f>
        <v>0</v>
      </c>
      <c r="V23" s="13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102"/>
      <c r="CR23" s="102"/>
      <c r="CS23" s="102"/>
      <c r="CT23" s="102"/>
      <c r="CU23" s="102"/>
      <c r="CV23" s="102"/>
      <c r="CW23" s="102"/>
      <c r="CX23" s="102"/>
      <c r="CY23" s="102"/>
      <c r="CZ23" s="102"/>
      <c r="DA23" s="102"/>
      <c r="DB23" s="102"/>
      <c r="DC23" s="102"/>
      <c r="DD23" s="102"/>
      <c r="DE23" s="102"/>
      <c r="DF23" s="102"/>
      <c r="DG23" s="102"/>
      <c r="DH23" s="102"/>
      <c r="DI23" s="102"/>
      <c r="DJ23" s="102"/>
      <c r="DK23" s="102"/>
      <c r="DL23" s="102"/>
      <c r="DM23" s="102"/>
      <c r="DN23" s="102"/>
      <c r="DO23" s="102"/>
      <c r="DP23" s="102"/>
      <c r="DQ23" s="102"/>
      <c r="DR23" s="102"/>
      <c r="DS23" s="102"/>
      <c r="DT23" s="102"/>
      <c r="DU23" s="102"/>
      <c r="DV23" s="102"/>
      <c r="DW23" s="102"/>
      <c r="DX23" s="102"/>
      <c r="DY23" s="102"/>
      <c r="DZ23" s="102"/>
      <c r="EA23" s="102"/>
      <c r="EB23" s="102"/>
      <c r="EC23" s="102"/>
      <c r="ED23" s="102"/>
    </row>
    <row r="24" spans="1:347" s="107" customFormat="1" ht="167.25" customHeight="1" x14ac:dyDescent="0.2">
      <c r="A24" s="122" t="s">
        <v>1262</v>
      </c>
      <c r="B24" s="122" t="s">
        <v>1263</v>
      </c>
      <c r="C24" s="722"/>
      <c r="D24" s="126" t="s">
        <v>834</v>
      </c>
      <c r="E24" s="122" t="s">
        <v>836</v>
      </c>
      <c r="F24" s="122">
        <v>0</v>
      </c>
      <c r="G24" s="123">
        <v>1</v>
      </c>
      <c r="H24" s="134">
        <v>1</v>
      </c>
      <c r="I24" s="123">
        <f>'Plan de Acción 2021'!Q433</f>
        <v>1</v>
      </c>
      <c r="J24" s="123">
        <v>1</v>
      </c>
      <c r="K24" s="123">
        <f>('Plan de Acción 2021'!W433+'Plan de Acción 2021'!W434+'Plan de Acción 2021'!W435+'Plan de Acción 2021'!W436+'Plan de Acción 2021'!W437+'Plan de Acción 2021'!W438)/6</f>
        <v>0</v>
      </c>
      <c r="L24" s="229">
        <f t="shared" si="4"/>
        <v>0</v>
      </c>
      <c r="M24" s="123"/>
      <c r="N24" s="123">
        <f>('Plan de Acción 2021'!Z433+'Plan de Acción 2021'!Z434+'Plan de Acción 2021'!Z435+'Plan de Acción 2021'!Z436+'Plan de Acción 2021'!Z437+'Plan de Acción 2021'!Z438)/6</f>
        <v>0</v>
      </c>
      <c r="O24" s="229">
        <f>(N24*100%)/20</f>
        <v>0</v>
      </c>
      <c r="P24" s="123"/>
      <c r="Q24" s="123">
        <f>('Plan de Acción 2021'!AC433+'Plan de Acción 2021'!AC434+'Plan de Acción 2021'!AC435+'Plan de Acción 2021'!AC436+'Plan de Acción 2021'!AC437+'Plan de Acción 2021'!AC438)/6</f>
        <v>0</v>
      </c>
      <c r="R24" s="229">
        <f t="shared" si="5"/>
        <v>0</v>
      </c>
      <c r="S24" s="134"/>
      <c r="T24" s="123">
        <f>('Plan de Acción 2021'!AF433+'Plan de Acción 2021'!AF434+'Plan de Acción 2021'!AF435+'Plan de Acción 2021'!AF436+'Plan de Acción 2021'!AF437+'Plan de Acción 2021'!AF438)/6</f>
        <v>0</v>
      </c>
      <c r="U24" s="229">
        <f t="shared" si="6"/>
        <v>0</v>
      </c>
      <c r="V24" s="135"/>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c r="CE24" s="102"/>
      <c r="CF24" s="102"/>
      <c r="CG24" s="102"/>
      <c r="CH24" s="102"/>
      <c r="CI24" s="102"/>
      <c r="CJ24" s="102"/>
      <c r="CK24" s="102"/>
      <c r="CL24" s="102"/>
      <c r="CM24" s="102"/>
      <c r="CN24" s="102"/>
      <c r="CO24" s="102"/>
      <c r="CP24" s="102"/>
      <c r="CQ24" s="102"/>
      <c r="CR24" s="102"/>
      <c r="CS24" s="102"/>
      <c r="CT24" s="102"/>
      <c r="CU24" s="102"/>
      <c r="CV24" s="102"/>
      <c r="CW24" s="102"/>
      <c r="CX24" s="102"/>
      <c r="CY24" s="102"/>
      <c r="CZ24" s="102"/>
      <c r="DA24" s="102"/>
      <c r="DB24" s="102"/>
      <c r="DC24" s="102"/>
      <c r="DD24" s="102"/>
      <c r="DE24" s="102"/>
      <c r="DF24" s="102"/>
      <c r="DG24" s="102"/>
      <c r="DH24" s="102"/>
      <c r="DI24" s="102"/>
      <c r="DJ24" s="102"/>
      <c r="DK24" s="102"/>
      <c r="DL24" s="102"/>
      <c r="DM24" s="102"/>
      <c r="DN24" s="102"/>
      <c r="DO24" s="102"/>
      <c r="DP24" s="102"/>
      <c r="DQ24" s="102"/>
      <c r="DR24" s="102"/>
      <c r="DS24" s="102"/>
      <c r="DT24" s="102"/>
      <c r="DU24" s="102"/>
      <c r="DV24" s="102"/>
      <c r="DW24" s="102"/>
      <c r="DX24" s="102"/>
      <c r="DY24" s="102"/>
      <c r="DZ24" s="102"/>
      <c r="EA24" s="102"/>
      <c r="EB24" s="102"/>
      <c r="EC24" s="102"/>
      <c r="ED24" s="102"/>
    </row>
    <row r="25" spans="1:347" s="107" customFormat="1" ht="89.25" customHeight="1" x14ac:dyDescent="0.2">
      <c r="A25" s="122" t="s">
        <v>1262</v>
      </c>
      <c r="B25" s="122" t="s">
        <v>1263</v>
      </c>
      <c r="C25" s="722"/>
      <c r="D25" s="122" t="s">
        <v>1281</v>
      </c>
      <c r="E25" s="122" t="s">
        <v>1282</v>
      </c>
      <c r="F25" s="122">
        <v>0</v>
      </c>
      <c r="G25" s="123">
        <v>0.25</v>
      </c>
      <c r="H25" s="131">
        <v>0.25</v>
      </c>
      <c r="I25" s="123">
        <f>'Plan de Acción 2021'!Q439</f>
        <v>0.5</v>
      </c>
      <c r="J25" s="123">
        <v>1</v>
      </c>
      <c r="K25" s="123">
        <f>('Plan de Acción 2021'!W439+'Plan de Acción 2021'!W440)/2</f>
        <v>0</v>
      </c>
      <c r="L25" s="229">
        <f>(K25*25%)/(I25-H25)</f>
        <v>0</v>
      </c>
      <c r="M25" s="123"/>
      <c r="N25" s="123">
        <f>('Plan de Acción 2021'!Z439+'Plan de Acción 2021'!Z440)/2</f>
        <v>0</v>
      </c>
      <c r="O25" s="229">
        <f>(N25*25%)/(I25-H25)</f>
        <v>0</v>
      </c>
      <c r="P25" s="123"/>
      <c r="Q25" s="123">
        <f>('Plan de Acción 2021'!AC439+'Plan de Acción 2021'!AC440)/2</f>
        <v>0</v>
      </c>
      <c r="R25" s="229">
        <f>(Q25*25%)/(I25-H25)</f>
        <v>0</v>
      </c>
      <c r="S25" s="130"/>
      <c r="T25" s="123">
        <f>('Plan de Acción 2021'!AF439+'Plan de Acción 2021'!AF440)/2</f>
        <v>0</v>
      </c>
      <c r="U25" s="229">
        <f>(T25*25%)/(I25-H25)</f>
        <v>0</v>
      </c>
      <c r="V25" s="132"/>
      <c r="W25" s="102"/>
      <c r="X25" s="102"/>
      <c r="Y25" s="102"/>
      <c r="Z25" s="102"/>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c r="CC25" s="102"/>
      <c r="CD25" s="102"/>
      <c r="CE25" s="102"/>
      <c r="CF25" s="102"/>
      <c r="CG25" s="102"/>
      <c r="CH25" s="102"/>
      <c r="CI25" s="102"/>
      <c r="CJ25" s="102"/>
      <c r="CK25" s="102"/>
      <c r="CL25" s="102"/>
      <c r="CM25" s="102"/>
      <c r="CN25" s="102"/>
      <c r="CO25" s="102"/>
      <c r="CP25" s="102"/>
      <c r="CQ25" s="102"/>
      <c r="CR25" s="102"/>
      <c r="CS25" s="102"/>
      <c r="CT25" s="102"/>
      <c r="CU25" s="102"/>
      <c r="CV25" s="102"/>
      <c r="CW25" s="102"/>
      <c r="CX25" s="102"/>
      <c r="CY25" s="102"/>
      <c r="CZ25" s="102"/>
      <c r="DA25" s="102"/>
      <c r="DB25" s="102"/>
      <c r="DC25" s="102"/>
      <c r="DD25" s="102"/>
      <c r="DE25" s="102"/>
      <c r="DF25" s="102"/>
      <c r="DG25" s="102"/>
      <c r="DH25" s="102"/>
      <c r="DI25" s="102"/>
      <c r="DJ25" s="102"/>
      <c r="DK25" s="102"/>
      <c r="DL25" s="102"/>
      <c r="DM25" s="102"/>
      <c r="DN25" s="102"/>
      <c r="DO25" s="102"/>
      <c r="DP25" s="102"/>
      <c r="DQ25" s="102"/>
      <c r="DR25" s="102"/>
      <c r="DS25" s="102"/>
      <c r="DT25" s="102"/>
      <c r="DU25" s="102"/>
      <c r="DV25" s="102"/>
      <c r="DW25" s="102"/>
      <c r="DX25" s="102"/>
      <c r="DY25" s="102"/>
      <c r="DZ25" s="102"/>
      <c r="EA25" s="102"/>
      <c r="EB25" s="102"/>
      <c r="EC25" s="102"/>
      <c r="ED25" s="102"/>
      <c r="EE25" s="102"/>
      <c r="EF25" s="102"/>
      <c r="EG25" s="102"/>
      <c r="EH25" s="102"/>
      <c r="EI25" s="102"/>
    </row>
    <row r="26" spans="1:347" s="107" customFormat="1" ht="229.5" customHeight="1" x14ac:dyDescent="0.2">
      <c r="A26" s="122" t="s">
        <v>1262</v>
      </c>
      <c r="B26" s="122" t="s">
        <v>1263</v>
      </c>
      <c r="C26" s="722"/>
      <c r="D26" s="126" t="s">
        <v>1283</v>
      </c>
      <c r="E26" s="122" t="s">
        <v>1284</v>
      </c>
      <c r="F26" s="122">
        <v>0</v>
      </c>
      <c r="G26" s="123">
        <v>0.25</v>
      </c>
      <c r="H26" s="131">
        <v>0.21</v>
      </c>
      <c r="I26" s="123">
        <f>'Plan de Acción 2021'!Q441</f>
        <v>0.5</v>
      </c>
      <c r="J26" s="123">
        <v>1</v>
      </c>
      <c r="K26" s="123">
        <f>('Plan de Acción 2021'!W441+'Plan de Acción 2021'!W442+'Plan de Acción 2021'!W443+'Plan de Acción 2021'!W444)/4</f>
        <v>0</v>
      </c>
      <c r="L26" s="229">
        <f>(K26*29%)/(I26-H26)</f>
        <v>0</v>
      </c>
      <c r="M26" s="123"/>
      <c r="N26" s="123">
        <f>('Plan de Acción 2021'!Z441+'Plan de Acción 2021'!Z442+'Plan de Acción 2021'!Z443+'Plan de Acción 2021'!Z444)/4</f>
        <v>0</v>
      </c>
      <c r="O26" s="229">
        <f>(N26*29%)/(I26-H26)</f>
        <v>0</v>
      </c>
      <c r="P26" s="123"/>
      <c r="Q26" s="123">
        <f>('Plan de Acción 2021'!AC441+'Plan de Acción 2021'!AC442+'Plan de Acción 2021'!AC443+'Plan de Acción 2021'!AC444)/4</f>
        <v>0</v>
      </c>
      <c r="R26" s="229">
        <f>(Q26*29%)/(I26-H26)</f>
        <v>0</v>
      </c>
      <c r="S26" s="130"/>
      <c r="T26" s="123">
        <f>('Plan de Acción 2021'!AF441+'Plan de Acción 2021'!AF442+'Plan de Acción 2021'!AF443+'Plan de Acción 2021'!AF444)/4</f>
        <v>0</v>
      </c>
      <c r="U26" s="229">
        <f>(T26*29%)/(I26-H26)</f>
        <v>0</v>
      </c>
      <c r="V26" s="13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2"/>
      <c r="CC26" s="102"/>
      <c r="CD26" s="102"/>
      <c r="CE26" s="102"/>
      <c r="CF26" s="102"/>
      <c r="CG26" s="102"/>
      <c r="CH26" s="102"/>
      <c r="CI26" s="102"/>
      <c r="CJ26" s="102"/>
      <c r="CK26" s="102"/>
      <c r="CL26" s="102"/>
      <c r="CM26" s="102"/>
      <c r="CN26" s="102"/>
      <c r="CO26" s="102"/>
      <c r="CP26" s="102"/>
      <c r="CQ26" s="102"/>
      <c r="CR26" s="102"/>
      <c r="CS26" s="102"/>
      <c r="CT26" s="102"/>
      <c r="CU26" s="102"/>
      <c r="CV26" s="102"/>
      <c r="CW26" s="102"/>
      <c r="CX26" s="102"/>
      <c r="CY26" s="102"/>
      <c r="CZ26" s="102"/>
      <c r="DA26" s="102"/>
      <c r="DB26" s="102"/>
      <c r="DC26" s="102"/>
      <c r="DD26" s="102"/>
      <c r="DE26" s="102"/>
      <c r="DF26" s="102"/>
      <c r="DG26" s="102"/>
      <c r="DH26" s="102"/>
      <c r="DI26" s="102"/>
      <c r="DJ26" s="102"/>
      <c r="DK26" s="102"/>
      <c r="DL26" s="102"/>
      <c r="DM26" s="102"/>
      <c r="DN26" s="102"/>
      <c r="DO26" s="102"/>
      <c r="DP26" s="102"/>
      <c r="DQ26" s="102"/>
      <c r="DR26" s="102"/>
      <c r="DS26" s="102"/>
      <c r="DT26" s="102"/>
      <c r="DU26" s="102"/>
      <c r="DV26" s="102"/>
      <c r="DW26" s="102"/>
      <c r="DX26" s="102"/>
      <c r="DY26" s="102"/>
      <c r="DZ26" s="102"/>
      <c r="EA26" s="102"/>
      <c r="EB26" s="102"/>
      <c r="EC26" s="102"/>
      <c r="ED26" s="102"/>
      <c r="EE26" s="102"/>
      <c r="EF26" s="102"/>
      <c r="EG26" s="102"/>
      <c r="EH26" s="102"/>
      <c r="EI26" s="102"/>
    </row>
    <row r="27" spans="1:347" s="107" customFormat="1" ht="141" customHeight="1" x14ac:dyDescent="0.2">
      <c r="A27" s="122" t="s">
        <v>1262</v>
      </c>
      <c r="B27" s="128" t="s">
        <v>1285</v>
      </c>
      <c r="C27" s="723" t="s">
        <v>1286</v>
      </c>
      <c r="D27" s="122" t="s">
        <v>816</v>
      </c>
      <c r="E27" s="122" t="s">
        <v>818</v>
      </c>
      <c r="F27" s="126" t="s">
        <v>1287</v>
      </c>
      <c r="G27" s="123">
        <v>0.25</v>
      </c>
      <c r="H27" s="123">
        <v>0.25</v>
      </c>
      <c r="I27" s="123">
        <f>'Plan de Acción 2021'!Q446</f>
        <v>0.5</v>
      </c>
      <c r="J27" s="122">
        <v>40</v>
      </c>
      <c r="K27" s="123">
        <f>('Plan de Acción 2021'!W446+'Plan de Acción 2021'!W447+'Plan de Acción 2021'!W448+'Plan de Acción 2021'!W449)/4</f>
        <v>0</v>
      </c>
      <c r="L27" s="229">
        <f>(K27*25%)/(I27-H27)</f>
        <v>0</v>
      </c>
      <c r="M27" s="122"/>
      <c r="N27" s="123">
        <f>('Plan de Acción 2021'!Z446+'Plan de Acción 2021'!Z447+'Plan de Acción 2021'!Z448+'Plan de Acción 2021'!Z449)/4</f>
        <v>0</v>
      </c>
      <c r="O27" s="229">
        <f>(N27*25%)/(I27-H27)</f>
        <v>0</v>
      </c>
      <c r="P27" s="126"/>
      <c r="Q27" s="123">
        <f>('Plan de Acción 2021'!AC446+'Plan de Acción 2021'!AC447+'Plan de Acción 2021'!AC448+'Plan de Acción 2021'!AC449)/4</f>
        <v>0</v>
      </c>
      <c r="R27" s="229">
        <f>(Q27*25%)/(I27-H27)</f>
        <v>0</v>
      </c>
      <c r="S27" s="123"/>
      <c r="T27" s="123">
        <f>('Plan de Acción 2021'!AF446+'Plan de Acción 2021'!AF447+'Plan de Acción 2021'!AF448+'Plan de Acción 2021'!AF449)/4</f>
        <v>0</v>
      </c>
      <c r="U27" s="229">
        <f>(T27*25%)/(I27-H27)</f>
        <v>0</v>
      </c>
      <c r="V27" s="133"/>
      <c r="W27" s="102"/>
      <c r="X27" s="102"/>
      <c r="Y27" s="102"/>
      <c r="Z27" s="102"/>
      <c r="AA27" s="102"/>
      <c r="AB27" s="102"/>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c r="BZ27" s="102"/>
      <c r="CA27" s="102"/>
      <c r="CB27" s="102"/>
      <c r="CC27" s="102"/>
      <c r="CD27" s="102"/>
      <c r="CE27" s="102"/>
      <c r="CF27" s="102"/>
      <c r="CG27" s="102"/>
      <c r="CH27" s="102"/>
      <c r="CI27" s="102"/>
      <c r="CJ27" s="102"/>
      <c r="CK27" s="102"/>
      <c r="CL27" s="102"/>
      <c r="CM27" s="102"/>
      <c r="CN27" s="102"/>
      <c r="CO27" s="102"/>
      <c r="CP27" s="102"/>
      <c r="CQ27" s="102"/>
      <c r="CR27" s="102"/>
      <c r="CS27" s="102"/>
      <c r="CT27" s="102"/>
      <c r="CU27" s="102"/>
      <c r="CV27" s="102"/>
      <c r="CW27" s="102"/>
      <c r="CX27" s="102"/>
      <c r="CY27" s="102"/>
      <c r="CZ27" s="102"/>
      <c r="DA27" s="102"/>
      <c r="DB27" s="102"/>
      <c r="DC27" s="102"/>
      <c r="DD27" s="102"/>
      <c r="DE27" s="102"/>
      <c r="DF27" s="102"/>
      <c r="DG27" s="102"/>
      <c r="DH27" s="102"/>
      <c r="DI27" s="102"/>
      <c r="DJ27" s="102"/>
      <c r="DK27" s="102"/>
      <c r="DL27" s="102"/>
      <c r="DM27" s="102"/>
      <c r="DN27" s="102"/>
      <c r="DO27" s="102"/>
      <c r="DP27" s="102"/>
      <c r="DQ27" s="102"/>
      <c r="DR27" s="102"/>
      <c r="DS27" s="102"/>
      <c r="DT27" s="102"/>
      <c r="DU27" s="102"/>
      <c r="DV27" s="102"/>
      <c r="DW27" s="102"/>
      <c r="DX27" s="102"/>
      <c r="DY27" s="102"/>
      <c r="DZ27" s="102"/>
      <c r="EA27" s="102"/>
      <c r="EB27" s="102"/>
      <c r="EC27" s="102"/>
      <c r="ED27" s="102"/>
      <c r="EE27" s="102"/>
      <c r="EF27" s="102"/>
      <c r="EG27" s="102"/>
      <c r="EH27" s="102"/>
      <c r="EI27" s="102"/>
    </row>
    <row r="28" spans="1:347" s="107" customFormat="1" ht="143.25" customHeight="1" x14ac:dyDescent="0.2">
      <c r="A28" s="122" t="s">
        <v>1213</v>
      </c>
      <c r="B28" s="128" t="s">
        <v>1213</v>
      </c>
      <c r="C28" s="723"/>
      <c r="D28" s="122" t="s">
        <v>1095</v>
      </c>
      <c r="E28" s="122" t="s">
        <v>1097</v>
      </c>
      <c r="F28" s="122">
        <v>22</v>
      </c>
      <c r="G28" s="233">
        <v>0.4</v>
      </c>
      <c r="H28" s="386">
        <v>0.41</v>
      </c>
      <c r="I28" s="233">
        <f>'Plan de Acción 2021'!Q450</f>
        <v>0.5</v>
      </c>
      <c r="J28" s="233">
        <v>0.65</v>
      </c>
      <c r="K28" s="123">
        <f>('Plan de Acción 2021'!W450+'Plan de Acción 2021'!W451+'Plan de Acción 2021'!W452+'Plan de Acción 2021'!W453+'Plan de Acción 2021'!W454+'Plan de Acción 2021'!W455+'Plan de Acción 2021'!W456+'Plan de Acción 2021'!W457+'Plan de Acción 2021'!W458+'Plan de Acción 2021'!W459+'Plan de Acción 2021'!W460+'Plan de Acción 2021'!W461+'Plan de Acción 2021'!W462+'Plan de Acción 2021'!W463+'Plan de Acción 2021'!W464+'Plan de Acción 2021'!W465+'Plan de Acción 2021'!W466+'Plan de Acción 2021'!W467+'Plan de Acción 2021'!W468+'Plan de Acción 2021'!W469+'Plan de Acción 2021'!W470+'Plan de Acción 2021'!W471+'Plan de Acción 2021'!W472+'Plan de Acción 2021'!W473+'Plan de Acción 2021'!W474+'Plan de Acción 2021'!W475+'Plan de Acción 2021'!W476+'Plan de Acción 2021'!W477+'Plan de Acción 2021'!W478+'Plan de Acción 2021'!W479+'Plan de Acción 2021'!W480+'Plan de Acción 2021'!W481+'Plan de Acción 2021'!W482+'Plan de Acción 2021'!W483)/34</f>
        <v>0</v>
      </c>
      <c r="L28" s="229">
        <f>(K28*9%)/(I28-H28)</f>
        <v>0</v>
      </c>
      <c r="M28" s="123"/>
      <c r="N28" s="387"/>
      <c r="O28" s="229">
        <f t="shared" si="1"/>
        <v>0</v>
      </c>
      <c r="P28" s="136"/>
      <c r="Q28" s="136"/>
      <c r="R28" s="229">
        <f t="shared" si="2"/>
        <v>0</v>
      </c>
      <c r="S28" s="136"/>
      <c r="T28" s="136"/>
      <c r="U28" s="229">
        <f t="shared" si="3"/>
        <v>0</v>
      </c>
      <c r="V28" s="388"/>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c r="BM28" s="102"/>
      <c r="BN28" s="102"/>
      <c r="BO28" s="102"/>
      <c r="BP28" s="102"/>
      <c r="BQ28" s="102"/>
      <c r="BR28" s="102"/>
      <c r="BS28" s="102"/>
      <c r="BT28" s="102"/>
      <c r="BU28" s="102"/>
      <c r="BV28" s="102"/>
      <c r="BW28" s="102"/>
      <c r="BX28" s="102"/>
      <c r="BY28" s="102"/>
      <c r="BZ28" s="102"/>
      <c r="CA28" s="102"/>
      <c r="CB28" s="102"/>
      <c r="CC28" s="102"/>
      <c r="CD28" s="102"/>
      <c r="CE28" s="102"/>
      <c r="CF28" s="102"/>
      <c r="CG28" s="102"/>
      <c r="CH28" s="102"/>
      <c r="CI28" s="102"/>
      <c r="CJ28" s="102"/>
      <c r="CK28" s="102"/>
      <c r="CL28" s="102"/>
      <c r="CM28" s="102"/>
      <c r="CN28" s="102"/>
      <c r="CO28" s="102"/>
      <c r="CP28" s="102"/>
      <c r="CQ28" s="102"/>
      <c r="CR28" s="102"/>
      <c r="CS28" s="102"/>
      <c r="CT28" s="102"/>
      <c r="CU28" s="102"/>
      <c r="CV28" s="102"/>
      <c r="CW28" s="102"/>
      <c r="CX28" s="102"/>
      <c r="CY28" s="102"/>
      <c r="CZ28" s="102"/>
      <c r="DA28" s="102"/>
      <c r="DB28" s="102"/>
      <c r="DC28" s="102"/>
      <c r="DD28" s="102"/>
      <c r="DE28" s="102"/>
      <c r="DF28" s="102"/>
      <c r="DG28" s="102"/>
      <c r="DH28" s="102"/>
      <c r="DI28" s="102"/>
      <c r="DJ28" s="102"/>
      <c r="DK28" s="102"/>
      <c r="DL28" s="102"/>
      <c r="DM28" s="102"/>
      <c r="DN28" s="102"/>
      <c r="DO28" s="102"/>
      <c r="DP28" s="102"/>
      <c r="DQ28" s="102"/>
      <c r="DR28" s="102"/>
      <c r="DS28" s="102"/>
      <c r="DT28" s="102"/>
      <c r="DU28" s="102"/>
      <c r="DV28" s="102"/>
      <c r="DW28" s="102"/>
      <c r="DX28" s="102"/>
      <c r="DY28" s="102"/>
      <c r="DZ28" s="102"/>
      <c r="EA28" s="102"/>
      <c r="EB28" s="102"/>
      <c r="EC28" s="102"/>
      <c r="ED28" s="102"/>
      <c r="EE28" s="102"/>
      <c r="EF28" s="102"/>
      <c r="EG28" s="102"/>
      <c r="EH28" s="102"/>
      <c r="EI28" s="102"/>
    </row>
    <row r="29" spans="1:347" s="107" customFormat="1" ht="173.25" x14ac:dyDescent="0.2">
      <c r="A29" s="122" t="s">
        <v>1262</v>
      </c>
      <c r="B29" s="128" t="s">
        <v>1285</v>
      </c>
      <c r="C29" s="723"/>
      <c r="D29" s="122" t="s">
        <v>1133</v>
      </c>
      <c r="E29" s="122" t="s">
        <v>1288</v>
      </c>
      <c r="F29" s="122">
        <v>1</v>
      </c>
      <c r="G29" s="122">
        <v>3</v>
      </c>
      <c r="H29" s="123">
        <v>0.03</v>
      </c>
      <c r="I29" s="123">
        <f>'Plan de Acción 2021'!Q484</f>
        <v>0.05</v>
      </c>
      <c r="J29" s="123">
        <v>0.1</v>
      </c>
      <c r="K29" s="123">
        <f>('Plan de Acción 2021'!W484)</f>
        <v>0</v>
      </c>
      <c r="L29" s="229">
        <f>(K29*2%)/(I29-H29)</f>
        <v>0</v>
      </c>
      <c r="M29" s="122"/>
      <c r="N29" s="123">
        <f>('Plan de Acción 2021'!Z484)</f>
        <v>0</v>
      </c>
      <c r="O29" s="229">
        <f>(N29*9%)/(I29-H29)</f>
        <v>0</v>
      </c>
      <c r="P29" s="122"/>
      <c r="Q29" s="123">
        <f>('Plan de Acción 2021'!AC484)</f>
        <v>0</v>
      </c>
      <c r="R29" s="229">
        <f>(Q29*9%)/(I29-H29)</f>
        <v>0</v>
      </c>
      <c r="S29" s="123"/>
      <c r="T29" s="123">
        <f>('Plan de Acción 2021'!AF484)</f>
        <v>0</v>
      </c>
      <c r="U29" s="229">
        <f>(T29*9%)/(I29-H29)</f>
        <v>0</v>
      </c>
      <c r="V29" s="133"/>
      <c r="W29" s="102"/>
      <c r="X29" s="102"/>
      <c r="Y29" s="102"/>
      <c r="Z29" s="102"/>
      <c r="AA29" s="102"/>
      <c r="AB29" s="102"/>
      <c r="AC29" s="102"/>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c r="BD29" s="102"/>
      <c r="BE29" s="102"/>
      <c r="BF29" s="102"/>
      <c r="BG29" s="102"/>
      <c r="BH29" s="102"/>
      <c r="BI29" s="102"/>
      <c r="BJ29" s="102"/>
      <c r="BK29" s="102"/>
      <c r="BL29" s="102"/>
      <c r="BM29" s="102"/>
      <c r="BN29" s="102"/>
      <c r="BO29" s="102"/>
      <c r="BP29" s="102"/>
      <c r="BQ29" s="102"/>
      <c r="BR29" s="102"/>
      <c r="BS29" s="102"/>
      <c r="BT29" s="102"/>
      <c r="BU29" s="102"/>
      <c r="BV29" s="102"/>
      <c r="BW29" s="102"/>
      <c r="BX29" s="102"/>
      <c r="BY29" s="102"/>
      <c r="BZ29" s="102"/>
      <c r="CA29" s="102"/>
      <c r="CB29" s="102"/>
      <c r="CC29" s="102"/>
      <c r="CD29" s="102"/>
      <c r="CE29" s="102"/>
      <c r="CF29" s="102"/>
      <c r="CG29" s="102"/>
      <c r="CH29" s="102"/>
      <c r="CI29" s="102"/>
      <c r="CJ29" s="102"/>
      <c r="CK29" s="102"/>
      <c r="CL29" s="102"/>
      <c r="CM29" s="102"/>
      <c r="CN29" s="102"/>
      <c r="CO29" s="102"/>
      <c r="CP29" s="102"/>
      <c r="CQ29" s="102"/>
      <c r="CR29" s="102"/>
      <c r="CS29" s="102"/>
      <c r="CT29" s="102"/>
      <c r="CU29" s="102"/>
      <c r="CV29" s="102"/>
      <c r="CW29" s="102"/>
      <c r="CX29" s="102"/>
      <c r="CY29" s="102"/>
      <c r="CZ29" s="102"/>
      <c r="DA29" s="102"/>
      <c r="DB29" s="102"/>
      <c r="DC29" s="102"/>
      <c r="DD29" s="102"/>
      <c r="DE29" s="102"/>
      <c r="DF29" s="102"/>
      <c r="DG29" s="102"/>
      <c r="DH29" s="102"/>
      <c r="DI29" s="102"/>
      <c r="DJ29" s="102"/>
      <c r="DK29" s="102"/>
      <c r="DL29" s="102"/>
      <c r="DM29" s="102"/>
      <c r="DN29" s="102"/>
      <c r="DO29" s="102"/>
      <c r="DP29" s="102"/>
      <c r="DQ29" s="102"/>
      <c r="DR29" s="102"/>
      <c r="DS29" s="102"/>
      <c r="DT29" s="102"/>
      <c r="DU29" s="102"/>
      <c r="DV29" s="102"/>
      <c r="DW29" s="102"/>
      <c r="DX29" s="102"/>
      <c r="DY29" s="102"/>
      <c r="DZ29" s="102"/>
      <c r="EA29" s="102"/>
      <c r="EB29" s="102"/>
      <c r="EC29" s="102"/>
      <c r="ED29" s="102"/>
      <c r="EE29" s="102"/>
      <c r="EF29" s="102"/>
      <c r="EG29" s="102"/>
      <c r="EH29" s="102"/>
      <c r="EI29" s="102"/>
    </row>
    <row r="30" spans="1:347" s="107" customFormat="1" ht="173.25" x14ac:dyDescent="0.2">
      <c r="A30" s="122" t="s">
        <v>1262</v>
      </c>
      <c r="B30" s="128" t="s">
        <v>1285</v>
      </c>
      <c r="C30" s="723"/>
      <c r="D30" s="122" t="s">
        <v>1136</v>
      </c>
      <c r="E30" s="122" t="s">
        <v>1138</v>
      </c>
      <c r="F30" s="122">
        <v>0</v>
      </c>
      <c r="G30" s="137">
        <v>1</v>
      </c>
      <c r="H30" s="123">
        <v>1</v>
      </c>
      <c r="I30" s="137">
        <f>'Plan de Acción 2021'!Q485</f>
        <v>1</v>
      </c>
      <c r="J30" s="123">
        <v>1</v>
      </c>
      <c r="K30" s="123">
        <f>('Plan de Acción 2021'!W485+'Plan de Acción 2021'!W486+'Plan de Acción 2021'!W487)/3</f>
        <v>0</v>
      </c>
      <c r="L30" s="229">
        <f t="shared" ref="L30" si="7">(K30*100%)/I30</f>
        <v>0</v>
      </c>
      <c r="M30" s="123"/>
      <c r="N30" s="123">
        <f>('Plan de Acción 2021'!Z485+'Plan de Acción 2021'!Z486+'Plan de Acción 2021'!Z487)/3</f>
        <v>0</v>
      </c>
      <c r="O30" s="229">
        <f>(N30*100%)/20</f>
        <v>0</v>
      </c>
      <c r="P30" s="123"/>
      <c r="Q30" s="123">
        <f>('Plan de Acción 2021'!AC485+'Plan de Acción 2021'!AC486+'Plan de Acción 2021'!AC487)/3</f>
        <v>0</v>
      </c>
      <c r="R30" s="229">
        <f t="shared" ref="R30" si="8">(Q30*100%)/I30</f>
        <v>0</v>
      </c>
      <c r="S30" s="130"/>
      <c r="T30" s="123">
        <f>('Plan de Acción 2021'!AF485+'Plan de Acción 2021'!AF486+'Plan de Acción 2021'!AF487)/3</f>
        <v>0</v>
      </c>
      <c r="U30" s="229">
        <f t="shared" ref="U30" si="9">(T30*100%)/I30</f>
        <v>0</v>
      </c>
      <c r="V30" s="132"/>
      <c r="W30" s="102"/>
      <c r="X30" s="102"/>
      <c r="Y30" s="102"/>
      <c r="Z30" s="102"/>
      <c r="AA30" s="102"/>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c r="BG30" s="102"/>
      <c r="BH30" s="102"/>
      <c r="BI30" s="102"/>
      <c r="BJ30" s="102"/>
      <c r="BK30" s="102"/>
      <c r="BL30" s="102"/>
      <c r="BM30" s="102"/>
      <c r="BN30" s="102"/>
      <c r="BO30" s="102"/>
      <c r="BP30" s="102"/>
      <c r="BQ30" s="102"/>
      <c r="BR30" s="102"/>
      <c r="BS30" s="102"/>
      <c r="BT30" s="102"/>
      <c r="BU30" s="102"/>
      <c r="BV30" s="102"/>
      <c r="BW30" s="102"/>
      <c r="BX30" s="102"/>
      <c r="BY30" s="102"/>
      <c r="BZ30" s="102"/>
      <c r="CA30" s="102"/>
      <c r="CB30" s="102"/>
      <c r="CC30" s="102"/>
      <c r="CD30" s="102"/>
      <c r="CE30" s="102"/>
      <c r="CF30" s="102"/>
      <c r="CG30" s="102"/>
      <c r="CH30" s="102"/>
      <c r="CI30" s="102"/>
      <c r="CJ30" s="102"/>
      <c r="CK30" s="102"/>
      <c r="CL30" s="102"/>
      <c r="CM30" s="102"/>
      <c r="CN30" s="102"/>
      <c r="CO30" s="102"/>
      <c r="CP30" s="102"/>
      <c r="CQ30" s="102"/>
      <c r="CR30" s="102"/>
      <c r="CS30" s="102"/>
      <c r="CT30" s="102"/>
      <c r="CU30" s="102"/>
      <c r="CV30" s="102"/>
      <c r="CW30" s="102"/>
      <c r="CX30" s="102"/>
      <c r="CY30" s="102"/>
      <c r="CZ30" s="102"/>
      <c r="DA30" s="102"/>
      <c r="DB30" s="102"/>
      <c r="DC30" s="102"/>
      <c r="DD30" s="102"/>
      <c r="DE30" s="102"/>
      <c r="DF30" s="102"/>
      <c r="DG30" s="102"/>
      <c r="DH30" s="102"/>
      <c r="DI30" s="102"/>
      <c r="DJ30" s="102"/>
      <c r="DK30" s="102"/>
      <c r="DL30" s="102"/>
      <c r="DM30" s="102"/>
      <c r="DN30" s="102"/>
      <c r="DO30" s="102"/>
      <c r="DP30" s="102"/>
      <c r="DQ30" s="102"/>
      <c r="DR30" s="102"/>
      <c r="DS30" s="102"/>
      <c r="DT30" s="102"/>
      <c r="DU30" s="102"/>
      <c r="DV30" s="102"/>
      <c r="DW30" s="102"/>
      <c r="DX30" s="102"/>
      <c r="DY30" s="102"/>
      <c r="DZ30" s="102"/>
      <c r="EA30" s="102"/>
      <c r="EB30" s="102"/>
      <c r="EC30" s="102"/>
      <c r="ED30" s="102"/>
      <c r="EE30" s="102"/>
      <c r="EF30" s="102"/>
      <c r="EG30" s="102"/>
      <c r="EH30" s="102"/>
      <c r="EI30" s="102"/>
    </row>
    <row r="31" spans="1:347" s="107" customFormat="1" ht="126" customHeight="1" x14ac:dyDescent="0.2">
      <c r="A31" s="122" t="s">
        <v>1262</v>
      </c>
      <c r="B31" s="128" t="s">
        <v>1285</v>
      </c>
      <c r="C31" s="723" t="s">
        <v>1289</v>
      </c>
      <c r="D31" s="122" t="s">
        <v>1169</v>
      </c>
      <c r="E31" s="122" t="s">
        <v>875</v>
      </c>
      <c r="F31" s="122">
        <v>0</v>
      </c>
      <c r="G31" s="137" t="s">
        <v>1290</v>
      </c>
      <c r="H31" s="123">
        <v>0.2</v>
      </c>
      <c r="I31" s="137">
        <f>'Plan de Acción 2021'!Q512</f>
        <v>0.5</v>
      </c>
      <c r="J31" s="122">
        <v>4</v>
      </c>
      <c r="K31" s="123">
        <f>'Plan de Acción 2021'!W512</f>
        <v>0</v>
      </c>
      <c r="L31" s="229">
        <f>(K31*30%)/(I31-H31)</f>
        <v>0</v>
      </c>
      <c r="M31" s="122"/>
      <c r="N31" s="123">
        <f>'Plan de Acción 2021'!Z512</f>
        <v>0</v>
      </c>
      <c r="O31" s="229">
        <f>(N31*30%)/(I31-H31)</f>
        <v>0</v>
      </c>
      <c r="P31" s="122"/>
      <c r="Q31" s="123">
        <f>'Plan de Acción 2021'!AC512</f>
        <v>0</v>
      </c>
      <c r="R31" s="229">
        <f>(Q31*30%)/(I31-H31)</f>
        <v>0</v>
      </c>
      <c r="S31" s="122"/>
      <c r="T31" s="123">
        <f>'Plan de Acción 2021'!AF512</f>
        <v>0</v>
      </c>
      <c r="U31" s="229">
        <f>(T31*30%)/(I31-H31)</f>
        <v>0</v>
      </c>
      <c r="V31" s="138"/>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c r="BM31" s="102"/>
      <c r="BN31" s="102"/>
      <c r="BO31" s="102"/>
      <c r="BP31" s="102"/>
      <c r="BQ31" s="102"/>
      <c r="BR31" s="102"/>
      <c r="BS31" s="102"/>
      <c r="BT31" s="102"/>
      <c r="BU31" s="102"/>
      <c r="BV31" s="102"/>
      <c r="BW31" s="102"/>
      <c r="BX31" s="102"/>
      <c r="BY31" s="102"/>
      <c r="BZ31" s="102"/>
      <c r="CA31" s="102"/>
      <c r="CB31" s="102"/>
      <c r="CC31" s="102"/>
      <c r="CD31" s="102"/>
      <c r="CE31" s="102"/>
      <c r="CF31" s="102"/>
      <c r="CG31" s="102"/>
      <c r="CH31" s="102"/>
      <c r="CI31" s="102"/>
      <c r="CJ31" s="102"/>
      <c r="CK31" s="102"/>
      <c r="CL31" s="102"/>
      <c r="CM31" s="102"/>
      <c r="CN31" s="102"/>
      <c r="CO31" s="102"/>
      <c r="CP31" s="102"/>
      <c r="CQ31" s="102"/>
      <c r="CR31" s="102"/>
      <c r="CS31" s="102"/>
      <c r="CT31" s="102"/>
      <c r="CU31" s="102"/>
      <c r="CV31" s="102"/>
      <c r="CW31" s="102"/>
      <c r="CX31" s="102"/>
      <c r="CY31" s="102"/>
      <c r="CZ31" s="102"/>
      <c r="DA31" s="102"/>
      <c r="DB31" s="102"/>
      <c r="DC31" s="102"/>
      <c r="DD31" s="102"/>
      <c r="DE31" s="102"/>
      <c r="DF31" s="102"/>
      <c r="DG31" s="102"/>
      <c r="DH31" s="102"/>
      <c r="DI31" s="102"/>
      <c r="DJ31" s="102"/>
      <c r="DK31" s="102"/>
      <c r="DL31" s="102"/>
      <c r="DM31" s="102"/>
      <c r="DN31" s="102"/>
      <c r="DO31" s="102"/>
      <c r="DP31" s="102"/>
      <c r="DQ31" s="102"/>
      <c r="DR31" s="102"/>
      <c r="DS31" s="102"/>
      <c r="DT31" s="102"/>
      <c r="DU31" s="102"/>
      <c r="DV31" s="102"/>
      <c r="DW31" s="102"/>
      <c r="DX31" s="102"/>
      <c r="DY31" s="102"/>
      <c r="DZ31" s="102"/>
      <c r="EA31" s="102"/>
      <c r="EB31" s="102"/>
      <c r="EC31" s="102"/>
      <c r="ED31" s="102"/>
      <c r="EE31" s="102"/>
      <c r="EF31" s="102"/>
      <c r="EG31" s="102"/>
      <c r="EH31" s="102"/>
      <c r="EI31" s="102"/>
    </row>
    <row r="32" spans="1:347" s="107" customFormat="1" ht="91.5" customHeight="1" thickBot="1" x14ac:dyDescent="0.25">
      <c r="A32" s="139" t="s">
        <v>1262</v>
      </c>
      <c r="B32" s="140" t="s">
        <v>1285</v>
      </c>
      <c r="C32" s="724"/>
      <c r="D32" s="139" t="s">
        <v>1082</v>
      </c>
      <c r="E32" s="139" t="s">
        <v>1291</v>
      </c>
      <c r="F32" s="139">
        <v>0</v>
      </c>
      <c r="G32" s="141" t="s">
        <v>1290</v>
      </c>
      <c r="H32" s="85">
        <v>0</v>
      </c>
      <c r="I32" s="190">
        <v>0.5</v>
      </c>
      <c r="J32" s="139">
        <v>4</v>
      </c>
      <c r="K32" s="190">
        <f>('Plan de Acción 2021'!W445)</f>
        <v>0</v>
      </c>
      <c r="L32" s="243">
        <f>(K32*50%)/(I32-H32)</f>
        <v>0</v>
      </c>
      <c r="M32" s="139"/>
      <c r="N32" s="190">
        <f>('Plan de Acción 2021'!Z445)</f>
        <v>0</v>
      </c>
      <c r="O32" s="243">
        <f>(N32*50%)/(I32-H32)</f>
        <v>0</v>
      </c>
      <c r="P32" s="139"/>
      <c r="Q32" s="190">
        <f>('Plan de Acción 2021'!AC445)</f>
        <v>0</v>
      </c>
      <c r="R32" s="243">
        <f>(Q32*50%)/(I32-H32)</f>
        <v>0</v>
      </c>
      <c r="S32" s="139"/>
      <c r="T32" s="190">
        <f>('Plan de Acción 2021'!AF445)</f>
        <v>0</v>
      </c>
      <c r="U32" s="243">
        <f>(T32*50%)/(I32-H32)</f>
        <v>0</v>
      </c>
      <c r="V32" s="142"/>
      <c r="W32" s="102"/>
      <c r="X32" s="102"/>
      <c r="Y32" s="102"/>
      <c r="Z32" s="102"/>
      <c r="AA32" s="102"/>
      <c r="AB32" s="102"/>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c r="BG32" s="102"/>
      <c r="BH32" s="102"/>
      <c r="BI32" s="102"/>
      <c r="BJ32" s="102"/>
      <c r="BK32" s="102"/>
      <c r="BL32" s="102"/>
      <c r="BM32" s="102"/>
      <c r="BN32" s="102"/>
      <c r="BO32" s="102"/>
      <c r="BP32" s="102"/>
      <c r="BQ32" s="102"/>
      <c r="BR32" s="102"/>
      <c r="BS32" s="102"/>
      <c r="BT32" s="102"/>
      <c r="BU32" s="102"/>
      <c r="BV32" s="102"/>
      <c r="BW32" s="102"/>
      <c r="BX32" s="102"/>
      <c r="BY32" s="102"/>
      <c r="BZ32" s="102"/>
      <c r="CA32" s="102"/>
      <c r="CB32" s="102"/>
      <c r="CC32" s="102"/>
      <c r="CD32" s="102"/>
      <c r="CE32" s="102"/>
      <c r="CF32" s="102"/>
      <c r="CG32" s="102"/>
      <c r="CH32" s="102"/>
      <c r="CI32" s="102"/>
      <c r="CJ32" s="102"/>
      <c r="CK32" s="102"/>
      <c r="CL32" s="102"/>
      <c r="CM32" s="102"/>
      <c r="CN32" s="102"/>
      <c r="CO32" s="102"/>
      <c r="CP32" s="102"/>
      <c r="CQ32" s="102"/>
      <c r="CR32" s="102"/>
      <c r="CS32" s="102"/>
      <c r="CT32" s="102"/>
      <c r="CU32" s="102"/>
      <c r="CV32" s="102"/>
      <c r="CW32" s="102"/>
      <c r="CX32" s="102"/>
      <c r="CY32" s="102"/>
      <c r="CZ32" s="102"/>
      <c r="DA32" s="102"/>
      <c r="DB32" s="102"/>
      <c r="DC32" s="102"/>
      <c r="DD32" s="102"/>
      <c r="DE32" s="102"/>
      <c r="DF32" s="102"/>
      <c r="DG32" s="102"/>
      <c r="DH32" s="102"/>
      <c r="DI32" s="102"/>
      <c r="DJ32" s="102"/>
      <c r="DK32" s="102"/>
      <c r="DL32" s="102"/>
      <c r="DM32" s="102"/>
      <c r="DN32" s="102"/>
      <c r="DO32" s="102"/>
      <c r="DP32" s="102"/>
      <c r="DQ32" s="102"/>
      <c r="DR32" s="102"/>
      <c r="DS32" s="102"/>
      <c r="DT32" s="102"/>
      <c r="DU32" s="102"/>
      <c r="DV32" s="102"/>
      <c r="DW32" s="102"/>
      <c r="DX32" s="102"/>
      <c r="DY32" s="102"/>
      <c r="DZ32" s="102"/>
      <c r="EA32" s="102"/>
      <c r="EB32" s="102"/>
      <c r="EC32" s="102"/>
      <c r="ED32" s="102"/>
      <c r="EE32" s="102"/>
      <c r="EF32" s="102"/>
      <c r="EG32" s="102"/>
      <c r="EH32" s="102"/>
      <c r="EI32" s="102"/>
    </row>
    <row r="33" spans="1:45" ht="69" customHeight="1" thickBot="1" x14ac:dyDescent="0.25">
      <c r="A33" s="719"/>
      <c r="B33" s="720"/>
      <c r="C33" s="720"/>
      <c r="D33" s="720"/>
      <c r="E33" s="720"/>
      <c r="F33" s="720"/>
      <c r="G33" s="721"/>
      <c r="H33" s="221"/>
      <c r="I33" s="245"/>
      <c r="J33" s="245"/>
      <c r="K33" s="246" t="s">
        <v>1292</v>
      </c>
      <c r="L33" s="247">
        <f>AVERAGE(L7:L15,L17,L20:L32)</f>
        <v>0</v>
      </c>
      <c r="M33" s="246"/>
      <c r="N33" s="246" t="s">
        <v>1293</v>
      </c>
      <c r="O33" s="247">
        <f>AVERAGE(O7:O15,O17,O20:O32)</f>
        <v>0</v>
      </c>
      <c r="P33" s="248"/>
      <c r="Q33" s="246" t="s">
        <v>1294</v>
      </c>
      <c r="R33" s="247">
        <f>AVERAGE(R7:R15,R17,R20:R32)</f>
        <v>0</v>
      </c>
      <c r="S33" s="248"/>
      <c r="T33" s="246" t="s">
        <v>1295</v>
      </c>
      <c r="U33" s="247">
        <f>AVERAGE(U7:U15,U17,U20:U32)</f>
        <v>0</v>
      </c>
      <c r="V33" s="250">
        <f>AVERAGE(V34:V35)/2</f>
        <v>0</v>
      </c>
    </row>
    <row r="34" spans="1:45" ht="25.5" hidden="1" x14ac:dyDescent="0.2">
      <c r="A34" s="102"/>
      <c r="G34" s="143"/>
      <c r="H34" s="143"/>
      <c r="I34" s="143"/>
      <c r="J34" s="143"/>
      <c r="K34" s="244" t="s">
        <v>1213</v>
      </c>
      <c r="L34" s="119">
        <f>AVERAGE(L7+L8+L9+L10+L11+L12+L13+L14+L28)/9</f>
        <v>0</v>
      </c>
      <c r="M34" s="119"/>
      <c r="N34" s="119"/>
      <c r="O34" s="119">
        <f>AVERAGE(O7+O8+O9+O10+O11+O12+O13+O14+O28)/9</f>
        <v>0</v>
      </c>
      <c r="P34" s="119"/>
      <c r="Q34" s="119"/>
      <c r="R34" s="119">
        <f>AVERAGE(R7+R8+R9+R10+R11+R12+R13+R14+R28)/9</f>
        <v>0</v>
      </c>
      <c r="S34" s="119"/>
      <c r="T34" s="119"/>
      <c r="U34" s="119">
        <f>AVERAGE(U7+U8+U9+U10+U11+U12+U13+U14+U28)/9</f>
        <v>0</v>
      </c>
      <c r="V34" s="241">
        <f>AVERAGE(L34+O34+R34+U34)</f>
        <v>0</v>
      </c>
    </row>
    <row r="35" spans="1:45" ht="51" hidden="1" x14ac:dyDescent="0.2">
      <c r="A35" s="102"/>
      <c r="D35" s="143"/>
      <c r="G35" s="143"/>
      <c r="H35" s="143"/>
      <c r="I35" s="143"/>
      <c r="J35" s="143"/>
      <c r="K35" s="239" t="s">
        <v>1296</v>
      </c>
      <c r="L35" s="129">
        <f>AVERAGE(L15+L17+L20+L21+L22+L23+L24+L25+L26+L27+L29+L30+L31+L32)/14</f>
        <v>0</v>
      </c>
      <c r="M35" s="129"/>
      <c r="N35" s="129"/>
      <c r="O35" s="129">
        <f>AVERAGE(O15+O17+O20+O21+O22+O23+O24+O25+O26+O27+O29+O30+O31+O32)/14</f>
        <v>0</v>
      </c>
      <c r="P35" s="129"/>
      <c r="Q35" s="129"/>
      <c r="R35" s="129">
        <f>AVERAGE(R15+R17+R20+R21+R22+R23+R24+R25+R26+R27+R29+R30+R31+R32)/14</f>
        <v>0</v>
      </c>
      <c r="S35" s="129"/>
      <c r="T35" s="129"/>
      <c r="U35" s="129">
        <f>AVERAGE(U15+U17+U20+U21+U22+U23+U24+U25+U26+U27+U29+U30+U31+U32)/14</f>
        <v>0</v>
      </c>
      <c r="V35" s="129">
        <f>AVERAGE(L35+O35+R35+U35)</f>
        <v>0</v>
      </c>
      <c r="W35" s="143"/>
      <c r="X35" s="143"/>
      <c r="Y35" s="143"/>
      <c r="Z35" s="143"/>
      <c r="AA35" s="143"/>
      <c r="AB35" s="143"/>
      <c r="AC35" s="143"/>
      <c r="AD35" s="143"/>
      <c r="AE35" s="143"/>
      <c r="AF35" s="143"/>
      <c r="AG35" s="143"/>
      <c r="AH35" s="143"/>
      <c r="AI35" s="143"/>
      <c r="AJ35" s="143"/>
      <c r="AK35" s="143"/>
      <c r="AL35" s="143"/>
      <c r="AM35" s="143"/>
      <c r="AN35" s="143"/>
      <c r="AO35" s="143"/>
      <c r="AP35" s="143"/>
      <c r="AQ35" s="143"/>
      <c r="AR35" s="143"/>
      <c r="AS35" s="143"/>
    </row>
    <row r="36" spans="1:45" ht="16.5" thickBot="1" x14ac:dyDescent="0.25"/>
    <row r="37" spans="1:45" s="430" customFormat="1" ht="13.9" customHeight="1" thickTop="1" x14ac:dyDescent="0.2">
      <c r="A37" s="682" t="s">
        <v>1183</v>
      </c>
      <c r="B37" s="683"/>
      <c r="C37" s="683"/>
      <c r="D37" s="683"/>
      <c r="E37" s="683"/>
      <c r="F37" s="683"/>
      <c r="G37" s="683"/>
      <c r="H37" s="683"/>
      <c r="I37" s="684"/>
      <c r="J37" s="688" t="s">
        <v>1184</v>
      </c>
      <c r="K37" s="689"/>
      <c r="L37" s="689"/>
      <c r="M37" s="689"/>
      <c r="N37" s="689"/>
      <c r="O37" s="689"/>
      <c r="P37" s="689"/>
      <c r="Q37" s="690"/>
      <c r="R37" s="688" t="s">
        <v>1185</v>
      </c>
      <c r="S37" s="694"/>
      <c r="T37" s="682" t="s">
        <v>1186</v>
      </c>
      <c r="U37" s="683"/>
      <c r="V37" s="683"/>
      <c r="W37" s="683"/>
      <c r="X37" s="696"/>
      <c r="Y37" s="677">
        <v>1</v>
      </c>
      <c r="Z37" s="429"/>
      <c r="AC37" s="429"/>
      <c r="AF37" s="429"/>
    </row>
    <row r="38" spans="1:45" s="430" customFormat="1" ht="13.15" customHeight="1" thickBot="1" x14ac:dyDescent="0.25">
      <c r="A38" s="685"/>
      <c r="B38" s="686"/>
      <c r="C38" s="686"/>
      <c r="D38" s="686"/>
      <c r="E38" s="686"/>
      <c r="F38" s="686"/>
      <c r="G38" s="686"/>
      <c r="H38" s="686"/>
      <c r="I38" s="687"/>
      <c r="J38" s="691"/>
      <c r="K38" s="692"/>
      <c r="L38" s="692"/>
      <c r="M38" s="692"/>
      <c r="N38" s="692"/>
      <c r="O38" s="692"/>
      <c r="P38" s="692"/>
      <c r="Q38" s="693"/>
      <c r="R38" s="691"/>
      <c r="S38" s="695"/>
      <c r="T38" s="685"/>
      <c r="U38" s="686"/>
      <c r="V38" s="686"/>
      <c r="W38" s="686"/>
      <c r="X38" s="697"/>
      <c r="Y38" s="678"/>
      <c r="Z38" s="429"/>
      <c r="AC38" s="429"/>
      <c r="AF38" s="429"/>
    </row>
    <row r="39" spans="1:45" x14ac:dyDescent="0.2">
      <c r="G39" s="143"/>
      <c r="H39" s="143"/>
      <c r="I39" s="143"/>
      <c r="J39" s="143"/>
      <c r="K39" s="143"/>
      <c r="L39" s="143"/>
      <c r="M39" s="143"/>
    </row>
    <row r="40" spans="1:45" x14ac:dyDescent="0.2">
      <c r="G40" s="143"/>
      <c r="H40" s="143"/>
      <c r="I40" s="143"/>
      <c r="J40" s="143"/>
      <c r="K40" s="143"/>
      <c r="L40" s="143"/>
      <c r="M40" s="143"/>
      <c r="N40" s="144"/>
    </row>
    <row r="41" spans="1:45" x14ac:dyDescent="0.2">
      <c r="G41" s="143"/>
      <c r="H41" s="143"/>
      <c r="I41" s="143"/>
      <c r="J41" s="143"/>
      <c r="K41" s="143"/>
      <c r="L41" s="143"/>
      <c r="M41" s="143"/>
      <c r="N41" s="144"/>
    </row>
  </sheetData>
  <mergeCells count="25">
    <mergeCell ref="A37:I38"/>
    <mergeCell ref="J37:Q38"/>
    <mergeCell ref="R37:S38"/>
    <mergeCell ref="T37:X38"/>
    <mergeCell ref="Y37:Y38"/>
    <mergeCell ref="A33:G33"/>
    <mergeCell ref="C15:C19"/>
    <mergeCell ref="C20:C21"/>
    <mergeCell ref="C22:C26"/>
    <mergeCell ref="C27:C30"/>
    <mergeCell ref="C31:C32"/>
    <mergeCell ref="AB4:AG4"/>
    <mergeCell ref="AH4:AM4"/>
    <mergeCell ref="AN4:AS4"/>
    <mergeCell ref="C6:C7"/>
    <mergeCell ref="C8:C10"/>
    <mergeCell ref="K4:M4"/>
    <mergeCell ref="A4:J4"/>
    <mergeCell ref="C11:C14"/>
    <mergeCell ref="A1:V1"/>
    <mergeCell ref="A2:V2"/>
    <mergeCell ref="A3:V3"/>
    <mergeCell ref="N4:P4"/>
    <mergeCell ref="Q4:S4"/>
    <mergeCell ref="T4:V4"/>
  </mergeCell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34"/>
  <sheetViews>
    <sheetView topLeftCell="M25" zoomScaleNormal="100" workbookViewId="0">
      <selection activeCell="M36" sqref="M36"/>
    </sheetView>
  </sheetViews>
  <sheetFormatPr baseColWidth="10" defaultColWidth="11.42578125" defaultRowHeight="12.75" x14ac:dyDescent="0.2"/>
  <cols>
    <col min="1" max="1" width="7.28515625" style="148" hidden="1" customWidth="1"/>
    <col min="2" max="2" width="3.140625" style="148" hidden="1" customWidth="1"/>
    <col min="3" max="3" width="7.85546875" style="148" hidden="1" customWidth="1"/>
    <col min="4" max="4" width="14.42578125" style="148" customWidth="1"/>
    <col min="5" max="5" width="10.5703125" style="193" customWidth="1"/>
    <col min="6" max="6" width="27.28515625" style="148" customWidth="1"/>
    <col min="7" max="7" width="22.140625" style="148" customWidth="1"/>
    <col min="8" max="8" width="24" style="148" customWidth="1"/>
    <col min="9" max="9" width="6.42578125" style="148" customWidth="1"/>
    <col min="10" max="14" width="8.140625" style="148" customWidth="1"/>
    <col min="15" max="15" width="11.7109375" style="148" customWidth="1"/>
    <col min="16" max="16" width="8.140625" style="148" customWidth="1"/>
    <col min="17" max="17" width="15.28515625" style="148" customWidth="1"/>
    <col min="18" max="18" width="9.85546875" style="148" customWidth="1"/>
    <col min="19" max="19" width="15.28515625" style="148" customWidth="1"/>
    <col min="20" max="20" width="10.28515625" style="148" customWidth="1"/>
    <col min="21" max="21" width="9.28515625" style="148" customWidth="1"/>
    <col min="22" max="22" width="20" style="148" customWidth="1"/>
    <col min="23" max="23" width="15" style="148" customWidth="1"/>
    <col min="24" max="24" width="20.140625" style="148" customWidth="1"/>
    <col min="25" max="26" width="17" style="148" customWidth="1"/>
    <col min="27" max="27" width="12.42578125" style="148" customWidth="1"/>
    <col min="28" max="28" width="12.85546875" style="148" customWidth="1"/>
    <col min="29" max="30" width="11.5703125" style="148" customWidth="1"/>
    <col min="31" max="31" width="18.140625" style="148" customWidth="1"/>
    <col min="32" max="32" width="18" style="148" customWidth="1"/>
    <col min="33" max="33" width="16" style="148" customWidth="1"/>
    <col min="34" max="36" width="11.5703125" style="148" customWidth="1"/>
    <col min="37" max="37" width="17.7109375" style="148" customWidth="1"/>
    <col min="38" max="38" width="13.5703125" style="148" customWidth="1"/>
    <col min="39" max="39" width="14.85546875" style="148" customWidth="1"/>
    <col min="40" max="42" width="11.5703125" style="148" customWidth="1"/>
    <col min="43" max="43" width="18.140625" style="148" customWidth="1"/>
    <col min="44" max="44" width="13.5703125" style="148" customWidth="1"/>
    <col min="45" max="45" width="13.42578125" style="148" customWidth="1"/>
    <col min="46" max="47" width="11.5703125" style="148" customWidth="1"/>
    <col min="48" max="48" width="14" style="148" bestFit="1" customWidth="1"/>
    <col min="49" max="49" width="46" style="148" bestFit="1" customWidth="1"/>
    <col min="50" max="50" width="6.28515625" style="148" customWidth="1"/>
    <col min="51" max="16384" width="11.42578125" style="148"/>
  </cols>
  <sheetData>
    <row r="1" spans="1:73" ht="16.5" x14ac:dyDescent="0.2">
      <c r="A1" s="145"/>
      <c r="B1" s="727"/>
      <c r="C1" s="727"/>
      <c r="D1" s="727"/>
      <c r="E1" s="727"/>
      <c r="F1" s="727"/>
      <c r="G1" s="727"/>
      <c r="H1" s="727"/>
      <c r="I1" s="727"/>
      <c r="J1" s="727"/>
      <c r="K1" s="727"/>
      <c r="L1" s="727"/>
      <c r="M1" s="727"/>
      <c r="N1" s="727"/>
      <c r="O1" s="727"/>
      <c r="P1" s="727"/>
      <c r="Q1" s="727"/>
      <c r="R1" s="727"/>
      <c r="S1" s="727"/>
      <c r="T1" s="727"/>
      <c r="U1" s="727"/>
      <c r="V1" s="727"/>
      <c r="W1" s="727"/>
      <c r="X1" s="727"/>
      <c r="Y1" s="727"/>
      <c r="Z1" s="146"/>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7"/>
    </row>
    <row r="2" spans="1:73" ht="52.5" customHeight="1" thickBot="1" x14ac:dyDescent="0.25">
      <c r="A2" s="149"/>
      <c r="B2" s="728"/>
      <c r="C2" s="728"/>
      <c r="D2" s="728"/>
      <c r="E2" s="728"/>
      <c r="F2" s="728"/>
      <c r="G2" s="728"/>
      <c r="H2" s="728"/>
      <c r="I2" s="728"/>
      <c r="J2" s="728"/>
      <c r="K2" s="728"/>
      <c r="L2" s="728"/>
      <c r="M2" s="728"/>
      <c r="N2" s="728"/>
      <c r="O2" s="728"/>
      <c r="P2" s="728"/>
      <c r="Q2" s="728"/>
      <c r="R2" s="728"/>
      <c r="S2" s="728"/>
      <c r="T2" s="728"/>
      <c r="U2" s="728"/>
      <c r="V2" s="728"/>
      <c r="W2" s="728"/>
      <c r="X2" s="728"/>
      <c r="Y2" s="728"/>
      <c r="Z2" s="146"/>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7"/>
    </row>
    <row r="3" spans="1:73" ht="16.5" thickBot="1" x14ac:dyDescent="0.25">
      <c r="A3" s="729" t="s">
        <v>1187</v>
      </c>
      <c r="B3" s="730"/>
      <c r="C3" s="730"/>
      <c r="D3" s="730"/>
      <c r="E3" s="730"/>
      <c r="F3" s="730"/>
      <c r="G3" s="730"/>
      <c r="H3" s="730"/>
      <c r="I3" s="730"/>
      <c r="J3" s="730"/>
      <c r="K3" s="730"/>
      <c r="L3" s="730"/>
      <c r="M3" s="730"/>
      <c r="N3" s="730"/>
      <c r="O3" s="730"/>
      <c r="P3" s="730"/>
      <c r="Q3" s="730"/>
      <c r="R3" s="730"/>
      <c r="S3" s="730"/>
      <c r="T3" s="730"/>
      <c r="U3" s="730"/>
      <c r="V3" s="730"/>
      <c r="W3" s="730"/>
      <c r="X3" s="730"/>
      <c r="Y3" s="73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1"/>
    </row>
    <row r="4" spans="1:73" ht="18.75" thickBot="1" x14ac:dyDescent="0.25">
      <c r="A4" s="731" t="s">
        <v>1297</v>
      </c>
      <c r="B4" s="732"/>
      <c r="C4" s="732"/>
      <c r="D4" s="732"/>
      <c r="E4" s="732"/>
      <c r="F4" s="732"/>
      <c r="G4" s="732"/>
      <c r="H4" s="732"/>
      <c r="I4" s="732"/>
      <c r="J4" s="732"/>
      <c r="K4" s="732"/>
      <c r="L4" s="732"/>
      <c r="M4" s="732"/>
      <c r="N4" s="732"/>
      <c r="O4" s="732"/>
      <c r="P4" s="732"/>
      <c r="Q4" s="732"/>
      <c r="R4" s="732"/>
      <c r="S4" s="732"/>
      <c r="T4" s="732"/>
      <c r="U4" s="732"/>
      <c r="V4" s="732"/>
      <c r="W4" s="732"/>
      <c r="X4" s="732"/>
      <c r="Y4" s="732"/>
      <c r="Z4" s="152"/>
      <c r="AA4" s="152"/>
      <c r="AB4" s="152"/>
      <c r="AC4" s="152"/>
      <c r="AD4" s="152"/>
      <c r="AE4" s="152"/>
      <c r="AF4" s="152"/>
      <c r="AG4" s="152"/>
      <c r="AH4" s="152"/>
      <c r="AI4" s="152"/>
      <c r="AJ4" s="152"/>
      <c r="AK4" s="152"/>
      <c r="AL4" s="152"/>
      <c r="AM4" s="152"/>
      <c r="AN4" s="152"/>
      <c r="AO4" s="152"/>
      <c r="AP4" s="152"/>
      <c r="AQ4" s="152"/>
      <c r="AR4" s="152"/>
      <c r="AS4" s="152"/>
      <c r="AT4" s="152"/>
      <c r="AU4" s="152"/>
      <c r="AV4" s="152"/>
      <c r="AW4" s="152"/>
      <c r="AX4" s="153"/>
    </row>
    <row r="5" spans="1:73" ht="20.25" customHeight="1" x14ac:dyDescent="0.25">
      <c r="A5" s="154"/>
      <c r="B5" s="154"/>
      <c r="C5" s="154"/>
      <c r="D5" s="725" t="s">
        <v>1189</v>
      </c>
      <c r="E5" s="726"/>
      <c r="F5" s="726"/>
      <c r="G5" s="726"/>
      <c r="H5" s="726"/>
      <c r="I5" s="726"/>
      <c r="J5" s="726"/>
      <c r="K5" s="726"/>
      <c r="L5" s="726"/>
      <c r="M5" s="726"/>
      <c r="N5" s="663" t="s">
        <v>1190</v>
      </c>
      <c r="O5" s="663"/>
      <c r="P5" s="663"/>
      <c r="Q5" s="663" t="s">
        <v>1191</v>
      </c>
      <c r="R5" s="663"/>
      <c r="S5" s="663"/>
      <c r="T5" s="663" t="s">
        <v>1192</v>
      </c>
      <c r="U5" s="663"/>
      <c r="V5" s="663"/>
      <c r="W5" s="663" t="s">
        <v>1193</v>
      </c>
      <c r="X5" s="663"/>
      <c r="Y5" s="663"/>
      <c r="Z5" s="155"/>
      <c r="AA5" s="155"/>
      <c r="AB5" s="155"/>
      <c r="AC5" s="155"/>
      <c r="AD5" s="155"/>
      <c r="AE5" s="733">
        <v>2022</v>
      </c>
      <c r="AF5" s="733"/>
      <c r="AG5" s="733"/>
      <c r="AH5" s="733"/>
      <c r="AI5" s="733"/>
      <c r="AJ5" s="733"/>
      <c r="AK5" s="734"/>
      <c r="AL5" s="734"/>
      <c r="AM5" s="734"/>
      <c r="AN5" s="734"/>
      <c r="AO5" s="734"/>
      <c r="AP5" s="734"/>
      <c r="AQ5" s="734"/>
      <c r="AR5" s="734"/>
      <c r="AS5" s="734"/>
      <c r="AT5" s="734"/>
      <c r="AU5" s="734"/>
      <c r="AV5" s="734"/>
      <c r="AW5" s="156"/>
      <c r="AX5" s="156"/>
      <c r="AY5" s="157"/>
      <c r="AZ5" s="157"/>
      <c r="BA5" s="157"/>
      <c r="BB5" s="157"/>
      <c r="BC5" s="157"/>
      <c r="BD5" s="157"/>
      <c r="BE5" s="157"/>
      <c r="BF5" s="157"/>
      <c r="BG5" s="157"/>
      <c r="BH5" s="157"/>
      <c r="BI5" s="157"/>
      <c r="BJ5" s="157"/>
      <c r="BK5" s="157"/>
      <c r="BL5" s="157"/>
      <c r="BM5" s="157"/>
      <c r="BN5" s="157"/>
      <c r="BO5" s="157"/>
      <c r="BP5" s="157"/>
      <c r="BQ5" s="157"/>
      <c r="BR5" s="157"/>
      <c r="BS5" s="157"/>
      <c r="BT5" s="157"/>
      <c r="BU5" s="157"/>
    </row>
    <row r="6" spans="1:73" s="168" customFormat="1" ht="67.5" x14ac:dyDescent="0.2">
      <c r="A6" s="158" t="s">
        <v>1194</v>
      </c>
      <c r="B6" s="159" t="s">
        <v>1298</v>
      </c>
      <c r="C6" s="160" t="s">
        <v>1299</v>
      </c>
      <c r="D6" s="161" t="s">
        <v>1197</v>
      </c>
      <c r="E6" s="162" t="s">
        <v>1198</v>
      </c>
      <c r="F6" s="163" t="s">
        <v>1199</v>
      </c>
      <c r="G6" s="163" t="s">
        <v>1200</v>
      </c>
      <c r="H6" s="163" t="s">
        <v>1201</v>
      </c>
      <c r="I6" s="159" t="s">
        <v>1202</v>
      </c>
      <c r="J6" s="159" t="s">
        <v>1248</v>
      </c>
      <c r="K6" s="159" t="s">
        <v>1204</v>
      </c>
      <c r="L6" s="159" t="s">
        <v>1205</v>
      </c>
      <c r="M6" s="159" t="s">
        <v>1206</v>
      </c>
      <c r="N6" s="32" t="s">
        <v>1207</v>
      </c>
      <c r="O6" s="32" t="s">
        <v>1208</v>
      </c>
      <c r="P6" s="32" t="s">
        <v>1209</v>
      </c>
      <c r="Q6" s="32" t="s">
        <v>1207</v>
      </c>
      <c r="R6" s="32" t="s">
        <v>1208</v>
      </c>
      <c r="S6" s="32" t="s">
        <v>1209</v>
      </c>
      <c r="T6" s="32" t="s">
        <v>1207</v>
      </c>
      <c r="U6" s="32" t="s">
        <v>1208</v>
      </c>
      <c r="V6" s="32" t="s">
        <v>1209</v>
      </c>
      <c r="W6" s="32" t="s">
        <v>1207</v>
      </c>
      <c r="X6" s="32" t="s">
        <v>1208</v>
      </c>
      <c r="Y6" s="32" t="s">
        <v>1209</v>
      </c>
      <c r="Z6" s="164"/>
      <c r="AA6" s="165"/>
      <c r="AB6" s="164"/>
      <c r="AC6" s="164"/>
      <c r="AD6" s="164"/>
      <c r="AE6" s="164"/>
      <c r="AF6" s="164"/>
      <c r="AG6" s="165"/>
      <c r="AH6" s="164"/>
      <c r="AI6" s="164"/>
      <c r="AJ6" s="164"/>
      <c r="AK6" s="164"/>
      <c r="AL6" s="164"/>
      <c r="AM6" s="165"/>
      <c r="AN6" s="164"/>
      <c r="AO6" s="164"/>
      <c r="AP6" s="164"/>
      <c r="AQ6" s="164"/>
      <c r="AR6" s="164"/>
      <c r="AS6" s="165"/>
      <c r="AT6" s="164"/>
      <c r="AU6" s="164"/>
      <c r="AV6" s="164"/>
      <c r="AW6" s="164"/>
      <c r="AX6" s="166"/>
      <c r="AY6" s="166"/>
      <c r="AZ6" s="166"/>
      <c r="BA6" s="167"/>
      <c r="BB6" s="167"/>
      <c r="BC6" s="167"/>
      <c r="BD6" s="167"/>
      <c r="BE6" s="167"/>
      <c r="BF6" s="167"/>
      <c r="BG6" s="167"/>
      <c r="BH6" s="167"/>
      <c r="BI6" s="167"/>
      <c r="BJ6" s="167"/>
      <c r="BK6" s="167"/>
      <c r="BL6" s="167"/>
      <c r="BM6" s="167"/>
      <c r="BN6" s="167"/>
      <c r="BO6" s="167"/>
      <c r="BP6" s="167"/>
      <c r="BQ6" s="167"/>
      <c r="BR6" s="167"/>
      <c r="BS6" s="167"/>
      <c r="BT6" s="167"/>
      <c r="BU6" s="167"/>
    </row>
    <row r="7" spans="1:73" s="168" customFormat="1" ht="6.75" customHeight="1" x14ac:dyDescent="0.2">
      <c r="A7" s="158"/>
      <c r="B7" s="159"/>
      <c r="C7" s="160"/>
      <c r="D7" s="161"/>
      <c r="E7" s="162"/>
      <c r="F7" s="163"/>
      <c r="G7" s="163"/>
      <c r="H7" s="163"/>
      <c r="I7" s="159"/>
      <c r="J7" s="159"/>
      <c r="K7" s="159"/>
      <c r="L7" s="159"/>
      <c r="M7" s="159"/>
      <c r="N7" s="32"/>
      <c r="O7" s="32"/>
      <c r="P7" s="32"/>
      <c r="Q7" s="32"/>
      <c r="R7" s="32"/>
      <c r="S7" s="32"/>
      <c r="T7" s="32"/>
      <c r="U7" s="32"/>
      <c r="V7" s="32"/>
      <c r="W7" s="32"/>
      <c r="X7" s="32"/>
      <c r="Y7" s="389"/>
      <c r="Z7" s="164"/>
      <c r="AA7" s="165"/>
      <c r="AB7" s="164"/>
      <c r="AC7" s="164"/>
      <c r="AD7" s="164"/>
      <c r="AE7" s="164"/>
      <c r="AF7" s="164"/>
      <c r="AG7" s="165"/>
      <c r="AH7" s="164"/>
      <c r="AI7" s="164"/>
      <c r="AJ7" s="164"/>
      <c r="AK7" s="164"/>
      <c r="AL7" s="164"/>
      <c r="AM7" s="165"/>
      <c r="AN7" s="164"/>
      <c r="AO7" s="164"/>
      <c r="AP7" s="164"/>
      <c r="AQ7" s="164"/>
      <c r="AR7" s="164"/>
      <c r="AS7" s="165"/>
      <c r="AT7" s="164"/>
      <c r="AU7" s="164"/>
      <c r="AV7" s="164"/>
      <c r="AW7" s="164"/>
      <c r="AX7" s="166"/>
      <c r="AY7" s="166"/>
      <c r="AZ7" s="166"/>
      <c r="BA7" s="167"/>
      <c r="BB7" s="167"/>
      <c r="BC7" s="167"/>
      <c r="BD7" s="167"/>
      <c r="BE7" s="167"/>
      <c r="BF7" s="167"/>
      <c r="BG7" s="167"/>
      <c r="BH7" s="167"/>
      <c r="BI7" s="167"/>
      <c r="BJ7" s="167"/>
      <c r="BK7" s="167"/>
      <c r="BL7" s="167"/>
      <c r="BM7" s="167"/>
      <c r="BN7" s="167"/>
      <c r="BO7" s="167"/>
      <c r="BP7" s="167"/>
      <c r="BQ7" s="167"/>
      <c r="BR7" s="167"/>
      <c r="BS7" s="167"/>
      <c r="BT7" s="167"/>
      <c r="BU7" s="167"/>
    </row>
    <row r="8" spans="1:73" s="157" customFormat="1" ht="78.75" x14ac:dyDescent="0.2">
      <c r="A8" s="122">
        <v>1</v>
      </c>
      <c r="B8" s="122">
        <v>0</v>
      </c>
      <c r="C8" s="169">
        <v>1</v>
      </c>
      <c r="D8" s="170" t="s">
        <v>1210</v>
      </c>
      <c r="E8" s="122" t="s">
        <v>1300</v>
      </c>
      <c r="F8" s="122" t="s">
        <v>1301</v>
      </c>
      <c r="G8" s="122" t="s">
        <v>1302</v>
      </c>
      <c r="H8" s="122" t="s">
        <v>221</v>
      </c>
      <c r="I8" s="123">
        <v>0.6</v>
      </c>
      <c r="J8" s="123">
        <v>0.7</v>
      </c>
      <c r="K8" s="123">
        <v>0.6</v>
      </c>
      <c r="L8" s="123">
        <f>'Plan de Acción 2021'!Q68</f>
        <v>0.8</v>
      </c>
      <c r="M8" s="123">
        <v>1</v>
      </c>
      <c r="N8" s="123">
        <f>('Plan de Acción 2021'!W68+'Plan de Acción 2021'!W69+'Plan de Acción 2021'!W70+'Plan de Acción 2021'!W71+'Plan de Acción 2021'!W72+'Plan de Acción 2021'!W73+'Plan de Acción 2021'!W74+'Plan de Acción 2021'!W75+'Plan de Acción 2021'!W76+'Plan de Acción 2021'!W77+'Plan de Acción 2021'!W78+'Plan de Acción 2021'!W79+'Plan de Acción 2021'!W80+'Plan de Acción 2021'!W81+'Plan de Acción 2021'!W82+'Plan de Acción 2021'!W83+'Plan de Acción 2021'!W84+'Plan de Acción 2021'!W85+'Plan de Acción 2021'!W86+'Plan de Acción 2021'!W143+'Plan de Acción 2021'!W144+'Plan de Acción 2021'!W145)/22</f>
        <v>0</v>
      </c>
      <c r="O8" s="233">
        <f>(N8*20%)/(L8-K8)</f>
        <v>0</v>
      </c>
      <c r="P8" s="123"/>
      <c r="Q8" s="123">
        <f>('Plan de Acción 2021'!Z68+'Plan de Acción 2021'!Z69+'Plan de Acción 2021'!Z70+'Plan de Acción 2021'!Z71+'Plan de Acción 2021'!Z72+'Plan de Acción 2021'!Z73+'Plan de Acción 2021'!Z74+'Plan de Acción 2021'!Z75+'Plan de Acción 2021'!Z76+'Plan de Acción 2021'!Z77+'Plan de Acción 2021'!Z78+'Plan de Acción 2021'!Z79+'Plan de Acción 2021'!Z80+'Plan de Acción 2021'!Z81+'Plan de Acción 2021'!Z82+'Plan de Acción 2021'!Z83+'Plan de Acción 2021'!Z84+'Plan de Acción 2021'!Z85+'Plan de Acción 2021'!Z86+'Plan de Acción 2021'!Z143+'Plan de Acción 2021'!Z144+'Plan de Acción 2021'!Z145)/22</f>
        <v>0</v>
      </c>
      <c r="R8" s="233">
        <f>(Q8*20%)/(L8-K8)</f>
        <v>0</v>
      </c>
      <c r="S8" s="123"/>
      <c r="T8" s="123">
        <f>('Plan de Acción 2021'!AC68+'Plan de Acción 2021'!AC69+'Plan de Acción 2021'!AC70+'Plan de Acción 2021'!AC71+'Plan de Acción 2021'!AC72+'Plan de Acción 2021'!AC73+'Plan de Acción 2021'!AC74+'Plan de Acción 2021'!AC75+'Plan de Acción 2021'!AC76+'Plan de Acción 2021'!AC77+'Plan de Acción 2021'!AC78+'Plan de Acción 2021'!AC79+'Plan de Acción 2021'!AC80+'Plan de Acción 2021'!AC81+'Plan de Acción 2021'!AC82+'Plan de Acción 2021'!AC83+'Plan de Acción 2021'!AC84+'Plan de Acción 2021'!AC85+'Plan de Acción 2021'!AC86+'Plan de Acción 2021'!AC143+'Plan de Acción 2021'!AC144+'Plan de Acción 2021'!AC145)/22</f>
        <v>0</v>
      </c>
      <c r="U8" s="233">
        <f>(T8*20)/(L8-K8)</f>
        <v>0</v>
      </c>
      <c r="V8" s="122"/>
      <c r="W8" s="123">
        <f>('Plan de Acción 2021'!AF68+'Plan de Acción 2021'!AF69+'Plan de Acción 2021'!AF70+'Plan de Acción 2021'!AF71+'Plan de Acción 2021'!AF72+'Plan de Acción 2021'!AF73+'Plan de Acción 2021'!AF74+'Plan de Acción 2021'!AF75+'Plan de Acción 2021'!AF76+'Plan de Acción 2021'!AF77+'Plan de Acción 2021'!AF78+'Plan de Acción 2021'!AF79+'Plan de Acción 2021'!AF80+'Plan de Acción 2021'!AF81+'Plan de Acción 2021'!AF82+'Plan de Acción 2021'!AF83+'Plan de Acción 2021'!AF84+'Plan de Acción 2021'!AF85+'Plan de Acción 2021'!AF86+'Plan de Acción 2021'!AF143+'Plan de Acción 2021'!AF144+'Plan de Acción 2021'!AF145)/22</f>
        <v>0</v>
      </c>
      <c r="X8" s="233">
        <f>(W8*20)/(L8-K8)</f>
        <v>0</v>
      </c>
      <c r="Y8" s="171"/>
      <c r="Z8" s="148"/>
      <c r="AA8" s="148"/>
      <c r="AB8" s="148"/>
      <c r="AC8" s="148"/>
      <c r="AD8" s="148"/>
      <c r="AE8" s="148"/>
      <c r="AF8" s="148"/>
      <c r="AG8" s="148"/>
      <c r="AH8" s="148"/>
      <c r="AI8" s="148"/>
      <c r="AJ8" s="148"/>
      <c r="AK8" s="148"/>
      <c r="AL8" s="148"/>
      <c r="AM8" s="148"/>
      <c r="AN8" s="148"/>
      <c r="AO8" s="148"/>
      <c r="AP8" s="148"/>
      <c r="AQ8" s="148"/>
      <c r="AR8" s="148"/>
      <c r="AS8" s="148"/>
      <c r="AT8" s="148"/>
      <c r="AU8" s="148"/>
      <c r="AV8" s="148"/>
      <c r="AW8" s="148"/>
      <c r="AX8" s="148"/>
      <c r="AY8" s="148"/>
      <c r="AZ8" s="148"/>
    </row>
    <row r="9" spans="1:73" ht="63" x14ac:dyDescent="0.2">
      <c r="A9" s="127">
        <v>2</v>
      </c>
      <c r="B9" s="127">
        <v>1</v>
      </c>
      <c r="C9" s="172">
        <v>0</v>
      </c>
      <c r="D9" s="173" t="s">
        <v>1213</v>
      </c>
      <c r="E9" s="128" t="s">
        <v>1303</v>
      </c>
      <c r="F9" s="127" t="s">
        <v>734</v>
      </c>
      <c r="G9" s="128" t="s">
        <v>735</v>
      </c>
      <c r="H9" s="127" t="s">
        <v>1304</v>
      </c>
      <c r="I9" s="127" t="s">
        <v>61</v>
      </c>
      <c r="J9" s="129">
        <v>0.25</v>
      </c>
      <c r="K9" s="174">
        <v>0.02</v>
      </c>
      <c r="L9" s="129">
        <f>'Plan de Acción 2021'!Q280</f>
        <v>0.5</v>
      </c>
      <c r="M9" s="129">
        <v>1</v>
      </c>
      <c r="N9" s="129">
        <f>'Plan de Acción 2021'!W280</f>
        <v>0</v>
      </c>
      <c r="O9" s="233">
        <f>(N9*48%)/(L9-K9)</f>
        <v>0</v>
      </c>
      <c r="P9" s="129"/>
      <c r="Q9" s="129">
        <f>'Plan de Acción 2021'!Z280</f>
        <v>0</v>
      </c>
      <c r="R9" s="233">
        <f>(Q9*48)/(L9-K9)</f>
        <v>0</v>
      </c>
      <c r="S9" s="127"/>
      <c r="T9" s="129">
        <f>'Plan de Acción 2021'!AC280</f>
        <v>0</v>
      </c>
      <c r="U9" s="233">
        <f>(T9*48)/(L9-K9)</f>
        <v>0</v>
      </c>
      <c r="V9" s="122"/>
      <c r="W9" s="129">
        <f>'Plan de Acción 2021'!AF280</f>
        <v>0</v>
      </c>
      <c r="X9" s="233">
        <f>(W9*48)/(L9-K9)</f>
        <v>0</v>
      </c>
      <c r="Y9" s="175"/>
    </row>
    <row r="10" spans="1:73" s="157" customFormat="1" ht="63" x14ac:dyDescent="0.2">
      <c r="A10" s="702">
        <v>3</v>
      </c>
      <c r="B10" s="122">
        <v>0</v>
      </c>
      <c r="C10" s="169">
        <v>1</v>
      </c>
      <c r="D10" s="170" t="s">
        <v>1210</v>
      </c>
      <c r="E10" s="122" t="s">
        <v>1305</v>
      </c>
      <c r="F10" s="722" t="s">
        <v>1306</v>
      </c>
      <c r="G10" s="122" t="s">
        <v>1307</v>
      </c>
      <c r="H10" s="122" t="s">
        <v>298</v>
      </c>
      <c r="I10" s="129">
        <v>0.37</v>
      </c>
      <c r="J10" s="129" t="s">
        <v>449</v>
      </c>
      <c r="K10" s="174">
        <v>0.05</v>
      </c>
      <c r="L10" s="129">
        <f>'Plan de Acción 2021'!Q95</f>
        <v>0.05</v>
      </c>
      <c r="M10" s="129">
        <v>0.1</v>
      </c>
      <c r="N10" s="129">
        <f>('Plan de Acción 2021'!W95+'Plan de Acción 2021'!W96+'Plan de Acción 2021'!W97+'Plan de Acción 2021'!W132+'Plan de Acción 2021'!W133+'Plan de Acción 2021'!W134)/6</f>
        <v>0</v>
      </c>
      <c r="O10" s="233">
        <f>(N10*5%)/(L10)</f>
        <v>0</v>
      </c>
      <c r="P10" s="129"/>
      <c r="Q10" s="129">
        <f>('Plan de Acción 2021'!Z95+'Plan de Acción 2021'!Z96+'Plan de Acción 2021'!Z97+'Plan de Acción 2021'!Z132+'Plan de Acción 2021'!Z133+'Plan de Acción 2021'!Z134)/6</f>
        <v>0</v>
      </c>
      <c r="R10" s="233">
        <f>(Q10*5%)/L10</f>
        <v>0</v>
      </c>
      <c r="S10" s="123"/>
      <c r="T10" s="129">
        <f>('Plan de Acción 2021'!AC95+'Plan de Acción 2021'!AC96+'Plan de Acción 2021'!AC97+'Plan de Acción 2021'!AC132+'Plan de Acción 2021'!AC133+'Plan de Acción 2021'!AC134)/6</f>
        <v>0</v>
      </c>
      <c r="U10" s="233">
        <f>(T10*5%)/L10</f>
        <v>0</v>
      </c>
      <c r="V10" s="122"/>
      <c r="W10" s="129">
        <f>('Plan de Acción 2021'!AF95+'Plan de Acción 2021'!AF96+'Plan de Acción 2021'!AF97+'Plan de Acción 2021'!AF132+'Plan de Acción 2021'!AF133+'Plan de Acción 2021'!AF134)/6</f>
        <v>0</v>
      </c>
      <c r="X10" s="233">
        <f>(W10*5%)/L10</f>
        <v>0</v>
      </c>
      <c r="Y10" s="171"/>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row>
    <row r="11" spans="1:73" ht="78.75" x14ac:dyDescent="0.2">
      <c r="A11" s="702"/>
      <c r="B11" s="127">
        <v>1</v>
      </c>
      <c r="C11" s="172">
        <v>0</v>
      </c>
      <c r="D11" s="173" t="s">
        <v>1308</v>
      </c>
      <c r="E11" s="127" t="s">
        <v>1309</v>
      </c>
      <c r="F11" s="722"/>
      <c r="G11" s="127" t="s">
        <v>1310</v>
      </c>
      <c r="H11" s="127" t="s">
        <v>307</v>
      </c>
      <c r="I11" s="129">
        <v>0.05</v>
      </c>
      <c r="J11" s="129">
        <v>0.2</v>
      </c>
      <c r="K11" s="176">
        <v>0.06</v>
      </c>
      <c r="L11" s="129">
        <f>'Plan de Acción 2021'!Q98</f>
        <v>0.4</v>
      </c>
      <c r="M11" s="129">
        <v>0.8</v>
      </c>
      <c r="N11" s="129">
        <f>'Plan de Acción 2021'!W98</f>
        <v>0</v>
      </c>
      <c r="O11" s="233">
        <f>(N11*34%)/(L11-K11)</f>
        <v>0</v>
      </c>
      <c r="P11" s="129"/>
      <c r="Q11" s="129">
        <f>'Plan de Acción 2021'!Z98</f>
        <v>0</v>
      </c>
      <c r="R11" s="233">
        <f>(Q11*34%)/(L11-K11)</f>
        <v>0</v>
      </c>
      <c r="S11" s="124"/>
      <c r="T11" s="129">
        <f>'Plan de Acción 2021'!AC98</f>
        <v>0</v>
      </c>
      <c r="U11" s="233">
        <f>(T11*34%)/(L11-K11)</f>
        <v>0</v>
      </c>
      <c r="V11" s="130"/>
      <c r="W11" s="129">
        <f>'Plan de Acción 2021'!AF98</f>
        <v>0</v>
      </c>
      <c r="X11" s="233">
        <f>(W11*34%)/(L11-K11)</f>
        <v>0</v>
      </c>
      <c r="Y11" s="177"/>
    </row>
    <row r="12" spans="1:73" ht="110.25" x14ac:dyDescent="0.2">
      <c r="A12" s="702"/>
      <c r="B12" s="127">
        <v>1</v>
      </c>
      <c r="C12" s="172">
        <v>0</v>
      </c>
      <c r="D12" s="173" t="s">
        <v>1210</v>
      </c>
      <c r="E12" s="127" t="s">
        <v>1305</v>
      </c>
      <c r="F12" s="722"/>
      <c r="G12" s="127" t="s">
        <v>1311</v>
      </c>
      <c r="H12" s="127" t="s">
        <v>275</v>
      </c>
      <c r="I12" s="129">
        <v>0.8</v>
      </c>
      <c r="J12" s="129">
        <v>0.85</v>
      </c>
      <c r="K12" s="176">
        <v>0.83</v>
      </c>
      <c r="L12" s="129">
        <f>'Plan de Acción 2021'!Q87</f>
        <v>0.9</v>
      </c>
      <c r="M12" s="129">
        <v>1</v>
      </c>
      <c r="N12" s="129">
        <f>('Plan de Acción 2021'!W87+'Plan de Acción 2021'!W88+'Plan de Acción 2021'!W89+'Plan de Acción 2021'!W91+'Plan de Acción 2021'!W90+'Plan de Acción 2021'!W92+'Plan de Acción 2021'!W93+'Plan de Acción 2021'!W94+'Plan de Acción 2021'!W146+'Plan de Acción 2021'!W147)/10</f>
        <v>0</v>
      </c>
      <c r="O12" s="233">
        <f>(N12*7%)/(L12-K12)</f>
        <v>0</v>
      </c>
      <c r="P12" s="129"/>
      <c r="Q12" s="129">
        <f>('Plan de Acción 2021'!Z87+'Plan de Acción 2021'!Z88+'Plan de Acción 2021'!Z89+'Plan de Acción 2021'!Z91+'Plan de Acción 2021'!Z90+'Plan de Acción 2021'!Z92+'Plan de Acción 2021'!Z93+'Plan de Acción 2021'!Z94+'Plan de Acción 2021'!Z146+'Plan de Acción 2021'!Z147)/10</f>
        <v>0</v>
      </c>
      <c r="R12" s="233">
        <f>(Q12*7%)/(L12-K12)</f>
        <v>0</v>
      </c>
      <c r="S12" s="129"/>
      <c r="T12" s="129">
        <f>('Plan de Acción 2021'!AC87+'Plan de Acción 2021'!AC88+'Plan de Acción 2021'!AC89+'Plan de Acción 2021'!AC91+'Plan de Acción 2021'!AC90+'Plan de Acción 2021'!AC92+'Plan de Acción 2021'!AC93+'Plan de Acción 2021'!AC94+'Plan de Acción 2021'!AC146+'Plan de Acción 2021'!AC147)/10</f>
        <v>0</v>
      </c>
      <c r="U12" s="233">
        <f>(T12*7%)/(L12-K12)</f>
        <v>0</v>
      </c>
      <c r="V12" s="130"/>
      <c r="W12" s="129">
        <f>('Plan de Acción 2021'!AF87+'Plan de Acción 2021'!AF88+'Plan de Acción 2021'!AF89+'Plan de Acción 2021'!AF91+'Plan de Acción 2021'!AF90+'Plan de Acción 2021'!AF92+'Plan de Acción 2021'!AF93+'Plan de Acción 2021'!AF94+'Plan de Acción 2021'!AF146+'Plan de Acción 2021'!AF147)/10</f>
        <v>0</v>
      </c>
      <c r="X12" s="233">
        <f>(W12*7%)/(L12-K12)</f>
        <v>0</v>
      </c>
      <c r="Y12" s="177"/>
    </row>
    <row r="13" spans="1:73" s="157" customFormat="1" ht="110.25" x14ac:dyDescent="0.2">
      <c r="A13" s="122"/>
      <c r="B13" s="122">
        <v>0</v>
      </c>
      <c r="C13" s="169">
        <v>1</v>
      </c>
      <c r="D13" s="170" t="s">
        <v>1212</v>
      </c>
      <c r="E13" s="128" t="s">
        <v>1212</v>
      </c>
      <c r="F13" s="722" t="s">
        <v>1312</v>
      </c>
      <c r="G13" s="722" t="s">
        <v>1313</v>
      </c>
      <c r="H13" s="122" t="s">
        <v>1314</v>
      </c>
      <c r="I13" s="123">
        <v>0.1</v>
      </c>
      <c r="J13" s="123">
        <v>0.9</v>
      </c>
      <c r="K13" s="179">
        <v>0.9</v>
      </c>
      <c r="L13" s="123">
        <f>'Plan de Acción 2021'!Q148</f>
        <v>0.95</v>
      </c>
      <c r="M13" s="123">
        <v>1</v>
      </c>
      <c r="N13" s="123">
        <f>'Plan de Acción 2021'!W149</f>
        <v>0</v>
      </c>
      <c r="O13" s="233">
        <f>(N13*5%)/(L13-K13)</f>
        <v>0</v>
      </c>
      <c r="P13" s="123"/>
      <c r="Q13" s="123">
        <f>'Plan de Acción 2021'!Z149</f>
        <v>0</v>
      </c>
      <c r="R13" s="233">
        <f>(Q13*5%)/(L13-K13)</f>
        <v>0</v>
      </c>
      <c r="S13" s="123"/>
      <c r="T13" s="123">
        <f>'Plan de Acción 2021'!AC149</f>
        <v>0</v>
      </c>
      <c r="U13" s="233">
        <f>(T13*5%)/(L13-K13)</f>
        <v>0</v>
      </c>
      <c r="V13" s="178"/>
      <c r="W13" s="123">
        <f>'Plan de Acción 2021'!AF149</f>
        <v>0</v>
      </c>
      <c r="X13" s="233">
        <f>(W13*5%)/(L13-K13)</f>
        <v>0</v>
      </c>
      <c r="Y13" s="180"/>
      <c r="Z13" s="148"/>
      <c r="AA13" s="148"/>
      <c r="AB13" s="148"/>
      <c r="AC13" s="148"/>
      <c r="AD13" s="148"/>
      <c r="AE13" s="148"/>
      <c r="AF13" s="148"/>
      <c r="AG13" s="148"/>
      <c r="AH13" s="148"/>
      <c r="AI13" s="148"/>
      <c r="AJ13" s="148"/>
      <c r="AK13" s="148"/>
      <c r="AL13" s="148"/>
      <c r="AM13" s="148"/>
      <c r="AN13" s="148"/>
      <c r="AO13" s="148"/>
      <c r="AP13" s="148"/>
      <c r="AQ13" s="148"/>
      <c r="AR13" s="148"/>
      <c r="AS13" s="148"/>
      <c r="AT13" s="148"/>
      <c r="AU13" s="148"/>
      <c r="AV13" s="148"/>
      <c r="AW13" s="148"/>
      <c r="AX13" s="148"/>
      <c r="AY13" s="148"/>
      <c r="AZ13" s="148"/>
    </row>
    <row r="14" spans="1:73" s="157" customFormat="1" ht="94.5" x14ac:dyDescent="0.2">
      <c r="A14" s="122">
        <v>4</v>
      </c>
      <c r="B14" s="122">
        <v>0</v>
      </c>
      <c r="C14" s="169">
        <v>1</v>
      </c>
      <c r="D14" s="170" t="s">
        <v>1212</v>
      </c>
      <c r="E14" s="128" t="s">
        <v>1315</v>
      </c>
      <c r="F14" s="722"/>
      <c r="G14" s="722"/>
      <c r="H14" s="122" t="s">
        <v>1316</v>
      </c>
      <c r="I14" s="123">
        <v>0</v>
      </c>
      <c r="J14" s="123">
        <v>0.1</v>
      </c>
      <c r="K14" s="181">
        <v>0.1</v>
      </c>
      <c r="L14" s="123">
        <f>'Plan de Acción 2021'!Q149</f>
        <v>0.2</v>
      </c>
      <c r="M14" s="123">
        <v>0.5</v>
      </c>
      <c r="N14" s="123">
        <f>'Plan de Acción 2021'!W149</f>
        <v>0</v>
      </c>
      <c r="O14" s="233">
        <f>(N14*10%)/(L14-K14)</f>
        <v>0</v>
      </c>
      <c r="P14" s="123"/>
      <c r="Q14" s="123">
        <f>'Plan de Acción 2021'!Z149</f>
        <v>0</v>
      </c>
      <c r="R14" s="233">
        <f>(Q14*10)/(L14-K14)</f>
        <v>0</v>
      </c>
      <c r="S14" s="123"/>
      <c r="T14" s="123">
        <f>'Plan de Acción 2021'!AC149</f>
        <v>0</v>
      </c>
      <c r="U14" s="233">
        <f>(T14*10)/(L14-K14)</f>
        <v>0</v>
      </c>
      <c r="V14" s="126"/>
      <c r="W14" s="123">
        <f>'Plan de Acción 2021'!AF149</f>
        <v>0</v>
      </c>
      <c r="X14" s="233">
        <f>(W14*10)/(L14-K14)</f>
        <v>0</v>
      </c>
      <c r="Y14" s="182"/>
      <c r="Z14" s="148"/>
      <c r="AA14" s="148"/>
      <c r="AB14" s="148"/>
      <c r="AC14" s="148"/>
      <c r="AD14" s="148"/>
      <c r="AE14" s="148"/>
      <c r="AF14" s="148"/>
      <c r="AG14" s="148"/>
      <c r="AH14" s="148"/>
      <c r="AI14" s="148"/>
      <c r="AJ14" s="148"/>
      <c r="AK14" s="148"/>
      <c r="AL14" s="148"/>
      <c r="AM14" s="148"/>
      <c r="AN14" s="148"/>
      <c r="AO14" s="148"/>
      <c r="AP14" s="148"/>
      <c r="AQ14" s="148"/>
      <c r="AR14" s="148"/>
      <c r="AS14" s="148"/>
      <c r="AT14" s="148"/>
      <c r="AU14" s="148"/>
      <c r="AV14" s="148"/>
      <c r="AW14" s="148"/>
      <c r="AX14" s="148"/>
      <c r="AY14" s="148"/>
      <c r="AZ14" s="148"/>
    </row>
    <row r="15" spans="1:73" s="157" customFormat="1" ht="94.5" x14ac:dyDescent="0.2">
      <c r="A15" s="702">
        <v>5</v>
      </c>
      <c r="B15" s="122">
        <v>1</v>
      </c>
      <c r="C15" s="169">
        <v>0</v>
      </c>
      <c r="D15" s="170" t="s">
        <v>1212</v>
      </c>
      <c r="E15" s="122" t="s">
        <v>1315</v>
      </c>
      <c r="F15" s="722" t="s">
        <v>1317</v>
      </c>
      <c r="G15" s="122" t="s">
        <v>1318</v>
      </c>
      <c r="H15" s="122" t="s">
        <v>425</v>
      </c>
      <c r="I15" s="123">
        <v>0.05</v>
      </c>
      <c r="J15" s="123">
        <v>0.12</v>
      </c>
      <c r="K15" s="181">
        <v>0.12</v>
      </c>
      <c r="L15" s="123">
        <f>'Plan de Acción 2021'!Q151</f>
        <v>0.24</v>
      </c>
      <c r="M15" s="123">
        <v>0.5</v>
      </c>
      <c r="N15" s="123">
        <f>('Plan de Acción 2021'!W151+'Plan de Acción 2021'!W152+'Plan de Acción 2021'!W153+'Plan de Acción 2021'!W154+'Plan de Acción 2021'!W155+'Plan de Acción 2021'!W156+'Plan de Acción 2021'!W157+'Plan de Acción 2021'!W158+'Plan de Acción 2021'!W159+'Plan de Acción 2021'!W160+'Plan de Acción 2021'!W161+'Plan de Acción 2021'!W162+'Plan de Acción 2021'!W163+'Plan de Acción 2021'!W164+'Plan de Acción 2021'!W165+'Plan de Acción 2021'!W166)/16</f>
        <v>0</v>
      </c>
      <c r="O15" s="233">
        <f>(N15*12%)/(L15-K15)</f>
        <v>0</v>
      </c>
      <c r="P15" s="123"/>
      <c r="Q15" s="123">
        <f>('Plan de Acción 2021'!Z151+'Plan de Acción 2021'!Z152+'Plan de Acción 2021'!Z153+'Plan de Acción 2021'!Z154+'Plan de Acción 2021'!Z155+'Plan de Acción 2021'!Z156+'Plan de Acción 2021'!Z157+'Plan de Acción 2021'!Z158+'Plan de Acción 2021'!Z159+'Plan de Acción 2021'!Z160+'Plan de Acción 2021'!Z161+'Plan de Acción 2021'!Z162+'Plan de Acción 2021'!Z163+'Plan de Acción 2021'!Z164+'Plan de Acción 2021'!Z165+'Plan de Acción 2021'!Z166)/16</f>
        <v>0</v>
      </c>
      <c r="R15" s="233">
        <f>(Q15*12)/(L15-K15)</f>
        <v>0</v>
      </c>
      <c r="S15" s="123"/>
      <c r="T15" s="123">
        <f>('Plan de Acción 2021'!AC151+'Plan de Acción 2021'!AC152+'Plan de Acción 2021'!AC153+'Plan de Acción 2021'!AC154+'Plan de Acción 2021'!AC155+'Plan de Acción 2021'!AC156+'Plan de Acción 2021'!AC157+'Plan de Acción 2021'!AC158+'Plan de Acción 2021'!AC159+'Plan de Acción 2021'!AC160+'Plan de Acción 2021'!AC161+'Plan de Acción 2021'!AC162+'Plan de Acción 2021'!AC163+'Plan de Acción 2021'!AC164+'Plan de Acción 2021'!AC165+'Plan de Acción 2021'!AC166)/16</f>
        <v>0</v>
      </c>
      <c r="U15" s="233">
        <f>(T15*12)/(L15-K15)</f>
        <v>0</v>
      </c>
      <c r="V15" s="126"/>
      <c r="W15" s="123">
        <f>('Plan de Acción 2021'!AF151+'Plan de Acción 2021'!AF152+'Plan de Acción 2021'!AF153+'Plan de Acción 2021'!AF154+'Plan de Acción 2021'!AF155+'Plan de Acción 2021'!AF156+'Plan de Acción 2021'!AF157+'Plan de Acción 2021'!AF158+'Plan de Acción 2021'!AF159+'Plan de Acción 2021'!AF160+'Plan de Acción 2021'!AF161+'Plan de Acción 2021'!AF162+'Plan de Acción 2021'!AF163+'Plan de Acción 2021'!AF164+'Plan de Acción 2021'!AF165+'Plan de Acción 2021'!AF166)/16</f>
        <v>0</v>
      </c>
      <c r="X15" s="233">
        <f>(W15*12)/(L15-K15)</f>
        <v>0</v>
      </c>
      <c r="Y15" s="182"/>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row>
    <row r="16" spans="1:73" ht="141.75" x14ac:dyDescent="0.2">
      <c r="A16" s="702"/>
      <c r="B16" s="127">
        <v>1</v>
      </c>
      <c r="C16" s="172">
        <v>0</v>
      </c>
      <c r="D16" s="170" t="s">
        <v>1212</v>
      </c>
      <c r="E16" s="122" t="s">
        <v>1315</v>
      </c>
      <c r="F16" s="722"/>
      <c r="G16" s="127" t="s">
        <v>1319</v>
      </c>
      <c r="H16" s="127" t="s">
        <v>446</v>
      </c>
      <c r="I16" s="127">
        <v>0</v>
      </c>
      <c r="J16" s="127">
        <v>2</v>
      </c>
      <c r="K16" s="176">
        <v>0.01</v>
      </c>
      <c r="L16" s="129">
        <f>'Plan de Acción 2021'!Q167</f>
        <v>0.04</v>
      </c>
      <c r="M16" s="127">
        <v>8</v>
      </c>
      <c r="N16" s="129">
        <f>('Plan de Acción 2021'!W167+'Plan de Acción 2021'!W168+'Plan de Acción 2021'!W169)/3</f>
        <v>0</v>
      </c>
      <c r="O16" s="233">
        <f>(N16*3%)/(L16-K16)</f>
        <v>0</v>
      </c>
      <c r="P16" s="127"/>
      <c r="Q16" s="129">
        <f>('Plan de Acción 2021'!Z167+'Plan de Acción 2021'!Z168+'Plan de Acción 2021'!Z169)/3</f>
        <v>0</v>
      </c>
      <c r="R16" s="233">
        <f>(Q16*3)/(L16-K16)</f>
        <v>0</v>
      </c>
      <c r="S16" s="127"/>
      <c r="T16" s="129">
        <f>('Plan de Acción 2021'!AC167+'Plan de Acción 2021'!AC168+'Plan de Acción 2021'!AC169)/3</f>
        <v>0</v>
      </c>
      <c r="U16" s="233">
        <f>(T16*3)/(L16-K16)</f>
        <v>0</v>
      </c>
      <c r="V16" s="130"/>
      <c r="W16" s="129">
        <f>('Plan de Acción 2021'!AF167+'Plan de Acción 2021'!AF168+'Plan de Acción 2021'!AF169)/3</f>
        <v>0</v>
      </c>
      <c r="X16" s="233">
        <f>(W16*3)/(L16-K16)</f>
        <v>0</v>
      </c>
      <c r="Y16" s="177"/>
    </row>
    <row r="17" spans="1:52" ht="78.75" x14ac:dyDescent="0.2">
      <c r="A17" s="702"/>
      <c r="B17" s="127">
        <v>1</v>
      </c>
      <c r="C17" s="172">
        <v>0</v>
      </c>
      <c r="D17" s="170" t="s">
        <v>1212</v>
      </c>
      <c r="E17" s="127" t="s">
        <v>1320</v>
      </c>
      <c r="F17" s="722"/>
      <c r="G17" s="127" t="s">
        <v>1321</v>
      </c>
      <c r="H17" s="127" t="s">
        <v>453</v>
      </c>
      <c r="I17" s="129">
        <v>0.4</v>
      </c>
      <c r="J17" s="129">
        <v>0.5</v>
      </c>
      <c r="K17" s="176">
        <v>0.5</v>
      </c>
      <c r="L17" s="129">
        <f>'Plan de Acción 2021'!Q170</f>
        <v>0.7</v>
      </c>
      <c r="M17" s="129">
        <v>1</v>
      </c>
      <c r="N17" s="129">
        <f>'Plan de Acción 2021'!W170</f>
        <v>0</v>
      </c>
      <c r="O17" s="233">
        <f>(N17*20%)/(L17-K17)</f>
        <v>0</v>
      </c>
      <c r="P17" s="129"/>
      <c r="Q17" s="129">
        <f>'Plan de Acción 2021'!Z170</f>
        <v>0</v>
      </c>
      <c r="R17" s="233">
        <f>(Q17*20)/(L17-K17)</f>
        <v>0</v>
      </c>
      <c r="S17" s="129"/>
      <c r="T17" s="129">
        <f>'Plan de Acción 2021'!AC170</f>
        <v>0</v>
      </c>
      <c r="U17" s="233">
        <f>(T17*20)/(L17-K17)</f>
        <v>0</v>
      </c>
      <c r="V17" s="130"/>
      <c r="W17" s="129">
        <f>'Plan de Acción 2021'!AF170</f>
        <v>0</v>
      </c>
      <c r="X17" s="233">
        <f>(W17*20)/(L17-K17)</f>
        <v>0</v>
      </c>
      <c r="Y17" s="177"/>
    </row>
    <row r="18" spans="1:52" ht="94.5" x14ac:dyDescent="0.2">
      <c r="A18" s="702"/>
      <c r="B18" s="127">
        <v>1</v>
      </c>
      <c r="C18" s="172">
        <v>0</v>
      </c>
      <c r="D18" s="170" t="s">
        <v>1212</v>
      </c>
      <c r="E18" s="128" t="s">
        <v>1315</v>
      </c>
      <c r="F18" s="722"/>
      <c r="G18" s="127" t="s">
        <v>1322</v>
      </c>
      <c r="H18" s="127" t="s">
        <v>1323</v>
      </c>
      <c r="I18" s="129">
        <v>0.4</v>
      </c>
      <c r="J18" s="129">
        <v>0.6</v>
      </c>
      <c r="K18" s="176">
        <v>0.6</v>
      </c>
      <c r="L18" s="129">
        <f>'Plan de Acción 2021'!Q171</f>
        <v>0.75</v>
      </c>
      <c r="M18" s="129">
        <v>1</v>
      </c>
      <c r="N18" s="129">
        <f>'Plan de Acción 2021'!W171</f>
        <v>0</v>
      </c>
      <c r="O18" s="233">
        <f>(N18*15%)/(L18-K18)</f>
        <v>0</v>
      </c>
      <c r="P18" s="129"/>
      <c r="Q18" s="129">
        <f>'Plan de Acción 2021'!Z171</f>
        <v>0</v>
      </c>
      <c r="R18" s="233">
        <f>(Q18*15)/(L18-K18)</f>
        <v>0</v>
      </c>
      <c r="S18" s="127"/>
      <c r="T18" s="129">
        <f>'Plan de Acción 2021'!AC171</f>
        <v>0</v>
      </c>
      <c r="U18" s="233">
        <f>(T18*15)/(L18-K18)</f>
        <v>0</v>
      </c>
      <c r="V18" s="130"/>
      <c r="W18" s="129">
        <f>'Plan de Acción 2021'!AF171</f>
        <v>0</v>
      </c>
      <c r="X18" s="233">
        <f>(W18*15)/(L18-K18)</f>
        <v>0</v>
      </c>
      <c r="Y18" s="183"/>
    </row>
    <row r="19" spans="1:52" ht="94.5" x14ac:dyDescent="0.2">
      <c r="A19" s="702"/>
      <c r="B19" s="127">
        <v>1</v>
      </c>
      <c r="C19" s="172">
        <v>0</v>
      </c>
      <c r="D19" s="170" t="s">
        <v>1212</v>
      </c>
      <c r="E19" s="128" t="s">
        <v>1315</v>
      </c>
      <c r="F19" s="722"/>
      <c r="G19" s="702" t="s">
        <v>1324</v>
      </c>
      <c r="H19" s="127" t="s">
        <v>1325</v>
      </c>
      <c r="I19" s="129">
        <v>0.2</v>
      </c>
      <c r="J19" s="129">
        <v>0.6</v>
      </c>
      <c r="K19" s="176">
        <v>0.6</v>
      </c>
      <c r="L19" s="129">
        <f>'Plan de Acción 2021'!Q172</f>
        <v>1</v>
      </c>
      <c r="M19" s="129">
        <v>1</v>
      </c>
      <c r="N19" s="129">
        <f>('Plan de Acción 2021'!W172)</f>
        <v>0</v>
      </c>
      <c r="O19" s="233">
        <f>(N19*40%)/(L19-K19)</f>
        <v>0</v>
      </c>
      <c r="P19" s="129"/>
      <c r="Q19" s="129">
        <f>('Plan de Acción 2021'!Z172)</f>
        <v>0</v>
      </c>
      <c r="R19" s="233">
        <f>(Q19*40%)/(L19-K19)</f>
        <v>0</v>
      </c>
      <c r="S19" s="129"/>
      <c r="T19" s="129">
        <f>('Plan de Acción 2021'!AC172)</f>
        <v>0</v>
      </c>
      <c r="U19" s="233">
        <f>(T19*40%)/(L19-K19)</f>
        <v>0</v>
      </c>
      <c r="V19" s="390"/>
      <c r="W19" s="129">
        <f>('Plan de Acción 2021'!AF172)</f>
        <v>0</v>
      </c>
      <c r="X19" s="233">
        <f>(W19*40%)/(L19-K19)</f>
        <v>0</v>
      </c>
      <c r="Y19" s="183"/>
    </row>
    <row r="20" spans="1:52" ht="110.25" x14ac:dyDescent="0.2">
      <c r="A20" s="702"/>
      <c r="B20" s="127">
        <v>1</v>
      </c>
      <c r="C20" s="172">
        <v>0</v>
      </c>
      <c r="D20" s="170" t="s">
        <v>1212</v>
      </c>
      <c r="E20" s="128" t="s">
        <v>1315</v>
      </c>
      <c r="F20" s="722"/>
      <c r="G20" s="702"/>
      <c r="H20" s="127" t="s">
        <v>1326</v>
      </c>
      <c r="I20" s="129">
        <v>0</v>
      </c>
      <c r="J20" s="129">
        <v>0.1</v>
      </c>
      <c r="K20" s="176">
        <v>0.1</v>
      </c>
      <c r="L20" s="129">
        <f>'Plan de Acción 2021'!Q173</f>
        <v>0.3</v>
      </c>
      <c r="M20" s="129">
        <v>0.7</v>
      </c>
      <c r="N20" s="129">
        <f>'Plan de Acción 2021'!W173</f>
        <v>0</v>
      </c>
      <c r="O20" s="233">
        <f>(N20*20%)/(L20-K20)</f>
        <v>0</v>
      </c>
      <c r="P20" s="129"/>
      <c r="Q20" s="129">
        <f>'Plan de Acción 2021'!Z173</f>
        <v>0</v>
      </c>
      <c r="R20" s="233">
        <f>(Q20*20)/(L20-K20)</f>
        <v>0</v>
      </c>
      <c r="S20" s="129"/>
      <c r="T20" s="129">
        <f>'Plan de Acción 2021'!AC173</f>
        <v>0</v>
      </c>
      <c r="U20" s="233">
        <f>(T20*20)/(L20-K20)</f>
        <v>0</v>
      </c>
      <c r="V20" s="390"/>
      <c r="W20" s="129">
        <f>'Plan de Acción 2021'!AF173</f>
        <v>0</v>
      </c>
      <c r="X20" s="233">
        <f>(W20*20)/(L20-K20)</f>
        <v>0</v>
      </c>
      <c r="Y20" s="177"/>
    </row>
    <row r="21" spans="1:52" ht="94.5" x14ac:dyDescent="0.2">
      <c r="A21" s="702"/>
      <c r="B21" s="127">
        <v>1</v>
      </c>
      <c r="C21" s="172">
        <v>0</v>
      </c>
      <c r="D21" s="170" t="s">
        <v>1212</v>
      </c>
      <c r="E21" s="128" t="s">
        <v>1315</v>
      </c>
      <c r="F21" s="722"/>
      <c r="G21" s="127" t="s">
        <v>1327</v>
      </c>
      <c r="H21" s="127" t="s">
        <v>464</v>
      </c>
      <c r="I21" s="129">
        <v>0.2</v>
      </c>
      <c r="J21" s="129">
        <v>0.4</v>
      </c>
      <c r="K21" s="176">
        <v>0.37</v>
      </c>
      <c r="L21" s="129">
        <f>'Plan de Acción 2021'!Q174</f>
        <v>0.6</v>
      </c>
      <c r="M21" s="129">
        <v>1</v>
      </c>
      <c r="N21" s="129">
        <f>('Plan de Acción 2021'!W174+'Plan de Acción 2021'!W175)/2</f>
        <v>0</v>
      </c>
      <c r="O21" s="233">
        <f>(N21*23%)/(L21-K21)</f>
        <v>0</v>
      </c>
      <c r="P21" s="129"/>
      <c r="Q21" s="129"/>
      <c r="R21" s="233">
        <f>(Q21*23)/(L21-K21)</f>
        <v>0</v>
      </c>
      <c r="S21" s="123"/>
      <c r="T21" s="123"/>
      <c r="U21" s="233">
        <f>(T21*23%)/(L21-K21)</f>
        <v>0</v>
      </c>
      <c r="V21" s="130"/>
      <c r="W21" s="176"/>
      <c r="X21" s="233">
        <f>(W21*23%)/(L21-K21)</f>
        <v>0</v>
      </c>
      <c r="Y21" s="177"/>
    </row>
    <row r="22" spans="1:52" ht="94.5" x14ac:dyDescent="0.2">
      <c r="A22" s="702"/>
      <c r="B22" s="127">
        <v>1</v>
      </c>
      <c r="C22" s="172">
        <v>0</v>
      </c>
      <c r="D22" s="170" t="s">
        <v>1212</v>
      </c>
      <c r="E22" s="128" t="s">
        <v>1315</v>
      </c>
      <c r="F22" s="722"/>
      <c r="G22" s="127" t="s">
        <v>1328</v>
      </c>
      <c r="H22" s="127" t="s">
        <v>469</v>
      </c>
      <c r="I22" s="129">
        <v>0.2</v>
      </c>
      <c r="J22" s="129">
        <v>0.4</v>
      </c>
      <c r="K22" s="179">
        <v>0.3</v>
      </c>
      <c r="L22" s="129">
        <f>'Plan de Acción 2021'!Q176</f>
        <v>0.6</v>
      </c>
      <c r="M22" s="129">
        <v>1</v>
      </c>
      <c r="N22" s="129">
        <f>('Plan de Acción 2021'!W176+'Plan de Acción 2021'!W177+'Plan de Acción 2021'!W178+'Plan de Acción 2021'!W212+'Plan de Acción 2021'!W213+'Plan de Acción 2021'!W214+'Plan de Acción 2021'!W215+'Plan de Acción 2021'!W216+'Plan de Acción 2021'!W217+'Plan de Acción 2021'!W218+'Plan de Acción 2021'!W219+'Plan de Acción 2021'!W220)/12</f>
        <v>0</v>
      </c>
      <c r="O22" s="233">
        <f>(N22*30%)/(L22-K22)</f>
        <v>0</v>
      </c>
      <c r="P22" s="129"/>
      <c r="Q22" s="129">
        <f>('Plan de Acción 2021'!Z176+'Plan de Acción 2021'!Z177+'Plan de Acción 2021'!Z178+'Plan de Acción 2021'!Z212+'Plan de Acción 2021'!Z213+'Plan de Acción 2021'!Z214+'Plan de Acción 2021'!Z215+'Plan de Acción 2021'!Z216+'Plan de Acción 2021'!Z217+'Plan de Acción 2021'!Z218+'Plan de Acción 2021'!Z219+'Plan de Acción 2021'!Z220)/12</f>
        <v>0</v>
      </c>
      <c r="R22" s="233">
        <f>(Q22*30%)/(L22-K22)</f>
        <v>0</v>
      </c>
      <c r="S22" s="127"/>
      <c r="T22" s="129">
        <f>('Plan de Acción 2021'!AC176+'Plan de Acción 2021'!AC177+'Plan de Acción 2021'!AC178+'Plan de Acción 2021'!AC212+'Plan de Acción 2021'!AC213+'Plan de Acción 2021'!AC214+'Plan de Acción 2021'!AC215+'Plan de Acción 2021'!AC216+'Plan de Acción 2021'!AC217+'Plan de Acción 2021'!AC218+'Plan de Acción 2021'!AC219+'Plan de Acción 2021'!AC220)/12</f>
        <v>0</v>
      </c>
      <c r="U22" s="233">
        <f>(T22*30%)/(L22-K22)</f>
        <v>0</v>
      </c>
      <c r="V22" s="178"/>
      <c r="W22" s="129">
        <f>('Plan de Acción 2021'!AF176+'Plan de Acción 2021'!AF177+'Plan de Acción 2021'!AF178+'Plan de Acción 2021'!AF212+'Plan de Acción 2021'!AF213+'Plan de Acción 2021'!AF214+'Plan de Acción 2021'!AF215+'Plan de Acción 2021'!AF216+'Plan de Acción 2021'!AF217+'Plan de Acción 2021'!AF218+'Plan de Acción 2021'!AF219+'Plan de Acción 2021'!AF220)/12</f>
        <v>0</v>
      </c>
      <c r="X22" s="233">
        <f>(W22*30%)/(L22-K22)</f>
        <v>0</v>
      </c>
      <c r="Y22" s="184"/>
    </row>
    <row r="23" spans="1:52" s="157" customFormat="1" ht="78.75" x14ac:dyDescent="0.2">
      <c r="A23" s="740">
        <v>6</v>
      </c>
      <c r="B23" s="185">
        <v>0</v>
      </c>
      <c r="C23" s="186">
        <v>1</v>
      </c>
      <c r="D23" s="170" t="s">
        <v>1213</v>
      </c>
      <c r="E23" s="128" t="s">
        <v>1</v>
      </c>
      <c r="F23" s="724" t="s">
        <v>775</v>
      </c>
      <c r="G23" s="178" t="s">
        <v>1329</v>
      </c>
      <c r="H23" s="126" t="s">
        <v>894</v>
      </c>
      <c r="I23" s="136">
        <v>0</v>
      </c>
      <c r="J23" s="123">
        <v>0.25</v>
      </c>
      <c r="K23" s="174">
        <v>0.2</v>
      </c>
      <c r="L23" s="123">
        <f>'Plan de Acción 2021'!W345</f>
        <v>0</v>
      </c>
      <c r="M23" s="136">
        <v>1</v>
      </c>
      <c r="N23" s="136">
        <f>'Plan de Acción 2021'!W345</f>
        <v>0</v>
      </c>
      <c r="O23" s="233">
        <f>(N23*33%)/(L23-K23)</f>
        <v>0</v>
      </c>
      <c r="P23" s="136"/>
      <c r="Q23" s="136">
        <f>'Plan de Acción 2021'!Z345</f>
        <v>0</v>
      </c>
      <c r="R23" s="233">
        <f>(Q23*33%)/(L23-K23)</f>
        <v>0</v>
      </c>
      <c r="S23" s="123"/>
      <c r="T23" s="136">
        <f>'Plan de Acción 2021'!AC345</f>
        <v>0</v>
      </c>
      <c r="U23" s="233">
        <f>(T23*33%)/(L23-K23)</f>
        <v>0</v>
      </c>
      <c r="V23" s="123"/>
      <c r="W23" s="136">
        <f>'Plan de Acción 2021'!AF345</f>
        <v>0</v>
      </c>
      <c r="X23" s="233">
        <f>(W23*33%)/(L23-K23)</f>
        <v>0</v>
      </c>
      <c r="Y23" s="187"/>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row>
    <row r="24" spans="1:52" s="157" customFormat="1" ht="94.5" x14ac:dyDescent="0.2">
      <c r="A24" s="740"/>
      <c r="B24" s="185">
        <v>0</v>
      </c>
      <c r="C24" s="186">
        <v>1</v>
      </c>
      <c r="D24" s="214" t="s">
        <v>1213</v>
      </c>
      <c r="E24" s="140" t="s">
        <v>1</v>
      </c>
      <c r="F24" s="738"/>
      <c r="G24" s="188" t="s">
        <v>876</v>
      </c>
      <c r="H24" s="188" t="s">
        <v>879</v>
      </c>
      <c r="I24" s="189">
        <v>0</v>
      </c>
      <c r="J24" s="190">
        <v>0.25</v>
      </c>
      <c r="K24" s="190">
        <v>0.1</v>
      </c>
      <c r="L24" s="190">
        <f>'Plan de Acción 2021'!Q338</f>
        <v>0.5</v>
      </c>
      <c r="M24" s="189">
        <v>1</v>
      </c>
      <c r="N24" s="189">
        <f>'Plan de Acción 2021'!W338</f>
        <v>0</v>
      </c>
      <c r="O24" s="233">
        <f>(N24*40%)/(L24-K24)</f>
        <v>0</v>
      </c>
      <c r="P24" s="189"/>
      <c r="Q24" s="189">
        <f>'Plan de Acción 2021'!Z338</f>
        <v>0</v>
      </c>
      <c r="R24" s="233">
        <f>(Q24*40%)/(L24-K24)</f>
        <v>0</v>
      </c>
      <c r="S24" s="190"/>
      <c r="T24" s="189">
        <f>'Plan de Acción 2021'!AC338</f>
        <v>0</v>
      </c>
      <c r="U24" s="233">
        <f>(T24*40%)/(L24-K24)</f>
        <v>0</v>
      </c>
      <c r="V24" s="190"/>
      <c r="W24" s="189">
        <f>'Plan de Acción 2021'!AF338</f>
        <v>0</v>
      </c>
      <c r="X24" s="233">
        <f>(W24*40%)/(L24-K24)</f>
        <v>0</v>
      </c>
      <c r="Y24" s="215"/>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row>
    <row r="25" spans="1:52" s="157" customFormat="1" ht="95.25" thickBot="1" x14ac:dyDescent="0.25">
      <c r="A25" s="107"/>
      <c r="B25" s="107"/>
      <c r="C25" s="107"/>
      <c r="D25" s="214" t="s">
        <v>1213</v>
      </c>
      <c r="E25" s="140" t="s">
        <v>1</v>
      </c>
      <c r="F25" s="739"/>
      <c r="G25" s="216" t="s">
        <v>1330</v>
      </c>
      <c r="H25" s="216" t="s">
        <v>778</v>
      </c>
      <c r="I25" s="189">
        <v>0</v>
      </c>
      <c r="J25" s="190">
        <v>0.25</v>
      </c>
      <c r="K25" s="190">
        <v>0.1</v>
      </c>
      <c r="L25" s="191">
        <f>'Plan de Acción 2021'!Q339</f>
        <v>0.5</v>
      </c>
      <c r="M25" s="217">
        <v>1</v>
      </c>
      <c r="N25" s="217">
        <f>'Plan de Acción 2021'!W339</f>
        <v>0</v>
      </c>
      <c r="O25" s="233">
        <f>(N25*40%)/(L25-K25)</f>
        <v>0</v>
      </c>
      <c r="P25" s="217"/>
      <c r="Q25" s="217">
        <f>'Plan de Acción 2021'!Z339</f>
        <v>0</v>
      </c>
      <c r="R25" s="233">
        <f>(Q25*40%)/(L25-K25)</f>
        <v>0</v>
      </c>
      <c r="S25" s="191"/>
      <c r="T25" s="217">
        <f>'Plan de Acción 2021'!AC339</f>
        <v>0</v>
      </c>
      <c r="U25" s="233">
        <f>(T25*40%)/(L25-K25)</f>
        <v>0</v>
      </c>
      <c r="V25" s="191"/>
      <c r="W25" s="217">
        <f>'Plan de Acción 2021'!AF339</f>
        <v>0</v>
      </c>
      <c r="X25" s="233">
        <f>(W25*40%)/(L25-K25)</f>
        <v>0</v>
      </c>
      <c r="Y25" s="191"/>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c r="AY25" s="148"/>
      <c r="AZ25" s="148"/>
    </row>
    <row r="26" spans="1:52" ht="63" x14ac:dyDescent="0.2">
      <c r="A26" s="102">
        <v>6</v>
      </c>
      <c r="B26" s="102"/>
      <c r="C26" s="102"/>
      <c r="D26" s="735"/>
      <c r="E26" s="736"/>
      <c r="F26" s="736"/>
      <c r="G26" s="736"/>
      <c r="H26" s="736"/>
      <c r="I26" s="736"/>
      <c r="J26" s="737"/>
      <c r="K26" s="238"/>
      <c r="L26" s="238"/>
      <c r="M26" s="238"/>
      <c r="N26" s="246" t="s">
        <v>1292</v>
      </c>
      <c r="O26" s="247">
        <f>AVERAGE(O8:O25)</f>
        <v>0</v>
      </c>
      <c r="P26" s="246"/>
      <c r="Q26" s="246" t="s">
        <v>1293</v>
      </c>
      <c r="R26" s="247">
        <f>AVERAGE(R8:R25)</f>
        <v>0</v>
      </c>
      <c r="S26" s="248"/>
      <c r="T26" s="246" t="s">
        <v>1294</v>
      </c>
      <c r="U26" s="247">
        <f>AVERAGE(U8:U25)</f>
        <v>0</v>
      </c>
      <c r="V26" s="248"/>
      <c r="W26" s="246" t="s">
        <v>1295</v>
      </c>
      <c r="X26" s="247">
        <f>AVERAGE(X8:X25)</f>
        <v>0</v>
      </c>
      <c r="Y26" s="249">
        <f>AVERAGE(Y27:Y29)/3</f>
        <v>0</v>
      </c>
      <c r="Z26" s="192"/>
      <c r="AA26" s="192"/>
      <c r="AB26" s="192"/>
      <c r="AC26" s="192"/>
      <c r="AD26" s="192"/>
      <c r="AE26" s="192"/>
      <c r="AF26" s="192"/>
      <c r="AG26" s="192"/>
      <c r="AH26" s="192"/>
      <c r="AI26" s="192"/>
      <c r="AJ26" s="192"/>
      <c r="AK26" s="192"/>
      <c r="AL26" s="192"/>
      <c r="AM26" s="192"/>
      <c r="AN26" s="192"/>
      <c r="AO26" s="192"/>
      <c r="AP26" s="192"/>
      <c r="AQ26" s="192"/>
      <c r="AR26" s="192"/>
      <c r="AS26" s="192"/>
      <c r="AT26" s="192"/>
      <c r="AU26" s="192"/>
      <c r="AV26" s="192"/>
      <c r="AW26" s="192"/>
      <c r="AX26" s="192"/>
    </row>
    <row r="27" spans="1:52" ht="35.25" hidden="1" customHeight="1" x14ac:dyDescent="0.2">
      <c r="E27" s="148"/>
      <c r="N27" s="239" t="s">
        <v>1210</v>
      </c>
      <c r="O27" s="240">
        <f>AVERAGE(O8+O10+O11+O12)/4</f>
        <v>0</v>
      </c>
      <c r="P27" s="197"/>
      <c r="Q27" s="197"/>
      <c r="R27" s="240">
        <f>AVERAGE(R8+R10+R11+R12)/4</f>
        <v>0</v>
      </c>
      <c r="S27" s="197"/>
      <c r="T27" s="197"/>
      <c r="U27" s="240">
        <f>AVERAGE(U8+U10+U11+U12)/4</f>
        <v>0</v>
      </c>
      <c r="V27" s="197"/>
      <c r="W27" s="197"/>
      <c r="X27" s="240">
        <f>AVERAGE(X8+X10+X11+X12)/4</f>
        <v>0</v>
      </c>
      <c r="Y27" s="240">
        <f>AVERAGE(O27+R27+U27+X27)</f>
        <v>0</v>
      </c>
    </row>
    <row r="28" spans="1:52" ht="51" hidden="1" x14ac:dyDescent="0.2">
      <c r="E28" s="148"/>
      <c r="N28" s="239" t="s">
        <v>1213</v>
      </c>
      <c r="O28" s="240">
        <f>AVERAGE(O9+O23+O24+O25)/4</f>
        <v>0</v>
      </c>
      <c r="P28" s="197"/>
      <c r="Q28" s="197"/>
      <c r="R28" s="240">
        <f>AVERAGE(R9+R23+R24+R25)/4</f>
        <v>0</v>
      </c>
      <c r="S28" s="197"/>
      <c r="T28" s="197"/>
      <c r="U28" s="240">
        <f>AVERAGE(U9+U23+U24+U25)/4</f>
        <v>0</v>
      </c>
      <c r="V28" s="197"/>
      <c r="W28" s="197"/>
      <c r="X28" s="240">
        <f>AVERAGE(X9+X23+X24+X25)/4</f>
        <v>0</v>
      </c>
      <c r="Y28" s="240">
        <f t="shared" ref="Y28:Y29" si="0">AVERAGE(O28+R28+U28+X28)</f>
        <v>0</v>
      </c>
    </row>
    <row r="29" spans="1:52" ht="76.5" hidden="1" x14ac:dyDescent="0.2">
      <c r="E29" s="148"/>
      <c r="N29" s="239" t="s">
        <v>1212</v>
      </c>
      <c r="O29" s="240">
        <f>AVERAGE(O13+O14+O15+O16+O17+O18+O19+O20+O21+O22)/10</f>
        <v>0</v>
      </c>
      <c r="P29" s="197"/>
      <c r="Q29" s="197"/>
      <c r="R29" s="240">
        <f>AVERAGE(R13+R14+R15+R16+R17+R18+R19+R20+R21+R22)/10</f>
        <v>0</v>
      </c>
      <c r="S29" s="197"/>
      <c r="T29" s="197"/>
      <c r="U29" s="240">
        <f>AVERAGE(U13+U14+U15+U16+U17+U18+U19+U20+U21+U22)/10</f>
        <v>0</v>
      </c>
      <c r="V29" s="197"/>
      <c r="W29" s="197"/>
      <c r="X29" s="240">
        <f>AVERAGE(X13+X14+X15+X16+X17+X18+X19+X20+X21+X22)/10</f>
        <v>0</v>
      </c>
      <c r="Y29" s="240">
        <f t="shared" si="0"/>
        <v>0</v>
      </c>
    </row>
    <row r="30" spans="1:52" ht="13.5" thickBot="1" x14ac:dyDescent="0.25"/>
    <row r="31" spans="1:52" s="8" customFormat="1" ht="13.5" customHeight="1" thickTop="1" x14ac:dyDescent="0.2">
      <c r="A31" s="741" t="s">
        <v>1183</v>
      </c>
      <c r="B31" s="742"/>
      <c r="C31" s="742"/>
      <c r="D31" s="742"/>
      <c r="E31" s="742"/>
      <c r="F31" s="742"/>
      <c r="G31" s="742"/>
      <c r="H31" s="742"/>
      <c r="I31" s="743"/>
      <c r="J31" s="747" t="s">
        <v>1184</v>
      </c>
      <c r="K31" s="748"/>
      <c r="L31" s="748"/>
      <c r="M31" s="748"/>
      <c r="N31" s="748"/>
      <c r="O31" s="748"/>
      <c r="P31" s="748"/>
      <c r="Q31" s="749"/>
      <c r="R31" s="747" t="s">
        <v>1185</v>
      </c>
      <c r="S31" s="753"/>
      <c r="T31" s="741" t="s">
        <v>1186</v>
      </c>
      <c r="U31" s="742"/>
      <c r="V31" s="742"/>
      <c r="W31" s="742"/>
      <c r="X31" s="755"/>
      <c r="Y31" s="757">
        <v>1</v>
      </c>
      <c r="Z31" s="431"/>
      <c r="AC31" s="431"/>
      <c r="AF31" s="431"/>
    </row>
    <row r="32" spans="1:52" s="8" customFormat="1" ht="5.25" customHeight="1" thickBot="1" x14ac:dyDescent="0.25">
      <c r="A32" s="744"/>
      <c r="B32" s="745"/>
      <c r="C32" s="745"/>
      <c r="D32" s="745"/>
      <c r="E32" s="745"/>
      <c r="F32" s="745"/>
      <c r="G32" s="745"/>
      <c r="H32" s="745"/>
      <c r="I32" s="746"/>
      <c r="J32" s="750"/>
      <c r="K32" s="751"/>
      <c r="L32" s="751"/>
      <c r="M32" s="751"/>
      <c r="N32" s="751"/>
      <c r="O32" s="751"/>
      <c r="P32" s="751"/>
      <c r="Q32" s="752"/>
      <c r="R32" s="750"/>
      <c r="S32" s="754"/>
      <c r="T32" s="744"/>
      <c r="U32" s="745"/>
      <c r="V32" s="745"/>
      <c r="W32" s="745"/>
      <c r="X32" s="756"/>
      <c r="Y32" s="758"/>
      <c r="Z32" s="431"/>
      <c r="AC32" s="431"/>
      <c r="AF32" s="431"/>
    </row>
    <row r="33" spans="18:21" x14ac:dyDescent="0.2">
      <c r="R33" s="193"/>
      <c r="S33" s="194"/>
      <c r="T33" s="194"/>
      <c r="U33" s="194"/>
    </row>
    <row r="34" spans="18:21" x14ac:dyDescent="0.2">
      <c r="R34" s="193"/>
    </row>
  </sheetData>
  <autoFilter ref="A6:BU29"/>
  <mergeCells count="26">
    <mergeCell ref="A31:I32"/>
    <mergeCell ref="J31:Q32"/>
    <mergeCell ref="R31:S32"/>
    <mergeCell ref="T31:X32"/>
    <mergeCell ref="Y31:Y32"/>
    <mergeCell ref="D26:J26"/>
    <mergeCell ref="F23:F25"/>
    <mergeCell ref="A15:A22"/>
    <mergeCell ref="F15:F22"/>
    <mergeCell ref="G19:G20"/>
    <mergeCell ref="A23:A24"/>
    <mergeCell ref="AE5:AJ5"/>
    <mergeCell ref="AK5:AP5"/>
    <mergeCell ref="AQ5:AV5"/>
    <mergeCell ref="A10:A12"/>
    <mergeCell ref="F10:F12"/>
    <mergeCell ref="F13:F14"/>
    <mergeCell ref="G13:G14"/>
    <mergeCell ref="D5:M5"/>
    <mergeCell ref="N5:P5"/>
    <mergeCell ref="B1:Y2"/>
    <mergeCell ref="A3:Y3"/>
    <mergeCell ref="A4:Y4"/>
    <mergeCell ref="Q5:S5"/>
    <mergeCell ref="T5:V5"/>
    <mergeCell ref="W5:Y5"/>
  </mergeCell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92"/>
  <sheetViews>
    <sheetView topLeftCell="A7" zoomScale="85" zoomScaleNormal="85" workbookViewId="0">
      <selection activeCell="K8" sqref="K8"/>
    </sheetView>
  </sheetViews>
  <sheetFormatPr baseColWidth="10" defaultColWidth="11.42578125" defaultRowHeight="12.75" x14ac:dyDescent="0.2"/>
  <cols>
    <col min="1" max="1" width="2.7109375" style="18" customWidth="1"/>
    <col min="2" max="4" width="20.85546875" style="18" customWidth="1"/>
    <col min="5" max="5" width="14.140625" style="18" customWidth="1"/>
    <col min="6" max="6" width="9.140625" style="18" customWidth="1"/>
    <col min="7" max="8" width="11.42578125" style="18"/>
    <col min="9" max="10" width="13.5703125" style="18" customWidth="1"/>
    <col min="11" max="11" width="14.28515625" style="18" customWidth="1"/>
    <col min="12" max="12" width="14.85546875" style="18" customWidth="1"/>
    <col min="13" max="13" width="11.42578125" style="18"/>
    <col min="14" max="15" width="16.28515625" style="18" customWidth="1"/>
    <col min="16" max="16384" width="11.42578125" style="18"/>
  </cols>
  <sheetData>
    <row r="1" spans="2:21" ht="15.75" customHeight="1" thickBot="1" x14ac:dyDescent="0.25">
      <c r="B1" s="759" t="s">
        <v>1331</v>
      </c>
      <c r="C1" s="760"/>
      <c r="D1" s="760"/>
      <c r="E1" s="760"/>
    </row>
    <row r="2" spans="2:21" ht="45" customHeight="1" x14ac:dyDescent="0.2">
      <c r="B2" s="195" t="s">
        <v>1197</v>
      </c>
      <c r="C2" s="196" t="s">
        <v>1332</v>
      </c>
      <c r="D2" s="195" t="s">
        <v>1197</v>
      </c>
      <c r="E2" s="195" t="s">
        <v>1333</v>
      </c>
      <c r="G2" s="761" t="s">
        <v>1331</v>
      </c>
      <c r="H2" s="762"/>
      <c r="I2" s="762"/>
      <c r="J2" s="762"/>
      <c r="K2" s="763"/>
    </row>
    <row r="3" spans="2:21" ht="48.75" customHeight="1" x14ac:dyDescent="0.2">
      <c r="B3" s="43" t="s">
        <v>1210</v>
      </c>
      <c r="C3" s="198">
        <f>AVERAGE('LO INSTITUCIONAL'!Z39+'LO AMBIENTAL'!Y27)/2</f>
        <v>0</v>
      </c>
      <c r="D3" s="43" t="s">
        <v>1210</v>
      </c>
      <c r="E3" s="197">
        <v>12</v>
      </c>
      <c r="H3" s="258" t="s">
        <v>1334</v>
      </c>
      <c r="I3" s="201" t="s">
        <v>1335</v>
      </c>
      <c r="J3" s="200" t="s">
        <v>1336</v>
      </c>
      <c r="K3" s="258" t="s">
        <v>1337</v>
      </c>
      <c r="S3" s="202"/>
      <c r="T3" s="203"/>
      <c r="U3" s="203"/>
    </row>
    <row r="4" spans="2:21" ht="51.75" customHeight="1" x14ac:dyDescent="0.2">
      <c r="B4" s="122" t="s">
        <v>1212</v>
      </c>
      <c r="C4" s="198">
        <f>AVERAGE('LO INSTITUCIONAL'!Z41+'LO AMBIENTAL'!Y29)/2</f>
        <v>0</v>
      </c>
      <c r="D4" s="122" t="s">
        <v>1212</v>
      </c>
      <c r="E4" s="197">
        <v>22</v>
      </c>
      <c r="H4" s="205">
        <f>'LO INSTITUCIONAL'!Z38</f>
        <v>0</v>
      </c>
      <c r="I4" s="197">
        <v>13</v>
      </c>
      <c r="J4" s="204" t="s">
        <v>1338</v>
      </c>
      <c r="K4" s="259">
        <v>26</v>
      </c>
      <c r="S4" s="202"/>
      <c r="T4" s="202"/>
      <c r="U4" s="202"/>
    </row>
    <row r="5" spans="2:21" ht="30" customHeight="1" x14ac:dyDescent="0.2">
      <c r="B5" s="122" t="s">
        <v>1213</v>
      </c>
      <c r="C5" s="198">
        <f>AVERAGE('LO INSTITUCIONAL'!Z40+'LO SOCIAL'!V34+'LO AMBIENTAL'!Y28)/3</f>
        <v>0</v>
      </c>
      <c r="D5" s="122" t="s">
        <v>1213</v>
      </c>
      <c r="E5" s="197">
        <v>17</v>
      </c>
      <c r="H5" s="205">
        <f>'LO SOCIAL'!V33</f>
        <v>0</v>
      </c>
      <c r="I5" s="197">
        <v>8</v>
      </c>
      <c r="J5" s="204" t="s">
        <v>1339</v>
      </c>
      <c r="K5" s="259">
        <v>23</v>
      </c>
      <c r="S5" s="202"/>
      <c r="T5" s="202"/>
      <c r="U5" s="202"/>
    </row>
    <row r="6" spans="2:21" ht="48.75" customHeight="1" thickBot="1" x14ac:dyDescent="0.25">
      <c r="B6" s="122" t="s">
        <v>1262</v>
      </c>
      <c r="C6" s="198">
        <f>AVERAGE('LO SOCIAL'!V35)</f>
        <v>0</v>
      </c>
      <c r="D6" s="122" t="s">
        <v>1262</v>
      </c>
      <c r="E6" s="197">
        <v>14</v>
      </c>
      <c r="H6" s="208">
        <f>'LO AMBIENTAL'!Y26</f>
        <v>0</v>
      </c>
      <c r="I6" s="207">
        <v>6</v>
      </c>
      <c r="J6" s="206" t="s">
        <v>1340</v>
      </c>
      <c r="K6" s="260">
        <v>16</v>
      </c>
      <c r="S6" s="202"/>
      <c r="T6" s="202"/>
      <c r="U6" s="202"/>
    </row>
    <row r="7" spans="2:21" ht="51.75" customHeight="1" x14ac:dyDescent="0.2">
      <c r="B7" s="122" t="s">
        <v>1341</v>
      </c>
      <c r="C7" s="242" t="s">
        <v>61</v>
      </c>
      <c r="D7" s="122" t="s">
        <v>1342</v>
      </c>
      <c r="E7" s="197">
        <v>6</v>
      </c>
      <c r="K7" s="18">
        <f>SUM(K4:K6)</f>
        <v>65</v>
      </c>
    </row>
    <row r="8" spans="2:21" ht="15.75" x14ac:dyDescent="0.25">
      <c r="B8" s="209" t="s">
        <v>1343</v>
      </c>
      <c r="C8" s="211">
        <f>AVERAGE(C3+C4+C5+C6)/4</f>
        <v>0</v>
      </c>
      <c r="D8" s="211"/>
      <c r="E8" s="210">
        <f>SUM(E3:E7)</f>
        <v>71</v>
      </c>
    </row>
    <row r="9" spans="2:21" x14ac:dyDescent="0.2">
      <c r="C9" s="252"/>
      <c r="D9" s="252"/>
    </row>
    <row r="10" spans="2:21" ht="15.75" customHeight="1" x14ac:dyDescent="0.2"/>
    <row r="11" spans="2:21" s="212" customFormat="1" x14ac:dyDescent="0.2"/>
    <row r="13" spans="2:21" x14ac:dyDescent="0.2">
      <c r="B13" s="253" t="s">
        <v>1344</v>
      </c>
      <c r="C13" s="253" t="s">
        <v>1345</v>
      </c>
      <c r="D13" s="261"/>
    </row>
    <row r="14" spans="2:21" x14ac:dyDescent="0.2">
      <c r="B14" s="100">
        <v>10</v>
      </c>
      <c r="C14" s="100">
        <v>1</v>
      </c>
    </row>
    <row r="15" spans="2:21" x14ac:dyDescent="0.2">
      <c r="B15" s="100">
        <v>20</v>
      </c>
      <c r="C15" s="100">
        <v>1</v>
      </c>
    </row>
    <row r="16" spans="2:21" x14ac:dyDescent="0.2">
      <c r="B16" s="100">
        <v>30</v>
      </c>
      <c r="C16" s="100">
        <v>1</v>
      </c>
    </row>
    <row r="17" spans="1:8" x14ac:dyDescent="0.2">
      <c r="B17" s="100">
        <v>40</v>
      </c>
      <c r="C17" s="100">
        <v>1</v>
      </c>
    </row>
    <row r="18" spans="1:8" x14ac:dyDescent="0.2">
      <c r="B18" s="100">
        <v>50</v>
      </c>
      <c r="C18" s="100">
        <v>1</v>
      </c>
    </row>
    <row r="19" spans="1:8" x14ac:dyDescent="0.2">
      <c r="B19" s="100">
        <v>60</v>
      </c>
      <c r="C19" s="100">
        <v>1</v>
      </c>
    </row>
    <row r="20" spans="1:8" x14ac:dyDescent="0.2">
      <c r="B20" s="100">
        <v>70</v>
      </c>
      <c r="C20" s="100">
        <v>1</v>
      </c>
    </row>
    <row r="21" spans="1:8" x14ac:dyDescent="0.2">
      <c r="B21" s="100">
        <v>80</v>
      </c>
      <c r="C21" s="100">
        <v>1</v>
      </c>
    </row>
    <row r="22" spans="1:8" x14ac:dyDescent="0.2">
      <c r="B22" s="100">
        <v>90</v>
      </c>
      <c r="C22" s="100">
        <v>1</v>
      </c>
    </row>
    <row r="23" spans="1:8" x14ac:dyDescent="0.2">
      <c r="B23" s="100">
        <v>100</v>
      </c>
      <c r="C23" s="100">
        <v>1</v>
      </c>
    </row>
    <row r="24" spans="1:8" x14ac:dyDescent="0.2">
      <c r="B24" s="100"/>
      <c r="C24" s="100">
        <f>SUM(C14:C23)</f>
        <v>10</v>
      </c>
    </row>
    <row r="25" spans="1:8" x14ac:dyDescent="0.2">
      <c r="B25" s="254"/>
      <c r="C25" s="254"/>
    </row>
    <row r="26" spans="1:8" x14ac:dyDescent="0.2">
      <c r="B26" s="255" t="s">
        <v>1346</v>
      </c>
      <c r="C26" s="100">
        <f>C8*PI()</f>
        <v>0</v>
      </c>
    </row>
    <row r="28" spans="1:8" x14ac:dyDescent="0.2">
      <c r="B28" s="199"/>
      <c r="C28" s="256" t="s">
        <v>45</v>
      </c>
      <c r="D28" s="256" t="s">
        <v>1347</v>
      </c>
    </row>
    <row r="29" spans="1:8" x14ac:dyDescent="0.2">
      <c r="B29" s="256" t="s">
        <v>1348</v>
      </c>
      <c r="C29" s="199">
        <f>0</f>
        <v>0</v>
      </c>
      <c r="D29" s="199">
        <v>0</v>
      </c>
    </row>
    <row r="30" spans="1:8" ht="15" x14ac:dyDescent="0.25">
      <c r="A30" s="213"/>
      <c r="B30" s="257" t="s">
        <v>1349</v>
      </c>
      <c r="C30" s="257">
        <f>COS(C26)*-1</f>
        <v>-1</v>
      </c>
      <c r="D30" s="257">
        <f>SIN(C26)</f>
        <v>0</v>
      </c>
      <c r="F30" s="213"/>
      <c r="G30" s="213"/>
      <c r="H30" s="213"/>
    </row>
    <row r="31" spans="1:8" ht="15" x14ac:dyDescent="0.25">
      <c r="A31" s="213"/>
      <c r="B31" s="213"/>
      <c r="C31" s="213"/>
      <c r="D31" s="213"/>
      <c r="E31" s="213"/>
      <c r="F31" s="213"/>
      <c r="G31" s="213"/>
      <c r="H31" s="213"/>
    </row>
    <row r="32" spans="1:8" ht="15" x14ac:dyDescent="0.25">
      <c r="A32" s="213"/>
      <c r="B32" s="213"/>
      <c r="C32" s="213"/>
      <c r="D32" s="213"/>
      <c r="E32" s="213"/>
      <c r="F32" s="213"/>
      <c r="G32" s="213"/>
      <c r="H32" s="213"/>
    </row>
    <row r="33" spans="1:11" ht="15" x14ac:dyDescent="0.25">
      <c r="A33" s="213"/>
      <c r="B33" s="213"/>
      <c r="C33" s="213"/>
      <c r="D33" s="213"/>
      <c r="E33" s="213"/>
      <c r="F33" s="213"/>
      <c r="G33" s="213"/>
      <c r="H33" s="213"/>
    </row>
    <row r="34" spans="1:11" ht="15" x14ac:dyDescent="0.25">
      <c r="A34" s="213"/>
      <c r="B34" s="213"/>
      <c r="C34" s="213"/>
      <c r="D34" s="213"/>
      <c r="E34" s="213"/>
      <c r="F34" s="213"/>
      <c r="G34" s="213"/>
      <c r="H34" s="213"/>
    </row>
    <row r="35" spans="1:11" ht="15" x14ac:dyDescent="0.25">
      <c r="A35" s="213"/>
      <c r="B35" s="213"/>
      <c r="C35" s="213"/>
      <c r="D35" s="213"/>
      <c r="E35" s="213"/>
      <c r="F35" s="213"/>
      <c r="G35" s="213"/>
      <c r="H35" s="213"/>
    </row>
    <row r="36" spans="1:11" ht="15" x14ac:dyDescent="0.25">
      <c r="A36" s="213"/>
      <c r="B36" s="213"/>
      <c r="C36" s="213"/>
      <c r="D36" s="213"/>
      <c r="E36" s="213"/>
      <c r="F36" s="213"/>
      <c r="G36" s="213"/>
      <c r="H36" s="213"/>
    </row>
    <row r="37" spans="1:11" ht="15" x14ac:dyDescent="0.25">
      <c r="A37" s="213"/>
      <c r="B37" s="213"/>
      <c r="C37" s="213"/>
      <c r="D37" s="213"/>
      <c r="E37" s="213"/>
      <c r="F37" s="213"/>
      <c r="G37" s="213"/>
      <c r="H37" s="213"/>
    </row>
    <row r="38" spans="1:11" ht="15" x14ac:dyDescent="0.25">
      <c r="A38" s="213"/>
      <c r="B38" s="213"/>
      <c r="C38" s="213"/>
      <c r="D38" s="213"/>
      <c r="E38" s="213"/>
      <c r="F38" s="213"/>
      <c r="G38" s="213"/>
      <c r="H38" s="213"/>
    </row>
    <row r="39" spans="1:11" ht="15" x14ac:dyDescent="0.25">
      <c r="A39" s="213"/>
      <c r="B39" s="213"/>
      <c r="C39" s="213"/>
      <c r="D39" s="213"/>
      <c r="E39" s="213"/>
      <c r="F39" s="213"/>
      <c r="G39" s="213"/>
      <c r="H39" s="213"/>
    </row>
    <row r="40" spans="1:11" ht="15" x14ac:dyDescent="0.25">
      <c r="A40" s="213"/>
      <c r="B40" s="213"/>
      <c r="C40" s="213"/>
      <c r="D40" s="213"/>
      <c r="E40" s="213"/>
      <c r="F40" s="213"/>
      <c r="G40" s="213"/>
      <c r="H40" s="213"/>
    </row>
    <row r="41" spans="1:11" ht="15" x14ac:dyDescent="0.25">
      <c r="A41" s="213"/>
      <c r="B41" s="213"/>
      <c r="C41" s="213"/>
      <c r="D41" s="213"/>
      <c r="E41" s="213"/>
      <c r="F41" s="213"/>
      <c r="G41" s="213"/>
      <c r="H41" s="213"/>
    </row>
    <row r="42" spans="1:11" ht="15" x14ac:dyDescent="0.25">
      <c r="A42" s="213"/>
      <c r="B42" s="213"/>
      <c r="C42" s="213"/>
      <c r="D42" s="213"/>
      <c r="E42" s="213"/>
      <c r="F42" s="213"/>
      <c r="G42" s="213"/>
      <c r="H42" s="213"/>
    </row>
    <row r="43" spans="1:11" ht="15" x14ac:dyDescent="0.25">
      <c r="A43" s="213"/>
      <c r="B43" s="213"/>
      <c r="C43" s="213"/>
      <c r="D43" s="213"/>
      <c r="E43" s="213"/>
      <c r="F43" s="213"/>
      <c r="G43" s="213"/>
      <c r="H43" s="213"/>
    </row>
    <row r="44" spans="1:11" ht="15" x14ac:dyDescent="0.25">
      <c r="A44" s="213"/>
      <c r="B44" s="213"/>
      <c r="C44" s="213"/>
      <c r="D44" s="213"/>
      <c r="E44" s="213"/>
      <c r="F44" s="213"/>
      <c r="G44" s="213"/>
      <c r="H44" s="213"/>
    </row>
    <row r="45" spans="1:11" ht="15" x14ac:dyDescent="0.25">
      <c r="A45" s="213"/>
      <c r="B45" s="213"/>
      <c r="C45" s="213"/>
      <c r="D45" s="213"/>
      <c r="E45" s="213"/>
      <c r="F45" s="213"/>
      <c r="G45" s="213"/>
      <c r="H45" s="213"/>
    </row>
    <row r="46" spans="1:11" ht="15" x14ac:dyDescent="0.25">
      <c r="A46" s="213"/>
      <c r="B46" s="213"/>
      <c r="C46" s="213"/>
      <c r="D46" s="213"/>
      <c r="E46" s="213"/>
      <c r="F46" s="213"/>
      <c r="G46" s="213"/>
      <c r="H46" s="213"/>
      <c r="I46" s="213"/>
      <c r="J46" s="213"/>
      <c r="K46" s="213"/>
    </row>
    <row r="47" spans="1:11" ht="15" x14ac:dyDescent="0.25">
      <c r="A47" s="213"/>
      <c r="B47" s="213"/>
      <c r="C47" s="213"/>
      <c r="D47" s="213"/>
      <c r="E47" s="213"/>
      <c r="F47" s="213"/>
      <c r="G47" s="213"/>
      <c r="H47" s="213"/>
      <c r="I47" s="213"/>
      <c r="J47" s="213"/>
      <c r="K47" s="213"/>
    </row>
    <row r="48" spans="1:11" ht="15" x14ac:dyDescent="0.25">
      <c r="A48" s="213"/>
      <c r="B48" s="213"/>
      <c r="C48" s="213"/>
      <c r="D48" s="213"/>
      <c r="E48" s="213"/>
      <c r="F48" s="213"/>
      <c r="G48" s="213"/>
      <c r="H48" s="213"/>
      <c r="I48" s="213"/>
      <c r="J48" s="213"/>
      <c r="K48" s="213"/>
    </row>
    <row r="49" spans="1:11" ht="15" x14ac:dyDescent="0.25">
      <c r="A49" s="213"/>
      <c r="B49" s="213"/>
      <c r="C49" s="213"/>
      <c r="D49" s="213"/>
      <c r="E49" s="213"/>
      <c r="F49" s="213"/>
      <c r="G49" s="213"/>
      <c r="H49" s="213"/>
      <c r="I49" s="213"/>
      <c r="J49" s="213"/>
      <c r="K49" s="213"/>
    </row>
    <row r="50" spans="1:11" ht="15" x14ac:dyDescent="0.25">
      <c r="A50" s="213"/>
      <c r="B50" s="213"/>
      <c r="C50" s="213"/>
      <c r="D50" s="213"/>
      <c r="E50" s="213"/>
      <c r="F50" s="213"/>
      <c r="G50" s="213"/>
      <c r="H50" s="213"/>
      <c r="I50" s="213"/>
      <c r="J50" s="213"/>
      <c r="K50" s="213"/>
    </row>
    <row r="51" spans="1:11" ht="15" x14ac:dyDescent="0.25">
      <c r="A51" s="213"/>
      <c r="B51" s="213"/>
      <c r="C51" s="213"/>
      <c r="D51" s="213"/>
      <c r="E51" s="213"/>
      <c r="F51" s="213"/>
      <c r="G51" s="213"/>
      <c r="H51" s="213"/>
      <c r="I51" s="213"/>
      <c r="J51" s="213"/>
      <c r="K51" s="213"/>
    </row>
    <row r="52" spans="1:11" ht="15" x14ac:dyDescent="0.25">
      <c r="A52" s="213"/>
      <c r="B52" s="213"/>
      <c r="C52" s="213"/>
      <c r="D52" s="213"/>
      <c r="E52" s="213"/>
      <c r="F52" s="213"/>
      <c r="G52" s="213"/>
      <c r="H52" s="213"/>
      <c r="I52" s="213"/>
      <c r="J52" s="213"/>
      <c r="K52" s="213"/>
    </row>
    <row r="53" spans="1:11" ht="15" x14ac:dyDescent="0.25">
      <c r="A53" s="213"/>
      <c r="B53" s="213"/>
      <c r="C53" s="213"/>
      <c r="D53" s="213"/>
      <c r="E53" s="213"/>
      <c r="F53" s="213"/>
      <c r="G53" s="213"/>
      <c r="H53" s="213"/>
      <c r="I53" s="213"/>
      <c r="J53" s="213"/>
      <c r="K53" s="213"/>
    </row>
    <row r="54" spans="1:11" ht="15" x14ac:dyDescent="0.25">
      <c r="A54" s="213"/>
      <c r="B54" s="213"/>
      <c r="C54" s="213"/>
      <c r="D54" s="213"/>
      <c r="E54" s="213"/>
      <c r="F54" s="213"/>
      <c r="G54" s="213"/>
      <c r="H54" s="213"/>
      <c r="I54" s="213"/>
      <c r="J54" s="213"/>
      <c r="K54" s="213"/>
    </row>
    <row r="55" spans="1:11" ht="15" x14ac:dyDescent="0.25">
      <c r="A55" s="213"/>
      <c r="B55" s="213"/>
      <c r="C55" s="213"/>
      <c r="D55" s="213"/>
      <c r="E55" s="213"/>
      <c r="F55" s="213"/>
      <c r="G55" s="213"/>
      <c r="H55" s="213"/>
      <c r="I55" s="213"/>
      <c r="J55" s="213"/>
      <c r="K55" s="213"/>
    </row>
    <row r="56" spans="1:11" ht="15" x14ac:dyDescent="0.25">
      <c r="A56" s="213"/>
      <c r="B56" s="213"/>
      <c r="C56" s="213"/>
      <c r="D56" s="213"/>
      <c r="E56" s="213"/>
      <c r="F56" s="213"/>
      <c r="G56" s="213"/>
      <c r="H56" s="213"/>
      <c r="I56" s="213"/>
      <c r="J56" s="213"/>
      <c r="K56" s="213"/>
    </row>
    <row r="57" spans="1:11" ht="15" x14ac:dyDescent="0.25">
      <c r="A57" s="213"/>
      <c r="B57" s="213"/>
      <c r="C57" s="213"/>
      <c r="D57" s="213"/>
      <c r="E57" s="213"/>
      <c r="F57" s="213"/>
      <c r="G57" s="213"/>
      <c r="H57" s="213"/>
      <c r="I57" s="213"/>
      <c r="J57" s="213"/>
      <c r="K57" s="213"/>
    </row>
    <row r="58" spans="1:11" ht="15" x14ac:dyDescent="0.25">
      <c r="A58" s="213"/>
      <c r="B58" s="213"/>
      <c r="C58" s="213"/>
      <c r="D58" s="213"/>
      <c r="E58" s="213"/>
      <c r="F58" s="213"/>
      <c r="G58" s="213"/>
      <c r="H58" s="213"/>
      <c r="I58" s="213"/>
      <c r="J58" s="213"/>
      <c r="K58" s="213"/>
    </row>
    <row r="59" spans="1:11" ht="15" x14ac:dyDescent="0.25">
      <c r="A59" s="213"/>
      <c r="B59" s="213"/>
      <c r="C59" s="213"/>
      <c r="D59" s="213"/>
      <c r="E59" s="213"/>
      <c r="F59" s="213"/>
      <c r="G59" s="213"/>
      <c r="H59" s="213"/>
      <c r="I59" s="213"/>
      <c r="J59" s="213"/>
      <c r="K59" s="213"/>
    </row>
    <row r="60" spans="1:11" ht="15" x14ac:dyDescent="0.25">
      <c r="A60" s="213"/>
      <c r="B60" s="213"/>
      <c r="C60" s="213"/>
      <c r="D60" s="213"/>
      <c r="E60" s="213"/>
      <c r="F60" s="213"/>
      <c r="G60" s="213"/>
      <c r="H60" s="213"/>
      <c r="I60" s="213"/>
      <c r="J60" s="213"/>
      <c r="K60" s="213"/>
    </row>
    <row r="61" spans="1:11" ht="15" x14ac:dyDescent="0.25">
      <c r="A61" s="213"/>
      <c r="B61" s="213"/>
      <c r="C61" s="213"/>
      <c r="D61" s="213"/>
      <c r="E61" s="213"/>
      <c r="F61" s="213"/>
      <c r="G61" s="213"/>
      <c r="H61" s="213"/>
      <c r="I61" s="213"/>
      <c r="J61" s="213"/>
      <c r="K61" s="213"/>
    </row>
    <row r="62" spans="1:11" ht="15" x14ac:dyDescent="0.25">
      <c r="A62" s="213"/>
      <c r="B62" s="213"/>
      <c r="C62" s="213"/>
      <c r="D62" s="213"/>
      <c r="E62" s="213"/>
      <c r="F62" s="213"/>
      <c r="G62" s="213"/>
      <c r="H62" s="213"/>
      <c r="I62" s="213"/>
      <c r="J62" s="213"/>
      <c r="K62" s="213"/>
    </row>
    <row r="63" spans="1:11" ht="15" x14ac:dyDescent="0.25">
      <c r="A63" s="213"/>
      <c r="B63" s="213"/>
      <c r="C63" s="213"/>
      <c r="D63" s="213"/>
      <c r="E63" s="213"/>
      <c r="F63" s="213"/>
      <c r="G63" s="213"/>
      <c r="H63" s="213"/>
      <c r="I63" s="213"/>
      <c r="J63" s="213"/>
      <c r="K63" s="213"/>
    </row>
    <row r="64" spans="1:11" ht="15" x14ac:dyDescent="0.25">
      <c r="A64" s="213"/>
      <c r="B64" s="213"/>
      <c r="C64" s="213"/>
      <c r="D64" s="213"/>
      <c r="E64" s="213"/>
      <c r="F64" s="213"/>
      <c r="G64" s="213"/>
      <c r="H64" s="213"/>
      <c r="I64" s="213"/>
      <c r="J64" s="213"/>
      <c r="K64" s="213"/>
    </row>
    <row r="65" spans="1:11" ht="15" x14ac:dyDescent="0.25">
      <c r="A65" s="213"/>
      <c r="B65" s="213"/>
      <c r="C65" s="213"/>
      <c r="D65" s="213"/>
      <c r="E65" s="213"/>
      <c r="F65" s="213"/>
      <c r="G65" s="213"/>
      <c r="H65" s="213"/>
      <c r="I65" s="213"/>
      <c r="J65" s="213"/>
      <c r="K65" s="213"/>
    </row>
    <row r="66" spans="1:11" ht="15" x14ac:dyDescent="0.25">
      <c r="A66" s="213"/>
      <c r="B66" s="213"/>
      <c r="C66" s="213"/>
      <c r="D66" s="213"/>
      <c r="E66" s="213"/>
      <c r="F66" s="213"/>
      <c r="G66" s="213"/>
      <c r="H66" s="213"/>
      <c r="I66" s="213"/>
      <c r="J66" s="213"/>
      <c r="K66" s="213"/>
    </row>
    <row r="67" spans="1:11" ht="15" x14ac:dyDescent="0.25">
      <c r="A67" s="213"/>
      <c r="B67" s="213"/>
      <c r="C67" s="213"/>
      <c r="D67" s="213"/>
      <c r="E67" s="213"/>
      <c r="F67" s="213"/>
      <c r="G67" s="213"/>
      <c r="H67" s="213"/>
      <c r="I67" s="213"/>
      <c r="J67" s="213"/>
      <c r="K67" s="213"/>
    </row>
    <row r="68" spans="1:11" ht="15" x14ac:dyDescent="0.25">
      <c r="A68" s="213"/>
      <c r="B68" s="213"/>
      <c r="C68" s="213"/>
      <c r="D68" s="213"/>
      <c r="E68" s="213"/>
      <c r="F68" s="213"/>
      <c r="G68" s="213"/>
      <c r="H68" s="213"/>
      <c r="I68" s="213"/>
      <c r="J68" s="213"/>
      <c r="K68" s="213"/>
    </row>
    <row r="69" spans="1:11" ht="15" x14ac:dyDescent="0.25">
      <c r="A69" s="213"/>
      <c r="B69" s="213"/>
      <c r="C69" s="213"/>
      <c r="D69" s="213"/>
      <c r="E69" s="213"/>
      <c r="F69" s="213"/>
      <c r="G69" s="213"/>
      <c r="H69" s="213"/>
      <c r="I69" s="213"/>
      <c r="J69" s="213"/>
      <c r="K69" s="213"/>
    </row>
    <row r="70" spans="1:11" ht="15" x14ac:dyDescent="0.25">
      <c r="A70" s="213"/>
      <c r="B70" s="213"/>
      <c r="C70" s="213"/>
      <c r="D70" s="213"/>
      <c r="E70" s="213"/>
      <c r="F70" s="213"/>
      <c r="G70" s="213"/>
      <c r="H70" s="213"/>
      <c r="I70" s="213"/>
      <c r="J70" s="213"/>
      <c r="K70" s="213"/>
    </row>
    <row r="71" spans="1:11" ht="15" x14ac:dyDescent="0.25">
      <c r="A71" s="213"/>
      <c r="B71" s="213"/>
      <c r="C71" s="213"/>
      <c r="D71" s="213"/>
      <c r="E71" s="213"/>
      <c r="F71" s="213"/>
      <c r="G71" s="213"/>
      <c r="H71" s="213"/>
      <c r="I71" s="213"/>
      <c r="J71" s="213"/>
      <c r="K71" s="213"/>
    </row>
    <row r="72" spans="1:11" ht="15" x14ac:dyDescent="0.25">
      <c r="A72" s="213"/>
      <c r="B72" s="213"/>
      <c r="C72" s="213"/>
      <c r="D72" s="213"/>
      <c r="E72" s="213"/>
      <c r="F72" s="213"/>
      <c r="G72" s="213"/>
      <c r="H72" s="213"/>
      <c r="I72" s="213"/>
      <c r="J72" s="213"/>
      <c r="K72" s="213"/>
    </row>
    <row r="73" spans="1:11" ht="15" x14ac:dyDescent="0.25">
      <c r="A73" s="213"/>
      <c r="B73" s="213"/>
      <c r="C73" s="213"/>
      <c r="D73" s="213"/>
      <c r="E73" s="213"/>
      <c r="F73" s="213"/>
      <c r="G73" s="213"/>
      <c r="H73" s="213"/>
      <c r="I73" s="213"/>
      <c r="J73" s="213"/>
      <c r="K73" s="213"/>
    </row>
    <row r="74" spans="1:11" ht="15" x14ac:dyDescent="0.25">
      <c r="A74" s="213"/>
      <c r="B74" s="213"/>
      <c r="C74" s="213"/>
      <c r="D74" s="213"/>
      <c r="E74" s="213"/>
      <c r="F74" s="213"/>
      <c r="G74" s="213"/>
      <c r="H74" s="213"/>
      <c r="I74" s="213"/>
      <c r="J74" s="213"/>
      <c r="K74" s="213"/>
    </row>
    <row r="75" spans="1:11" ht="15" x14ac:dyDescent="0.25">
      <c r="A75" s="213"/>
      <c r="B75" s="213"/>
      <c r="C75" s="213"/>
      <c r="D75" s="213"/>
      <c r="E75" s="213"/>
      <c r="F75" s="213"/>
      <c r="G75" s="213"/>
      <c r="H75" s="213"/>
      <c r="I75" s="213"/>
      <c r="J75" s="213"/>
      <c r="K75" s="213"/>
    </row>
    <row r="76" spans="1:11" ht="15" x14ac:dyDescent="0.25">
      <c r="A76" s="213"/>
      <c r="B76" s="213"/>
      <c r="C76" s="213"/>
      <c r="D76" s="213"/>
      <c r="E76" s="213"/>
      <c r="F76" s="213"/>
      <c r="G76" s="213"/>
      <c r="H76" s="213"/>
      <c r="I76" s="213"/>
      <c r="J76" s="213"/>
      <c r="K76" s="213"/>
    </row>
    <row r="77" spans="1:11" ht="15" x14ac:dyDescent="0.25">
      <c r="A77" s="213"/>
      <c r="B77" s="213"/>
      <c r="C77" s="213"/>
      <c r="D77" s="213"/>
      <c r="E77" s="213"/>
      <c r="F77" s="213"/>
      <c r="G77" s="213"/>
      <c r="H77" s="213"/>
      <c r="I77" s="213"/>
      <c r="J77" s="213"/>
      <c r="K77" s="213"/>
    </row>
    <row r="78" spans="1:11" ht="15" x14ac:dyDescent="0.25">
      <c r="A78" s="213"/>
      <c r="B78" s="213"/>
      <c r="C78" s="213"/>
      <c r="D78" s="213"/>
      <c r="E78" s="213"/>
      <c r="F78" s="213"/>
      <c r="G78" s="213"/>
      <c r="H78" s="213"/>
      <c r="I78" s="213"/>
      <c r="J78" s="213"/>
      <c r="K78" s="213"/>
    </row>
    <row r="79" spans="1:11" ht="15" x14ac:dyDescent="0.25">
      <c r="A79" s="213"/>
      <c r="B79" s="213"/>
      <c r="C79" s="213"/>
      <c r="D79" s="213"/>
      <c r="E79" s="213"/>
      <c r="F79" s="213"/>
      <c r="G79" s="213"/>
      <c r="H79" s="213"/>
      <c r="I79" s="213"/>
      <c r="J79" s="213"/>
      <c r="K79" s="213"/>
    </row>
    <row r="80" spans="1:11" ht="15" x14ac:dyDescent="0.25">
      <c r="A80" s="213"/>
      <c r="B80" s="213"/>
      <c r="C80" s="213"/>
      <c r="D80" s="213"/>
      <c r="E80" s="213"/>
      <c r="F80" s="213"/>
      <c r="G80" s="213"/>
      <c r="H80" s="213"/>
      <c r="I80" s="213"/>
      <c r="J80" s="213"/>
      <c r="K80" s="213"/>
    </row>
    <row r="81" spans="1:11" ht="15" x14ac:dyDescent="0.25">
      <c r="A81" s="213"/>
      <c r="B81" s="213"/>
      <c r="C81" s="213"/>
      <c r="D81" s="213"/>
      <c r="E81" s="213"/>
      <c r="F81" s="213"/>
      <c r="G81" s="213"/>
      <c r="H81" s="213"/>
      <c r="I81" s="213"/>
      <c r="J81" s="213"/>
      <c r="K81" s="213"/>
    </row>
    <row r="82" spans="1:11" ht="15" x14ac:dyDescent="0.25">
      <c r="A82" s="213"/>
      <c r="B82" s="213"/>
      <c r="C82" s="213"/>
      <c r="D82" s="213"/>
      <c r="E82" s="213"/>
      <c r="F82" s="213"/>
      <c r="G82" s="213"/>
      <c r="H82" s="213"/>
      <c r="I82" s="213"/>
      <c r="J82" s="213"/>
      <c r="K82" s="213"/>
    </row>
    <row r="83" spans="1:11" ht="15" x14ac:dyDescent="0.25">
      <c r="A83" s="213"/>
      <c r="B83" s="213"/>
      <c r="C83" s="213"/>
      <c r="D83" s="213"/>
      <c r="E83" s="213"/>
      <c r="F83" s="213"/>
      <c r="G83" s="213"/>
      <c r="H83" s="213"/>
      <c r="I83" s="213"/>
      <c r="J83" s="213"/>
      <c r="K83" s="213"/>
    </row>
    <row r="84" spans="1:11" ht="15" x14ac:dyDescent="0.25">
      <c r="A84" s="213"/>
      <c r="B84" s="213"/>
      <c r="C84" s="213"/>
      <c r="D84" s="213"/>
      <c r="E84" s="213"/>
      <c r="F84" s="213"/>
      <c r="G84" s="213"/>
      <c r="H84" s="213"/>
      <c r="I84" s="213"/>
      <c r="J84" s="213"/>
      <c r="K84" s="213"/>
    </row>
    <row r="85" spans="1:11" ht="15" x14ac:dyDescent="0.25">
      <c r="A85" s="213"/>
      <c r="B85" s="213"/>
      <c r="C85" s="213"/>
      <c r="D85" s="213"/>
      <c r="E85" s="213"/>
      <c r="F85" s="213"/>
    </row>
    <row r="86" spans="1:11" ht="15" x14ac:dyDescent="0.25">
      <c r="A86" s="213"/>
      <c r="B86" s="213"/>
      <c r="C86" s="213"/>
      <c r="D86" s="213"/>
      <c r="E86" s="213"/>
      <c r="F86" s="213"/>
    </row>
    <row r="87" spans="1:11" ht="15" x14ac:dyDescent="0.25">
      <c r="A87" s="213"/>
      <c r="B87" s="213"/>
      <c r="C87" s="213"/>
      <c r="D87" s="213"/>
      <c r="E87" s="213"/>
      <c r="F87" s="213"/>
    </row>
    <row r="88" spans="1:11" ht="15" x14ac:dyDescent="0.25">
      <c r="A88" s="213"/>
      <c r="B88" s="213"/>
      <c r="C88" s="213"/>
      <c r="D88" s="213"/>
      <c r="E88" s="213"/>
      <c r="F88" s="213"/>
    </row>
    <row r="89" spans="1:11" ht="15" x14ac:dyDescent="0.25">
      <c r="A89" s="213"/>
      <c r="B89" s="213"/>
      <c r="C89" s="213"/>
      <c r="D89" s="213"/>
      <c r="E89" s="213"/>
      <c r="F89" s="213"/>
    </row>
    <row r="90" spans="1:11" ht="15" x14ac:dyDescent="0.25">
      <c r="A90" s="213"/>
      <c r="B90" s="213"/>
      <c r="C90" s="213"/>
      <c r="D90" s="213"/>
      <c r="E90" s="213"/>
      <c r="F90" s="213"/>
    </row>
    <row r="91" spans="1:11" ht="15" x14ac:dyDescent="0.25">
      <c r="A91" s="213"/>
      <c r="B91" s="213"/>
      <c r="C91" s="213"/>
      <c r="D91" s="213"/>
      <c r="E91" s="213"/>
      <c r="F91" s="213"/>
    </row>
    <row r="92" spans="1:11" ht="15" x14ac:dyDescent="0.25">
      <c r="A92" s="213"/>
      <c r="B92" s="213"/>
      <c r="C92" s="213"/>
      <c r="D92" s="213"/>
      <c r="E92" s="213"/>
      <c r="F92" s="213"/>
    </row>
    <row r="93" spans="1:11" ht="15" x14ac:dyDescent="0.25">
      <c r="A93" s="213"/>
      <c r="B93" s="213"/>
      <c r="C93" s="213"/>
      <c r="D93" s="213"/>
      <c r="E93" s="213"/>
      <c r="F93" s="213"/>
    </row>
    <row r="94" spans="1:11" ht="15" x14ac:dyDescent="0.25">
      <c r="A94" s="213"/>
      <c r="B94" s="213"/>
      <c r="C94" s="213"/>
      <c r="D94" s="213"/>
      <c r="E94" s="213"/>
      <c r="F94" s="213"/>
    </row>
    <row r="95" spans="1:11" ht="15" x14ac:dyDescent="0.25">
      <c r="A95" s="213"/>
      <c r="B95" s="213"/>
      <c r="C95" s="213"/>
      <c r="D95" s="213"/>
      <c r="E95" s="213"/>
      <c r="F95" s="213"/>
    </row>
    <row r="96" spans="1:11" ht="15" x14ac:dyDescent="0.25">
      <c r="A96" s="213"/>
      <c r="B96" s="213"/>
      <c r="C96" s="213"/>
      <c r="D96" s="213"/>
      <c r="E96" s="213"/>
      <c r="F96" s="213"/>
    </row>
    <row r="97" spans="1:6" ht="15" x14ac:dyDescent="0.25">
      <c r="A97" s="213"/>
      <c r="B97" s="213"/>
      <c r="C97" s="213"/>
      <c r="D97" s="213"/>
      <c r="E97" s="213"/>
      <c r="F97" s="213"/>
    </row>
    <row r="98" spans="1:6" ht="15" x14ac:dyDescent="0.25">
      <c r="A98" s="213"/>
      <c r="B98" s="213"/>
      <c r="C98" s="213"/>
      <c r="D98" s="213"/>
      <c r="E98" s="213"/>
      <c r="F98" s="213"/>
    </row>
    <row r="99" spans="1:6" ht="15" x14ac:dyDescent="0.25">
      <c r="A99" s="213"/>
      <c r="B99" s="213"/>
      <c r="C99" s="213"/>
      <c r="D99" s="213"/>
      <c r="E99" s="213"/>
      <c r="F99" s="213"/>
    </row>
    <row r="100" spans="1:6" ht="15" x14ac:dyDescent="0.25">
      <c r="A100" s="213"/>
      <c r="B100" s="213"/>
      <c r="C100" s="213"/>
      <c r="D100" s="213"/>
      <c r="E100" s="213"/>
      <c r="F100" s="213"/>
    </row>
    <row r="101" spans="1:6" ht="15" x14ac:dyDescent="0.25">
      <c r="A101" s="213"/>
      <c r="B101" s="213"/>
      <c r="C101" s="213"/>
      <c r="D101" s="213"/>
      <c r="E101" s="213"/>
      <c r="F101" s="213"/>
    </row>
    <row r="102" spans="1:6" ht="15" x14ac:dyDescent="0.25">
      <c r="A102" s="213"/>
      <c r="B102" s="213"/>
      <c r="C102" s="213"/>
      <c r="D102" s="213"/>
      <c r="E102" s="213"/>
      <c r="F102" s="213"/>
    </row>
    <row r="103" spans="1:6" ht="15" x14ac:dyDescent="0.25">
      <c r="A103" s="213"/>
      <c r="B103" s="213"/>
      <c r="C103" s="213"/>
      <c r="D103" s="213"/>
      <c r="E103" s="213"/>
      <c r="F103" s="213"/>
    </row>
    <row r="104" spans="1:6" ht="15" x14ac:dyDescent="0.25">
      <c r="A104" s="213"/>
      <c r="B104" s="213"/>
      <c r="C104" s="213"/>
      <c r="D104" s="213"/>
      <c r="E104" s="213"/>
      <c r="F104" s="213"/>
    </row>
    <row r="105" spans="1:6" ht="15" x14ac:dyDescent="0.25">
      <c r="A105" s="213"/>
      <c r="B105" s="213"/>
      <c r="C105" s="213"/>
      <c r="D105" s="213"/>
      <c r="E105" s="213"/>
      <c r="F105" s="213"/>
    </row>
    <row r="106" spans="1:6" ht="15" x14ac:dyDescent="0.25">
      <c r="A106" s="213"/>
      <c r="B106" s="213"/>
      <c r="C106" s="213"/>
      <c r="D106" s="213"/>
      <c r="E106" s="213"/>
      <c r="F106" s="213"/>
    </row>
    <row r="107" spans="1:6" ht="15" x14ac:dyDescent="0.25">
      <c r="A107" s="213"/>
      <c r="B107" s="213"/>
      <c r="C107" s="213"/>
      <c r="D107" s="213"/>
      <c r="E107" s="213"/>
      <c r="F107" s="213"/>
    </row>
    <row r="108" spans="1:6" ht="15" x14ac:dyDescent="0.25">
      <c r="A108" s="213"/>
      <c r="B108" s="213"/>
      <c r="C108" s="213"/>
      <c r="D108" s="213"/>
      <c r="E108" s="213"/>
      <c r="F108" s="213"/>
    </row>
    <row r="109" spans="1:6" ht="15" x14ac:dyDescent="0.25">
      <c r="A109" s="213"/>
      <c r="B109" s="213"/>
      <c r="C109" s="213"/>
      <c r="D109" s="213"/>
      <c r="E109" s="213"/>
      <c r="F109" s="213"/>
    </row>
    <row r="110" spans="1:6" ht="15" x14ac:dyDescent="0.25">
      <c r="A110" s="213"/>
      <c r="B110" s="213"/>
      <c r="C110" s="213"/>
      <c r="D110" s="213"/>
      <c r="E110" s="213"/>
      <c r="F110" s="213"/>
    </row>
    <row r="111" spans="1:6" ht="15" x14ac:dyDescent="0.25">
      <c r="A111" s="213"/>
      <c r="B111" s="213"/>
      <c r="C111" s="213"/>
      <c r="D111" s="213"/>
      <c r="E111" s="213"/>
      <c r="F111" s="213"/>
    </row>
    <row r="112" spans="1:6" ht="15" x14ac:dyDescent="0.25">
      <c r="A112" s="213"/>
      <c r="B112" s="213"/>
      <c r="C112" s="213"/>
      <c r="D112" s="213"/>
      <c r="E112" s="213"/>
      <c r="F112" s="213"/>
    </row>
    <row r="113" spans="1:6" ht="15" x14ac:dyDescent="0.25">
      <c r="A113" s="213"/>
      <c r="B113" s="213"/>
      <c r="C113" s="213"/>
      <c r="D113" s="213"/>
      <c r="E113" s="213"/>
      <c r="F113" s="213"/>
    </row>
    <row r="114" spans="1:6" ht="15" x14ac:dyDescent="0.25">
      <c r="A114" s="213"/>
      <c r="B114" s="213"/>
      <c r="C114" s="213"/>
      <c r="D114" s="213"/>
      <c r="E114" s="213"/>
      <c r="F114" s="213"/>
    </row>
    <row r="115" spans="1:6" ht="15" x14ac:dyDescent="0.25">
      <c r="A115" s="213"/>
      <c r="B115" s="213"/>
      <c r="C115" s="213"/>
      <c r="D115" s="213"/>
      <c r="E115" s="213"/>
      <c r="F115" s="213"/>
    </row>
    <row r="116" spans="1:6" ht="15" x14ac:dyDescent="0.25">
      <c r="A116" s="213"/>
      <c r="B116" s="213"/>
      <c r="C116" s="213"/>
      <c r="D116" s="213"/>
      <c r="E116" s="213"/>
      <c r="F116" s="213"/>
    </row>
    <row r="117" spans="1:6" ht="15" x14ac:dyDescent="0.25">
      <c r="A117" s="213"/>
      <c r="B117" s="213"/>
      <c r="C117" s="213"/>
      <c r="D117" s="213"/>
      <c r="E117" s="213"/>
      <c r="F117" s="213"/>
    </row>
    <row r="118" spans="1:6" ht="15" x14ac:dyDescent="0.25">
      <c r="A118" s="213"/>
      <c r="B118" s="213"/>
      <c r="C118" s="213"/>
      <c r="D118" s="213"/>
      <c r="E118" s="213"/>
      <c r="F118" s="213"/>
    </row>
    <row r="119" spans="1:6" ht="15" x14ac:dyDescent="0.25">
      <c r="A119" s="213"/>
      <c r="B119" s="213"/>
      <c r="C119" s="213"/>
      <c r="D119" s="213"/>
      <c r="E119" s="213"/>
      <c r="F119" s="213"/>
    </row>
    <row r="120" spans="1:6" ht="15" x14ac:dyDescent="0.25">
      <c r="A120" s="213"/>
      <c r="B120" s="213"/>
      <c r="C120" s="213"/>
      <c r="D120" s="213"/>
      <c r="E120" s="213"/>
      <c r="F120" s="213"/>
    </row>
    <row r="121" spans="1:6" ht="15" x14ac:dyDescent="0.25">
      <c r="A121" s="213"/>
      <c r="B121" s="213"/>
      <c r="C121" s="213"/>
      <c r="D121" s="213"/>
      <c r="E121" s="213"/>
      <c r="F121" s="213"/>
    </row>
    <row r="122" spans="1:6" ht="15" x14ac:dyDescent="0.25">
      <c r="A122" s="213"/>
      <c r="B122" s="213"/>
      <c r="C122" s="213"/>
      <c r="D122" s="213"/>
      <c r="E122" s="213"/>
      <c r="F122" s="213"/>
    </row>
    <row r="123" spans="1:6" ht="15" x14ac:dyDescent="0.25">
      <c r="A123" s="213"/>
      <c r="B123" s="213"/>
      <c r="C123" s="213"/>
      <c r="D123" s="213"/>
      <c r="E123" s="213"/>
      <c r="F123" s="213"/>
    </row>
    <row r="124" spans="1:6" ht="15" x14ac:dyDescent="0.25">
      <c r="A124" s="213"/>
      <c r="B124" s="213"/>
      <c r="C124" s="213"/>
      <c r="D124" s="213"/>
      <c r="E124" s="213"/>
      <c r="F124" s="213"/>
    </row>
    <row r="125" spans="1:6" ht="15" x14ac:dyDescent="0.25">
      <c r="A125" s="213"/>
      <c r="B125" s="213"/>
      <c r="C125" s="213"/>
      <c r="D125" s="213"/>
      <c r="E125" s="213"/>
      <c r="F125" s="213"/>
    </row>
    <row r="126" spans="1:6" ht="15" x14ac:dyDescent="0.25">
      <c r="A126" s="213"/>
      <c r="B126" s="213"/>
      <c r="C126" s="213"/>
      <c r="D126" s="213"/>
      <c r="E126" s="213"/>
      <c r="F126" s="213"/>
    </row>
    <row r="127" spans="1:6" ht="15" x14ac:dyDescent="0.25">
      <c r="A127" s="213"/>
      <c r="B127" s="213"/>
      <c r="C127" s="213"/>
      <c r="D127" s="213"/>
      <c r="E127" s="213"/>
      <c r="F127" s="213"/>
    </row>
    <row r="128" spans="1:6" ht="15" x14ac:dyDescent="0.25">
      <c r="A128" s="213"/>
      <c r="B128" s="213"/>
      <c r="C128" s="213"/>
      <c r="D128" s="213"/>
      <c r="E128" s="213"/>
      <c r="F128" s="213"/>
    </row>
    <row r="129" spans="1:6" ht="15" x14ac:dyDescent="0.25">
      <c r="A129" s="213"/>
      <c r="B129" s="213"/>
      <c r="C129" s="213"/>
      <c r="D129" s="213"/>
      <c r="E129" s="213"/>
      <c r="F129" s="213"/>
    </row>
    <row r="130" spans="1:6" ht="15" x14ac:dyDescent="0.25">
      <c r="A130" s="213"/>
      <c r="B130" s="213"/>
      <c r="C130" s="213"/>
      <c r="D130" s="213"/>
      <c r="E130" s="213"/>
      <c r="F130" s="213"/>
    </row>
    <row r="131" spans="1:6" ht="15" x14ac:dyDescent="0.25">
      <c r="A131" s="213"/>
      <c r="B131" s="213"/>
      <c r="C131" s="213"/>
      <c r="D131" s="213"/>
      <c r="E131" s="213"/>
      <c r="F131" s="213"/>
    </row>
    <row r="132" spans="1:6" ht="15" x14ac:dyDescent="0.25">
      <c r="A132" s="213"/>
      <c r="B132" s="213"/>
      <c r="C132" s="213"/>
      <c r="D132" s="213"/>
      <c r="E132" s="213"/>
      <c r="F132" s="213"/>
    </row>
    <row r="133" spans="1:6" ht="15" x14ac:dyDescent="0.25">
      <c r="A133" s="213"/>
      <c r="B133" s="213"/>
      <c r="C133" s="213"/>
      <c r="D133" s="213"/>
      <c r="E133" s="213"/>
      <c r="F133" s="213"/>
    </row>
    <row r="134" spans="1:6" ht="15" x14ac:dyDescent="0.25">
      <c r="A134" s="213"/>
      <c r="B134" s="213"/>
      <c r="C134" s="213"/>
      <c r="D134" s="213"/>
      <c r="E134" s="213"/>
      <c r="F134" s="213"/>
    </row>
    <row r="135" spans="1:6" ht="15" x14ac:dyDescent="0.25">
      <c r="A135" s="213"/>
      <c r="B135" s="213"/>
      <c r="C135" s="213"/>
      <c r="D135" s="213"/>
      <c r="E135" s="213"/>
      <c r="F135" s="213"/>
    </row>
    <row r="136" spans="1:6" ht="15" x14ac:dyDescent="0.25">
      <c r="A136" s="213"/>
      <c r="B136" s="213"/>
      <c r="C136" s="213"/>
      <c r="D136" s="213"/>
      <c r="E136" s="213"/>
      <c r="F136" s="213"/>
    </row>
    <row r="137" spans="1:6" ht="15" x14ac:dyDescent="0.25">
      <c r="A137" s="213"/>
      <c r="B137" s="213"/>
      <c r="C137" s="213"/>
      <c r="D137" s="213"/>
      <c r="E137" s="213"/>
      <c r="F137" s="213"/>
    </row>
    <row r="138" spans="1:6" ht="15" x14ac:dyDescent="0.25">
      <c r="A138" s="213"/>
      <c r="B138" s="213"/>
      <c r="C138" s="213"/>
      <c r="D138" s="213"/>
      <c r="E138" s="213"/>
      <c r="F138" s="213"/>
    </row>
    <row r="139" spans="1:6" ht="15" x14ac:dyDescent="0.25">
      <c r="A139" s="213"/>
      <c r="B139" s="213"/>
      <c r="C139" s="213"/>
      <c r="D139" s="213"/>
      <c r="E139" s="213"/>
      <c r="F139" s="213"/>
    </row>
    <row r="140" spans="1:6" ht="15" x14ac:dyDescent="0.25">
      <c r="A140" s="213"/>
      <c r="B140" s="213"/>
      <c r="C140" s="213"/>
      <c r="D140" s="213"/>
      <c r="E140" s="213"/>
      <c r="F140" s="213"/>
    </row>
    <row r="141" spans="1:6" ht="15" x14ac:dyDescent="0.25">
      <c r="A141" s="213"/>
      <c r="B141" s="213"/>
      <c r="C141" s="213"/>
      <c r="D141" s="213"/>
      <c r="E141" s="213"/>
      <c r="F141" s="213"/>
    </row>
    <row r="142" spans="1:6" ht="15" x14ac:dyDescent="0.25">
      <c r="A142" s="213"/>
      <c r="B142" s="213"/>
      <c r="C142" s="213"/>
      <c r="D142" s="213"/>
      <c r="E142" s="213"/>
      <c r="F142" s="213"/>
    </row>
    <row r="143" spans="1:6" ht="15" x14ac:dyDescent="0.25">
      <c r="A143" s="213"/>
      <c r="B143" s="213"/>
      <c r="C143" s="213"/>
      <c r="D143" s="213"/>
      <c r="E143" s="213"/>
      <c r="F143" s="213"/>
    </row>
    <row r="144" spans="1:6" ht="15" x14ac:dyDescent="0.25">
      <c r="A144" s="213"/>
      <c r="B144" s="213"/>
      <c r="C144" s="213"/>
      <c r="D144" s="213"/>
      <c r="E144" s="213"/>
      <c r="F144" s="213"/>
    </row>
    <row r="145" spans="1:6" ht="15" x14ac:dyDescent="0.25">
      <c r="A145" s="213"/>
      <c r="B145" s="213"/>
      <c r="C145" s="213"/>
      <c r="D145" s="213"/>
      <c r="E145" s="213"/>
      <c r="F145" s="213"/>
    </row>
    <row r="146" spans="1:6" ht="15" x14ac:dyDescent="0.25">
      <c r="A146" s="213"/>
      <c r="B146" s="213"/>
      <c r="C146" s="213"/>
      <c r="D146" s="213"/>
      <c r="E146" s="213"/>
      <c r="F146" s="213"/>
    </row>
    <row r="147" spans="1:6" ht="15" x14ac:dyDescent="0.25">
      <c r="A147" s="213"/>
      <c r="B147" s="213"/>
      <c r="C147" s="213"/>
      <c r="D147" s="213"/>
      <c r="E147" s="213"/>
      <c r="F147" s="213"/>
    </row>
    <row r="148" spans="1:6" ht="15" x14ac:dyDescent="0.25">
      <c r="A148" s="213"/>
      <c r="B148" s="213"/>
      <c r="C148" s="213"/>
      <c r="D148" s="213"/>
      <c r="E148" s="213"/>
      <c r="F148" s="213"/>
    </row>
    <row r="149" spans="1:6" ht="15" x14ac:dyDescent="0.25">
      <c r="A149" s="213"/>
      <c r="B149" s="213"/>
      <c r="C149" s="213"/>
      <c r="D149" s="213"/>
      <c r="E149" s="213"/>
      <c r="F149" s="213"/>
    </row>
    <row r="150" spans="1:6" ht="15" x14ac:dyDescent="0.25">
      <c r="A150" s="213"/>
      <c r="B150" s="213"/>
      <c r="C150" s="213"/>
      <c r="D150" s="213"/>
      <c r="E150" s="213"/>
      <c r="F150" s="213"/>
    </row>
    <row r="151" spans="1:6" ht="15" x14ac:dyDescent="0.25">
      <c r="A151" s="213"/>
      <c r="B151" s="213"/>
      <c r="C151" s="213"/>
      <c r="D151" s="213"/>
      <c r="E151" s="213"/>
      <c r="F151" s="213"/>
    </row>
    <row r="152" spans="1:6" ht="15" x14ac:dyDescent="0.25">
      <c r="A152" s="213"/>
      <c r="B152" s="213"/>
      <c r="C152" s="213"/>
      <c r="D152" s="213"/>
      <c r="E152" s="213"/>
      <c r="F152" s="213"/>
    </row>
    <row r="153" spans="1:6" ht="15" x14ac:dyDescent="0.25">
      <c r="A153" s="213"/>
      <c r="B153" s="213"/>
      <c r="C153" s="213"/>
      <c r="D153" s="213"/>
      <c r="E153" s="213"/>
      <c r="F153" s="213"/>
    </row>
    <row r="154" spans="1:6" ht="15" x14ac:dyDescent="0.25">
      <c r="A154" s="213"/>
      <c r="B154" s="213"/>
      <c r="C154" s="213"/>
      <c r="D154" s="213"/>
      <c r="E154" s="213"/>
      <c r="F154" s="213"/>
    </row>
    <row r="155" spans="1:6" ht="15" x14ac:dyDescent="0.25">
      <c r="A155" s="213"/>
      <c r="B155" s="213"/>
      <c r="C155" s="213"/>
      <c r="D155" s="213"/>
      <c r="E155" s="213"/>
      <c r="F155" s="213"/>
    </row>
    <row r="156" spans="1:6" ht="15" x14ac:dyDescent="0.25">
      <c r="A156" s="213"/>
      <c r="B156" s="213"/>
      <c r="C156" s="213"/>
      <c r="D156" s="213"/>
      <c r="E156" s="213"/>
      <c r="F156" s="213"/>
    </row>
    <row r="157" spans="1:6" ht="15" x14ac:dyDescent="0.25">
      <c r="A157" s="213"/>
      <c r="B157" s="213"/>
      <c r="C157" s="213"/>
      <c r="D157" s="213"/>
      <c r="E157" s="213"/>
      <c r="F157" s="213"/>
    </row>
    <row r="158" spans="1:6" ht="15" x14ac:dyDescent="0.25">
      <c r="A158" s="213"/>
      <c r="B158" s="213"/>
      <c r="C158" s="213"/>
      <c r="D158" s="213"/>
      <c r="E158" s="213"/>
      <c r="F158" s="213"/>
    </row>
    <row r="159" spans="1:6" ht="15" x14ac:dyDescent="0.25">
      <c r="A159" s="213"/>
      <c r="B159" s="213"/>
      <c r="C159" s="213"/>
      <c r="D159" s="213"/>
      <c r="E159" s="213"/>
      <c r="F159" s="213"/>
    </row>
    <row r="160" spans="1:6" ht="15" x14ac:dyDescent="0.25">
      <c r="A160" s="213"/>
      <c r="B160" s="213"/>
      <c r="C160" s="213"/>
      <c r="D160" s="213"/>
      <c r="E160" s="213"/>
      <c r="F160" s="213"/>
    </row>
    <row r="161" spans="1:6" ht="15" x14ac:dyDescent="0.25">
      <c r="A161" s="213"/>
      <c r="B161" s="213"/>
      <c r="C161" s="213"/>
      <c r="D161" s="213"/>
      <c r="E161" s="213"/>
      <c r="F161" s="213"/>
    </row>
    <row r="162" spans="1:6" ht="15" x14ac:dyDescent="0.25">
      <c r="A162" s="213"/>
      <c r="B162" s="213"/>
      <c r="C162" s="213"/>
      <c r="D162" s="213"/>
      <c r="E162" s="213"/>
      <c r="F162" s="213"/>
    </row>
    <row r="163" spans="1:6" ht="15" x14ac:dyDescent="0.25">
      <c r="A163" s="213"/>
      <c r="B163" s="213"/>
      <c r="C163" s="213"/>
      <c r="D163" s="213"/>
      <c r="E163" s="213"/>
      <c r="F163" s="213"/>
    </row>
    <row r="164" spans="1:6" ht="15" x14ac:dyDescent="0.25">
      <c r="A164" s="213"/>
      <c r="B164" s="213"/>
      <c r="C164" s="213"/>
      <c r="D164" s="213"/>
      <c r="E164" s="213"/>
      <c r="F164" s="213"/>
    </row>
    <row r="165" spans="1:6" ht="15" x14ac:dyDescent="0.25">
      <c r="A165" s="213"/>
      <c r="B165" s="213"/>
      <c r="C165" s="213"/>
      <c r="D165" s="213"/>
      <c r="E165" s="213"/>
      <c r="F165" s="213"/>
    </row>
    <row r="166" spans="1:6" ht="15" x14ac:dyDescent="0.25">
      <c r="A166" s="213"/>
      <c r="B166" s="213"/>
      <c r="C166" s="213"/>
      <c r="D166" s="213"/>
      <c r="E166" s="213"/>
      <c r="F166" s="213"/>
    </row>
    <row r="167" spans="1:6" ht="15" x14ac:dyDescent="0.25">
      <c r="A167" s="213"/>
      <c r="B167" s="213"/>
      <c r="C167" s="213"/>
      <c r="D167" s="213"/>
      <c r="E167" s="213"/>
      <c r="F167" s="213"/>
    </row>
    <row r="168" spans="1:6" ht="15" x14ac:dyDescent="0.25">
      <c r="A168" s="213"/>
      <c r="B168" s="213"/>
      <c r="C168" s="213"/>
      <c r="D168" s="213"/>
      <c r="E168" s="213"/>
      <c r="F168" s="213"/>
    </row>
    <row r="169" spans="1:6" ht="15" x14ac:dyDescent="0.25">
      <c r="A169" s="213"/>
      <c r="B169" s="213"/>
      <c r="C169" s="213"/>
      <c r="D169" s="213"/>
      <c r="E169" s="213"/>
      <c r="F169" s="213"/>
    </row>
    <row r="170" spans="1:6" ht="15" x14ac:dyDescent="0.25">
      <c r="A170" s="213"/>
      <c r="B170" s="213"/>
      <c r="C170" s="213"/>
      <c r="D170" s="213"/>
      <c r="E170" s="213"/>
      <c r="F170" s="213"/>
    </row>
    <row r="171" spans="1:6" ht="15" x14ac:dyDescent="0.25">
      <c r="A171" s="213"/>
      <c r="B171" s="213"/>
      <c r="C171" s="213"/>
      <c r="D171" s="213"/>
      <c r="E171" s="213"/>
      <c r="F171" s="213"/>
    </row>
    <row r="172" spans="1:6" ht="15" x14ac:dyDescent="0.25">
      <c r="A172" s="213"/>
      <c r="B172" s="213"/>
      <c r="C172" s="213"/>
      <c r="D172" s="213"/>
      <c r="E172" s="213"/>
      <c r="F172" s="213"/>
    </row>
    <row r="173" spans="1:6" ht="15" x14ac:dyDescent="0.25">
      <c r="A173" s="213"/>
      <c r="B173" s="213"/>
      <c r="C173" s="213"/>
      <c r="D173" s="213"/>
      <c r="E173" s="213"/>
      <c r="F173" s="213"/>
    </row>
    <row r="174" spans="1:6" ht="15" x14ac:dyDescent="0.25">
      <c r="A174" s="213"/>
      <c r="B174" s="213"/>
      <c r="C174" s="213"/>
      <c r="D174" s="213"/>
      <c r="E174" s="213"/>
      <c r="F174" s="213"/>
    </row>
    <row r="175" spans="1:6" ht="15" x14ac:dyDescent="0.25">
      <c r="A175" s="213"/>
      <c r="B175" s="213"/>
      <c r="C175" s="213"/>
      <c r="D175" s="213"/>
      <c r="E175" s="213"/>
      <c r="F175" s="213"/>
    </row>
    <row r="176" spans="1:6" ht="15" x14ac:dyDescent="0.25">
      <c r="A176" s="213"/>
      <c r="B176" s="213"/>
      <c r="C176" s="213"/>
      <c r="D176" s="213"/>
      <c r="E176" s="213"/>
      <c r="F176" s="213"/>
    </row>
    <row r="177" spans="1:6" ht="15" x14ac:dyDescent="0.25">
      <c r="A177" s="213"/>
      <c r="B177" s="213"/>
      <c r="C177" s="213"/>
      <c r="D177" s="213"/>
      <c r="E177" s="213"/>
      <c r="F177" s="213"/>
    </row>
    <row r="178" spans="1:6" ht="15" x14ac:dyDescent="0.25">
      <c r="A178" s="213"/>
      <c r="B178" s="213"/>
      <c r="C178" s="213"/>
      <c r="D178" s="213"/>
      <c r="E178" s="213"/>
      <c r="F178" s="213"/>
    </row>
    <row r="179" spans="1:6" ht="15" x14ac:dyDescent="0.25">
      <c r="A179" s="213"/>
      <c r="B179" s="213"/>
      <c r="C179" s="213"/>
      <c r="D179" s="213"/>
      <c r="E179" s="213"/>
      <c r="F179" s="213"/>
    </row>
    <row r="180" spans="1:6" ht="15" x14ac:dyDescent="0.25">
      <c r="A180" s="213"/>
      <c r="B180" s="213"/>
      <c r="C180" s="213"/>
      <c r="D180" s="213"/>
      <c r="E180" s="213"/>
      <c r="F180" s="213"/>
    </row>
    <row r="181" spans="1:6" ht="15" x14ac:dyDescent="0.25">
      <c r="A181" s="213"/>
      <c r="B181" s="213"/>
      <c r="C181" s="213"/>
      <c r="D181" s="213"/>
      <c r="E181" s="213"/>
      <c r="F181" s="213"/>
    </row>
    <row r="182" spans="1:6" ht="15" x14ac:dyDescent="0.25">
      <c r="A182" s="213"/>
      <c r="B182" s="213"/>
      <c r="C182" s="213"/>
      <c r="D182" s="213"/>
      <c r="E182" s="213"/>
      <c r="F182" s="213"/>
    </row>
    <row r="183" spans="1:6" ht="15" x14ac:dyDescent="0.25">
      <c r="A183" s="213"/>
      <c r="B183" s="213"/>
      <c r="C183" s="213"/>
      <c r="D183" s="213"/>
      <c r="E183" s="213"/>
      <c r="F183" s="213"/>
    </row>
    <row r="184" spans="1:6" ht="15" x14ac:dyDescent="0.25">
      <c r="A184" s="213"/>
      <c r="B184" s="213"/>
      <c r="C184" s="213"/>
      <c r="D184" s="213"/>
      <c r="E184" s="213"/>
      <c r="F184" s="213"/>
    </row>
    <row r="185" spans="1:6" ht="15" x14ac:dyDescent="0.25">
      <c r="A185" s="213"/>
      <c r="B185" s="213"/>
      <c r="C185" s="213"/>
      <c r="D185" s="213"/>
      <c r="E185" s="213"/>
      <c r="F185" s="213"/>
    </row>
    <row r="186" spans="1:6" ht="15" x14ac:dyDescent="0.25">
      <c r="A186" s="213"/>
      <c r="B186" s="213"/>
      <c r="C186" s="213"/>
      <c r="D186" s="213"/>
      <c r="E186" s="213"/>
      <c r="F186" s="213"/>
    </row>
    <row r="187" spans="1:6" ht="15" x14ac:dyDescent="0.25">
      <c r="A187" s="213"/>
      <c r="B187" s="213"/>
      <c r="C187" s="213"/>
      <c r="D187" s="213"/>
      <c r="E187" s="213"/>
      <c r="F187" s="213"/>
    </row>
    <row r="188" spans="1:6" ht="15" x14ac:dyDescent="0.25">
      <c r="A188" s="213"/>
      <c r="B188" s="213"/>
      <c r="C188" s="213"/>
      <c r="D188" s="213"/>
      <c r="E188" s="213"/>
      <c r="F188" s="213"/>
    </row>
    <row r="189" spans="1:6" ht="15" x14ac:dyDescent="0.25">
      <c r="A189" s="213"/>
      <c r="B189" s="213"/>
      <c r="C189" s="213"/>
      <c r="D189" s="213"/>
      <c r="E189" s="213"/>
      <c r="F189" s="213"/>
    </row>
    <row r="190" spans="1:6" ht="15" x14ac:dyDescent="0.25">
      <c r="A190" s="213"/>
      <c r="B190" s="213"/>
      <c r="C190" s="213"/>
      <c r="D190" s="213"/>
      <c r="E190" s="213"/>
      <c r="F190" s="213"/>
    </row>
    <row r="191" spans="1:6" ht="15" x14ac:dyDescent="0.25">
      <c r="A191" s="213"/>
      <c r="B191" s="213"/>
      <c r="C191" s="213"/>
      <c r="D191" s="213"/>
      <c r="E191" s="213"/>
      <c r="F191" s="213"/>
    </row>
    <row r="192" spans="1:6" ht="15" x14ac:dyDescent="0.25">
      <c r="A192" s="213"/>
      <c r="B192" s="213"/>
      <c r="C192" s="213"/>
      <c r="D192" s="213"/>
      <c r="E192" s="213"/>
      <c r="F192" s="213"/>
    </row>
  </sheetData>
  <mergeCells count="2">
    <mergeCell ref="B1:E1"/>
    <mergeCell ref="G2:K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3:Y65"/>
  <sheetViews>
    <sheetView showGridLines="0" topLeftCell="A3" zoomScale="70" zoomScaleNormal="70" workbookViewId="0">
      <selection activeCell="A58" sqref="A58"/>
    </sheetView>
  </sheetViews>
  <sheetFormatPr baseColWidth="10" defaultColWidth="11.42578125" defaultRowHeight="12.75" x14ac:dyDescent="0.2"/>
  <sheetData>
    <row r="63" spans="1:25" ht="13.5" thickBot="1" x14ac:dyDescent="0.25"/>
    <row r="64" spans="1:25" ht="13.5" thickTop="1" x14ac:dyDescent="0.2">
      <c r="A64" s="682" t="s">
        <v>1183</v>
      </c>
      <c r="B64" s="683"/>
      <c r="C64" s="683"/>
      <c r="D64" s="683"/>
      <c r="E64" s="683"/>
      <c r="F64" s="683"/>
      <c r="G64" s="683"/>
      <c r="H64" s="683"/>
      <c r="I64" s="684"/>
      <c r="J64" s="688" t="s">
        <v>1184</v>
      </c>
      <c r="K64" s="689"/>
      <c r="L64" s="689"/>
      <c r="M64" s="689"/>
      <c r="N64" s="689"/>
      <c r="O64" s="689"/>
      <c r="P64" s="689"/>
      <c r="Q64" s="690"/>
      <c r="R64" s="688" t="s">
        <v>1185</v>
      </c>
      <c r="S64" s="694"/>
      <c r="T64" s="682" t="s">
        <v>1186</v>
      </c>
      <c r="U64" s="683"/>
      <c r="V64" s="683"/>
      <c r="W64" s="683"/>
      <c r="X64" s="696"/>
      <c r="Y64" s="677">
        <v>1</v>
      </c>
    </row>
    <row r="65" spans="1:25" ht="13.5" thickBot="1" x14ac:dyDescent="0.25">
      <c r="A65" s="685"/>
      <c r="B65" s="686"/>
      <c r="C65" s="686"/>
      <c r="D65" s="686"/>
      <c r="E65" s="686"/>
      <c r="F65" s="686"/>
      <c r="G65" s="686"/>
      <c r="H65" s="686"/>
      <c r="I65" s="687"/>
      <c r="J65" s="691"/>
      <c r="K65" s="692"/>
      <c r="L65" s="692"/>
      <c r="M65" s="692"/>
      <c r="N65" s="692"/>
      <c r="O65" s="692"/>
      <c r="P65" s="692"/>
      <c r="Q65" s="693"/>
      <c r="R65" s="691"/>
      <c r="S65" s="695"/>
      <c r="T65" s="685"/>
      <c r="U65" s="686"/>
      <c r="V65" s="686"/>
      <c r="W65" s="686"/>
      <c r="X65" s="697"/>
      <c r="Y65" s="678"/>
    </row>
  </sheetData>
  <mergeCells count="5">
    <mergeCell ref="A64:I65"/>
    <mergeCell ref="J64:Q65"/>
    <mergeCell ref="R64:S65"/>
    <mergeCell ref="T64:X65"/>
    <mergeCell ref="Y64:Y65"/>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50EC9DC28FEB84E8772A9ADEDC09552" ma:contentTypeVersion="14" ma:contentTypeDescription="Create a new document." ma:contentTypeScope="" ma:versionID="9adf6d63978f55f1afb20ba8e23806b6">
  <xsd:schema xmlns:xsd="http://www.w3.org/2001/XMLSchema" xmlns:xs="http://www.w3.org/2001/XMLSchema" xmlns:p="http://schemas.microsoft.com/office/2006/metadata/properties" xmlns:ns3="43b5c514-35a4-416e-aff7-df25cf72a503" xmlns:ns4="ab6efe54-1113-4d03-9a9b-53d2d06840d9" targetNamespace="http://schemas.microsoft.com/office/2006/metadata/properties" ma:root="true" ma:fieldsID="d5514b6ca1c366bc5c606047de09048a" ns3:_="" ns4:_="">
    <xsd:import namespace="43b5c514-35a4-416e-aff7-df25cf72a503"/>
    <xsd:import namespace="ab6efe54-1113-4d03-9a9b-53d2d06840d9"/>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ServiceAutoKeyPoints" minOccurs="0"/>
                <xsd:element ref="ns4:MediaServiceKeyPoints" minOccurs="0"/>
                <xsd:element ref="ns4:MediaLengthInSecond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3b5c514-35a4-416e-aff7-df25cf72a503"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6efe54-1113-4d03-9a9b-53d2d06840d9"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MediaServiceLocation" ma:index="21"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BAB121C-0D54-449E-A3C1-DCD06D27E3A5}">
  <ds:schemaRefs>
    <ds:schemaRef ds:uri="http://schemas.microsoft.com/sharepoint/v3/contenttype/forms"/>
  </ds:schemaRefs>
</ds:datastoreItem>
</file>

<file path=customXml/itemProps2.xml><?xml version="1.0" encoding="utf-8"?>
<ds:datastoreItem xmlns:ds="http://schemas.openxmlformats.org/officeDocument/2006/customXml" ds:itemID="{EF63305D-6236-4C56-A7F5-E7F5B2DCAA6C}">
  <ds:schemaRefs>
    <ds:schemaRef ds:uri="http://www.w3.org/XML/1998/namespace"/>
    <ds:schemaRef ds:uri="http://schemas.microsoft.com/office/2006/documentManagement/types"/>
    <ds:schemaRef ds:uri="http://purl.org/dc/elements/1.1/"/>
    <ds:schemaRef ds:uri="43b5c514-35a4-416e-aff7-df25cf72a503"/>
    <ds:schemaRef ds:uri="http://schemas.microsoft.com/office/infopath/2007/PartnerControls"/>
    <ds:schemaRef ds:uri="http://purl.org/dc/terms/"/>
    <ds:schemaRef ds:uri="http://schemas.microsoft.com/office/2006/metadata/properties"/>
    <ds:schemaRef ds:uri="http://schemas.openxmlformats.org/package/2006/metadata/core-properties"/>
    <ds:schemaRef ds:uri="ab6efe54-1113-4d03-9a9b-53d2d06840d9"/>
    <ds:schemaRef ds:uri="http://purl.org/dc/dcmitype/"/>
  </ds:schemaRefs>
</ds:datastoreItem>
</file>

<file path=customXml/itemProps3.xml><?xml version="1.0" encoding="utf-8"?>
<ds:datastoreItem xmlns:ds="http://schemas.openxmlformats.org/officeDocument/2006/customXml" ds:itemID="{121E2650-6E4D-4934-9173-A426324204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3b5c514-35a4-416e-aff7-df25cf72a503"/>
    <ds:schemaRef ds:uri="ab6efe54-1113-4d03-9a9b-53d2d06840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2</vt:i4>
      </vt:variant>
    </vt:vector>
  </HeadingPairs>
  <TitlesOfParts>
    <vt:vector size="8" baseType="lpstr">
      <vt:lpstr>Plan de Acción 2021</vt:lpstr>
      <vt:lpstr>LO INSTITUCIONAL</vt:lpstr>
      <vt:lpstr>LO SOCIAL</vt:lpstr>
      <vt:lpstr>LO AMBIENTAL</vt:lpstr>
      <vt:lpstr>ACANCES 2022</vt:lpstr>
      <vt:lpstr>AVANCE GENERAL 2022</vt:lpstr>
      <vt:lpstr>ETAPA</vt:lpstr>
      <vt:lpstr>ETAPAS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FERNANDO PINZON GALVIS</dc:creator>
  <cp:keywords/>
  <dc:description/>
  <cp:lastModifiedBy>ANDRES</cp:lastModifiedBy>
  <cp:revision/>
  <dcterms:created xsi:type="dcterms:W3CDTF">2019-12-26T17:32:37Z</dcterms:created>
  <dcterms:modified xsi:type="dcterms:W3CDTF">2022-03-30T18:58:50Z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0x010100850EC9DC28FEB84E8772A9ADEDC09552</vt:lpwstr>
  </property>
</Properties>
</file>