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hidePivotFieldList="1" defaultThemeVersion="124226"/>
  <mc:AlternateContent xmlns:mc="http://schemas.openxmlformats.org/markup-compatibility/2006">
    <mc:Choice Requires="x15">
      <x15ac:absPath xmlns:x15ac="http://schemas.microsoft.com/office/spreadsheetml/2010/11/ac" url="https://itceduco-my.sharepoint.com/personal/estadistica_itc_edu_co/Documents/D.F.P.G/5. 2023/"/>
    </mc:Choice>
  </mc:AlternateContent>
  <xr:revisionPtr revIDLastSave="4" documentId="8_{66A80E7D-345A-48D4-BA78-9B7E80B1C26D}" xr6:coauthVersionLast="47" xr6:coauthVersionMax="47" xr10:uidLastSave="{9D5699BD-3607-4325-A8E4-31308153475A}"/>
  <bookViews>
    <workbookView xWindow="-108" yWindow="-108" windowWidth="23256" windowHeight="12456" tabRatio="882" firstSheet="1" activeTab="1" xr2:uid="{00000000-000D-0000-FFFF-FFFF00000000}"/>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Impacto C." sheetId="22" r:id="rId7"/>
    <sheet name="Tabla Impacto" sheetId="13" r:id="rId8"/>
    <sheet name="Tabla Valoración controles" sheetId="15" r:id="rId9"/>
    <sheet name="Opciones Tratamiento" sheetId="16" state="hidden" r:id="rId10"/>
    <sheet name="Hoja1" sheetId="11" state="hidden" r:id="rId11"/>
  </sheets>
  <externalReferences>
    <externalReference r:id="rId12"/>
    <externalReference r:id="rId13"/>
    <externalReference r:id="rId14"/>
    <externalReference r:id="rId15"/>
    <externalReference r:id="rId16"/>
    <externalReference r:id="rId17"/>
  </externalReferences>
  <definedNames>
    <definedName name="_xlnm._FilterDatabase" localSheetId="6" hidden="1">'Impacto C.'!$A$8:$X$28</definedName>
    <definedName name="Afectación_Económica">#REF!</definedName>
    <definedName name="CONTEXTO">'[1]CONTEXTO E IDENTIFICACIÓN'!$C$6</definedName>
    <definedName name="Corrupción">#REF!</definedName>
    <definedName name="Definicion_tratamiento">'[2]13 Formulas'!#REF!</definedName>
    <definedName name="E_Relaciones_Laborales">'[2]13 Formulas'!#REF!</definedName>
    <definedName name="Externo">#REF!</definedName>
    <definedName name="F_Usuarios_Productos_y_Prácticas_Organizacionales">'[2]13 Formulas'!#REF!</definedName>
    <definedName name="G_Daños_Activos_Físicos">'[2]13 Formulas'!#REF!</definedName>
    <definedName name="IMPACTO_PROCESOS">'[3]LISTAS FORMULAS'!$C$3:$C$7</definedName>
    <definedName name="Interno">#REF!</definedName>
    <definedName name="opciones">'[3]LISTAS FORMULAS'!$F$3:$F$4</definedName>
    <definedName name="opciones2">'[3]LISTAS FORMULAS'!$G$3:$G$5</definedName>
    <definedName name="Plan_accion">'[2]13 Formulas'!#REF!</definedName>
    <definedName name="Plan_acción">'[2]13 Formulas'!#REF!</definedName>
    <definedName name="Plan_de_acción">'[2]13 Formulas'!#REF!</definedName>
    <definedName name="Proceso">#REF!</definedName>
    <definedName name="Quince_Cero">'[3]LISTAS FORMULAS'!$F$14:$F$15</definedName>
    <definedName name="Quince_diez_cero">'[3]LISTAS FORMULAS'!$I$14:$I$16</definedName>
    <definedName name="Rango_Calificacion_Ejecucion">'[3]LISTAS FORMULAS'!$H$3:$H$5</definedName>
    <definedName name="Reducir_mitigar_Transferir_Evitar">'[2]9 Mapa Riesgo, Plan Acción'!#REF!</definedName>
    <definedName name="Reputacional">#REF!</definedName>
    <definedName name="Requiere_Plan_de_Acción">'[2]9 Mapa Riesgo, Plan Acción'!#REF!</definedName>
    <definedName name="TIPO" localSheetId="6">#REF!</definedName>
    <definedName name="Tipo">'[2]13 Formulas'!#REF!</definedName>
    <definedName name="_xlnm.Print_Titles" localSheetId="6">'Impacto C.'!$1:$8</definedName>
  </definedNames>
  <calcPr calcId="191028"/>
  <pivotCaches>
    <pivotCache cacheId="0"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4" i="1" l="1"/>
  <c r="AA26" i="1"/>
  <c r="X26" i="1"/>
  <c r="AA25" i="1"/>
  <c r="X25" i="1"/>
  <c r="Q25" i="1"/>
  <c r="N25" i="1"/>
  <c r="T25" i="1" l="1"/>
  <c r="AE25" i="1"/>
  <c r="AI25" i="1"/>
  <c r="AH25" i="1" s="1"/>
  <c r="O25" i="1"/>
  <c r="AF25" i="1" l="1"/>
  <c r="AJ25" i="1" s="1"/>
  <c r="AG25" i="1"/>
  <c r="AE26" i="1" s="1"/>
  <c r="AI26" i="1"/>
  <c r="AH26" i="1" s="1"/>
  <c r="AF26" i="1" l="1"/>
  <c r="AJ26" i="1" s="1"/>
  <c r="AG26" i="1"/>
  <c r="D28" i="22" l="1"/>
  <c r="B28" i="22"/>
  <c r="A28" i="22"/>
  <c r="D27" i="22"/>
  <c r="B27" i="22"/>
  <c r="A27" i="22"/>
  <c r="D26" i="22"/>
  <c r="B26" i="22"/>
  <c r="A26" i="22"/>
  <c r="D25" i="22"/>
  <c r="B25" i="22"/>
  <c r="A25" i="22"/>
  <c r="D24" i="22"/>
  <c r="B24" i="22"/>
  <c r="A24" i="22"/>
  <c r="D23" i="22"/>
  <c r="B23" i="22"/>
  <c r="A23" i="22"/>
  <c r="D22" i="22"/>
  <c r="B22" i="22"/>
  <c r="A22" i="22"/>
  <c r="D21" i="22"/>
  <c r="B21" i="22"/>
  <c r="A21" i="22"/>
  <c r="D20" i="22"/>
  <c r="B20" i="22"/>
  <c r="A20" i="22"/>
  <c r="D19" i="22"/>
  <c r="B19" i="22"/>
  <c r="A19" i="22"/>
  <c r="D18" i="22"/>
  <c r="B18" i="22"/>
  <c r="A18" i="22"/>
  <c r="D17" i="22"/>
  <c r="B17" i="22"/>
  <c r="A17" i="22"/>
  <c r="D16" i="22"/>
  <c r="B16" i="22"/>
  <c r="A16" i="22"/>
  <c r="D15" i="22"/>
  <c r="B15" i="22"/>
  <c r="A15" i="22"/>
  <c r="D14" i="22"/>
  <c r="B14" i="22"/>
  <c r="A14" i="22"/>
  <c r="D13" i="22"/>
  <c r="B13" i="22"/>
  <c r="A13" i="22"/>
  <c r="D12" i="22"/>
  <c r="B12" i="22"/>
  <c r="A12" i="22"/>
  <c r="D11" i="22"/>
  <c r="B11" i="22"/>
  <c r="A11" i="22"/>
  <c r="D10" i="22"/>
  <c r="B10" i="22"/>
  <c r="A10" i="22"/>
  <c r="D9" i="22"/>
  <c r="B9" i="22"/>
  <c r="A9" i="22"/>
  <c r="B4" i="22"/>
  <c r="D2" i="22"/>
  <c r="C2" i="22"/>
  <c r="D1" i="22"/>
  <c r="C1" i="22"/>
  <c r="B1" i="22"/>
  <c r="C18" i="22" a="1"/>
  <c r="C14" i="22" a="1"/>
  <c r="C27" i="22" a="1"/>
  <c r="C24" i="22" a="1"/>
  <c r="C25" i="22" a="1"/>
  <c r="C9" i="22" a="1"/>
  <c r="C10" i="22" a="1"/>
  <c r="C20" i="22" a="1"/>
  <c r="C19" i="22" a="1"/>
  <c r="C17" i="22" a="1"/>
  <c r="C11" i="22" a="1"/>
  <c r="C13" i="22" a="1"/>
  <c r="C26" i="22" a="1"/>
  <c r="C23" i="22" a="1"/>
  <c r="C21" i="22" a="1"/>
  <c r="C16" i="22" a="1"/>
  <c r="C22" i="22" a="1"/>
  <c r="C15" i="22" a="1"/>
  <c r="C28" i="22" a="1"/>
  <c r="C12" i="22" a="1"/>
  <c r="C9" i="22" l="1"/>
  <c r="C13" i="22"/>
  <c r="C17" i="22"/>
  <c r="C21" i="22"/>
  <c r="C25" i="22"/>
  <c r="C12" i="22"/>
  <c r="C16" i="22"/>
  <c r="C20" i="22"/>
  <c r="C24" i="22"/>
  <c r="C28" i="22"/>
  <c r="C19" i="22"/>
  <c r="C23" i="22"/>
  <c r="C27" i="22"/>
  <c r="C11" i="22"/>
  <c r="C15" i="22"/>
  <c r="C10" i="22"/>
  <c r="C14" i="22"/>
  <c r="C18" i="22"/>
  <c r="C22" i="22"/>
  <c r="C26" i="22"/>
  <c r="AI14" i="1"/>
  <c r="AH14" i="1" s="1"/>
  <c r="AI13" i="1"/>
  <c r="AA23" i="1"/>
  <c r="AH15" i="1"/>
  <c r="AH16" i="1"/>
  <c r="AH17" i="1"/>
  <c r="AH18" i="1"/>
  <c r="AH19" i="1"/>
  <c r="AH20" i="1"/>
  <c r="AH21" i="1"/>
  <c r="AH22" i="1"/>
  <c r="AE21" i="1"/>
  <c r="AF21" i="1" s="1"/>
  <c r="AE22" i="1"/>
  <c r="AF22" i="1" s="1"/>
  <c r="AE24" i="1"/>
  <c r="AF24" i="1" s="1"/>
  <c r="AE1048576" i="1"/>
  <c r="AE20" i="1"/>
  <c r="AF20" i="1" s="1"/>
  <c r="AE19" i="1"/>
  <c r="AF19" i="1" s="1"/>
  <c r="AF18" i="1"/>
  <c r="AE17" i="1"/>
  <c r="AF17" i="1" s="1"/>
  <c r="AE16" i="1"/>
  <c r="AF16" i="1" s="1"/>
  <c r="AE15" i="1"/>
  <c r="AF15" i="1" s="1"/>
  <c r="AJ15" i="1" s="1"/>
  <c r="X23" i="1"/>
  <c r="AJ16" i="1" l="1"/>
  <c r="AJ20" i="1"/>
  <c r="AJ19" i="1"/>
  <c r="AJ18" i="1"/>
  <c r="AJ22" i="1"/>
  <c r="AJ21" i="1"/>
  <c r="AJ17" i="1"/>
  <c r="AI23" i="1"/>
  <c r="AH23" i="1" s="1"/>
  <c r="N14" i="1"/>
  <c r="O14" i="1" s="1"/>
  <c r="AE14" i="1" s="1"/>
  <c r="N15" i="1"/>
  <c r="N17" i="1"/>
  <c r="N19" i="1"/>
  <c r="N20" i="1"/>
  <c r="N21" i="1"/>
  <c r="N22" i="1"/>
  <c r="N23" i="1"/>
  <c r="O23" i="1" s="1"/>
  <c r="AE23" i="1" s="1"/>
  <c r="AF23" i="1" s="1"/>
  <c r="AJ23" i="1" s="1"/>
  <c r="N24" i="1"/>
  <c r="Q24" i="1"/>
  <c r="AF14" i="1" l="1"/>
  <c r="AJ14" i="1" s="1"/>
  <c r="AG14" i="1"/>
  <c r="T24" i="1"/>
  <c r="AH24" i="1"/>
  <c r="AJ24" i="1" s="1"/>
  <c r="N29" i="1"/>
  <c r="AA13" i="1" l="1"/>
  <c r="F221" i="13" l="1"/>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N13" i="1" l="1"/>
  <c r="O13" i="1" s="1"/>
  <c r="AE13" i="1" l="1"/>
  <c r="AG13" i="1" s="1"/>
  <c r="AF13" i="1" l="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H13" i="1" l="1"/>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J13" i="1"/>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Q22" i="1" l="1"/>
  <c r="R22" i="1" s="1"/>
  <c r="T22" i="1" s="1"/>
  <c r="Q13" i="1"/>
  <c r="R13" i="1" s="1"/>
  <c r="Q19" i="1"/>
  <c r="R19" i="1" s="1"/>
  <c r="T19" i="1" s="1"/>
  <c r="Q21" i="1"/>
  <c r="R21" i="1" s="1"/>
  <c r="T21" i="1" s="1"/>
  <c r="Q14" i="1"/>
  <c r="R14" i="1" s="1"/>
  <c r="T14" i="1" s="1"/>
  <c r="Q23" i="1"/>
  <c r="R23" i="1" s="1"/>
  <c r="T23" i="1" s="1"/>
  <c r="Q20" i="1"/>
  <c r="R20" i="1" s="1"/>
  <c r="T20" i="1" s="1"/>
  <c r="AD30" i="18" l="1"/>
  <c r="X6" i="18"/>
  <c r="AJ38" i="18"/>
  <c r="AJ30" i="18"/>
  <c r="AJ22" i="18"/>
  <c r="R22" i="18"/>
  <c r="AD38" i="18"/>
  <c r="AD6" i="18"/>
  <c r="X38" i="18"/>
  <c r="AJ6" i="18"/>
  <c r="L6" i="18"/>
  <c r="L38" i="18"/>
  <c r="R30" i="18"/>
  <c r="AD14" i="18"/>
  <c r="X22" i="18"/>
  <c r="L14" i="18"/>
  <c r="AD22" i="18"/>
  <c r="L30" i="18"/>
  <c r="L22" i="18"/>
  <c r="R38" i="18"/>
  <c r="R6" i="18"/>
  <c r="AJ14" i="18"/>
  <c r="X14" i="18"/>
  <c r="X30" i="18"/>
  <c r="T13" i="1"/>
  <c r="R14"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<sst xmlns="http://schemas.openxmlformats.org/spreadsheetml/2006/main" count="866" uniqueCount="396">
  <si>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</si>
  <si>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</si>
  <si>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</si>
  <si>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</si>
  <si>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</si>
  <si>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</si>
  <si>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</si>
  <si>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</si>
  <si>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</si>
  <si>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</si>
  <si>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</si>
  <si>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</si>
  <si>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</si>
  <si>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</si>
  <si>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</si>
  <si>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</si>
  <si>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</si>
  <si>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</si>
  <si>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</si>
  <si>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</si>
  <si>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</si>
  <si>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</si>
  <si>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</si>
  <si>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</si>
  <si>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</si>
  <si>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</si>
  <si>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</si>
  <si>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</si>
  <si>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</si>
  <si>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</si>
  <si>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</si>
  <si>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</si>
  <si>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</si>
  <si>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</si>
  <si>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</si>
  <si>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</si>
  <si>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</si>
  <si>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</si>
  <si>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</si>
  <si>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</si>
  <si>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</si>
  <si>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</si>
  <si>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</si>
  <si>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</si>
  <si>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</si>
  <si>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</si>
  <si>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</si>
  <si>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</si>
  <si>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</si>
  <si>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</si>
  <si>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</si>
  <si>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</si>
  <si>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</si>
  <si>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</si>
  <si>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</si>
  <si>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</si>
  <si>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</si>
  <si>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</si>
  <si>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</si>
  <si>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</si>
  <si>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MAPA Y PLAN DE TRATAMIENTO DE RIESGOS DE CORRUPCIÓN </t>
  </si>
  <si>
    <t>CÓDIGO:   GDC-FO-09</t>
  </si>
  <si>
    <t>VERSIÓN:  7</t>
  </si>
  <si>
    <t>PÁGINA:    1 de 1</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</si>
  <si>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</si>
  <si>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</si>
  <si>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</si>
  <si>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</si>
  <si>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</si>
  <si>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</si>
  <si>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</si>
  <si>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</si>
  <si>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</si>
  <si>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</si>
  <si>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</si>
  <si>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</si>
  <si>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</si>
  <si>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</si>
  <si>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</si>
  <si>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</si>
  <si>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</si>
  <si>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</si>
  <si>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</si>
  <si>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</si>
  <si>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</si>
  <si>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</si>
  <si>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</si>
  <si>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</si>
  <si>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</si>
  <si>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</si>
  <si>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</si>
  <si>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</si>
  <si>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</si>
  <si>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</si>
  <si>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</si>
  <si>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</si>
  <si>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</si>
  <si>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</si>
  <si>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</si>
  <si>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</si>
  <si>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</si>
  <si>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EXTENSIÓN Y PROYECCIÓN SOCIAL</t>
  </si>
  <si>
    <t>Contribuir con la Extensión y Proyección Social de la ETITC a través de programas de capacitación y asesorías y la interrelación con el sector productivo y egresados</t>
  </si>
  <si>
    <t>Corrupción</t>
  </si>
  <si>
    <t>Talento humano</t>
  </si>
  <si>
    <t>Reputacional</t>
  </si>
  <si>
    <t>Emitir certificado a personas que no cumplan con los requisitos (permanencia, calificaciones)</t>
  </si>
  <si>
    <t>Equivocación involuntaria, digitación errada o corrupción.</t>
  </si>
  <si>
    <t>Posibilidad de afectación reputacional por otorgar certificados sin el debido cumplimiento de los requisitos previos para este fin.</t>
  </si>
  <si>
    <t>Usuarios, productos y practicas , organizacionales</t>
  </si>
  <si>
    <t>Servicios</t>
  </si>
  <si>
    <t>Integridad</t>
  </si>
  <si>
    <t xml:space="preserve">     El riesgo afecta la imagen de la entidad con algunos usuarios de relevancia frente al logro de los objetivos</t>
  </si>
  <si>
    <t xml:space="preserve">Verificar cumplimiento de requisitos desde los documentos soporte (formato de notas y notas definitivas academusoft) para la  expedición de diplomas y certificados.
</t>
  </si>
  <si>
    <t>Formato de notas docentes, notas definitivas en academusoft.</t>
  </si>
  <si>
    <t>Probabilidad</t>
  </si>
  <si>
    <t>Detectivo</t>
  </si>
  <si>
    <t>Manual</t>
  </si>
  <si>
    <t>Documentado</t>
  </si>
  <si>
    <t>Continua</t>
  </si>
  <si>
    <t>Con Registro</t>
  </si>
  <si>
    <t>Evitar</t>
  </si>
  <si>
    <t>GESTIÓN DE CONTROL DISCIPLINARIO</t>
  </si>
  <si>
    <t>Llevar a cabo de manera adecuada las actuaciones disciplinarias al interior de la entidad, con la finalidad de promover los principios de la función pública en los servidores de la ETITC previsto en la ley 134 de 2002 y sus modificaciones.</t>
  </si>
  <si>
    <t>Puede generar Impunidad,
Sanciones disciplinarias por acción u omisión,
Deterioro imagen institucional,                           
Evaluación Inadecuada en el trámite de la Queja</t>
  </si>
  <si>
    <t>Falta de verificación por parte del Secretario General en las actuaciones procesales que se adelantan en los procesos disciplinarios por el Profesional de Asuntos Disciplinarios</t>
  </si>
  <si>
    <t xml:space="preserve">Posibilidad de afectación reputacional por recibir o solicitar dádivas a nombre propio o de un tercero para omitir o prorrogar acciones disciplinarias 
</t>
  </si>
  <si>
    <t>Fraude Interno</t>
  </si>
  <si>
    <t>NA</t>
  </si>
  <si>
    <t xml:space="preserve">     El riesgo afecta la imagen de de la entidad con efecto publicitario sostenido a nivel de sector administrativo, nivel departamental o municipal</t>
  </si>
  <si>
    <t xml:space="preserve">Cada actuación administrativa adelantada por el profesional de Asuntos Disciplinarios  debe pasar a socialización con el  Secretario General </t>
  </si>
  <si>
    <t xml:space="preserve">Visto bueno y revisión de todas las actuaciones administrativas y procedimientales emitido, por parte del Secretario General </t>
  </si>
  <si>
    <t>Preventivo</t>
  </si>
  <si>
    <t>Profesional Asuntos Disciplinarios</t>
  </si>
  <si>
    <t>GESTIÓN DE TALENTO HUMANO</t>
  </si>
  <si>
    <t>Generar políticas e Implementar planes y programas de la Gestión del Talento Humano bajo el principio de Justicia, equidad y trasparencia, al realizar, selección, vinculación, inducción, capacitación y formación, evaluación de Desempeño, Bienestar Laboral e incentivos y retiro, Desarrollando y generando conciencia en la seguridad y salud en el trabajo y el desempeño ambiental en los servidores públicos de la ETITC, bajo el marco de la normatividad legal vigente que conlleve al cumplimiento de los objetivos estratégicos de la institución</t>
  </si>
  <si>
    <t xml:space="preserve">
Vinculacion de los servidores publico sin cumplir requisitos</t>
  </si>
  <si>
    <t xml:space="preserve">
Incumplimiento del proceso de selección y vinculación
Incumplimiento de  manual de funciones y  competencias, de los procedimientos de selección y normatividad vigente</t>
  </si>
  <si>
    <t xml:space="preserve">
Posibilidad de afectación económica y reputacional por seleccionar un determinado candidato obviando el perfil y  algunos requisitos para la vinculación, imposición de candidatos por parte de persona con poder.</t>
  </si>
  <si>
    <t>Ejecucion y Administracion de procesos</t>
  </si>
  <si>
    <t xml:space="preserve">     El riesgo afecta la imagen de la entidad a nivel nacional, con efecto publicitarios sostenible a nivel país</t>
  </si>
  <si>
    <t>Moderado</t>
  </si>
  <si>
    <t>Alto</t>
  </si>
  <si>
    <t xml:space="preserve">Cumplimiento del Procedimiento de selección y vinculación
 </t>
  </si>
  <si>
    <t xml:space="preserve">Verificacion  del Procedimiento a traves de los formatos soportes </t>
  </si>
  <si>
    <t>40%</t>
  </si>
  <si>
    <t>Sin Documentar</t>
  </si>
  <si>
    <t>Aleatoria</t>
  </si>
  <si>
    <t>Sin Registro</t>
  </si>
  <si>
    <t>Comunicado a Vice Académica con el fin que se reporte el personal a contratar antes de iniciar labores.</t>
  </si>
  <si>
    <t xml:space="preserve">Correo   donde se solicita  a la vicererctoria acaemica  el envio  de la carga cademica de los docentes. </t>
  </si>
  <si>
    <t>30%</t>
  </si>
  <si>
    <t>GESTIÓN DOCUMENTAL</t>
  </si>
  <si>
    <t>Desarrollar las actividades administrativas y técnicas con conocimiento con la planificación de los procesos archivísticos en relación con la organización administración, valoración y preservación de los documentos de archivo producidos y/o recibidos por la entidad en cumplimiento de sus funciones, con el fin de garantizar el acceso oportuno de la información así como brindar el servicio de la atención e información al ciudadano, a través del sistema de PQRSD, respondiendo de esta manera al cumplimiento de los fines institucionales</t>
  </si>
  <si>
    <t>Afectación en la gestión institucional.
Investigaciones disciplinarias.
Pérdida o cambio de información institucional</t>
  </si>
  <si>
    <t>Omitir el procedimiento definido para el préstamo o consulta de los documentos.
Posibilidad de acceso a los archivos de personal no autorizado</t>
  </si>
  <si>
    <t>Posibilidad de afectación económica y reputacional por recibir o solicitar cualquier dádiva o beneficio a nombre propio o de terceros al manipular/ incluir / extraer documentos a cualquier expediente en custodia del archivo central.</t>
  </si>
  <si>
    <t>Documental</t>
  </si>
  <si>
    <t>Afectación Económica o presupuestal</t>
  </si>
  <si>
    <t>Cumplir el procedimiento para el préstamo o la consulta de documentos, diligenciando los respectivos formatos</t>
  </si>
  <si>
    <t>Se debe diligenciar el formato  de control de consultas y prestamos, con el fin de tener un reporte de las personas que lo solicitan.</t>
  </si>
  <si>
    <t xml:space="preserve">Profesional de Gestión Documental y Atención al Ciudadano
</t>
  </si>
  <si>
    <t>Cada vez que se consulte o preste un documento</t>
  </si>
  <si>
    <t>Restricción de entrada sólo de personal autorizado.
Si por necesidad o por solicitud debe ingresar algún externo del proceso al archivo, este debe dilgenciar la planilla de control de visita.</t>
  </si>
  <si>
    <t>Realizar el control de ingreso de las visitas al archivo central, mediante las planillas estipuladas.</t>
  </si>
  <si>
    <t>Cuando ingresa personal externo del proceso al archivo central</t>
  </si>
  <si>
    <t>Denuncias penales.
Incumplimiento de la ley 1712 de 2014.
Perdida de información relevante para la entidad.
Investigaciones disciplinarias.</t>
  </si>
  <si>
    <t>Uso indebido de la información a personal no autorizado</t>
  </si>
  <si>
    <t>Posibilidad de afectación económica y reputacional por utilizar información en beneficio propio o de un tercero</t>
  </si>
  <si>
    <t xml:space="preserve">Sensibilización al equipo de trabajo de responsabilidades y cumplimiento de política de seguridad de la información </t>
  </si>
  <si>
    <t>Cumplir con el acuerdo de cofiabilidad establecido por la entidad.</t>
  </si>
  <si>
    <t xml:space="preserve">Profesional de Gestión Documental y Atención al Ciudadano </t>
  </si>
  <si>
    <t>Cada que vez que ingrese una persona nueva al proceso</t>
  </si>
  <si>
    <t>INVESTIGACIÓN</t>
  </si>
  <si>
    <t>Apoyar la investigación en la ETITC, mediante el fomento a las Actividades de Ciencia Tecnología e innovación ACTI, la generación del conocimiento y la gestión de la transferencia del conocimiento, para insertarse en el Sistema Nacional de Ciencia, Tecnología e Innovación.</t>
  </si>
  <si>
    <t>Registro inapropiado  de productos de investigación en  Minciencias</t>
  </si>
  <si>
    <t xml:space="preserve">No seguir el procedimiento en términos de existencia y calidad de productos establecidos por MinCiencias </t>
  </si>
  <si>
    <t xml:space="preserve">Posibilidad de afectación reputacional debido a registrar en GrupLac y Cvlac información indebidamente soportada para favorecimiento de terceros </t>
  </si>
  <si>
    <t>Software</t>
  </si>
  <si>
    <t>Verificar los soportes de productos registrados en el GrupLac de MinCiencias, de acuerdo al procedimiento</t>
  </si>
  <si>
    <t xml:space="preserve">Informe de verificación de existencia y calidad de  productos </t>
  </si>
  <si>
    <t>Plan de acompañamiento a grupos de investigación</t>
  </si>
  <si>
    <t>Contratista Apoyo a la investigación</t>
  </si>
  <si>
    <t>DIRECCIONAMIENTO INSTITUCIONAL</t>
  </si>
  <si>
    <t>Definir planes, programas y proyectos que garanticen el cumplimiento de la misión, visión, políticas y objetivos de la Escuela Tecnológica Instituto Técnico Central enmarcados en la normatividad vigente y en la planeación estratégica con miras de fortalecer el crecimiento de la institución a nivel nacional e internacional; favoreciendo la calidad y la formación integral e intercultural de nuestros educandos.</t>
  </si>
  <si>
    <t>Crear necesidades que no concuerdan con la realidad institucional.</t>
  </si>
  <si>
    <t>Discrecionalidad de la alta dirección para formular proyectos</t>
  </si>
  <si>
    <t>Posibilidad de afectación económica y reputacion por recibir o solicitar cualquier dádiva o beneficio a nombre propio o de terceros al formular proyectos direccionados que no respondan a ninguna necesidad.</t>
  </si>
  <si>
    <t xml:space="preserve">     Mayor a 500 SMLMV </t>
  </si>
  <si>
    <t>Formular actividades de los proyectos de inversión registrados en el banco nacional de programas y proyectos de la Nación que correspondan a necesidades misionales o de apoyo para la operación de la ETITC.</t>
  </si>
  <si>
    <t>Actividades de proyectos de la ETITC en plataforma SUIFP con presupuesto vigente.</t>
  </si>
  <si>
    <t>Jefe Oficina Asesora de Planeación
Contratista de apoyo a la OAP</t>
  </si>
  <si>
    <t>Durante la vigencia</t>
  </si>
  <si>
    <t>Error humano involuntario al asignar recursos a las áreas.
No recibir plan de necesidades de las áreas</t>
  </si>
  <si>
    <t>Discreción de la alta dirección de distribuir los recursos para cada proyecto y/o dependencia.</t>
  </si>
  <si>
    <t>Posibilidad de recibir dádivas o beneficios a nombre propio o de terceros por la asignación y distribución de los recursos  financieros.</t>
  </si>
  <si>
    <t>Asignar el presupuesto asignado para cada dependencia según el Plan de Acción de cada una y el Plan de Necesidades Institucional.
Cada proyecto debe tener el presupuesto para su ejecución y este será el recurso asignado.</t>
  </si>
  <si>
    <t>Plan de necesidades consolidado
Plan de acción</t>
  </si>
  <si>
    <t>Diciembre - Enero</t>
  </si>
  <si>
    <t>GESTIÓN DE ADQUISICIONES</t>
  </si>
  <si>
    <t xml:space="preserve">Apoyar la  adquisición de bienes y servicios requeridos por la Escuela Tecnológica Instituto Técnico Central. </t>
  </si>
  <si>
    <t>Procesos</t>
  </si>
  <si>
    <t xml:space="preserve">Inadecuada adjudicacion del proceso de selección del contrato </t>
  </si>
  <si>
    <t>Evaluación subjetiva en la verificación de los requisitos contractuales. Inadecuada aplicación de la normatividad vigente, manual de contratación y procedimientos asociados.</t>
  </si>
  <si>
    <t>Posibilidad de afectación económica y reputacion por indebida celebración de contratos.</t>
  </si>
  <si>
    <t>verificar el cumplimiento de los proponentes en cada proceso de acuerdo a la lista de chequeo dispuesta para cada modalidad contractual. Verificar el marco normativo aplicable para realizar la contratación. Teniendo en cuenta que, en la ETITC existen 3 vicerrectorías, de las cuales se desprenden todas las áreas; cada estudio previo debe ir aprobado por el vicerector respectivo para garantizar más transparencia al proceso.</t>
  </si>
  <si>
    <t>Evaluaciones efectuadas en cada proceso respecto de los componentes jurídico, técnico y financiero. El profesional especializado del área de jurídica contratación realiza la verificación de la normatividad vigente aplicable al proceso contractual. En caso que, durante la elaboración de unestudio previo no se contemple toda la normatividad legal vigente aplicable, se solicita ajustar la identificación del contrato a celebrar incluyendo la información faltante, a través de correo electrónico.</t>
  </si>
  <si>
    <t>Automático</t>
  </si>
  <si>
    <t>DOCENCIA BACHILLERATO</t>
  </si>
  <si>
    <t>Ofrecer una educación integral con calidad y excelencia, a través de la implementación de estrategias y metodologías de aprendizaje técnico-académicas, que promuevan la construcción de conocimiento y talento humano.</t>
  </si>
  <si>
    <t>Omisión en los requisitos de los estudiantes aspirantes</t>
  </si>
  <si>
    <t xml:space="preserve">El responsable no acoge en la revisión de requisitos la normatividad vigente y lineamientos institucionales </t>
  </si>
  <si>
    <t xml:space="preserve">Probabilidad de afectación económica y reputacional por omisión en los requisitos de los estudiantes aspirantes, por parte del  talento humano que no acoge en su revisión la normatividad vigente y lineamientos institucionales </t>
  </si>
  <si>
    <t>Revisar el cumplimiento de los pre requisitos de los aspirantes por parte de los funcionarios o personas que asigne el Director del IBTI.</t>
  </si>
  <si>
    <t>Listado de verificación de los documentos de los estudiantes.</t>
  </si>
  <si>
    <t>Verificar  los documentos de los aspirantes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</si>
  <si>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</si>
  <si>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rFont val="Arial Narrow"/>
        <family val="2"/>
      </rPr>
      <t>LIDER DEL PROCESO:</t>
    </r>
    <r>
      <rPr>
        <sz val="14"/>
        <rFont val="Arial Narrow"/>
        <family val="2"/>
      </rPr>
      <t xml:space="preserve"> </t>
    </r>
  </si>
  <si>
    <t>CLASIF. DE CONFIDENCIALIDAD</t>
  </si>
  <si>
    <t>IPB</t>
  </si>
  <si>
    <t>CLASIF. DE INTEGRIDAD</t>
  </si>
  <si>
    <t>A</t>
  </si>
  <si>
    <t>CLASIF. DE DISPONIBILIDAD</t>
  </si>
  <si>
    <t xml:space="preserve">Tipo </t>
  </si>
  <si>
    <t>Activo de información</t>
  </si>
  <si>
    <t>Criterio</t>
  </si>
  <si>
    <t>Ambiental</t>
  </si>
  <si>
    <t>Evento externo</t>
  </si>
  <si>
    <t>Hardware</t>
  </si>
  <si>
    <t>Confidencialidad</t>
  </si>
  <si>
    <t>Financiero</t>
  </si>
  <si>
    <t>Disponibilidad</t>
  </si>
  <si>
    <t>Estratégico</t>
  </si>
  <si>
    <t>Infraestructura</t>
  </si>
  <si>
    <t>Gestión</t>
  </si>
  <si>
    <t>Seguridad digital</t>
  </si>
  <si>
    <t>Tecnología</t>
  </si>
  <si>
    <t>SST</t>
  </si>
  <si>
    <t>Tecnológico</t>
  </si>
  <si>
    <t>Matriz de Calor Inherente</t>
  </si>
  <si>
    <t>Muy Alta
100%</t>
  </si>
  <si>
    <t>Extremo</t>
  </si>
  <si>
    <t>Alta
80%</t>
  </si>
  <si>
    <t>Media
60%</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</si>
  <si>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</si>
  <si>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</si>
  <si>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</si>
  <si>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</si>
  <si>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</si>
  <si>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</si>
  <si>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</si>
  <si>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</si>
  <si>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</si>
  <si>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</si>
  <si>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</si>
  <si>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</si>
  <si>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</si>
  <si>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</si>
  <si>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</si>
  <si>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</si>
  <si>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</si>
  <si>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</si>
  <si>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</si>
  <si>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</si>
  <si>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</si>
  <si>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</si>
  <si>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</si>
  <si>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</si>
  <si>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</si>
  <si>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</si>
  <si>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</si>
  <si>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</si>
  <si>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</si>
  <si>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</si>
  <si>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</si>
  <si>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</si>
  <si>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</si>
  <si>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</si>
  <si>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</si>
  <si>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</si>
  <si>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</si>
  <si>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</si>
  <si>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</si>
  <si>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</si>
  <si>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</si>
  <si>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Entidad:</t>
  </si>
  <si>
    <t>ANÁLISIS DEL IMPACTO</t>
  </si>
  <si>
    <t>No. Riesgo</t>
  </si>
  <si>
    <t>IMPACTO 
Riesgo de Corrupción</t>
  </si>
  <si>
    <t>Total respuestas afirmativas</t>
  </si>
  <si>
    <t>Si</t>
  </si>
  <si>
    <t>No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</si>
  <si>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</si>
  <si>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</si>
  <si>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</si>
  <si>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</si>
  <si>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</si>
  <si>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</si>
  <si>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</si>
  <si>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</si>
  <si>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</si>
  <si>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</si>
  <si>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</si>
  <si>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</si>
  <si>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</si>
  <si>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</si>
  <si>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</si>
  <si>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</si>
  <si>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</si>
  <si>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</si>
  <si>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</si>
  <si>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</si>
  <si>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</si>
  <si>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</si>
  <si>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</si>
  <si>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</si>
  <si>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</si>
  <si>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la entidad con efecto publicitario sostenido a nivel de sector administrativo, nivel departamental o municipal</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</si>
  <si>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</si>
  <si>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</si>
  <si>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</si>
  <si>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</si>
  <si>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</si>
  <si>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</si>
  <si>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</si>
  <si>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</si>
  <si>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</si>
  <si>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</si>
  <si>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</si>
  <si>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Criterios</t>
  </si>
  <si>
    <t>Subcriterios</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</si>
  <si>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</si>
  <si>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</si>
  <si>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</si>
  <si>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</si>
  <si>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</si>
  <si>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</si>
  <si>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</si>
  <si>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</si>
  <si>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</si>
  <si>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</si>
  <si>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</si>
  <si>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</si>
  <si>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</si>
  <si>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</si>
  <si>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</si>
  <si>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</si>
  <si>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</si>
  <si>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</si>
  <si>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</si>
  <si>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</si>
  <si>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</si>
  <si>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</si>
  <si>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</si>
  <si>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</si>
  <si>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</si>
  <si>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</si>
  <si>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Reducir (compartir)</t>
  </si>
  <si>
    <t>Económico y Reputacional</t>
  </si>
  <si>
    <t>Reducir (mitigar)</t>
  </si>
  <si>
    <t>Plan de accion (solo para la opción reducir)</t>
  </si>
  <si>
    <t>Finalizado</t>
  </si>
  <si>
    <t>En curso</t>
  </si>
  <si>
    <t>Daños Activos Fisicos</t>
  </si>
  <si>
    <t>Fallas Tecnologicas</t>
  </si>
  <si>
    <t>Fraude Externo</t>
  </si>
  <si>
    <t>Relaciones Laborales</t>
  </si>
  <si>
    <t>Registro Sustancial</t>
  </si>
  <si>
    <t>Registro Material</t>
  </si>
  <si>
    <t>Sin registro</t>
  </si>
  <si>
    <t>Reducir</t>
  </si>
  <si>
    <t xml:space="preserve">GESTIÓN JURIDICA </t>
  </si>
  <si>
    <t>Orientar, asistir, asesorar y defender la Institución, en asuntos jurídico-administrativos internos y externos de su competencia, de manera oportuna y eficaz buscando garantizar los intereses de la Escuela en cumplimiento de la Constitución Política, la Ley y la normatividad interna.</t>
  </si>
  <si>
    <t>Recibir o solciitar Dádivas</t>
  </si>
  <si>
    <t>Elaboración documentos errados que después sean insumo para algún proceso judicial contra la administración</t>
  </si>
  <si>
    <t>Emitir un concepto que no se encuentre acorde con la normatividad y que este direccionado a justificar, cubrir y/o favorecer a un tercero.</t>
  </si>
  <si>
    <t>Posibilidad afectación económica por recibir o solicitar dádiva con el fin de elaborar documentos errados o emitir concepto no acorde con la normatividad, para justificar, cubrir y/o favorecer a un tercero.</t>
  </si>
  <si>
    <t>Compartir responsabilidad de los servicios de seguimiento y vigilancia a los procesos judiciales de manera tal que generen alertas de los movimientos en los diferentes procesos.</t>
  </si>
  <si>
    <t>Verificación de procesos a través de la página de rama judicial o en sitio</t>
  </si>
  <si>
    <t>El líder de gestión jurídica compartirá el seguimiento y vigilancia de procesos judiciales con el contratista de apoyo del área con el fin de generar las alertas a las que haya lugar</t>
  </si>
  <si>
    <t>Líder de Gestión Jurídica</t>
  </si>
  <si>
    <t xml:space="preserve">Cada concepto antes de emitirse debe pasar a socialización de la Secretaria General y demás involucrados. </t>
  </si>
  <si>
    <t>Constancia de vistos buenos en los documentos emitidos por el área</t>
  </si>
  <si>
    <t xml:space="preserve">Los documentos que son proyectados por los profesionales jurídicos de la Secretaría Genenral antes de su sociliazacion serán verificados por el Secretario Genenral o la Lidre de Gestión Jurídica. </t>
  </si>
  <si>
    <t>Profesionales Jurídicos Secretaría General</t>
  </si>
  <si>
    <t>Verificar el registsro de las notas en planillas Vs Academusoft</t>
  </si>
  <si>
    <t xml:space="preserve">GITEPS </t>
  </si>
  <si>
    <t xml:space="preserve">Mantener controles </t>
  </si>
  <si>
    <t>Provisionalidad
Análisis de la necesidad  
Analisis y preselección de hojas de vida
Adecuada proceso de entrevistas y evaluación de candidatos. 
Vinculación acorde al procedimiento institucional</t>
  </si>
  <si>
    <t>Profesional de Talento Humano</t>
  </si>
  <si>
    <t>Fecha: 31-01-2023</t>
  </si>
  <si>
    <t>VIGENCIA: ENERO 25 DE 2023</t>
  </si>
  <si>
    <t>01 de enero de 2023</t>
  </si>
  <si>
    <t>Octubre de 2023</t>
  </si>
  <si>
    <t>20 de enero de 2023</t>
  </si>
  <si>
    <t>Directir IBTI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</si>
</sst>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7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sz val="6"/>
      <color theme="1"/>
      <name val="Arial"/>
      <family val="2"/>
    </font>
    <font>
      <sz val="14"/>
      <name val="Arial Narrow"/>
      <family val="2"/>
    </font>
    <font>
      <b/>
      <sz val="14"/>
      <color rgb="FF000000"/>
      <name val="Arial"/>
      <family val="2"/>
    </font>
    <font>
      <sz val="14"/>
      <color rgb="FF000000"/>
      <name val="Arial"/>
      <family val="2"/>
    </font>
    <font>
      <sz val="9"/>
      <name val="Arial"/>
      <family val="2"/>
    </font>
    <font>
      <b/>
      <sz val="9"/>
      <name val="Arial"/>
      <family val="2"/>
    </font>
    <font>
      <sz val="9"/>
      <color theme="1"/>
      <name val="Arial"/>
      <family val="2"/>
    </font>
    <font>
      <b/>
      <sz val="9"/>
      <color theme="1"/>
      <name val="Arial"/>
      <family val="2"/>
    </font>
    <font>
      <sz val="10"/>
      <color theme="1"/>
      <name val="Arial"/>
      <family val="2"/>
    </font>
    <font>
      <sz val="11"/>
      <color rgb="FF000000"/>
      <name val="Arial Narrow"/>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indexed="9"/>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diagonal/>
    </border>
    <border>
      <left style="medium">
        <color rgb="FFFFFFFF"/>
      </left>
      <right style="medium">
        <color rgb="FFFFFFFF"/>
      </right>
      <top/>
      <bottom style="medium">
        <color rgb="FFFFFFFF"/>
      </bottom>
      <diagonal/>
    </border>
  </borders>
  <cellStyleXfs count="8">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46" fillId="0" borderId="0"/>
    <xf numFmtId="43" fontId="14" fillId="0" borderId="0" applyFont="0" applyFill="0" applyBorder="0" applyAlignment="0" applyProtection="0"/>
    <xf numFmtId="43" fontId="14" fillId="0" borderId="0" applyFont="0" applyFill="0" applyBorder="0" applyAlignment="0" applyProtection="0"/>
  </cellStyleXfs>
  <cellXfs count="456">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9" fontId="1" fillId="0" borderId="21" xfId="0" applyNumberFormat="1" applyFont="1" applyBorder="1" applyAlignment="1" applyProtection="1">
      <alignment horizontal="center" vertical="center"/>
      <protection hidden="1"/>
    </xf>
    <xf numFmtId="14" fontId="1" fillId="0" borderId="21" xfId="0" applyNumberFormat="1" applyFont="1" applyBorder="1" applyAlignment="1" applyProtection="1">
      <alignment horizontal="center" vertical="center"/>
      <protection locked="0"/>
    </xf>
    <xf numFmtId="0" fontId="61" fillId="7" borderId="21" xfId="0" applyFont="1" applyFill="1" applyBorder="1" applyAlignment="1">
      <alignment horizontal="center" vertical="center" textRotation="90"/>
    </xf>
    <xf numFmtId="0" fontId="46" fillId="0" borderId="0" xfId="0" applyFont="1" applyAlignment="1">
      <alignment vertical="center" wrapText="1"/>
    </xf>
    <xf numFmtId="0" fontId="0" fillId="0" borderId="0" xfId="0" applyAlignment="1">
      <alignment horizontal="center"/>
    </xf>
    <xf numFmtId="0" fontId="46" fillId="0" borderId="0" xfId="0" applyFont="1" applyAlignment="1">
      <alignment horizontal="center" vertical="center" wrapText="1"/>
    </xf>
    <xf numFmtId="0" fontId="46"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70" xfId="0" applyFont="1" applyBorder="1" applyAlignment="1">
      <alignment horizontal="center" vertical="center" wrapText="1"/>
    </xf>
    <xf numFmtId="0" fontId="64" fillId="0" borderId="70" xfId="0" applyFont="1" applyBorder="1" applyAlignment="1">
      <alignment vertical="center" wrapText="1"/>
    </xf>
    <xf numFmtId="0" fontId="1" fillId="0" borderId="2" xfId="0" applyFont="1" applyBorder="1" applyAlignment="1">
      <alignment horizontal="center" vertical="center"/>
    </xf>
    <xf numFmtId="0" fontId="59" fillId="0" borderId="64" xfId="0" applyFont="1" applyBorder="1" applyAlignment="1" applyProtection="1">
      <alignment horizontal="center" wrapText="1"/>
      <protection locked="0"/>
    </xf>
    <xf numFmtId="0" fontId="59" fillId="0" borderId="57" xfId="0" applyFont="1" applyBorder="1" applyAlignment="1" applyProtection="1">
      <alignment horizontal="center" wrapText="1"/>
      <protection locked="0"/>
    </xf>
    <xf numFmtId="0" fontId="58" fillId="0" borderId="57" xfId="0" applyFont="1" applyBorder="1" applyAlignment="1" applyProtection="1">
      <alignment horizontal="center" vertical="center"/>
      <protection locked="0"/>
    </xf>
    <xf numFmtId="0" fontId="57" fillId="0" borderId="63" xfId="0" applyFont="1" applyBorder="1" applyAlignment="1">
      <alignment horizontal="left" vertical="center"/>
    </xf>
    <xf numFmtId="0" fontId="61" fillId="7" borderId="21" xfId="0" applyFont="1" applyFill="1" applyBorder="1" applyAlignment="1">
      <alignment horizontal="center" vertical="center" wrapText="1"/>
    </xf>
    <xf numFmtId="0" fontId="61" fillId="7" borderId="21" xfId="0" applyFont="1" applyFill="1" applyBorder="1" applyAlignment="1">
      <alignment horizontal="center" vertical="center" textRotation="90" wrapText="1"/>
    </xf>
    <xf numFmtId="0" fontId="61" fillId="7" borderId="21" xfId="0" applyFont="1" applyFill="1" applyBorder="1" applyAlignment="1">
      <alignment horizontal="center" vertical="center"/>
    </xf>
    <xf numFmtId="0" fontId="57" fillId="0" borderId="57" xfId="0" applyFont="1" applyBorder="1" applyAlignment="1">
      <alignment horizontal="left" vertical="center"/>
    </xf>
    <xf numFmtId="0" fontId="6" fillId="0" borderId="21" xfId="0" applyFont="1" applyBorder="1" applyAlignment="1" applyProtection="1">
      <alignment horizontal="justify" vertical="center" wrapText="1"/>
      <protection locked="0"/>
    </xf>
    <xf numFmtId="14" fontId="1" fillId="0" borderId="21" xfId="0" applyNumberFormat="1" applyFont="1" applyBorder="1" applyAlignment="1" applyProtection="1">
      <alignment horizontal="center" vertical="center" wrapText="1"/>
      <protection locked="0"/>
    </xf>
    <xf numFmtId="0" fontId="1" fillId="0" borderId="7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6" fillId="0" borderId="21" xfId="0" applyFont="1" applyBorder="1" applyAlignment="1" applyProtection="1">
      <alignment horizontal="left" vertical="center" wrapText="1"/>
      <protection locked="0"/>
    </xf>
    <xf numFmtId="9" fontId="1" fillId="0" borderId="21" xfId="0" applyNumberFormat="1" applyFont="1" applyBorder="1" applyAlignment="1" applyProtection="1">
      <alignment vertical="center" wrapText="1"/>
      <protection hidden="1"/>
    </xf>
    <xf numFmtId="0" fontId="1" fillId="0" borderId="0" xfId="0" applyFont="1" applyAlignment="1">
      <alignment vertical="center"/>
    </xf>
    <xf numFmtId="1" fontId="67" fillId="0" borderId="21" xfId="0" applyNumberFormat="1" applyFont="1" applyBorder="1" applyAlignment="1">
      <alignment horizontal="left" vertical="center" wrapText="1"/>
    </xf>
    <xf numFmtId="0" fontId="66" fillId="0" borderId="21" xfId="0" applyFont="1" applyBorder="1" applyAlignment="1">
      <alignment horizontal="left" vertical="center" wrapText="1"/>
    </xf>
    <xf numFmtId="0" fontId="66" fillId="0" borderId="0" xfId="5" applyFont="1" applyAlignment="1">
      <alignment vertical="center"/>
    </xf>
    <xf numFmtId="0" fontId="66" fillId="0" borderId="68" xfId="0" applyFont="1" applyBorder="1" applyAlignment="1">
      <alignment horizontal="left" vertical="center" wrapText="1"/>
    </xf>
    <xf numFmtId="0" fontId="66" fillId="0" borderId="0" xfId="5" applyFont="1" applyAlignment="1">
      <alignment vertical="center" wrapText="1"/>
    </xf>
    <xf numFmtId="1" fontId="66" fillId="0" borderId="0" xfId="5" applyNumberFormat="1" applyFont="1" applyAlignment="1">
      <alignment vertical="center" wrapText="1"/>
    </xf>
    <xf numFmtId="0" fontId="66" fillId="0" borderId="0" xfId="5" applyFont="1" applyAlignment="1">
      <alignment horizontal="center" vertical="center" wrapText="1"/>
    </xf>
    <xf numFmtId="0" fontId="67" fillId="0" borderId="21" xfId="5" applyFont="1" applyBorder="1" applyAlignment="1">
      <alignment vertical="center" wrapText="1"/>
    </xf>
    <xf numFmtId="0" fontId="66" fillId="0" borderId="21" xfId="5" applyFont="1" applyBorder="1" applyAlignment="1">
      <alignment vertical="center" wrapText="1"/>
    </xf>
    <xf numFmtId="0" fontId="67" fillId="0" borderId="0" xfId="5" applyFont="1" applyAlignment="1">
      <alignment vertical="center" wrapText="1"/>
    </xf>
    <xf numFmtId="1" fontId="66" fillId="0" borderId="0" xfId="5" applyNumberFormat="1" applyFont="1" applyAlignment="1">
      <alignment horizontal="center" vertical="center" wrapText="1"/>
    </xf>
    <xf numFmtId="0" fontId="67" fillId="0" borderId="21" xfId="5" applyFont="1" applyBorder="1" applyAlignment="1">
      <alignment horizontal="center" vertical="center" wrapText="1"/>
    </xf>
    <xf numFmtId="0" fontId="67" fillId="0" borderId="21" xfId="5" applyFont="1" applyBorder="1" applyAlignment="1">
      <alignment horizontal="left" vertical="center" wrapText="1"/>
    </xf>
    <xf numFmtId="1" fontId="67" fillId="0" borderId="21" xfId="5" applyNumberFormat="1" applyFont="1" applyBorder="1" applyAlignment="1">
      <alignment horizontal="center" vertical="center" wrapText="1"/>
    </xf>
    <xf numFmtId="0" fontId="66" fillId="0" borderId="21" xfId="5" applyFont="1" applyBorder="1" applyAlignment="1">
      <alignment horizontal="center" vertical="center" wrapText="1"/>
    </xf>
    <xf numFmtId="0" fontId="66" fillId="0" borderId="21" xfId="5" applyFont="1" applyBorder="1" applyAlignment="1">
      <alignment horizontal="left" vertical="center" wrapText="1"/>
    </xf>
    <xf numFmtId="9" fontId="68" fillId="0" borderId="21" xfId="0" applyNumberFormat="1" applyFont="1" applyBorder="1" applyAlignment="1">
      <alignment horizontal="center" vertical="center" wrapText="1"/>
    </xf>
    <xf numFmtId="0" fontId="67" fillId="0" borderId="21" xfId="0" applyFont="1" applyBorder="1" applyAlignment="1">
      <alignment vertical="center" wrapText="1" readingOrder="1"/>
    </xf>
    <xf numFmtId="0" fontId="66" fillId="0" borderId="0" xfId="0" applyFont="1" applyAlignment="1">
      <alignment horizontal="center" vertical="center" wrapText="1"/>
    </xf>
    <xf numFmtId="0" fontId="66" fillId="15" borderId="21" xfId="0" applyFont="1" applyFill="1" applyBorder="1" applyAlignment="1" applyProtection="1">
      <alignment horizontal="center" vertical="center" wrapText="1" readingOrder="1"/>
      <protection locked="0"/>
    </xf>
    <xf numFmtId="0" fontId="67" fillId="0" borderId="73" xfId="0" applyFont="1" applyBorder="1" applyAlignment="1">
      <alignment vertical="center" wrapText="1" readingOrder="1"/>
    </xf>
    <xf numFmtId="0" fontId="67" fillId="0" borderId="74" xfId="0" applyFont="1" applyBorder="1" applyAlignment="1">
      <alignment vertical="center" wrapText="1" readingOrder="1"/>
    </xf>
    <xf numFmtId="0" fontId="66" fillId="0" borderId="74" xfId="0" applyFont="1" applyBorder="1" applyAlignment="1">
      <alignment vertical="center" wrapText="1"/>
    </xf>
    <xf numFmtId="0" fontId="67" fillId="0" borderId="75" xfId="0" applyFont="1" applyBorder="1" applyAlignment="1">
      <alignment vertical="center" wrapText="1" readingOrder="1"/>
    </xf>
    <xf numFmtId="0" fontId="69" fillId="0" borderId="0" xfId="0" applyFont="1" applyAlignment="1">
      <alignment horizontal="center" vertical="center" wrapText="1"/>
    </xf>
    <xf numFmtId="0" fontId="67" fillId="0" borderId="76" xfId="0" applyFont="1" applyBorder="1" applyAlignment="1">
      <alignment vertical="center" wrapText="1" readingOrder="1"/>
    </xf>
    <xf numFmtId="0" fontId="66" fillId="0" borderId="76" xfId="0" applyFont="1" applyBorder="1" applyAlignment="1">
      <alignment vertical="center" wrapText="1"/>
    </xf>
    <xf numFmtId="1" fontId="66" fillId="0" borderId="21" xfId="5" applyNumberFormat="1" applyFont="1" applyBorder="1" applyAlignment="1">
      <alignment vertical="center" wrapText="1"/>
    </xf>
    <xf numFmtId="1" fontId="67" fillId="0" borderId="21" xfId="0" applyNumberFormat="1" applyFont="1" applyBorder="1" applyAlignment="1">
      <alignment vertical="center" wrapText="1" readingOrder="1"/>
    </xf>
    <xf numFmtId="1" fontId="67" fillId="0" borderId="0" xfId="0" applyNumberFormat="1" applyFont="1" applyAlignment="1">
      <alignment vertical="center" wrapText="1" readingOrder="1"/>
    </xf>
    <xf numFmtId="0" fontId="68" fillId="0" borderId="0" xfId="0" applyFont="1" applyAlignment="1">
      <alignment horizontal="center" vertical="center" wrapText="1"/>
    </xf>
    <xf numFmtId="0" fontId="0" fillId="0" borderId="21" xfId="0" applyBorder="1" applyAlignment="1">
      <alignment horizontal="center" vertical="center" wrapText="1"/>
    </xf>
    <xf numFmtId="0" fontId="1" fillId="0" borderId="21" xfId="0" applyFont="1" applyBorder="1" applyAlignment="1" applyProtection="1">
      <alignment horizontal="center" vertical="center" textRotation="90"/>
      <protection locked="0"/>
    </xf>
    <xf numFmtId="0" fontId="70"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hidden="1"/>
    </xf>
    <xf numFmtId="164" fontId="1" fillId="0" borderId="21" xfId="1" applyNumberFormat="1" applyFont="1" applyBorder="1" applyAlignment="1">
      <alignment horizontal="center" vertical="center" wrapText="1"/>
    </xf>
    <xf numFmtId="0" fontId="4" fillId="0" borderId="21" xfId="0" applyFont="1" applyBorder="1" applyAlignment="1" applyProtection="1">
      <alignment horizontal="center" vertical="center" textRotation="90" wrapText="1"/>
      <protection hidden="1"/>
    </xf>
    <xf numFmtId="0" fontId="1" fillId="0" borderId="21" xfId="0" applyFont="1" applyBorder="1" applyAlignment="1" applyProtection="1">
      <alignment horizontal="center" vertical="center" textRotation="90" wrapText="1"/>
      <protection locked="0"/>
    </xf>
    <xf numFmtId="0" fontId="4" fillId="0" borderId="21" xfId="0" applyFont="1" applyBorder="1" applyAlignment="1" applyProtection="1">
      <alignment horizontal="center" vertical="center" textRotation="90"/>
      <protection hidden="1"/>
    </xf>
    <xf numFmtId="0" fontId="71" fillId="0" borderId="21" xfId="0" applyFont="1" applyBorder="1" applyAlignment="1">
      <alignment horizontal="center" vertical="center"/>
    </xf>
    <xf numFmtId="0" fontId="71" fillId="0" borderId="21" xfId="0" applyFont="1" applyBorder="1" applyAlignment="1">
      <alignment horizontal="center" vertical="center" wrapText="1"/>
    </xf>
    <xf numFmtId="14" fontId="71" fillId="0" borderId="21" xfId="0" applyNumberFormat="1" applyFont="1" applyBorder="1" applyAlignment="1">
      <alignment horizontal="center" vertical="center"/>
    </xf>
    <xf numFmtId="14" fontId="71" fillId="0" borderId="21" xfId="0" applyNumberFormat="1" applyFont="1" applyBorder="1" applyAlignment="1">
      <alignment horizontal="center" vertical="center" wrapText="1"/>
    </xf>
    <xf numFmtId="0" fontId="0" fillId="0" borderId="0" xfId="0" applyAlignment="1">
      <alignment vertical="center" wrapText="1"/>
    </xf>
    <xf numFmtId="0" fontId="62" fillId="0" borderId="0" xfId="0" applyFont="1" applyAlignment="1">
      <alignment horizontal="center" vertical="center"/>
    </xf>
    <xf numFmtId="164" fontId="1" fillId="0" borderId="21" xfId="1" applyNumberFormat="1" applyFont="1" applyBorder="1" applyAlignment="1">
      <alignment horizontal="center" vertical="center"/>
    </xf>
    <xf numFmtId="0" fontId="0" fillId="0" borderId="0" xfId="0" applyAlignment="1">
      <alignment horizontal="center" vertical="center" wrapText="1"/>
    </xf>
    <xf numFmtId="0" fontId="1" fillId="0" borderId="21" xfId="0" applyFont="1" applyBorder="1" applyAlignment="1" applyProtection="1">
      <alignment horizontal="left" vertical="center" wrapText="1"/>
      <protection locked="0"/>
    </xf>
    <xf numFmtId="14" fontId="2" fillId="0" borderId="21" xfId="0" applyNumberFormat="1" applyFont="1" applyBorder="1" applyAlignment="1" applyProtection="1">
      <alignment horizontal="center" vertical="center"/>
      <protection locked="0"/>
    </xf>
    <xf numFmtId="14" fontId="1" fillId="0" borderId="21" xfId="0" applyNumberFormat="1" applyFont="1" applyBorder="1" applyAlignment="1" applyProtection="1">
      <alignment horizontal="left" vertical="center"/>
      <protection locked="0"/>
    </xf>
    <xf numFmtId="14" fontId="1" fillId="0" borderId="21" xfId="0" applyNumberFormat="1" applyFont="1" applyBorder="1" applyAlignment="1" applyProtection="1">
      <alignment horizontal="left" vertical="center" wrapText="1"/>
      <protection locked="0"/>
    </xf>
    <xf numFmtId="0" fontId="1" fillId="0" borderId="21" xfId="0" applyFont="1" applyBorder="1" applyAlignment="1" applyProtection="1">
      <alignment horizontal="left" vertical="center"/>
      <protection locked="0"/>
    </xf>
    <xf numFmtId="0" fontId="1" fillId="0" borderId="0" xfId="0" applyFont="1" applyAlignment="1">
      <alignment horizontal="left" vertical="center" wrapText="1"/>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4" fillId="0" borderId="21" xfId="0" applyFont="1" applyBorder="1" applyAlignment="1" applyProtection="1">
      <alignment horizontal="center" vertical="center" wrapText="1"/>
      <protection hidden="1"/>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1" fillId="0" borderId="21" xfId="0" applyFont="1" applyBorder="1" applyAlignment="1">
      <alignment horizontal="center" vertical="center"/>
    </xf>
    <xf numFmtId="0" fontId="1" fillId="0" borderId="21" xfId="0" applyFont="1" applyBorder="1" applyAlignment="1">
      <alignment horizontal="center" vertical="center" wrapText="1"/>
    </xf>
    <xf numFmtId="0" fontId="4" fillId="0" borderId="71"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9" fontId="1" fillId="0" borderId="71" xfId="0" applyNumberFormat="1" applyFont="1" applyBorder="1" applyAlignment="1" applyProtection="1">
      <alignment horizontal="center" vertical="center" wrapText="1"/>
      <protection hidden="1"/>
    </xf>
    <xf numFmtId="9" fontId="1" fillId="0" borderId="22" xfId="0" applyNumberFormat="1" applyFont="1" applyBorder="1" applyAlignment="1" applyProtection="1">
      <alignment horizontal="center" vertical="center" wrapText="1"/>
      <protection hidden="1"/>
    </xf>
    <xf numFmtId="0" fontId="4" fillId="0" borderId="71"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9" fontId="1" fillId="0" borderId="71" xfId="0" applyNumberFormat="1" applyFont="1" applyBorder="1" applyAlignment="1" applyProtection="1">
      <alignment horizontal="center" vertical="center" wrapText="1"/>
      <protection locked="0"/>
    </xf>
    <xf numFmtId="9" fontId="1" fillId="0" borderId="22" xfId="0" applyNumberFormat="1" applyFont="1" applyBorder="1" applyAlignment="1" applyProtection="1">
      <alignment horizontal="center" vertical="center" wrapText="1"/>
      <protection locked="0"/>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7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7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61" fillId="7" borderId="64" xfId="0" applyFont="1" applyFill="1" applyBorder="1" applyAlignment="1">
      <alignment horizontal="center" vertical="center"/>
    </xf>
    <xf numFmtId="0" fontId="61" fillId="7" borderId="57" xfId="0" applyFont="1" applyFill="1" applyBorder="1" applyAlignment="1">
      <alignment horizontal="center" vertical="center"/>
    </xf>
    <xf numFmtId="0" fontId="61" fillId="7" borderId="21" xfId="0" applyFont="1" applyFill="1" applyBorder="1" applyAlignment="1">
      <alignment horizontal="center" vertical="center" wrapText="1"/>
    </xf>
    <xf numFmtId="0" fontId="61" fillId="7" borderId="21" xfId="0" applyFont="1" applyFill="1" applyBorder="1" applyAlignment="1">
      <alignment horizontal="center" vertical="center"/>
    </xf>
    <xf numFmtId="0" fontId="61" fillId="7" borderId="22" xfId="0" applyFont="1" applyFill="1" applyBorder="1" applyAlignment="1">
      <alignment horizontal="center" vertical="center"/>
    </xf>
    <xf numFmtId="0" fontId="60" fillId="7" borderId="68" xfId="0" applyFont="1" applyFill="1" applyBorder="1" applyAlignment="1">
      <alignment horizontal="center" vertical="center"/>
    </xf>
    <xf numFmtId="0" fontId="60" fillId="7" borderId="67" xfId="0" applyFont="1" applyFill="1" applyBorder="1" applyAlignment="1">
      <alignment horizontal="center" vertical="center"/>
    </xf>
    <xf numFmtId="0" fontId="60" fillId="7" borderId="69" xfId="0" applyFont="1" applyFill="1" applyBorder="1" applyAlignment="1">
      <alignment horizontal="center" vertical="center"/>
    </xf>
    <xf numFmtId="0" fontId="61" fillId="7" borderId="21" xfId="0" applyFont="1" applyFill="1" applyBorder="1" applyAlignment="1">
      <alignment horizontal="center" vertical="center" textRotation="90" wrapText="1"/>
    </xf>
    <xf numFmtId="0" fontId="61" fillId="7" borderId="21" xfId="0" applyFont="1" applyFill="1" applyBorder="1" applyAlignment="1">
      <alignment horizontal="center" vertical="center" textRotation="90"/>
    </xf>
    <xf numFmtId="0" fontId="58" fillId="0" borderId="21" xfId="0" applyFont="1" applyBorder="1" applyAlignment="1" applyProtection="1">
      <alignment horizontal="center" vertical="center"/>
      <protection locked="0"/>
    </xf>
    <xf numFmtId="0" fontId="64" fillId="0" borderId="70" xfId="0" applyFont="1" applyBorder="1" applyAlignment="1">
      <alignment horizontal="center" vertical="center" wrapText="1"/>
    </xf>
    <xf numFmtId="0" fontId="65" fillId="0" borderId="70" xfId="0" applyFont="1" applyBorder="1" applyAlignment="1">
      <alignment horizontal="center" vertical="center" wrapText="1"/>
    </xf>
    <xf numFmtId="0" fontId="49" fillId="0" borderId="68" xfId="0" applyFont="1" applyBorder="1" applyAlignment="1">
      <alignment horizontal="left" vertical="center" wrapText="1"/>
    </xf>
    <xf numFmtId="0" fontId="49" fillId="0" borderId="67" xfId="0" applyFont="1" applyBorder="1" applyAlignment="1">
      <alignment horizontal="left" vertical="center" wrapText="1"/>
    </xf>
    <xf numFmtId="0" fontId="49" fillId="0" borderId="69" xfId="0" applyFont="1" applyBorder="1" applyAlignment="1">
      <alignment horizontal="left" vertical="center" wrapText="1"/>
    </xf>
    <xf numFmtId="0" fontId="1" fillId="0" borderId="2"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63" fillId="0" borderId="21" xfId="0" applyFont="1" applyBorder="1" applyAlignment="1">
      <alignment horizontal="left" vertical="center" wrapText="1"/>
    </xf>
    <xf numFmtId="0" fontId="57" fillId="0" borderId="21" xfId="0" applyFont="1" applyBorder="1" applyAlignment="1">
      <alignment horizontal="left" vertical="center"/>
    </xf>
    <xf numFmtId="0" fontId="60" fillId="0" borderId="68" xfId="0" applyFont="1" applyBorder="1" applyAlignment="1">
      <alignment horizontal="center" vertical="center"/>
    </xf>
    <xf numFmtId="0" fontId="60" fillId="0" borderId="67" xfId="0" applyFont="1" applyBorder="1" applyAlignment="1">
      <alignment horizontal="center" vertical="center"/>
    </xf>
    <xf numFmtId="0" fontId="60" fillId="0" borderId="69" xfId="0" applyFont="1" applyBorder="1" applyAlignment="1">
      <alignment horizontal="center" vertical="center"/>
    </xf>
    <xf numFmtId="0" fontId="59" fillId="0" borderId="21" xfId="0" applyFont="1" applyBorder="1" applyAlignment="1" applyProtection="1">
      <alignment horizontal="center" wrapText="1"/>
      <protection locked="0"/>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24" fillId="0" borderId="0" xfId="0" applyFont="1" applyAlignment="1">
      <alignment horizontal="center" vertical="center"/>
    </xf>
    <xf numFmtId="0" fontId="67" fillId="0" borderId="21" xfId="0" applyFont="1" applyBorder="1" applyAlignment="1">
      <alignment horizontal="center" vertical="center" wrapText="1" readingOrder="1"/>
    </xf>
    <xf numFmtId="0" fontId="66" fillId="0" borderId="21" xfId="0" applyFont="1" applyBorder="1" applyAlignment="1">
      <alignment horizontal="center" vertical="center" wrapText="1" readingOrder="1"/>
    </xf>
    <xf numFmtId="0" fontId="66" fillId="0" borderId="69" xfId="0" applyFont="1" applyBorder="1" applyAlignment="1">
      <alignment horizontal="center" vertical="center" wrapText="1" readingOrder="1"/>
    </xf>
    <xf numFmtId="0" fontId="67" fillId="0" borderId="21" xfId="5" applyFont="1" applyBorder="1" applyAlignment="1">
      <alignment horizontal="center" vertical="center" wrapText="1"/>
    </xf>
    <xf numFmtId="0" fontId="66" fillId="0" borderId="72" xfId="0" applyFont="1" applyBorder="1" applyAlignment="1">
      <alignment horizontal="left" vertical="center" wrapText="1" readingOrder="1"/>
    </xf>
    <xf numFmtId="0" fontId="66" fillId="0" borderId="40" xfId="0" applyFont="1" applyBorder="1" applyAlignment="1">
      <alignment horizontal="left" vertical="center" wrapText="1" readingOrder="1"/>
    </xf>
    <xf numFmtId="0" fontId="66" fillId="0" borderId="0" xfId="5" applyFont="1" applyAlignment="1">
      <alignment horizontal="center" vertical="center" wrapText="1"/>
    </xf>
    <xf numFmtId="0" fontId="66" fillId="16" borderId="71" xfId="5" applyFont="1" applyFill="1" applyBorder="1" applyAlignment="1">
      <alignment horizontal="center" vertical="center"/>
    </xf>
    <xf numFmtId="0" fontId="66" fillId="16" borderId="22" xfId="5" applyFont="1" applyFill="1" applyBorder="1" applyAlignment="1">
      <alignment horizontal="center" vertical="center"/>
    </xf>
    <xf numFmtId="1" fontId="67" fillId="0" borderId="71" xfId="5" applyNumberFormat="1" applyFont="1" applyBorder="1" applyAlignment="1">
      <alignment horizontal="center" vertical="center"/>
    </xf>
    <xf numFmtId="1" fontId="67" fillId="0" borderId="22" xfId="5" applyNumberFormat="1" applyFont="1" applyBorder="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8">
    <cellStyle name="Millares 2" xfId="6" xr:uid="{18DBF99F-4EBD-48DA-A61A-BB609D6E1C89}"/>
    <cellStyle name="Millares 3" xfId="7" xr:uid="{F922D0E7-21F9-40F3-B4D4-8A18675B5B86}"/>
    <cellStyle name="Normal" xfId="0" builtinId="0"/>
    <cellStyle name="Normal - Style1 2" xfId="2" xr:uid="{00000000-0005-0000-0000-000001000000}"/>
    <cellStyle name="Normal 2" xfId="4" xr:uid="{00000000-0005-0000-0000-000002000000}"/>
    <cellStyle name="Normal 2 2" xfId="3" xr:uid="{00000000-0005-0000-0000-000003000000}"/>
    <cellStyle name="Normal 2 3" xfId="5" xr:uid="{00000000-0005-0000-0000-000004000000}"/>
    <cellStyle name="Porcentaje" xfId="1" builtinId="5"/>
  </cellStyles>
  <dxfs count="9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pivotCacheDefinition" Target="pivotCache/pivotCacheDefinition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412751</xdr:colOff>
      <xdr:row>0</xdr:row>
      <xdr:rowOff>148165</xdr:rowOff>
    </xdr:from>
    <xdr:to>
      <xdr:col>3</xdr:col>
      <xdr:colOff>128512</xdr:colOff>
      <xdr:row>3</xdr:row>
      <xdr:rowOff>614588</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6834" y="148165"/>
          <a:ext cx="1959428" cy="1101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473364</xdr:colOff>
      <xdr:row>30</xdr:row>
      <xdr:rowOff>106218</xdr:rowOff>
    </xdr:from>
    <xdr:to>
      <xdr:col>11</xdr:col>
      <xdr:colOff>515588</xdr:colOff>
      <xdr:row>58</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121814" y="15136668"/>
          <a:ext cx="6157275" cy="5043716"/>
        </a:xfrm>
        <a:prstGeom prst="rect">
          <a:avLst/>
        </a:prstGeom>
      </xdr:spPr>
    </xdr:pic>
    <xdr:clientData/>
  </xdr:twoCellAnchor>
  <xdr:twoCellAnchor editAs="oneCell">
    <xdr:from>
      <xdr:col>13</xdr:col>
      <xdr:colOff>329045</xdr:colOff>
      <xdr:row>31</xdr:row>
      <xdr:rowOff>320964</xdr:rowOff>
    </xdr:from>
    <xdr:to>
      <xdr:col>22</xdr:col>
      <xdr:colOff>754164</xdr:colOff>
      <xdr:row>52</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4902295" y="15808614"/>
          <a:ext cx="8568994" cy="35641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lidad/AppData/Local/Microsoft/Windows/INetCache/Content.Outlook/SL0QA57X/MRC%20-%20SGR%20consolidad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ownloads\mapaderiesgojuridica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calidad_itc_edu_co/Documents/CALIDAD/MAPA%20DE%20RIESGOS/RIESGOS%20DE%20CORRUPCI&#211;N/MAPA%20DE%20RIESGOS%20DE%20CORRUPCI&#211;N%202022%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alidad\AppData\Local\Microsoft\Windows\INetCache\Content.Outlook\SL0QA57X\MRC%20-%20SGR%20consolid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idad"/>
      <sheetName val="4 Impacto"/>
      <sheetName val="5 Mapa Calor Inherente"/>
      <sheetName val="6 Valoración Control"/>
      <sheetName val="7 Mapa Calor Residual"/>
      <sheetName val="8 Mapa Calor Inherente Residual"/>
      <sheetName val="9 Mapa Riesgo, Plan Acción"/>
      <sheetName val="10 Imprimir Mapa Riesgo"/>
      <sheetName val="11 Riesgo del Proceso"/>
      <sheetName val="12 Control de cambios"/>
      <sheetName val="13 Formulas"/>
    </sheetNames>
    <sheetDataSet>
      <sheetData sheetId="0"/>
      <sheetData sheetId="1">
        <row r="1">
          <cell r="B1" t="str">
            <v>MAPA DE RIESGOS DE CORRUPCIÓN</v>
          </cell>
          <cell r="C1" t="str">
            <v>Código:</v>
          </cell>
          <cell r="D1"/>
        </row>
        <row r="2">
          <cell r="C2" t="str">
            <v>Versión:</v>
          </cell>
          <cell r="D2"/>
        </row>
        <row r="4">
          <cell r="B4" t="str">
            <v xml:space="preserve">Departamento Nacional de Planeación </v>
          </cell>
        </row>
        <row r="9">
          <cell r="A9" t="str">
            <v>R1</v>
          </cell>
          <cell r="E9" t="str">
            <v>Posibilidad de recibir o solicitar cualquier dádiva o beneficio a nombre propio o de terceros Para calcular y/o distribuir los recursos del SGR</v>
          </cell>
        </row>
        <row r="10">
          <cell r="A10" t="str">
            <v>R2</v>
          </cell>
          <cell r="E10" t="str">
            <v>Posibilidad de recibir o solicitar cualquier dádiva o beneficio a nombre propio o de terceros Para direccionar el resultado de la evaluación de un PPPP</v>
          </cell>
        </row>
        <row r="11">
          <cell r="A11" t="str">
            <v>R3</v>
          </cell>
          <cell r="E11" t="str">
            <v>Posibilidad de recibir o solicitar cualquier dádiva o beneficio a nombre propio o de terceros Con el objetivo de direccionar la toma de decisiones a partir de la información consolidada y divulgada sobre los proyectos financiados con recursos del SGR</v>
          </cell>
        </row>
        <row r="12">
          <cell r="A12" t="str">
            <v>R4</v>
          </cell>
          <cell r="E12" t="str">
            <v>Posibilidad de recibir o solicitar cualquier dádiva o beneficio a nombre propio o de terceros Para emitir un Concepto Técnico Único Sectorial sobre un proyecto a ser financiado con recursos del SGR</v>
          </cell>
        </row>
        <row r="13">
          <cell r="A13" t="str">
            <v>R5</v>
          </cell>
          <cell r="E13" t="str">
            <v>Posibilidad de recibir o solicitar cualquier dádiva o beneficio a nombre propio o de terceros Para agilizar la emisión de la ficha de verificación de requisitos de los proyectos a ser financiados con recursos de Asignación Paz del SGR</v>
          </cell>
        </row>
        <row r="14">
          <cell r="A14" t="str">
            <v>R6</v>
          </cell>
          <cell r="E14" t="str">
            <v>Posibilidad de recibir o solicitar cualquier dádiva o beneficio a nombre propio o de terceros Para validar el cumplimiento de requisitos normativos de un proyecto a  ser financiado con recursos del SGR</v>
          </cell>
        </row>
        <row r="15">
          <cell r="A15" t="str">
            <v>R7</v>
          </cell>
          <cell r="E15" t="str">
            <v>Posibilidad de recibir o solicitar cualquier dádiva o beneficio a nombre propio o de terceros Para formular un proyecto a ser financiado con recursos del SGR por parte del profesional que brinda asistencia técnica o un tercero</v>
          </cell>
        </row>
        <row r="16">
          <cell r="A16" t="str">
            <v>R8</v>
          </cell>
          <cell r="E16" t="str">
            <v>Posibilidad de recibir o solicitar cualquier dádiva o beneficio a nombre propio o de terceros Con el fin de  direccionar el resultado del informe de seguimiento de los proyectos de inversión financiados con recursos del SGR que son objeto de las visitas de verificación de avances y resultados.</v>
          </cell>
        </row>
        <row r="17">
          <cell r="A17" t="str">
            <v>R9</v>
          </cell>
          <cell r="E17" t="str">
            <v>Posibilidad de recibir o solicitar cualquier dádiva o beneficio a nombre propio o de terceros Para dilatar o evitar la decisión sobre la imposición de medidas administrativas en el procedimiento de control sobre los proyectos del Sistema General de Regalías</v>
          </cell>
        </row>
        <row r="18">
          <cell r="A18" t="str">
            <v>R10</v>
          </cell>
          <cell r="E18" t="str">
            <v xml:space="preserve">  </v>
          </cell>
        </row>
        <row r="19">
          <cell r="A19" t="str">
            <v>R11</v>
          </cell>
          <cell r="E19" t="str">
            <v xml:space="preserve">  </v>
          </cell>
        </row>
        <row r="20">
          <cell r="A20" t="str">
            <v>R12</v>
          </cell>
          <cell r="E20" t="str">
            <v xml:space="preserve">  </v>
          </cell>
        </row>
        <row r="21">
          <cell r="A21" t="str">
            <v>R13</v>
          </cell>
          <cell r="E21" t="str">
            <v xml:space="preserve">  </v>
          </cell>
        </row>
        <row r="22">
          <cell r="A22" t="str">
            <v>R14</v>
          </cell>
          <cell r="E22" t="str">
            <v xml:space="preserve">  </v>
          </cell>
        </row>
        <row r="23">
          <cell r="A23" t="str">
            <v>R15</v>
          </cell>
          <cell r="E23" t="str">
            <v xml:space="preserve">  </v>
          </cell>
        </row>
        <row r="24">
          <cell r="A24" t="str">
            <v>R16</v>
          </cell>
          <cell r="E24" t="str">
            <v xml:space="preserve">  </v>
          </cell>
        </row>
        <row r="25">
          <cell r="A25" t="str">
            <v>R17</v>
          </cell>
          <cell r="E25" t="str">
            <v xml:space="preserve">  </v>
          </cell>
        </row>
        <row r="26">
          <cell r="A26" t="str">
            <v>R18</v>
          </cell>
          <cell r="E26" t="str">
            <v xml:space="preserve">  </v>
          </cell>
        </row>
        <row r="27">
          <cell r="A27" t="str">
            <v>R19</v>
          </cell>
          <cell r="E27" t="str">
            <v xml:space="preserve">  </v>
          </cell>
        </row>
        <row r="28">
          <cell r="A28" t="str">
            <v>R20</v>
          </cell>
          <cell r="E28" t="str">
            <v xml:space="preserve">  </v>
          </cell>
        </row>
      </sheetData>
      <sheetData sheetId="2"/>
      <sheetData sheetId="3"/>
      <sheetData sheetId="4"/>
      <sheetData sheetId="5"/>
      <sheetData sheetId="6"/>
      <sheetData sheetId="7"/>
      <sheetData sheetId="8"/>
      <sheetData sheetId="9"/>
      <sheetData sheetId="10"/>
      <sheetData sheetId="11"/>
      <sheetData sheetId="12">
        <row r="3">
          <cell r="J3" t="str">
            <v>Si</v>
          </cell>
        </row>
        <row r="5">
          <cell r="L5" t="str">
            <v>Moderado</v>
          </cell>
        </row>
        <row r="6">
          <cell r="L6" t="str">
            <v>Mayor</v>
          </cell>
        </row>
        <row r="7">
          <cell r="L7" t="str">
            <v>Catastrófico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221">
          <cell r="B221" t="str">
            <v>Criterios</v>
          </cell>
        </row>
        <row r="222">
          <cell r="B222" t="str">
            <v>Afectación Económica o presupuestal</v>
          </cell>
        </row>
        <row r="223">
          <cell r="B223" t="str">
            <v>Pérdida Reputacional</v>
          </cell>
          <cell r="F223" t="str">
            <v>❌</v>
          </cell>
        </row>
      </sheetData>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3 Formulas"/>
    </sheetNames>
    <sheetDataSet>
      <sheetData sheetId="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0" zoomScale="130" zoomScaleNormal="130" workbookViewId="0">
      <selection activeCell="C25" sqref="C25:D25"/>
    </sheetView>
  </sheetViews>
  <sheetFormatPr baseColWidth="10" defaultColWidth="11.44140625" defaultRowHeight="14.4" x14ac:dyDescent="0.3"/>
  <cols>
    <col min="1" max="1" width="2.6640625" style="75" customWidth="1"/>
    <col min="2" max="3" width="24.6640625" style="75" customWidth="1"/>
    <col min="4" max="4" width="16" style="75" customWidth="1"/>
    <col min="5" max="5" width="24.6640625" style="75" customWidth="1"/>
    <col min="6" max="6" width="27.6640625" style="75" customWidth="1"/>
    <col min="7" max="8" width="24.6640625" style="75" customWidth="1"/>
    <col min="9" max="16384" width="11.44140625" style="75"/>
  </cols>
  <sheetData>
    <row r="1" spans="2:8" ht="15" thickBot="1" x14ac:dyDescent="0.35"/>
    <row r="2" spans="2:8" ht="18" x14ac:dyDescent="0.3">
      <c r="B2" s="227" t="s">
        <v>0</v>
      </c>
      <c r="C2" s="228"/>
      <c r="D2" s="228"/>
      <c r="E2" s="228"/>
      <c r="F2" s="228"/>
      <c r="G2" s="228"/>
      <c r="H2" s="229"/>
    </row>
    <row r="3" spans="2:8" x14ac:dyDescent="0.3">
      <c r="B3" s="76"/>
      <c r="C3" s="77"/>
      <c r="D3" s="77"/>
      <c r="E3" s="77"/>
      <c r="F3" s="77"/>
      <c r="G3" s="77"/>
      <c r="H3" s="78"/>
    </row>
    <row r="4" spans="2:8" ht="63" customHeight="1" x14ac:dyDescent="0.3">
      <c r="B4" s="230" t="s">
        <v>1</v>
      </c>
      <c r="C4" s="231"/>
      <c r="D4" s="231"/>
      <c r="E4" s="231"/>
      <c r="F4" s="231"/>
      <c r="G4" s="231"/>
      <c r="H4" s="232"/>
    </row>
    <row r="5" spans="2:8" ht="63" customHeight="1" x14ac:dyDescent="0.3">
      <c r="B5" s="233"/>
      <c r="C5" s="234"/>
      <c r="D5" s="234"/>
      <c r="E5" s="234"/>
      <c r="F5" s="234"/>
      <c r="G5" s="234"/>
      <c r="H5" s="235"/>
    </row>
    <row r="6" spans="2:8" x14ac:dyDescent="0.3">
      <c r="B6" s="236" t="s">
        <v>2</v>
      </c>
      <c r="C6" s="237"/>
      <c r="D6" s="237"/>
      <c r="E6" s="237"/>
      <c r="F6" s="237"/>
      <c r="G6" s="237"/>
      <c r="H6" s="238"/>
    </row>
    <row r="7" spans="2:8" ht="95.25" customHeight="1" x14ac:dyDescent="0.3">
      <c r="B7" s="246" t="s">
        <v>3</v>
      </c>
      <c r="C7" s="247"/>
      <c r="D7" s="247"/>
      <c r="E7" s="247"/>
      <c r="F7" s="247"/>
      <c r="G7" s="247"/>
      <c r="H7" s="248"/>
    </row>
    <row r="8" spans="2:8" x14ac:dyDescent="0.3">
      <c r="B8" s="112"/>
      <c r="C8" s="113"/>
      <c r="D8" s="113"/>
      <c r="E8" s="113"/>
      <c r="F8" s="113"/>
      <c r="G8" s="113"/>
      <c r="H8" s="114"/>
    </row>
    <row r="9" spans="2:8" ht="16.5" customHeight="1" x14ac:dyDescent="0.3">
      <c r="B9" s="239" t="s">
        <v>4</v>
      </c>
      <c r="C9" s="240"/>
      <c r="D9" s="240"/>
      <c r="E9" s="240"/>
      <c r="F9" s="240"/>
      <c r="G9" s="240"/>
      <c r="H9" s="241"/>
    </row>
    <row r="10" spans="2:8" ht="44.25" customHeight="1" x14ac:dyDescent="0.3">
      <c r="B10" s="239"/>
      <c r="C10" s="240"/>
      <c r="D10" s="240"/>
      <c r="E10" s="240"/>
      <c r="F10" s="240"/>
      <c r="G10" s="240"/>
      <c r="H10" s="241"/>
    </row>
    <row r="11" spans="2:8" ht="15" thickBot="1" x14ac:dyDescent="0.35">
      <c r="B11" s="101"/>
      <c r="C11" s="104"/>
      <c r="D11" s="109"/>
      <c r="E11" s="110"/>
      <c r="F11" s="110"/>
      <c r="G11" s="111"/>
      <c r="H11" s="105"/>
    </row>
    <row r="12" spans="2:8" ht="15" thickTop="1" x14ac:dyDescent="0.3">
      <c r="B12" s="101"/>
      <c r="C12" s="242" t="s">
        <v>5</v>
      </c>
      <c r="D12" s="243"/>
      <c r="E12" s="244" t="s">
        <v>6</v>
      </c>
      <c r="F12" s="245"/>
      <c r="G12" s="104"/>
      <c r="H12" s="105"/>
    </row>
    <row r="13" spans="2:8" ht="35.25" customHeight="1" x14ac:dyDescent="0.3">
      <c r="B13" s="101"/>
      <c r="C13" s="214" t="s">
        <v>7</v>
      </c>
      <c r="D13" s="215"/>
      <c r="E13" s="216" t="s">
        <v>8</v>
      </c>
      <c r="F13" s="217"/>
      <c r="G13" s="104"/>
      <c r="H13" s="105"/>
    </row>
    <row r="14" spans="2:8" ht="17.25" customHeight="1" x14ac:dyDescent="0.3">
      <c r="B14" s="101"/>
      <c r="C14" s="214" t="s">
        <v>9</v>
      </c>
      <c r="D14" s="215"/>
      <c r="E14" s="216" t="s">
        <v>10</v>
      </c>
      <c r="F14" s="217"/>
      <c r="G14" s="104"/>
      <c r="H14" s="105"/>
    </row>
    <row r="15" spans="2:8" ht="19.5" customHeight="1" x14ac:dyDescent="0.3">
      <c r="B15" s="101"/>
      <c r="C15" s="214" t="s">
        <v>11</v>
      </c>
      <c r="D15" s="215"/>
      <c r="E15" s="216" t="s">
        <v>12</v>
      </c>
      <c r="F15" s="217"/>
      <c r="G15" s="104"/>
      <c r="H15" s="105"/>
    </row>
    <row r="16" spans="2:8" ht="69.75" customHeight="1" x14ac:dyDescent="0.3">
      <c r="B16" s="101"/>
      <c r="C16" s="214" t="s">
        <v>13</v>
      </c>
      <c r="D16" s="215"/>
      <c r="E16" s="216" t="s">
        <v>14</v>
      </c>
      <c r="F16" s="217"/>
      <c r="G16" s="104"/>
      <c r="H16" s="105"/>
    </row>
    <row r="17" spans="2:8" ht="34.5" customHeight="1" x14ac:dyDescent="0.3">
      <c r="B17" s="101"/>
      <c r="C17" s="218" t="s">
        <v>15</v>
      </c>
      <c r="D17" s="219"/>
      <c r="E17" s="210" t="s">
        <v>16</v>
      </c>
      <c r="F17" s="211"/>
      <c r="G17" s="104"/>
      <c r="H17" s="105"/>
    </row>
    <row r="18" spans="2:8" ht="27.75" customHeight="1" x14ac:dyDescent="0.3">
      <c r="B18" s="101"/>
      <c r="C18" s="218" t="s">
        <v>17</v>
      </c>
      <c r="D18" s="219"/>
      <c r="E18" s="210" t="s">
        <v>18</v>
      </c>
      <c r="F18" s="211"/>
      <c r="G18" s="104"/>
      <c r="H18" s="105"/>
    </row>
    <row r="19" spans="2:8" ht="28.5" customHeight="1" x14ac:dyDescent="0.3">
      <c r="B19" s="101"/>
      <c r="C19" s="218" t="s">
        <v>19</v>
      </c>
      <c r="D19" s="219"/>
      <c r="E19" s="210" t="s">
        <v>20</v>
      </c>
      <c r="F19" s="211"/>
      <c r="G19" s="104"/>
      <c r="H19" s="105"/>
    </row>
    <row r="20" spans="2:8" ht="72.75" customHeight="1" x14ac:dyDescent="0.3">
      <c r="B20" s="101"/>
      <c r="C20" s="218" t="s">
        <v>21</v>
      </c>
      <c r="D20" s="219"/>
      <c r="E20" s="210" t="s">
        <v>22</v>
      </c>
      <c r="F20" s="211"/>
      <c r="G20" s="104"/>
      <c r="H20" s="105"/>
    </row>
    <row r="21" spans="2:8" ht="64.5" customHeight="1" x14ac:dyDescent="0.3">
      <c r="B21" s="101"/>
      <c r="C21" s="218" t="s">
        <v>23</v>
      </c>
      <c r="D21" s="219"/>
      <c r="E21" s="210" t="s">
        <v>24</v>
      </c>
      <c r="F21" s="211"/>
      <c r="G21" s="104"/>
      <c r="H21" s="105"/>
    </row>
    <row r="22" spans="2:8" ht="71.25" customHeight="1" x14ac:dyDescent="0.3">
      <c r="B22" s="101"/>
      <c r="C22" s="218" t="s">
        <v>25</v>
      </c>
      <c r="D22" s="219"/>
      <c r="E22" s="210" t="s">
        <v>26</v>
      </c>
      <c r="F22" s="211"/>
      <c r="G22" s="104"/>
      <c r="H22" s="105"/>
    </row>
    <row r="23" spans="2:8" ht="55.5" customHeight="1" x14ac:dyDescent="0.3">
      <c r="B23" s="101"/>
      <c r="C23" s="212" t="s">
        <v>27</v>
      </c>
      <c r="D23" s="213"/>
      <c r="E23" s="210" t="s">
        <v>28</v>
      </c>
      <c r="F23" s="211"/>
      <c r="G23" s="104"/>
      <c r="H23" s="105"/>
    </row>
    <row r="24" spans="2:8" ht="42" customHeight="1" x14ac:dyDescent="0.3">
      <c r="B24" s="101"/>
      <c r="C24" s="212" t="s">
        <v>29</v>
      </c>
      <c r="D24" s="213"/>
      <c r="E24" s="210" t="s">
        <v>30</v>
      </c>
      <c r="F24" s="211"/>
      <c r="G24" s="104"/>
      <c r="H24" s="105"/>
    </row>
    <row r="25" spans="2:8" ht="59.25" customHeight="1" x14ac:dyDescent="0.3">
      <c r="B25" s="101"/>
      <c r="C25" s="212" t="s">
        <v>31</v>
      </c>
      <c r="D25" s="213"/>
      <c r="E25" s="210" t="s">
        <v>32</v>
      </c>
      <c r="F25" s="211"/>
      <c r="G25" s="104"/>
      <c r="H25" s="105"/>
    </row>
    <row r="26" spans="2:8" ht="23.25" customHeight="1" x14ac:dyDescent="0.3">
      <c r="B26" s="101"/>
      <c r="C26" s="212" t="s">
        <v>33</v>
      </c>
      <c r="D26" s="213"/>
      <c r="E26" s="210" t="s">
        <v>34</v>
      </c>
      <c r="F26" s="211"/>
      <c r="G26" s="104"/>
      <c r="H26" s="105"/>
    </row>
    <row r="27" spans="2:8" ht="30.75" customHeight="1" x14ac:dyDescent="0.3">
      <c r="B27" s="101"/>
      <c r="C27" s="212" t="s">
        <v>35</v>
      </c>
      <c r="D27" s="213"/>
      <c r="E27" s="210" t="s">
        <v>36</v>
      </c>
      <c r="F27" s="211"/>
      <c r="G27" s="104"/>
      <c r="H27" s="105"/>
    </row>
    <row r="28" spans="2:8" ht="35.25" customHeight="1" x14ac:dyDescent="0.3">
      <c r="B28" s="101"/>
      <c r="C28" s="212" t="s">
        <v>37</v>
      </c>
      <c r="D28" s="213"/>
      <c r="E28" s="210" t="s">
        <v>38</v>
      </c>
      <c r="F28" s="211"/>
      <c r="G28" s="104"/>
      <c r="H28" s="105"/>
    </row>
    <row r="29" spans="2:8" ht="33" customHeight="1" x14ac:dyDescent="0.3">
      <c r="B29" s="101"/>
      <c r="C29" s="212" t="s">
        <v>37</v>
      </c>
      <c r="D29" s="213"/>
      <c r="E29" s="210" t="s">
        <v>38</v>
      </c>
      <c r="F29" s="211"/>
      <c r="G29" s="104"/>
      <c r="H29" s="105"/>
    </row>
    <row r="30" spans="2:8" ht="30" customHeight="1" x14ac:dyDescent="0.3">
      <c r="B30" s="101"/>
      <c r="C30" s="212" t="s">
        <v>39</v>
      </c>
      <c r="D30" s="213"/>
      <c r="E30" s="210" t="s">
        <v>40</v>
      </c>
      <c r="F30" s="211"/>
      <c r="G30" s="104"/>
      <c r="H30" s="105"/>
    </row>
    <row r="31" spans="2:8" ht="35.25" customHeight="1" x14ac:dyDescent="0.3">
      <c r="B31" s="101"/>
      <c r="C31" s="212" t="s">
        <v>41</v>
      </c>
      <c r="D31" s="213"/>
      <c r="E31" s="210" t="s">
        <v>42</v>
      </c>
      <c r="F31" s="211"/>
      <c r="G31" s="104"/>
      <c r="H31" s="105"/>
    </row>
    <row r="32" spans="2:8" ht="31.5" customHeight="1" x14ac:dyDescent="0.3">
      <c r="B32" s="101"/>
      <c r="C32" s="212" t="s">
        <v>43</v>
      </c>
      <c r="D32" s="213"/>
      <c r="E32" s="210" t="s">
        <v>44</v>
      </c>
      <c r="F32" s="211"/>
      <c r="G32" s="104"/>
      <c r="H32" s="105"/>
    </row>
    <row r="33" spans="2:8" ht="35.25" customHeight="1" x14ac:dyDescent="0.3">
      <c r="B33" s="101"/>
      <c r="C33" s="212" t="s">
        <v>45</v>
      </c>
      <c r="D33" s="213"/>
      <c r="E33" s="210" t="s">
        <v>46</v>
      </c>
      <c r="F33" s="211"/>
      <c r="G33" s="104"/>
      <c r="H33" s="105"/>
    </row>
    <row r="34" spans="2:8" ht="59.25" customHeight="1" x14ac:dyDescent="0.3">
      <c r="B34" s="101"/>
      <c r="C34" s="212" t="s">
        <v>47</v>
      </c>
      <c r="D34" s="213"/>
      <c r="E34" s="210" t="s">
        <v>48</v>
      </c>
      <c r="F34" s="211"/>
      <c r="G34" s="104"/>
      <c r="H34" s="105"/>
    </row>
    <row r="35" spans="2:8" ht="29.25" customHeight="1" x14ac:dyDescent="0.3">
      <c r="B35" s="101"/>
      <c r="C35" s="212" t="s">
        <v>49</v>
      </c>
      <c r="D35" s="213"/>
      <c r="E35" s="210" t="s">
        <v>50</v>
      </c>
      <c r="F35" s="211"/>
      <c r="G35" s="104"/>
      <c r="H35" s="105"/>
    </row>
    <row r="36" spans="2:8" ht="82.5" customHeight="1" x14ac:dyDescent="0.3">
      <c r="B36" s="101"/>
      <c r="C36" s="212" t="s">
        <v>51</v>
      </c>
      <c r="D36" s="213"/>
      <c r="E36" s="210" t="s">
        <v>52</v>
      </c>
      <c r="F36" s="211"/>
      <c r="G36" s="104"/>
      <c r="H36" s="105"/>
    </row>
    <row r="37" spans="2:8" ht="46.5" customHeight="1" x14ac:dyDescent="0.3">
      <c r="B37" s="101"/>
      <c r="C37" s="212" t="s">
        <v>53</v>
      </c>
      <c r="D37" s="213"/>
      <c r="E37" s="210" t="s">
        <v>54</v>
      </c>
      <c r="F37" s="211"/>
      <c r="G37" s="104"/>
      <c r="H37" s="105"/>
    </row>
    <row r="38" spans="2:8" ht="6.75" customHeight="1" thickBot="1" x14ac:dyDescent="0.35">
      <c r="B38" s="101"/>
      <c r="C38" s="223"/>
      <c r="D38" s="224"/>
      <c r="E38" s="225"/>
      <c r="F38" s="226"/>
      <c r="G38" s="104"/>
      <c r="H38" s="105"/>
    </row>
    <row r="39" spans="2:8" ht="15" thickTop="1" x14ac:dyDescent="0.3">
      <c r="B39" s="101"/>
      <c r="C39" s="102"/>
      <c r="D39" s="102"/>
      <c r="E39" s="103"/>
      <c r="F39" s="103"/>
      <c r="G39" s="104"/>
      <c r="H39" s="105"/>
    </row>
    <row r="40" spans="2:8" ht="21" customHeight="1" x14ac:dyDescent="0.3">
      <c r="B40" s="220" t="s">
        <v>55</v>
      </c>
      <c r="C40" s="221"/>
      <c r="D40" s="221"/>
      <c r="E40" s="221"/>
      <c r="F40" s="221"/>
      <c r="G40" s="221"/>
      <c r="H40" s="222"/>
    </row>
    <row r="41" spans="2:8" ht="20.25" customHeight="1" x14ac:dyDescent="0.3">
      <c r="B41" s="220" t="s">
        <v>56</v>
      </c>
      <c r="C41" s="221"/>
      <c r="D41" s="221"/>
      <c r="E41" s="221"/>
      <c r="F41" s="221"/>
      <c r="G41" s="221"/>
      <c r="H41" s="222"/>
    </row>
    <row r="42" spans="2:8" ht="20.25" customHeight="1" x14ac:dyDescent="0.3">
      <c r="B42" s="220" t="s">
        <v>57</v>
      </c>
      <c r="C42" s="221"/>
      <c r="D42" s="221"/>
      <c r="E42" s="221"/>
      <c r="F42" s="221"/>
      <c r="G42" s="221"/>
      <c r="H42" s="222"/>
    </row>
    <row r="43" spans="2:8" ht="20.25" customHeight="1" x14ac:dyDescent="0.3">
      <c r="B43" s="220" t="s">
        <v>58</v>
      </c>
      <c r="C43" s="221"/>
      <c r="D43" s="221"/>
      <c r="E43" s="221"/>
      <c r="F43" s="221"/>
      <c r="G43" s="221"/>
      <c r="H43" s="222"/>
    </row>
    <row r="44" spans="2:8" x14ac:dyDescent="0.3">
      <c r="B44" s="220" t="s">
        <v>59</v>
      </c>
      <c r="C44" s="221"/>
      <c r="D44" s="221"/>
      <c r="E44" s="221"/>
      <c r="F44" s="221"/>
      <c r="G44" s="221"/>
      <c r="H44" s="222"/>
    </row>
    <row r="45" spans="2:8" ht="15" thickBot="1" x14ac:dyDescent="0.35">
      <c r="B45" s="106"/>
      <c r="C45" s="107"/>
      <c r="D45" s="107"/>
      <c r="E45" s="107"/>
      <c r="F45" s="107"/>
      <c r="G45" s="107"/>
      <c r="H45" s="108"/>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W1048576"/>
  <sheetViews>
    <sheetView showGridLines="0" tabSelected="1" topLeftCell="F25" zoomScale="85" zoomScaleNormal="85" workbookViewId="0">
      <selection activeCell="F27" sqref="F27:AQ27"/>
    </sheetView>
  </sheetViews>
  <sheetFormatPr baseColWidth="10" defaultColWidth="11.44140625" defaultRowHeight="13.8" x14ac:dyDescent="0.25"/>
  <cols>
    <col min="1" max="1" width="4.6640625" style="2" customWidth="1"/>
    <col min="2" max="2" width="34.44140625" style="2" customWidth="1"/>
    <col min="3" max="3" width="33.6640625" style="2" customWidth="1"/>
    <col min="4" max="4" width="12" style="2" customWidth="1"/>
    <col min="5" max="5" width="12" style="153" customWidth="1"/>
    <col min="6" max="6" width="14.109375" style="2" customWidth="1"/>
    <col min="7" max="7" width="13.109375" style="2" customWidth="1"/>
    <col min="8" max="8" width="16.109375" style="2" customWidth="1"/>
    <col min="9" max="9" width="32.44140625" style="1" customWidth="1"/>
    <col min="10" max="12" width="19" style="4" customWidth="1"/>
    <col min="13" max="13" width="17.6640625" style="1" customWidth="1"/>
    <col min="14" max="14" width="16.44140625" style="1" customWidth="1"/>
    <col min="15" max="15" width="6.33203125" style="1" bestFit="1" customWidth="1"/>
    <col min="16" max="16" width="27.33203125" style="1" bestFit="1" customWidth="1"/>
    <col min="17" max="17" width="16.109375" style="156" hidden="1" customWidth="1"/>
    <col min="18" max="18" width="17.44140625" style="1" customWidth="1"/>
    <col min="19" max="19" width="6.33203125" style="1" bestFit="1" customWidth="1"/>
    <col min="20" max="20" width="16" style="1" customWidth="1"/>
    <col min="21" max="21" width="5.6640625" style="1" customWidth="1"/>
    <col min="22" max="23" width="31" style="1" customWidth="1"/>
    <col min="24" max="24" width="15.109375" style="1" bestFit="1" customWidth="1"/>
    <col min="25" max="25" width="6.6640625" style="156" customWidth="1"/>
    <col min="26" max="26" width="5" style="156" customWidth="1"/>
    <col min="27" max="27" width="5.44140625" style="156" customWidth="1"/>
    <col min="28" max="28" width="7.109375" style="156" customWidth="1"/>
    <col min="29" max="29" width="6.6640625" style="156" customWidth="1"/>
    <col min="30" max="30" width="7.44140625" style="156" customWidth="1"/>
    <col min="31" max="31" width="36.88671875" style="156" bestFit="1" customWidth="1"/>
    <col min="32" max="32" width="8.6640625" style="156" customWidth="1"/>
    <col min="33" max="33" width="10.44140625" style="1" customWidth="1"/>
    <col min="34" max="34" width="9.33203125" style="156" customWidth="1"/>
    <col min="35" max="35" width="9.109375" style="1" customWidth="1"/>
    <col min="36" max="36" width="8.44140625" style="156" customWidth="1"/>
    <col min="37" max="37" width="7.33203125" style="156" customWidth="1"/>
    <col min="38" max="38" width="23" style="1" customWidth="1"/>
    <col min="39" max="39" width="18.6640625" style="1" customWidth="1"/>
    <col min="40" max="40" width="16.6640625" style="1" customWidth="1"/>
    <col min="41" max="41" width="14.6640625" style="1" customWidth="1"/>
    <col min="42" max="42" width="25" style="1" customWidth="1"/>
    <col min="43" max="43" width="21" style="1" customWidth="1"/>
    <col min="44" max="44" width="14.109375" style="1" customWidth="1"/>
    <col min="45" max="45" width="49.88671875" style="1" customWidth="1"/>
    <col min="46" max="46" width="20.6640625" style="1" customWidth="1"/>
    <col min="47" max="47" width="15.44140625" style="1" customWidth="1"/>
    <col min="48" max="48" width="19.5546875" style="1" customWidth="1"/>
    <col min="49" max="49" width="17.33203125" style="1" customWidth="1"/>
    <col min="50" max="16384" width="11.44140625" style="1"/>
  </cols>
  <sheetData>
    <row r="1" spans="1:75" x14ac:dyDescent="0.25">
      <c r="A1" s="295"/>
      <c r="B1" s="295"/>
      <c r="C1" s="295"/>
      <c r="D1" s="295"/>
      <c r="E1" s="295"/>
      <c r="F1" s="295"/>
      <c r="G1" s="281" t="s">
        <v>60</v>
      </c>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91" t="s">
        <v>61</v>
      </c>
      <c r="AW1" s="291"/>
    </row>
    <row r="2" spans="1:75" x14ac:dyDescent="0.25">
      <c r="A2" s="295"/>
      <c r="B2" s="295"/>
      <c r="C2" s="295"/>
      <c r="D2" s="295"/>
      <c r="E2" s="295"/>
      <c r="F2" s="295"/>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91" t="s">
        <v>62</v>
      </c>
      <c r="AW2" s="291"/>
    </row>
    <row r="3" spans="1:75" x14ac:dyDescent="0.25">
      <c r="A3" s="295"/>
      <c r="B3" s="295"/>
      <c r="C3" s="295"/>
      <c r="D3" s="295"/>
      <c r="E3" s="295"/>
      <c r="F3" s="295"/>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91" t="s">
        <v>391</v>
      </c>
      <c r="AW3" s="291"/>
    </row>
    <row r="4" spans="1:75" ht="54" customHeight="1" x14ac:dyDescent="0.25">
      <c r="A4" s="295"/>
      <c r="B4" s="295"/>
      <c r="C4" s="295"/>
      <c r="D4" s="295"/>
      <c r="E4" s="295"/>
      <c r="F4" s="295"/>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91" t="s">
        <v>63</v>
      </c>
      <c r="AW4" s="291"/>
    </row>
    <row r="5" spans="1:75" ht="28.2" hidden="1" x14ac:dyDescent="0.3">
      <c r="A5" s="140"/>
      <c r="B5" s="141"/>
      <c r="C5" s="141"/>
      <c r="D5" s="141"/>
      <c r="E5" s="141"/>
      <c r="F5" s="141"/>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7"/>
      <c r="AW5" s="143"/>
    </row>
    <row r="6" spans="1:75" ht="23.4" hidden="1" x14ac:dyDescent="0.25">
      <c r="A6" s="276" t="s">
        <v>64</v>
      </c>
      <c r="B6" s="277"/>
      <c r="C6" s="277"/>
      <c r="D6" s="278"/>
      <c r="E6" s="292"/>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4"/>
      <c r="AX6" s="5"/>
      <c r="AY6" s="5"/>
      <c r="AZ6" s="5"/>
      <c r="BA6" s="5"/>
      <c r="BB6" s="5"/>
      <c r="BC6" s="5"/>
      <c r="BD6" s="5"/>
      <c r="BE6" s="5"/>
      <c r="BF6" s="5"/>
      <c r="BG6" s="5"/>
      <c r="BH6" s="5"/>
      <c r="BI6" s="5"/>
      <c r="BJ6" s="5"/>
      <c r="BK6" s="5"/>
      <c r="BL6" s="5"/>
      <c r="BM6" s="5"/>
      <c r="BN6" s="5"/>
      <c r="BO6" s="5"/>
      <c r="BP6" s="5"/>
      <c r="BQ6" s="5"/>
      <c r="BR6" s="5"/>
      <c r="BS6" s="5"/>
      <c r="BT6" s="5"/>
      <c r="BU6" s="5"/>
      <c r="BV6" s="5"/>
      <c r="BW6" s="5"/>
    </row>
    <row r="7" spans="1:75" ht="23.4" hidden="1" x14ac:dyDescent="0.25">
      <c r="A7" s="276" t="s">
        <v>65</v>
      </c>
      <c r="B7" s="277"/>
      <c r="C7" s="277"/>
      <c r="D7" s="278"/>
      <c r="E7" s="292"/>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4"/>
      <c r="AX7" s="5"/>
      <c r="AY7" s="5"/>
      <c r="AZ7" s="5"/>
      <c r="BA7" s="5"/>
      <c r="BB7" s="5"/>
      <c r="BC7" s="5"/>
      <c r="BD7" s="5"/>
      <c r="BE7" s="5"/>
      <c r="BF7" s="5"/>
      <c r="BG7" s="5"/>
      <c r="BH7" s="5"/>
      <c r="BI7" s="5"/>
      <c r="BJ7" s="5"/>
      <c r="BK7" s="5"/>
      <c r="BL7" s="5"/>
      <c r="BM7" s="5"/>
      <c r="BN7" s="5"/>
      <c r="BO7" s="5"/>
      <c r="BP7" s="5"/>
      <c r="BQ7" s="5"/>
      <c r="BR7" s="5"/>
      <c r="BS7" s="5"/>
      <c r="BT7" s="5"/>
      <c r="BU7" s="5"/>
      <c r="BV7" s="5"/>
      <c r="BW7" s="5"/>
    </row>
    <row r="8" spans="1:75" ht="23.4" hidden="1" x14ac:dyDescent="0.25">
      <c r="A8" s="276" t="s">
        <v>66</v>
      </c>
      <c r="B8" s="277"/>
      <c r="C8" s="277"/>
      <c r="D8" s="278"/>
      <c r="E8" s="292"/>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4"/>
      <c r="AX8" s="5"/>
      <c r="AY8" s="5"/>
      <c r="AZ8" s="5"/>
      <c r="BA8" s="5"/>
      <c r="BB8" s="5"/>
      <c r="BC8" s="5"/>
      <c r="BD8" s="5"/>
      <c r="BE8" s="5"/>
      <c r="BF8" s="5"/>
      <c r="BG8" s="5"/>
      <c r="BH8" s="5"/>
      <c r="BI8" s="5"/>
      <c r="BJ8" s="5"/>
      <c r="BK8" s="5"/>
      <c r="BL8" s="5"/>
      <c r="BM8" s="5"/>
      <c r="BN8" s="5"/>
      <c r="BO8" s="5"/>
      <c r="BP8" s="5"/>
      <c r="BQ8" s="5"/>
      <c r="BR8" s="5"/>
      <c r="BS8" s="5"/>
      <c r="BT8" s="5"/>
      <c r="BU8" s="5"/>
      <c r="BV8" s="5"/>
      <c r="BW8" s="5"/>
    </row>
    <row r="9" spans="1:75" ht="15.6" x14ac:dyDescent="0.25">
      <c r="A9" s="274" t="s">
        <v>67</v>
      </c>
      <c r="B9" s="274"/>
      <c r="C9" s="274"/>
      <c r="D9" s="274"/>
      <c r="E9" s="274"/>
      <c r="F9" s="274"/>
      <c r="G9" s="275"/>
      <c r="H9" s="275"/>
      <c r="I9" s="275"/>
      <c r="J9" s="275"/>
      <c r="K9" s="275"/>
      <c r="L9" s="275"/>
      <c r="M9" s="275"/>
      <c r="N9" s="275" t="s">
        <v>68</v>
      </c>
      <c r="O9" s="275"/>
      <c r="P9" s="275"/>
      <c r="Q9" s="275"/>
      <c r="R9" s="275"/>
      <c r="S9" s="275"/>
      <c r="T9" s="275"/>
      <c r="U9" s="275" t="s">
        <v>69</v>
      </c>
      <c r="V9" s="275"/>
      <c r="W9" s="275"/>
      <c r="X9" s="275"/>
      <c r="Y9" s="275"/>
      <c r="Z9" s="275"/>
      <c r="AA9" s="275"/>
      <c r="AB9" s="275"/>
      <c r="AC9" s="275"/>
      <c r="AD9" s="275"/>
      <c r="AE9" s="275" t="s">
        <v>70</v>
      </c>
      <c r="AF9" s="275"/>
      <c r="AG9" s="275"/>
      <c r="AH9" s="275"/>
      <c r="AI9" s="275"/>
      <c r="AJ9" s="275"/>
      <c r="AK9" s="275"/>
      <c r="AL9" s="271" t="s">
        <v>71</v>
      </c>
      <c r="AM9" s="272"/>
      <c r="AN9" s="272"/>
      <c r="AO9" s="272"/>
      <c r="AP9" s="272"/>
      <c r="AQ9" s="272"/>
      <c r="AR9" s="272"/>
      <c r="AS9" s="272"/>
      <c r="AT9" s="272"/>
      <c r="AU9" s="272"/>
      <c r="AV9" s="272"/>
      <c r="AW9" s="272"/>
      <c r="AX9" s="5"/>
      <c r="AY9" s="5"/>
      <c r="AZ9" s="5"/>
      <c r="BA9" s="5"/>
      <c r="BB9" s="5"/>
      <c r="BC9" s="5"/>
      <c r="BD9" s="5"/>
      <c r="BE9" s="5"/>
      <c r="BF9" s="5"/>
      <c r="BG9" s="5"/>
      <c r="BH9" s="5"/>
      <c r="BI9" s="5"/>
      <c r="BJ9" s="5"/>
      <c r="BK9" s="5"/>
      <c r="BL9" s="5"/>
      <c r="BM9" s="5"/>
      <c r="BN9" s="5"/>
      <c r="BO9" s="5"/>
      <c r="BP9" s="5"/>
      <c r="BQ9" s="5"/>
      <c r="BR9" s="5"/>
      <c r="BS9" s="5"/>
      <c r="BT9" s="5"/>
      <c r="BU9" s="5"/>
      <c r="BV9" s="5"/>
      <c r="BW9" s="5"/>
    </row>
    <row r="10" spans="1:75" ht="16.5" customHeight="1" x14ac:dyDescent="0.25">
      <c r="A10" s="280" t="s">
        <v>72</v>
      </c>
      <c r="B10" s="274" t="s">
        <v>7</v>
      </c>
      <c r="C10" s="274" t="s">
        <v>9</v>
      </c>
      <c r="D10" s="274" t="s">
        <v>73</v>
      </c>
      <c r="E10" s="273" t="s">
        <v>74</v>
      </c>
      <c r="F10" s="274" t="s">
        <v>15</v>
      </c>
      <c r="G10" s="273" t="s">
        <v>17</v>
      </c>
      <c r="H10" s="273" t="s">
        <v>19</v>
      </c>
      <c r="I10" s="274" t="s">
        <v>21</v>
      </c>
      <c r="J10" s="273" t="s">
        <v>23</v>
      </c>
      <c r="K10" s="273" t="s">
        <v>75</v>
      </c>
      <c r="L10" s="273" t="s">
        <v>76</v>
      </c>
      <c r="M10" s="273" t="s">
        <v>77</v>
      </c>
      <c r="N10" s="273" t="s">
        <v>78</v>
      </c>
      <c r="O10" s="274" t="s">
        <v>79</v>
      </c>
      <c r="P10" s="273" t="s">
        <v>80</v>
      </c>
      <c r="Q10" s="273" t="s">
        <v>81</v>
      </c>
      <c r="R10" s="273" t="s">
        <v>82</v>
      </c>
      <c r="S10" s="274" t="s">
        <v>79</v>
      </c>
      <c r="T10" s="273" t="s">
        <v>29</v>
      </c>
      <c r="U10" s="279" t="s">
        <v>83</v>
      </c>
      <c r="V10" s="273" t="s">
        <v>31</v>
      </c>
      <c r="W10" s="273" t="s">
        <v>84</v>
      </c>
      <c r="X10" s="273" t="s">
        <v>33</v>
      </c>
      <c r="Y10" s="273" t="s">
        <v>85</v>
      </c>
      <c r="Z10" s="273"/>
      <c r="AA10" s="273"/>
      <c r="AB10" s="273"/>
      <c r="AC10" s="273"/>
      <c r="AD10" s="273"/>
      <c r="AE10" s="279" t="s">
        <v>86</v>
      </c>
      <c r="AF10" s="279" t="s">
        <v>87</v>
      </c>
      <c r="AG10" s="279" t="s">
        <v>79</v>
      </c>
      <c r="AH10" s="279" t="s">
        <v>88</v>
      </c>
      <c r="AI10" s="279" t="s">
        <v>79</v>
      </c>
      <c r="AJ10" s="279" t="s">
        <v>89</v>
      </c>
      <c r="AK10" s="279" t="s">
        <v>49</v>
      </c>
      <c r="AL10" s="273" t="s">
        <v>71</v>
      </c>
      <c r="AM10" s="273" t="s">
        <v>90</v>
      </c>
      <c r="AN10" s="273" t="s">
        <v>91</v>
      </c>
      <c r="AO10" s="273" t="s">
        <v>92</v>
      </c>
      <c r="AP10" s="273" t="s">
        <v>93</v>
      </c>
      <c r="AQ10" s="273" t="s">
        <v>53</v>
      </c>
      <c r="AR10" s="273" t="s">
        <v>92</v>
      </c>
      <c r="AS10" s="273" t="s">
        <v>94</v>
      </c>
      <c r="AT10" s="273" t="s">
        <v>53</v>
      </c>
      <c r="AU10" s="273" t="s">
        <v>92</v>
      </c>
      <c r="AV10" s="273" t="s">
        <v>95</v>
      </c>
      <c r="AW10" s="273" t="s">
        <v>53</v>
      </c>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row>
    <row r="11" spans="1:75" s="3" customFormat="1" ht="94.5" customHeight="1" x14ac:dyDescent="0.3">
      <c r="A11" s="280"/>
      <c r="B11" s="274"/>
      <c r="C11" s="274"/>
      <c r="D11" s="274"/>
      <c r="E11" s="273"/>
      <c r="F11" s="274"/>
      <c r="G11" s="273"/>
      <c r="H11" s="273"/>
      <c r="I11" s="274"/>
      <c r="J11" s="273"/>
      <c r="K11" s="273"/>
      <c r="L11" s="273"/>
      <c r="M11" s="273"/>
      <c r="N11" s="273"/>
      <c r="O11" s="274"/>
      <c r="P11" s="273"/>
      <c r="Q11" s="273"/>
      <c r="R11" s="274"/>
      <c r="S11" s="274"/>
      <c r="T11" s="273"/>
      <c r="U11" s="279"/>
      <c r="V11" s="273"/>
      <c r="W11" s="273"/>
      <c r="X11" s="273"/>
      <c r="Y11" s="127" t="s">
        <v>73</v>
      </c>
      <c r="Z11" s="127" t="s">
        <v>96</v>
      </c>
      <c r="AA11" s="127" t="s">
        <v>97</v>
      </c>
      <c r="AB11" s="127" t="s">
        <v>98</v>
      </c>
      <c r="AC11" s="127" t="s">
        <v>99</v>
      </c>
      <c r="AD11" s="127" t="s">
        <v>100</v>
      </c>
      <c r="AE11" s="279"/>
      <c r="AF11" s="279"/>
      <c r="AG11" s="279"/>
      <c r="AH11" s="279"/>
      <c r="AI11" s="279"/>
      <c r="AJ11" s="279"/>
      <c r="AK11" s="279"/>
      <c r="AL11" s="273"/>
      <c r="AM11" s="273"/>
      <c r="AN11" s="273"/>
      <c r="AO11" s="273"/>
      <c r="AP11" s="273"/>
      <c r="AQ11" s="273"/>
      <c r="AR11" s="273"/>
      <c r="AS11" s="273"/>
      <c r="AT11" s="273"/>
      <c r="AU11" s="273"/>
      <c r="AV11" s="273"/>
      <c r="AW11" s="273"/>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s="3" customFormat="1" ht="9.75" customHeight="1" x14ac:dyDescent="0.3">
      <c r="A12" s="127"/>
      <c r="B12" s="127"/>
      <c r="C12" s="127"/>
      <c r="D12" s="146"/>
      <c r="E12" s="144"/>
      <c r="F12" s="146"/>
      <c r="G12" s="144"/>
      <c r="H12" s="144"/>
      <c r="I12" s="146"/>
      <c r="J12" s="144"/>
      <c r="K12" s="144"/>
      <c r="L12" s="144"/>
      <c r="M12" s="144"/>
      <c r="N12" s="144"/>
      <c r="O12" s="146"/>
      <c r="P12" s="144"/>
      <c r="Q12" s="144"/>
      <c r="R12" s="146"/>
      <c r="S12" s="146"/>
      <c r="T12" s="144"/>
      <c r="U12" s="145"/>
      <c r="V12" s="144"/>
      <c r="W12" s="144"/>
      <c r="X12" s="144"/>
      <c r="Y12" s="127"/>
      <c r="Z12" s="127"/>
      <c r="AA12" s="127"/>
      <c r="AB12" s="127"/>
      <c r="AC12" s="127"/>
      <c r="AD12" s="127"/>
      <c r="AE12" s="145"/>
      <c r="AF12" s="145"/>
      <c r="AG12" s="145"/>
      <c r="AH12" s="145"/>
      <c r="AI12" s="145"/>
      <c r="AJ12" s="145"/>
      <c r="AK12" s="145"/>
      <c r="AL12" s="144"/>
      <c r="AM12" s="144"/>
      <c r="AN12" s="144"/>
      <c r="AO12" s="144"/>
      <c r="AP12" s="144"/>
      <c r="AQ12" s="144"/>
      <c r="AR12" s="144"/>
      <c r="AS12" s="144"/>
      <c r="AT12" s="144"/>
      <c r="AU12" s="144"/>
      <c r="AV12" s="144"/>
      <c r="AW12" s="144"/>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row>
    <row r="13" spans="1:75" ht="262.5" customHeight="1" x14ac:dyDescent="0.25">
      <c r="A13" s="116">
        <v>1</v>
      </c>
      <c r="B13" s="150" t="s">
        <v>101</v>
      </c>
      <c r="C13" s="150" t="s">
        <v>102</v>
      </c>
      <c r="D13" s="116" t="s">
        <v>103</v>
      </c>
      <c r="E13" s="151" t="s">
        <v>104</v>
      </c>
      <c r="F13" s="117" t="s">
        <v>105</v>
      </c>
      <c r="G13" s="117" t="s">
        <v>106</v>
      </c>
      <c r="H13" s="117" t="s">
        <v>107</v>
      </c>
      <c r="I13" s="118" t="s">
        <v>108</v>
      </c>
      <c r="J13" s="117" t="s">
        <v>109</v>
      </c>
      <c r="K13" s="117" t="s">
        <v>110</v>
      </c>
      <c r="L13" s="117" t="s">
        <v>111</v>
      </c>
      <c r="M13" s="119">
        <v>2</v>
      </c>
      <c r="N13" s="120" t="str">
        <f>IF(M13&lt;=0,"",IF(M13&lt;=2,"Muy Baja",IF(M13&lt;=24,"Baja",IF(M13&lt;=500,"Media",IF(M13&lt;=5000,"Alta","Muy Alta")))))</f>
        <v>Muy Baja</v>
      </c>
      <c r="O13" s="121">
        <f>IF(N13="","",IF(N13="Muy Baja",0.2,IF(N13="Baja",0.4,IF(N13="Media",0.6,IF(N13="Alta",0.8,IF(N13="Muy Alta",1,))))))</f>
        <v>0.2</v>
      </c>
      <c r="P13" s="122" t="s">
        <v>112</v>
      </c>
      <c r="Q13" s="155" t="str">
        <f>IF(NOT(ISERROR(MATCH(P13,'Tabla Impacto'!$B$221:$B$223,0))),'Tabla Impacto'!$F$223&amp;"Por favor no seleccionar los criterios de impacto(Afectación Económica o presupuestal y Pérdida Reputacional)",P13)</f>
        <v xml:space="preserve">     El riesgo afecta la imagen de la entidad con algunos usuarios de relevancia frente al logro de los objetivos</v>
      </c>
      <c r="R13" s="120" t="str">
        <f>IF(OR(Q13='Tabla Impacto'!$C$11,Q13='Tabla Impacto'!$D$11),"Leve",IF(OR(Q13='Tabla Impacto'!$C$12,Q13='Tabla Impacto'!$D$12),"Menor",IF(OR(Q13='Tabla Impacto'!$C$13,Q13='Tabla Impacto'!$D$13),"Moderado",IF(OR(Q13='Tabla Impacto'!$C$14,Q13='Tabla Impacto'!$D$14),"Mayor",IF(OR(Q13='Tabla Impacto'!$C$15,Q13='Tabla Impacto'!$D$15),"Catastrófico","")))))</f>
        <v>Moderado</v>
      </c>
      <c r="S13" s="121">
        <v>0.2</v>
      </c>
      <c r="T13" s="123" t="str">
        <f>IF(OR(AND(N13="Muy Baja",R13="Leve"),AND(N13="Muy Baja",R13="Menor"),AND(N13="Baja",R13="Leve")),"Bajo",IF(OR(AND(N13="Muy baja",R13="Moderado"),AND(N13="Baja",R13="Menor"),AND(N13="Baja",R13="Moderado"),AND(N13="Media",R13="Leve"),AND(N13="Media",R13="Menor"),AND(N13="Media",R13="Moderado"),AND(N13="Alta",R13="Leve"),AND(N13="Alta",R13="Menor")),"Moderado",IF(OR(AND(N13="Muy Baja",R13="Mayor"),AND(N13="Baja",R13="Mayor"),AND(N13="Media",R13="Mayor"),AND(N13="Alta",R13="Moderado"),AND(N13="Alta",R13="Mayor"),AND(N13="Muy Alta",R13="Leve"),AND(N13="Muy Alta",R13="Menor"),AND(N13="Muy Alta",R13="Moderado"),AND(N13="Muy Alta",R13="Mayor")),"Alto",IF(OR(AND(N13="Muy Baja",R13="Catastrófico"),AND(N13="Baja",R13="Catastrófico"),AND(N13="Media",R13="Catastrófico"),AND(N13="Alta",R13="Catastrófico"),AND(N13="Muy Alta",R13="Catastrófico")),"Extremo",""))))</f>
        <v>Moderado</v>
      </c>
      <c r="U13" s="116">
        <v>1</v>
      </c>
      <c r="V13" s="148" t="s">
        <v>113</v>
      </c>
      <c r="W13" s="148" t="s">
        <v>114</v>
      </c>
      <c r="X13" s="124" t="s">
        <v>115</v>
      </c>
      <c r="Y13" s="189" t="s">
        <v>116</v>
      </c>
      <c r="Z13" s="189" t="s">
        <v>117</v>
      </c>
      <c r="AA13" s="125" t="str">
        <f>IF(AND(Y13="Preventivo",Z13="Automático"),"50%",IF(AND(Y13="Preventivo",Z13="Manual"),"40%",IF(AND(Y13="Detectivo",Z13="Automático"),"40%",IF(AND(Y13="Detectivo",Z13="Manual"),"30%",IF(AND(Y13="Correctivo",Z13="Automático"),"35%",IF(AND(Y13="Correctivo",Z13="Manual"),"25%",""))))))</f>
        <v>30%</v>
      </c>
      <c r="AB13" s="189" t="s">
        <v>118</v>
      </c>
      <c r="AC13" s="189" t="s">
        <v>119</v>
      </c>
      <c r="AD13" s="189" t="s">
        <v>120</v>
      </c>
      <c r="AE13" s="202">
        <f>IFERROR(IF(X13="Probabilidad",(O13-(+O13*AA13)),IF(X13="Impacto",O13,"")),"")</f>
        <v>0.14000000000000001</v>
      </c>
      <c r="AF13" s="193" t="str">
        <f>IFERROR(IF(AE13="","",IF(AE13&lt;=0.2,"Muy Baja",IF(AE13&lt;=0.4,"Baja",IF(AE13&lt;=0.6,"Media",IF(AE13&lt;=0.8,"Alta","Muy Alta"))))),"")</f>
        <v>Muy Baja</v>
      </c>
      <c r="AG13" s="125">
        <f>+AE13</f>
        <v>0.14000000000000001</v>
      </c>
      <c r="AH13" s="193" t="str">
        <f>IFERROR(IF(AI13="","",IF(AI13&lt;=0.2,"Leve",IF(AI13&lt;=0.4,"Menor",IF(AI13&lt;=0.6,"Moderado",IF(AI13&lt;=0.8,"Mayor","Catastrófico"))))),"")</f>
        <v>Leve</v>
      </c>
      <c r="AI13" s="125">
        <f>IFERROR(IF(X13="Impacto",(S13-(+S13*AA13)),IF(X13="Probabilidad",S13,"")),"")</f>
        <v>0.2</v>
      </c>
      <c r="AJ13" s="195" t="str">
        <f>IFERROR(IF(OR(AND(AF13="Muy Baja",AH13="Leve"),AND(AF13="Muy Baja",AH13="Menor"),AND(AF13="Baja",AH13="Leve")),"Bajo",IF(OR(AND(AF13="Muy baja",AH13="Moderado"),AND(AF13="Baja",AH13="Menor"),AND(AF13="Baja",AH13="Moderado"),AND(AF13="Media",AH13="Leve"),AND(AF13="Media",AH13="Menor"),AND(AF13="Media",AH13="Moderado"),AND(AF13="Alta",AH13="Leve"),AND(AF13="Alta",AH13="Menor")),"Moderado",IF(OR(AND(AF13="Muy Baja",AH13="Mayor"),AND(AF13="Baja",AH13="Mayor"),AND(AF13="Media",AH13="Mayor"),AND(AF13="Alta",AH13="Moderado"),AND(AF13="Alta",AH13="Mayor"),AND(AF13="Muy Alta",AH13="Leve"),AND(AF13="Muy Alta",AH13="Menor"),AND(AF13="Muy Alta",AH13="Moderado"),AND(AF13="Muy Alta",AH13="Mayor")),"Alto",IF(OR(AND(AF13="Muy Baja",AH13="Catastrófico"),AND(AF13="Baja",AH13="Catastrófico"),AND(AF13="Media",AH13="Catastrófico"),AND(AF13="Alta",AH13="Catastrófico"),AND(AF13="Muy Alta",AH13="Catastrófico")),"Extremo","")))),"")</f>
        <v>Bajo</v>
      </c>
      <c r="AK13" s="189" t="s">
        <v>121</v>
      </c>
      <c r="AL13" s="117" t="s">
        <v>385</v>
      </c>
      <c r="AM13" s="117" t="s">
        <v>386</v>
      </c>
      <c r="AN13" s="126">
        <v>45291</v>
      </c>
      <c r="AO13" s="197"/>
      <c r="AP13" s="197"/>
      <c r="AQ13" s="119"/>
      <c r="AR13" s="126"/>
      <c r="AS13" s="204"/>
      <c r="AT13" s="119"/>
      <c r="AU13" s="126"/>
      <c r="AV13" s="117"/>
      <c r="AW13" s="119"/>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row>
    <row r="14" spans="1:75" ht="172.95" customHeight="1" x14ac:dyDescent="0.25">
      <c r="A14" s="116">
        <v>2</v>
      </c>
      <c r="B14" s="151" t="s">
        <v>122</v>
      </c>
      <c r="C14" s="151" t="s">
        <v>123</v>
      </c>
      <c r="D14" s="116" t="s">
        <v>103</v>
      </c>
      <c r="E14" s="151" t="s">
        <v>104</v>
      </c>
      <c r="F14" s="117" t="s">
        <v>105</v>
      </c>
      <c r="G14" s="117" t="s">
        <v>124</v>
      </c>
      <c r="H14" s="117" t="s">
        <v>125</v>
      </c>
      <c r="I14" s="118" t="s">
        <v>126</v>
      </c>
      <c r="J14" s="117" t="s">
        <v>127</v>
      </c>
      <c r="K14" s="117" t="s">
        <v>128</v>
      </c>
      <c r="L14" s="117" t="s">
        <v>128</v>
      </c>
      <c r="M14" s="119">
        <v>8</v>
      </c>
      <c r="N14" s="120" t="str">
        <f t="shared" ref="N14:N24" si="0">IF(M14&lt;=0,"",IF(M14&lt;=2,"Muy Baja",IF(M14&lt;=24,"Baja",IF(M14&lt;=500,"Media",IF(M14&lt;=5000,"Alta","Muy Alta")))))</f>
        <v>Baja</v>
      </c>
      <c r="O14" s="121">
        <f>IF(N14="","",IF(N14="Muy Baja",0.2,IF(N14="Baja",0.4,IF(N14="Media",0.6,IF(N14="Alta",0.8,IF(N14="Muy Alta",1,))))))</f>
        <v>0.4</v>
      </c>
      <c r="P14" s="122" t="s">
        <v>129</v>
      </c>
      <c r="Q14" s="155" t="str">
        <f>IF(NOT(ISERROR(MATCH(P14,'Tabla Impacto'!$B$221:$B$223,0))),'Tabla Impacto'!$F$223&amp;"Por favor no seleccionar los criterios de impacto(Afectación Económica o presupuestal y Pérdida Reputacional)",P14)</f>
        <v xml:space="preserve">     El riesgo afecta la imagen de de la entidad con efecto publicitario sostenido a nivel de sector administrativo, nivel departamental o municipal</v>
      </c>
      <c r="R14" s="120" t="str">
        <f>IF(OR(Q14='Tabla Impacto'!$C$11,Q14='Tabla Impacto'!$D$11),"Leve",IF(OR(Q14='Tabla Impacto'!$C$12,Q14='Tabla Impacto'!$D$12),"Menor",IF(OR(Q14='Tabla Impacto'!$C$13,Q14='Tabla Impacto'!$D$13),"Moderado",IF(OR(Q14='Tabla Impacto'!$C$14,Q14='Tabla Impacto'!$D$14),"Mayor",IF(OR(Q14='Tabla Impacto'!$C$15,Q14='Tabla Impacto'!$D$15),"Catastrófico","")))))</f>
        <v>Mayor</v>
      </c>
      <c r="S14" s="121">
        <v>0.8</v>
      </c>
      <c r="T14" s="123" t="str">
        <f>IF(OR(AND(N14="Muy Baja",R14="Leve"),AND(N14="Muy Baja",R14="Menor"),AND(N14="Baja",R14="Leve")),"Bajo",IF(OR(AND(N14="Muy baja",R14="Moderado"),AND(N14="Baja",R14="Menor"),AND(N14="Baja",R14="Moderado"),AND(N14="Media",R14="Leve"),AND(N14="Media",R14="Menor"),AND(N14="Media",R14="Moderado"),AND(N14="Alta",R14="Leve"),AND(N14="Alta",R14="Menor")),"Moderado",IF(OR(AND(N14="Muy Baja",R14="Mayor"),AND(N14="Baja",R14="Mayor"),AND(N14="Media",R14="Mayor"),AND(N14="Alta",R14="Moderado"),AND(N14="Alta",R14="Mayor"),AND(N14="Muy Alta",R14="Leve"),AND(N14="Muy Alta",R14="Menor"),AND(N14="Muy Alta",R14="Moderado"),AND(N14="Muy Alta",R14="Mayor")),"Alto",IF(OR(AND(N14="Muy Baja",R14="Catastrófico"),AND(N14="Baja",R14="Catastrófico"),AND(N14="Media",R14="Catastrófico"),AND(N14="Alta",R14="Catastrófico"),AND(N14="Muy Alta",R14="Catastrófico")),"Extremo",""))))</f>
        <v>Alto</v>
      </c>
      <c r="U14" s="116">
        <v>1</v>
      </c>
      <c r="V14" s="148" t="s">
        <v>130</v>
      </c>
      <c r="W14" s="148" t="s">
        <v>131</v>
      </c>
      <c r="X14" s="124" t="s">
        <v>115</v>
      </c>
      <c r="Y14" s="189" t="s">
        <v>132</v>
      </c>
      <c r="Z14" s="189" t="s">
        <v>117</v>
      </c>
      <c r="AA14" s="125">
        <v>0.4</v>
      </c>
      <c r="AB14" s="189" t="s">
        <v>118</v>
      </c>
      <c r="AC14" s="189" t="s">
        <v>119</v>
      </c>
      <c r="AD14" s="189" t="s">
        <v>120</v>
      </c>
      <c r="AE14" s="202">
        <f>IFERROR(IF(X14="Probabilidad",(O14-(+O14*AA14)),IF(X14="Impacto",O14,"")),"")</f>
        <v>0.24</v>
      </c>
      <c r="AF14" s="193" t="str">
        <f t="shared" ref="AF14:AF26" si="1">IFERROR(IF(AE14="","",IF(AE14&lt;=0.2,"Muy Baja",IF(AE14&lt;=0.4,"Baja",IF(AE14&lt;=0.6,"Media",IF(AE14&lt;=0.8,"Alta","Muy Alta"))))),"")</f>
        <v>Baja</v>
      </c>
      <c r="AG14" s="125">
        <f>+AE14</f>
        <v>0.24</v>
      </c>
      <c r="AH14" s="193" t="str">
        <f t="shared" ref="AH14:AH26" si="2">IFERROR(IF(AI14="","",IF(AI14&lt;=0.2,"Leve",IF(AI14&lt;=0.4,"Menor",IF(AI14&lt;=0.6,"Moderado",IF(AI14&lt;=0.8,"Mayor","Catastrófico"))))),"")</f>
        <v>Mayor</v>
      </c>
      <c r="AI14" s="125">
        <f>IFERROR(IF(X14="Impacto",(S14-(+S14*AA14)),IF(X14="Probabilidad",S14,"")),"")</f>
        <v>0.8</v>
      </c>
      <c r="AJ14" s="195" t="str">
        <f t="shared" ref="AJ14:AJ26" si="3">IFERROR(IF(OR(AND(AF14="Muy Baja",AH14="Leve"),AND(AF14="Muy Baja",AH14="Menor"),AND(AF14="Baja",AH14="Leve")),"Bajo",IF(OR(AND(AF14="Muy baja",AH14="Moderado"),AND(AF14="Baja",AH14="Menor"),AND(AF14="Baja",AH14="Moderado"),AND(AF14="Media",AH14="Leve"),AND(AF14="Media",AH14="Menor"),AND(AF14="Media",AH14="Moderado"),AND(AF14="Alta",AH14="Leve"),AND(AF14="Alta",AH14="Menor")),"Moderado",IF(OR(AND(AF14="Muy Baja",AH14="Mayor"),AND(AF14="Baja",AH14="Mayor"),AND(AF14="Media",AH14="Mayor"),AND(AF14="Alta",AH14="Moderado"),AND(AF14="Alta",AH14="Mayor"),AND(AF14="Muy Alta",AH14="Leve"),AND(AF14="Muy Alta",AH14="Menor"),AND(AF14="Muy Alta",AH14="Moderado"),AND(AF14="Muy Alta",AH14="Mayor")),"Alto",IF(OR(AND(AF14="Muy Baja",AH14="Catastrófico"),AND(AF14="Baja",AH14="Catastrófico"),AND(AF14="Media",AH14="Catastrófico"),AND(AF14="Alta",AH14="Catastrófico"),AND(AF14="Muy Alta",AH14="Catastrófico")),"Extremo","")))),"")</f>
        <v>Alto</v>
      </c>
      <c r="AK14" s="189" t="s">
        <v>121</v>
      </c>
      <c r="AL14" s="117" t="s">
        <v>387</v>
      </c>
      <c r="AM14" s="117" t="s">
        <v>133</v>
      </c>
      <c r="AN14" s="149" t="s">
        <v>392</v>
      </c>
      <c r="AO14" s="197"/>
      <c r="AP14" s="197"/>
      <c r="AQ14" s="196"/>
      <c r="AR14" s="205"/>
      <c r="AS14" s="204"/>
      <c r="AT14" s="119"/>
      <c r="AU14" s="126"/>
      <c r="AV14" s="117"/>
      <c r="AW14" s="119"/>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5" ht="172.95" customHeight="1" x14ac:dyDescent="0.25">
      <c r="A15" s="264">
        <v>3</v>
      </c>
      <c r="B15" s="266" t="s">
        <v>134</v>
      </c>
      <c r="C15" s="266" t="s">
        <v>135</v>
      </c>
      <c r="D15" s="264" t="s">
        <v>103</v>
      </c>
      <c r="E15" s="266" t="s">
        <v>104</v>
      </c>
      <c r="F15" s="268" t="s">
        <v>105</v>
      </c>
      <c r="G15" s="250" t="s">
        <v>136</v>
      </c>
      <c r="H15" s="250" t="s">
        <v>137</v>
      </c>
      <c r="I15" s="270" t="s">
        <v>138</v>
      </c>
      <c r="J15" s="268" t="s">
        <v>139</v>
      </c>
      <c r="K15" s="268" t="s">
        <v>110</v>
      </c>
      <c r="L15" s="268" t="s">
        <v>128</v>
      </c>
      <c r="M15" s="251">
        <v>20</v>
      </c>
      <c r="N15" s="260" t="str">
        <f t="shared" si="0"/>
        <v>Baja</v>
      </c>
      <c r="O15" s="252">
        <v>0.4</v>
      </c>
      <c r="P15" s="262" t="s">
        <v>140</v>
      </c>
      <c r="Q15" s="258" t="s">
        <v>129</v>
      </c>
      <c r="R15" s="260" t="s">
        <v>141</v>
      </c>
      <c r="S15" s="252">
        <v>0.5</v>
      </c>
      <c r="T15" s="256" t="s">
        <v>142</v>
      </c>
      <c r="U15" s="116">
        <v>1</v>
      </c>
      <c r="V15" s="148" t="s">
        <v>143</v>
      </c>
      <c r="W15" s="148" t="s">
        <v>144</v>
      </c>
      <c r="X15" s="124" t="s">
        <v>115</v>
      </c>
      <c r="Y15" s="189" t="s">
        <v>132</v>
      </c>
      <c r="Z15" s="189" t="s">
        <v>117</v>
      </c>
      <c r="AA15" s="125" t="s">
        <v>145</v>
      </c>
      <c r="AB15" s="189" t="s">
        <v>146</v>
      </c>
      <c r="AC15" s="189" t="s">
        <v>147</v>
      </c>
      <c r="AD15" s="189" t="s">
        <v>148</v>
      </c>
      <c r="AE15" s="202">
        <f>IFERROR(IF(X15="Probabilidad",(O15-(+O15*AA15)),IF(X15="Impacto",O15,"")),"")</f>
        <v>0.24</v>
      </c>
      <c r="AF15" s="193" t="str">
        <f t="shared" si="1"/>
        <v>Baja</v>
      </c>
      <c r="AG15" s="125">
        <v>0.24</v>
      </c>
      <c r="AH15" s="193" t="str">
        <f t="shared" si="2"/>
        <v>Moderado</v>
      </c>
      <c r="AI15" s="125">
        <v>0.5</v>
      </c>
      <c r="AJ15" s="195" t="str">
        <f t="shared" si="3"/>
        <v>Moderado</v>
      </c>
      <c r="AK15" s="189" t="s">
        <v>121</v>
      </c>
      <c r="AL15" s="117" t="s">
        <v>388</v>
      </c>
      <c r="AM15" s="204" t="s">
        <v>389</v>
      </c>
      <c r="AN15" s="126">
        <v>44499</v>
      </c>
      <c r="AO15" s="198"/>
      <c r="AP15" s="197"/>
      <c r="AQ15" s="196"/>
      <c r="AR15" s="206"/>
      <c r="AS15" s="207"/>
      <c r="AT15" s="208"/>
      <c r="AU15" s="126"/>
      <c r="AV15" s="117"/>
      <c r="AW15" s="119"/>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spans="1:75" ht="172.95" customHeight="1" x14ac:dyDescent="0.25">
      <c r="A16" s="265"/>
      <c r="B16" s="267"/>
      <c r="C16" s="267"/>
      <c r="D16" s="265"/>
      <c r="E16" s="267"/>
      <c r="F16" s="269"/>
      <c r="G16" s="250"/>
      <c r="H16" s="250"/>
      <c r="I16" s="270"/>
      <c r="J16" s="269"/>
      <c r="K16" s="269"/>
      <c r="L16" s="269"/>
      <c r="M16" s="251"/>
      <c r="N16" s="261"/>
      <c r="O16" s="252"/>
      <c r="P16" s="263"/>
      <c r="Q16" s="259"/>
      <c r="R16" s="261"/>
      <c r="S16" s="252"/>
      <c r="T16" s="257"/>
      <c r="U16" s="116">
        <v>2</v>
      </c>
      <c r="V16" s="148" t="s">
        <v>149</v>
      </c>
      <c r="W16" s="148" t="s">
        <v>150</v>
      </c>
      <c r="X16" s="124" t="s">
        <v>115</v>
      </c>
      <c r="Y16" s="189" t="s">
        <v>116</v>
      </c>
      <c r="Z16" s="189" t="s">
        <v>117</v>
      </c>
      <c r="AA16" s="125" t="s">
        <v>151</v>
      </c>
      <c r="AB16" s="189" t="s">
        <v>118</v>
      </c>
      <c r="AC16" s="189" t="s">
        <v>119</v>
      </c>
      <c r="AD16" s="189" t="s">
        <v>120</v>
      </c>
      <c r="AE16" s="202">
        <f>IFERROR(IF(X16="Probabilidad",(O16-(+O16*AA16)),IF(X16="Impacto",O16,"")),"")</f>
        <v>0</v>
      </c>
      <c r="AF16" s="193" t="str">
        <f t="shared" si="1"/>
        <v>Muy Baja</v>
      </c>
      <c r="AG16" s="125">
        <v>0.16799999999999998</v>
      </c>
      <c r="AH16" s="193" t="str">
        <f t="shared" si="2"/>
        <v>Moderado</v>
      </c>
      <c r="AI16" s="125">
        <v>0.5</v>
      </c>
      <c r="AJ16" s="195" t="str">
        <f t="shared" si="3"/>
        <v>Moderado</v>
      </c>
      <c r="AK16" s="189" t="s">
        <v>121</v>
      </c>
      <c r="AL16" s="117" t="s">
        <v>160</v>
      </c>
      <c r="AM16" s="117" t="s">
        <v>161</v>
      </c>
      <c r="AN16" s="117" t="s">
        <v>162</v>
      </c>
      <c r="AO16" s="198"/>
      <c r="AP16" s="197"/>
      <c r="AQ16" s="196"/>
      <c r="AR16" s="126"/>
      <c r="AS16" s="204"/>
      <c r="AT16" s="119"/>
      <c r="AU16" s="126"/>
      <c r="AV16" s="117"/>
      <c r="AW16" s="119"/>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row>
    <row r="17" spans="1:75" ht="172.95" customHeight="1" x14ac:dyDescent="0.25">
      <c r="A17" s="264">
        <v>4</v>
      </c>
      <c r="B17" s="266" t="s">
        <v>152</v>
      </c>
      <c r="C17" s="266" t="s">
        <v>153</v>
      </c>
      <c r="D17" s="264" t="s">
        <v>103</v>
      </c>
      <c r="E17" s="266" t="s">
        <v>104</v>
      </c>
      <c r="F17" s="268" t="s">
        <v>105</v>
      </c>
      <c r="G17" s="250" t="s">
        <v>154</v>
      </c>
      <c r="H17" s="250" t="s">
        <v>155</v>
      </c>
      <c r="I17" s="270" t="s">
        <v>156</v>
      </c>
      <c r="J17" s="268" t="s">
        <v>127</v>
      </c>
      <c r="K17" s="268" t="s">
        <v>157</v>
      </c>
      <c r="L17" s="268" t="s">
        <v>111</v>
      </c>
      <c r="M17" s="251">
        <v>50</v>
      </c>
      <c r="N17" s="260" t="str">
        <f t="shared" si="0"/>
        <v>Media</v>
      </c>
      <c r="O17" s="252">
        <v>0.6</v>
      </c>
      <c r="P17" s="262" t="s">
        <v>158</v>
      </c>
      <c r="Q17" s="258" t="s">
        <v>129</v>
      </c>
      <c r="R17" s="260" t="s">
        <v>141</v>
      </c>
      <c r="S17" s="252">
        <v>0.5</v>
      </c>
      <c r="T17" s="256" t="s">
        <v>142</v>
      </c>
      <c r="U17" s="116">
        <v>1</v>
      </c>
      <c r="V17" s="117" t="s">
        <v>159</v>
      </c>
      <c r="W17" s="154"/>
      <c r="X17" s="124" t="s">
        <v>115</v>
      </c>
      <c r="Y17" s="189" t="s">
        <v>132</v>
      </c>
      <c r="Z17" s="189" t="s">
        <v>117</v>
      </c>
      <c r="AA17" s="125" t="s">
        <v>145</v>
      </c>
      <c r="AB17" s="189" t="s">
        <v>118</v>
      </c>
      <c r="AC17" s="189" t="s">
        <v>119</v>
      </c>
      <c r="AD17" s="189" t="s">
        <v>148</v>
      </c>
      <c r="AE17" s="202">
        <f>IFERROR(IF(X17="Probabilidad",(O17-(+O17*AA17)),IF(X17="Impacto",O17,"")),"")</f>
        <v>0.36</v>
      </c>
      <c r="AF17" s="193" t="str">
        <f t="shared" si="1"/>
        <v>Baja</v>
      </c>
      <c r="AG17" s="125">
        <v>0.36</v>
      </c>
      <c r="AH17" s="193" t="str">
        <f t="shared" si="2"/>
        <v>Moderado</v>
      </c>
      <c r="AI17" s="125">
        <v>0.5</v>
      </c>
      <c r="AJ17" s="195" t="str">
        <f t="shared" si="3"/>
        <v>Moderado</v>
      </c>
      <c r="AK17" s="189" t="s">
        <v>121</v>
      </c>
      <c r="AL17" s="117" t="s">
        <v>164</v>
      </c>
      <c r="AM17" s="117" t="s">
        <v>161</v>
      </c>
      <c r="AN17" s="117" t="s">
        <v>165</v>
      </c>
      <c r="AO17" s="199"/>
      <c r="AP17" s="197"/>
      <c r="AQ17" s="196"/>
      <c r="AR17" s="126"/>
      <c r="AS17" s="209"/>
      <c r="AT17" s="119"/>
      <c r="AU17" s="126"/>
      <c r="AV17" s="117"/>
      <c r="AW17" s="119"/>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row>
    <row r="18" spans="1:75" ht="172.95" customHeight="1" x14ac:dyDescent="0.25">
      <c r="A18" s="265"/>
      <c r="B18" s="267"/>
      <c r="C18" s="267"/>
      <c r="D18" s="265"/>
      <c r="E18" s="267"/>
      <c r="F18" s="269"/>
      <c r="G18" s="250"/>
      <c r="H18" s="250"/>
      <c r="I18" s="270"/>
      <c r="J18" s="269"/>
      <c r="K18" s="269"/>
      <c r="L18" s="269"/>
      <c r="M18" s="251"/>
      <c r="N18" s="261"/>
      <c r="O18" s="252"/>
      <c r="P18" s="263"/>
      <c r="Q18" s="259"/>
      <c r="R18" s="261"/>
      <c r="S18" s="252"/>
      <c r="T18" s="257"/>
      <c r="U18" s="116">
        <v>2</v>
      </c>
      <c r="V18" s="117" t="s">
        <v>163</v>
      </c>
      <c r="W18" s="154"/>
      <c r="X18" s="124" t="s">
        <v>115</v>
      </c>
      <c r="Y18" s="189" t="s">
        <v>132</v>
      </c>
      <c r="Z18" s="189" t="s">
        <v>117</v>
      </c>
      <c r="AA18" s="125" t="s">
        <v>145</v>
      </c>
      <c r="AB18" s="189" t="s">
        <v>118</v>
      </c>
      <c r="AC18" s="189" t="s">
        <v>119</v>
      </c>
      <c r="AD18" s="189" t="s">
        <v>148</v>
      </c>
      <c r="AE18" s="202">
        <v>0.216</v>
      </c>
      <c r="AF18" s="193" t="str">
        <f t="shared" si="1"/>
        <v>Baja</v>
      </c>
      <c r="AG18" s="125">
        <v>0.216</v>
      </c>
      <c r="AH18" s="193" t="str">
        <f t="shared" si="2"/>
        <v>Moderado</v>
      </c>
      <c r="AI18" s="125">
        <v>0.6</v>
      </c>
      <c r="AJ18" s="195" t="str">
        <f t="shared" si="3"/>
        <v>Moderado</v>
      </c>
      <c r="AK18" s="189" t="s">
        <v>121</v>
      </c>
      <c r="AL18" s="117" t="s">
        <v>164</v>
      </c>
      <c r="AM18" s="117" t="s">
        <v>161</v>
      </c>
      <c r="AN18" s="117" t="s">
        <v>165</v>
      </c>
      <c r="AO18" s="199"/>
      <c r="AP18" s="197"/>
      <c r="AQ18" s="196"/>
      <c r="AR18" s="126"/>
      <c r="AS18" s="117"/>
      <c r="AT18" s="119"/>
      <c r="AU18" s="126"/>
      <c r="AV18" s="117"/>
      <c r="AW18" s="119"/>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ht="172.95" customHeight="1" x14ac:dyDescent="0.25">
      <c r="A19" s="116">
        <v>5</v>
      </c>
      <c r="B19" s="151" t="s">
        <v>152</v>
      </c>
      <c r="C19" s="151" t="s">
        <v>153</v>
      </c>
      <c r="D19" s="116" t="s">
        <v>103</v>
      </c>
      <c r="E19" s="151" t="s">
        <v>104</v>
      </c>
      <c r="F19" s="117" t="s">
        <v>105</v>
      </c>
      <c r="G19" s="117" t="s">
        <v>166</v>
      </c>
      <c r="H19" s="117" t="s">
        <v>167</v>
      </c>
      <c r="I19" s="118" t="s">
        <v>168</v>
      </c>
      <c r="J19" s="117" t="s">
        <v>127</v>
      </c>
      <c r="K19" s="117" t="s">
        <v>157</v>
      </c>
      <c r="L19" s="117" t="s">
        <v>111</v>
      </c>
      <c r="M19" s="119">
        <v>40</v>
      </c>
      <c r="N19" s="120" t="str">
        <f t="shared" si="0"/>
        <v>Media</v>
      </c>
      <c r="O19" s="121">
        <v>0.6</v>
      </c>
      <c r="P19" s="122" t="s">
        <v>112</v>
      </c>
      <c r="Q19" s="155" t="str">
        <f>IF(NOT(ISERROR(MATCH(P19,'Tabla Impacto'!$B$221:$B$223,0))),'Tabla Impacto'!$F$223&amp;"Por favor no seleccionar los criterios de impacto(Afectación Económica o presupuestal y Pérdida Reputacional)",P19)</f>
        <v xml:space="preserve">     El riesgo afecta la imagen de la entidad con algunos usuarios de relevancia frente al logro de los objetivos</v>
      </c>
      <c r="R19" s="120" t="str">
        <f>IF(OR(Q19='Tabla Impacto'!$C$11,Q19='Tabla Impacto'!$D$11),"Leve",IF(OR(Q19='Tabla Impacto'!$C$12,Q19='Tabla Impacto'!$D$12),"Menor",IF(OR(Q19='Tabla Impacto'!$C$13,Q19='Tabla Impacto'!$D$13),"Moderado",IF(OR(Q19='Tabla Impacto'!$C$14,Q19='Tabla Impacto'!$D$14),"Mayor",IF(OR(Q19='Tabla Impacto'!$C$15,Q19='Tabla Impacto'!$D$15),"Catastrófico","")))))</f>
        <v>Moderado</v>
      </c>
      <c r="S19" s="121">
        <v>0.5</v>
      </c>
      <c r="T19" s="123" t="str">
        <f>IF(OR(AND(N19="Muy Baja",R19="Leve"),AND(N19="Muy Baja",R19="Menor"),AND(N19="Baja",R19="Leve")),"Bajo",IF(OR(AND(N19="Muy baja",R19="Moderado"),AND(N19="Baja",R19="Menor"),AND(N19="Baja",R19="Moderado"),AND(N19="Media",R19="Leve"),AND(N19="Media",R19="Menor"),AND(N19="Media",R19="Moderado"),AND(N19="Alta",R19="Leve"),AND(N19="Alta",R19="Menor")),"Moderado",IF(OR(AND(N19="Muy Baja",R19="Mayor"),AND(N19="Baja",R19="Mayor"),AND(N19="Media",R19="Mayor"),AND(N19="Alta",R19="Moderado"),AND(N19="Alta",R19="Mayor"),AND(N19="Muy Alta",R19="Leve"),AND(N19="Muy Alta",R19="Menor"),AND(N19="Muy Alta",R19="Moderado"),AND(N19="Muy Alta",R19="Mayor")),"Alto",IF(OR(AND(N19="Muy Baja",R19="Catastrófico"),AND(N19="Baja",R19="Catastrófico"),AND(N19="Media",R19="Catastrófico"),AND(N19="Alta",R19="Catastrófico"),AND(N19="Muy Alta",R19="Catastrófico")),"Extremo",""))))</f>
        <v>Moderado</v>
      </c>
      <c r="U19" s="116">
        <v>1</v>
      </c>
      <c r="V19" s="117" t="s">
        <v>169</v>
      </c>
      <c r="W19" s="154"/>
      <c r="X19" s="124" t="s">
        <v>115</v>
      </c>
      <c r="Y19" s="189" t="s">
        <v>132</v>
      </c>
      <c r="Z19" s="189" t="s">
        <v>117</v>
      </c>
      <c r="AA19" s="125" t="s">
        <v>145</v>
      </c>
      <c r="AB19" s="189" t="s">
        <v>118</v>
      </c>
      <c r="AC19" s="189" t="s">
        <v>119</v>
      </c>
      <c r="AD19" s="189" t="s">
        <v>148</v>
      </c>
      <c r="AE19" s="202">
        <f>IFERROR(IF(X19="Probabilidad",(O19-(+O19*AA19)),IF(X19="Impacto",O19,"")),"")</f>
        <v>0.36</v>
      </c>
      <c r="AF19" s="193" t="str">
        <f t="shared" si="1"/>
        <v>Baja</v>
      </c>
      <c r="AG19" s="125">
        <v>0.36</v>
      </c>
      <c r="AH19" s="193" t="str">
        <f t="shared" si="2"/>
        <v>Moderado</v>
      </c>
      <c r="AI19" s="125">
        <v>0.5</v>
      </c>
      <c r="AJ19" s="195" t="str">
        <f t="shared" si="3"/>
        <v>Moderado</v>
      </c>
      <c r="AK19" s="189" t="s">
        <v>121</v>
      </c>
      <c r="AL19" s="117" t="s">
        <v>170</v>
      </c>
      <c r="AM19" s="117" t="s">
        <v>171</v>
      </c>
      <c r="AN19" s="117" t="s">
        <v>172</v>
      </c>
      <c r="AO19" s="199"/>
      <c r="AP19" s="197"/>
      <c r="AQ19" s="196"/>
      <c r="AR19" s="126"/>
      <c r="AS19" s="204"/>
      <c r="AT19" s="119"/>
      <c r="AU19" s="126"/>
      <c r="AV19" s="117"/>
      <c r="AW19" s="119"/>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row>
    <row r="20" spans="1:75" ht="172.95" customHeight="1" x14ac:dyDescent="0.25">
      <c r="A20" s="116">
        <v>6</v>
      </c>
      <c r="B20" s="116" t="s">
        <v>173</v>
      </c>
      <c r="C20" s="151" t="s">
        <v>174</v>
      </c>
      <c r="D20" s="116" t="s">
        <v>103</v>
      </c>
      <c r="E20" s="151" t="s">
        <v>104</v>
      </c>
      <c r="F20" s="117" t="s">
        <v>105</v>
      </c>
      <c r="G20" s="118" t="s">
        <v>175</v>
      </c>
      <c r="H20" s="118" t="s">
        <v>176</v>
      </c>
      <c r="I20" s="118" t="s">
        <v>177</v>
      </c>
      <c r="J20" s="117" t="s">
        <v>139</v>
      </c>
      <c r="K20" s="117" t="s">
        <v>178</v>
      </c>
      <c r="L20" s="117" t="s">
        <v>111</v>
      </c>
      <c r="M20" s="119">
        <v>10</v>
      </c>
      <c r="N20" s="120" t="str">
        <f t="shared" si="0"/>
        <v>Baja</v>
      </c>
      <c r="O20" s="121">
        <v>0.4</v>
      </c>
      <c r="P20" s="122" t="s">
        <v>112</v>
      </c>
      <c r="Q20" s="155" t="str">
        <f>IF(NOT(ISERROR(MATCH(P20,'Tabla Impacto'!$B$221:$B$223,0))),'Tabla Impacto'!$F$223&amp;"Por favor no seleccionar los criterios de impacto(Afectación Económica o presupuestal y Pérdida Reputacional)",P20)</f>
        <v xml:space="preserve">     El riesgo afecta la imagen de la entidad con algunos usuarios de relevancia frente al logro de los objetivos</v>
      </c>
      <c r="R20" s="120" t="str">
        <f>IF(OR(Q20='Tabla Impacto'!$C$11,Q20='Tabla Impacto'!$D$11),"Leve",IF(OR(Q20='Tabla Impacto'!$C$12,Q20='Tabla Impacto'!$D$12),"Menor",IF(OR(Q20='Tabla Impacto'!$C$13,Q20='Tabla Impacto'!$D$13),"Moderado",IF(OR(Q20='Tabla Impacto'!$C$14,Q20='Tabla Impacto'!$D$14),"Mayor",IF(OR(Q20='Tabla Impacto'!$C$15,Q20='Tabla Impacto'!$D$15),"Catastrófico","")))))</f>
        <v>Moderado</v>
      </c>
      <c r="S20" s="121">
        <v>0.6</v>
      </c>
      <c r="T20" s="123" t="str">
        <f t="shared" ref="T20:T24" si="4">IF(OR(AND(N20="Muy Baja",R20="Leve"),AND(N20="Muy Baja",R20="Menor"),AND(N20="Baja",R20="Leve")),"Bajo",IF(OR(AND(N20="Muy baja",R20="Moderado"),AND(N20="Baja",R20="Menor"),AND(N20="Baja",R20="Moderado"),AND(N20="Media",R20="Leve"),AND(N20="Media",R20="Menor"),AND(N20="Media",R20="Moderado"),AND(N20="Alta",R20="Leve"),AND(N20="Alta",R20="Menor")),"Moderado",IF(OR(AND(N20="Muy Baja",R20="Mayor"),AND(N20="Baja",R20="Mayor"),AND(N20="Media",R20="Mayor"),AND(N20="Alta",R20="Moderado"),AND(N20="Alta",R20="Mayor"),AND(N20="Muy Alta",R20="Leve"),AND(N20="Muy Alta",R20="Menor"),AND(N20="Muy Alta",R20="Moderado"),AND(N20="Muy Alta",R20="Mayor")),"Alto",IF(OR(AND(N20="Muy Baja",R20="Catastrófico"),AND(N20="Baja",R20="Catastrófico"),AND(N20="Media",R20="Catastrófico"),AND(N20="Alta",R20="Catastrófico"),AND(N20="Muy Alta",R20="Catastrófico")),"Extremo",""))))</f>
        <v>Moderado</v>
      </c>
      <c r="U20" s="116">
        <v>1</v>
      </c>
      <c r="V20" s="117" t="s">
        <v>179</v>
      </c>
      <c r="W20" s="118" t="s">
        <v>180</v>
      </c>
      <c r="X20" s="124" t="s">
        <v>115</v>
      </c>
      <c r="Y20" s="189" t="s">
        <v>132</v>
      </c>
      <c r="Z20" s="189" t="s">
        <v>117</v>
      </c>
      <c r="AA20" s="125" t="s">
        <v>145</v>
      </c>
      <c r="AB20" s="189" t="s">
        <v>118</v>
      </c>
      <c r="AC20" s="189" t="s">
        <v>119</v>
      </c>
      <c r="AD20" s="189" t="s">
        <v>120</v>
      </c>
      <c r="AE20" s="202">
        <f>IFERROR(IF(X20="Probabilidad",(O20-(+O20*AA20)),IF(X20="Impacto",O20,"")),"")</f>
        <v>0.24</v>
      </c>
      <c r="AF20" s="193" t="str">
        <f t="shared" si="1"/>
        <v>Baja</v>
      </c>
      <c r="AG20" s="125">
        <v>0.24</v>
      </c>
      <c r="AH20" s="193" t="str">
        <f t="shared" si="2"/>
        <v>Moderado</v>
      </c>
      <c r="AI20" s="125">
        <v>0.6</v>
      </c>
      <c r="AJ20" s="195" t="str">
        <f t="shared" si="3"/>
        <v>Moderado</v>
      </c>
      <c r="AK20" s="189" t="s">
        <v>121</v>
      </c>
      <c r="AL20" s="117" t="s">
        <v>181</v>
      </c>
      <c r="AM20" s="117" t="s">
        <v>182</v>
      </c>
      <c r="AN20" s="126">
        <v>44958</v>
      </c>
      <c r="AO20" s="198"/>
      <c r="AP20" s="197"/>
      <c r="AQ20" s="196"/>
      <c r="AR20" s="126"/>
      <c r="AS20" s="204"/>
      <c r="AT20" s="119"/>
      <c r="AU20" s="126"/>
      <c r="AV20" s="117"/>
      <c r="AW20" s="119"/>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row>
    <row r="21" spans="1:75" ht="172.95" customHeight="1" x14ac:dyDescent="0.25">
      <c r="A21" s="116">
        <v>7</v>
      </c>
      <c r="B21" s="151" t="s">
        <v>183</v>
      </c>
      <c r="C21" s="151" t="s">
        <v>184</v>
      </c>
      <c r="D21" s="116" t="s">
        <v>103</v>
      </c>
      <c r="E21" s="151" t="s">
        <v>104</v>
      </c>
      <c r="F21" s="117" t="s">
        <v>105</v>
      </c>
      <c r="G21" s="117" t="s">
        <v>185</v>
      </c>
      <c r="H21" s="117" t="s">
        <v>186</v>
      </c>
      <c r="I21" s="118" t="s">
        <v>187</v>
      </c>
      <c r="J21" s="117" t="s">
        <v>127</v>
      </c>
      <c r="K21" s="117" t="s">
        <v>110</v>
      </c>
      <c r="L21" s="117" t="s">
        <v>128</v>
      </c>
      <c r="M21" s="119">
        <v>2</v>
      </c>
      <c r="N21" s="120" t="str">
        <f t="shared" si="0"/>
        <v>Muy Baja</v>
      </c>
      <c r="O21" s="121">
        <v>0.2</v>
      </c>
      <c r="P21" s="122" t="s">
        <v>188</v>
      </c>
      <c r="Q21" s="155" t="str">
        <f>IF(NOT(ISERROR(MATCH(P21,'Tabla Impacto'!$B$221:$B$223,0))),'Tabla Impacto'!$F$223&amp;"Por favor no seleccionar los criterios de impacto(Afectación Económica o presupuestal y Pérdida Reputacional)",P21)</f>
        <v xml:space="preserve">     Mayor a 500 SMLMV </v>
      </c>
      <c r="R21" s="120" t="str">
        <f>IF(OR(Q21='Tabla Impacto'!$C$11,Q21='Tabla Impacto'!$D$11),"Leve",IF(OR(Q21='Tabla Impacto'!$C$12,Q21='Tabla Impacto'!$D$12),"Menor",IF(OR(Q21='Tabla Impacto'!$C$13,Q21='Tabla Impacto'!$D$13),"Moderado",IF(OR(Q21='Tabla Impacto'!$C$14,Q21='Tabla Impacto'!$D$14),"Mayor",IF(OR(Q21='Tabla Impacto'!$C$15,Q21='Tabla Impacto'!$D$15),"Catastrófico","")))))</f>
        <v>Catastrófico</v>
      </c>
      <c r="S21" s="121">
        <v>1</v>
      </c>
      <c r="T21" s="123" t="str">
        <f t="shared" si="4"/>
        <v>Extremo</v>
      </c>
      <c r="U21" s="116">
        <v>1</v>
      </c>
      <c r="V21" s="148" t="s">
        <v>189</v>
      </c>
      <c r="W21" s="154" t="s">
        <v>190</v>
      </c>
      <c r="X21" s="124" t="s">
        <v>115</v>
      </c>
      <c r="Y21" s="189" t="s">
        <v>132</v>
      </c>
      <c r="Z21" s="189" t="s">
        <v>117</v>
      </c>
      <c r="AA21" s="125" t="s">
        <v>145</v>
      </c>
      <c r="AB21" s="189" t="s">
        <v>118</v>
      </c>
      <c r="AC21" s="189" t="s">
        <v>119</v>
      </c>
      <c r="AD21" s="189" t="s">
        <v>120</v>
      </c>
      <c r="AE21" s="202">
        <f t="shared" ref="AE21:AE24" si="5">IFERROR(IF(X21="Probabilidad",(O21-(+O21*AA21)),IF(X21="Impacto",O21,"")),"")</f>
        <v>0.12</v>
      </c>
      <c r="AF21" s="193" t="str">
        <f t="shared" si="1"/>
        <v>Muy Baja</v>
      </c>
      <c r="AG21" s="125">
        <v>0.12</v>
      </c>
      <c r="AH21" s="193" t="str">
        <f t="shared" si="2"/>
        <v>Catastrófico</v>
      </c>
      <c r="AI21" s="125">
        <v>1</v>
      </c>
      <c r="AJ21" s="195" t="str">
        <f t="shared" si="3"/>
        <v>Extremo</v>
      </c>
      <c r="AK21" s="189" t="s">
        <v>121</v>
      </c>
      <c r="AL21" s="117" t="s">
        <v>387</v>
      </c>
      <c r="AM21" s="149" t="s">
        <v>191</v>
      </c>
      <c r="AN21" s="126" t="s">
        <v>192</v>
      </c>
      <c r="AO21" s="126"/>
      <c r="AP21" s="204"/>
      <c r="AQ21" s="119"/>
      <c r="AR21" s="126"/>
      <c r="AS21" s="204"/>
      <c r="AT21" s="119"/>
      <c r="AU21" s="126"/>
      <c r="AV21" s="117"/>
      <c r="AW21" s="119"/>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row>
    <row r="22" spans="1:75" ht="172.95" customHeight="1" x14ac:dyDescent="0.25">
      <c r="A22" s="116">
        <v>8</v>
      </c>
      <c r="B22" s="151" t="s">
        <v>183</v>
      </c>
      <c r="C22" s="151" t="s">
        <v>184</v>
      </c>
      <c r="D22" s="116" t="s">
        <v>103</v>
      </c>
      <c r="E22" s="151" t="s">
        <v>104</v>
      </c>
      <c r="F22" s="117" t="s">
        <v>105</v>
      </c>
      <c r="G22" s="117" t="s">
        <v>193</v>
      </c>
      <c r="H22" s="117" t="s">
        <v>194</v>
      </c>
      <c r="I22" s="118" t="s">
        <v>195</v>
      </c>
      <c r="J22" s="117" t="s">
        <v>127</v>
      </c>
      <c r="K22" s="117" t="s">
        <v>110</v>
      </c>
      <c r="L22" s="117" t="s">
        <v>128</v>
      </c>
      <c r="M22" s="119">
        <v>2</v>
      </c>
      <c r="N22" s="120" t="str">
        <f t="shared" si="0"/>
        <v>Muy Baja</v>
      </c>
      <c r="O22" s="121">
        <v>0.2</v>
      </c>
      <c r="P22" s="122" t="s">
        <v>188</v>
      </c>
      <c r="Q22" s="155" t="str">
        <f>IF(NOT(ISERROR(MATCH(P22,'Tabla Impacto'!$B$221:$B$223,0))),'Tabla Impacto'!$F$223&amp;"Por favor no seleccionar los criterios de impacto(Afectación Económica o presupuestal y Pérdida Reputacional)",P22)</f>
        <v xml:space="preserve">     Mayor a 500 SMLMV </v>
      </c>
      <c r="R22" s="120" t="str">
        <f>IF(OR(Q22='Tabla Impacto'!$C$11,Q22='Tabla Impacto'!$D$11),"Leve",IF(OR(Q22='Tabla Impacto'!$C$12,Q22='Tabla Impacto'!$D$12),"Menor",IF(OR(Q22='Tabla Impacto'!$C$13,Q22='Tabla Impacto'!$D$13),"Moderado",IF(OR(Q22='Tabla Impacto'!$C$14,Q22='Tabla Impacto'!$D$14),"Mayor",IF(OR(Q22='Tabla Impacto'!$C$15,Q22='Tabla Impacto'!$D$15),"Catastrófico","")))))</f>
        <v>Catastrófico</v>
      </c>
      <c r="S22" s="121">
        <v>1</v>
      </c>
      <c r="T22" s="123" t="str">
        <f t="shared" si="4"/>
        <v>Extremo</v>
      </c>
      <c r="U22" s="116">
        <v>1</v>
      </c>
      <c r="V22" s="148" t="s">
        <v>196</v>
      </c>
      <c r="W22" s="154" t="s">
        <v>197</v>
      </c>
      <c r="X22" s="124" t="s">
        <v>115</v>
      </c>
      <c r="Y22" s="189" t="s">
        <v>132</v>
      </c>
      <c r="Z22" s="189" t="s">
        <v>117</v>
      </c>
      <c r="AA22" s="125" t="s">
        <v>145</v>
      </c>
      <c r="AB22" s="189" t="s">
        <v>118</v>
      </c>
      <c r="AC22" s="189" t="s">
        <v>119</v>
      </c>
      <c r="AD22" s="189" t="s">
        <v>120</v>
      </c>
      <c r="AE22" s="202">
        <f t="shared" si="5"/>
        <v>0.12</v>
      </c>
      <c r="AF22" s="193" t="str">
        <f t="shared" si="1"/>
        <v>Muy Baja</v>
      </c>
      <c r="AG22" s="125">
        <v>0.12</v>
      </c>
      <c r="AH22" s="193" t="str">
        <f t="shared" si="2"/>
        <v>Catastrófico</v>
      </c>
      <c r="AI22" s="125">
        <v>1</v>
      </c>
      <c r="AJ22" s="195" t="str">
        <f t="shared" si="3"/>
        <v>Extremo</v>
      </c>
      <c r="AK22" s="189" t="s">
        <v>121</v>
      </c>
      <c r="AL22" s="117" t="s">
        <v>387</v>
      </c>
      <c r="AM22" s="149" t="s">
        <v>191</v>
      </c>
      <c r="AN22" s="126" t="s">
        <v>198</v>
      </c>
      <c r="AO22" s="126"/>
      <c r="AP22" s="204"/>
      <c r="AQ22" s="119"/>
      <c r="AR22" s="126"/>
      <c r="AS22" s="204"/>
      <c r="AT22" s="119"/>
      <c r="AU22" s="126"/>
      <c r="AV22" s="117"/>
      <c r="AW22" s="119"/>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ht="172.95" customHeight="1" x14ac:dyDescent="0.25">
      <c r="A23" s="116">
        <v>9</v>
      </c>
      <c r="B23" s="151" t="s">
        <v>199</v>
      </c>
      <c r="C23" s="151" t="s">
        <v>200</v>
      </c>
      <c r="D23" s="116" t="s">
        <v>103</v>
      </c>
      <c r="E23" s="151" t="s">
        <v>201</v>
      </c>
      <c r="F23" s="117" t="s">
        <v>105</v>
      </c>
      <c r="G23" s="117" t="s">
        <v>202</v>
      </c>
      <c r="H23" s="117" t="s">
        <v>203</v>
      </c>
      <c r="I23" s="118" t="s">
        <v>204</v>
      </c>
      <c r="J23" s="117" t="s">
        <v>139</v>
      </c>
      <c r="K23" s="117" t="s">
        <v>110</v>
      </c>
      <c r="L23" s="117" t="s">
        <v>111</v>
      </c>
      <c r="M23" s="119">
        <v>15</v>
      </c>
      <c r="N23" s="120" t="str">
        <f t="shared" si="0"/>
        <v>Baja</v>
      </c>
      <c r="O23" s="121">
        <f>IF(N23="","",IF(N23="Muy Baja",0.2,IF(N23="Baja",0.4,IF(N23="Media",0.6,IF(N23="Alta",0.8,IF(N23="Muy Alta",1,))))))</f>
        <v>0.4</v>
      </c>
      <c r="P23" s="122" t="s">
        <v>129</v>
      </c>
      <c r="Q23" s="155" t="str">
        <f>IF(NOT(ISERROR(MATCH(P23,'Tabla Impacto'!$B$221:$B$223,0))),'Tabla Impacto'!$F$223&amp;"Por favor no seleccionar los criterios de impacto(Afectación Económica o presupuestal y Pérdida Reputacional)",P23)</f>
        <v xml:space="preserve">     El riesgo afecta la imagen de de la entidad con efecto publicitario sostenido a nivel de sector administrativo, nivel departamental o municipal</v>
      </c>
      <c r="R23" s="120" t="str">
        <f>IF(OR(Q23='Tabla Impacto'!$C$11,Q23='Tabla Impacto'!$D$11),"Leve",IF(OR(Q23='Tabla Impacto'!$C$12,Q23='Tabla Impacto'!$D$12),"Menor",IF(OR(Q23='Tabla Impacto'!$C$13,Q23='Tabla Impacto'!$D$13),"Moderado",IF(OR(Q23='Tabla Impacto'!$C$14,Q23='Tabla Impacto'!$D$14),"Mayor",IF(OR(Q23='Tabla Impacto'!$C$15,Q23='Tabla Impacto'!$D$15),"Catastrófico","")))))</f>
        <v>Mayor</v>
      </c>
      <c r="S23" s="121">
        <v>0.8</v>
      </c>
      <c r="T23" s="123" t="str">
        <f t="shared" si="4"/>
        <v>Alto</v>
      </c>
      <c r="U23" s="116">
        <v>1</v>
      </c>
      <c r="V23" s="148" t="s">
        <v>205</v>
      </c>
      <c r="W23" s="154" t="s">
        <v>206</v>
      </c>
      <c r="X23" s="124" t="str">
        <f>IF(OR(Y23="Preventivo",Y23="Detectivo"),"Probabilidad",IF(Y23="Correctivo","Impacto",""))</f>
        <v>Probabilidad</v>
      </c>
      <c r="Y23" s="189" t="s">
        <v>132</v>
      </c>
      <c r="Z23" s="189" t="s">
        <v>207</v>
      </c>
      <c r="AA23" s="125" t="str">
        <f>IF(AND(Y23="Preventivo",Z23="Automático"),"50%",IF(AND(Y23="Preventivo",Z23="Manual"),"40%",IF(AND(Y23="Detectivo",Z23="Automático"),"40%",IF(AND(Y23="Detectivo",Z23="Manual"),"30%",IF(AND(Y23="Correctivo",Z23="Automático"),"35%",IF(AND(Y23="Correctivo",Z23="Manual"),"25%",""))))))</f>
        <v>50%</v>
      </c>
      <c r="AB23" s="189" t="s">
        <v>118</v>
      </c>
      <c r="AC23" s="189" t="s">
        <v>119</v>
      </c>
      <c r="AD23" s="189" t="s">
        <v>120</v>
      </c>
      <c r="AE23" s="202">
        <f t="shared" si="5"/>
        <v>0.2</v>
      </c>
      <c r="AF23" s="193" t="str">
        <f t="shared" si="1"/>
        <v>Muy Baja</v>
      </c>
      <c r="AG23" s="125">
        <v>0.2</v>
      </c>
      <c r="AH23" s="193" t="str">
        <f t="shared" si="2"/>
        <v>Mayor</v>
      </c>
      <c r="AI23" s="125">
        <f>IFERROR(IF(X23="Impacto",(S23-(+S23*AA23)),IF(X23="Probabilidad",S23,"")),"")</f>
        <v>0.8</v>
      </c>
      <c r="AJ23" s="195" t="str">
        <f t="shared" si="3"/>
        <v>Alto</v>
      </c>
      <c r="AK23" s="189" t="s">
        <v>121</v>
      </c>
      <c r="AL23" s="117"/>
      <c r="AM23" s="117"/>
      <c r="AN23" s="117"/>
      <c r="AO23" s="198"/>
      <c r="AP23" s="197"/>
      <c r="AQ23" s="119"/>
      <c r="AR23" s="126"/>
      <c r="AS23" s="204"/>
      <c r="AT23" s="119"/>
      <c r="AU23" s="126"/>
      <c r="AV23" s="117"/>
      <c r="AW23" s="119"/>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ht="172.95" customHeight="1" x14ac:dyDescent="0.25">
      <c r="A24" s="116">
        <v>10</v>
      </c>
      <c r="B24" s="151" t="s">
        <v>208</v>
      </c>
      <c r="C24" s="151" t="s">
        <v>209</v>
      </c>
      <c r="D24" s="116" t="s">
        <v>103</v>
      </c>
      <c r="E24" s="151" t="s">
        <v>201</v>
      </c>
      <c r="F24" s="117" t="s">
        <v>105</v>
      </c>
      <c r="G24" s="117" t="s">
        <v>210</v>
      </c>
      <c r="H24" s="117" t="s">
        <v>211</v>
      </c>
      <c r="I24" s="118" t="s">
        <v>212</v>
      </c>
      <c r="J24" s="117" t="s">
        <v>127</v>
      </c>
      <c r="K24" s="117" t="s">
        <v>110</v>
      </c>
      <c r="L24" s="117" t="s">
        <v>111</v>
      </c>
      <c r="M24" s="119">
        <v>365</v>
      </c>
      <c r="N24" s="120" t="str">
        <f t="shared" si="0"/>
        <v>Media</v>
      </c>
      <c r="O24" s="121">
        <v>0.6</v>
      </c>
      <c r="P24" s="122" t="s">
        <v>112</v>
      </c>
      <c r="Q24" s="155" t="str">
        <f>IF(NOT(ISERROR(MATCH(P24,_xlfn.ANCHORARRAY(#REF!),0))),#REF!&amp;"Por favor no seleccionar los criterios de impacto",P24)</f>
        <v xml:space="preserve">     El riesgo afecta la imagen de la entidad con algunos usuarios de relevancia frente al logro de los objetivos</v>
      </c>
      <c r="R24" s="120" t="str">
        <f>IF(OR(Q24='Tabla Impacto'!$C$11,Q24='Tabla Impacto'!$D$11),"Leve",IF(OR(Q24='Tabla Impacto'!$C$12,Q24='Tabla Impacto'!$D$12),"Menor",IF(OR(Q24='Tabla Impacto'!$C$13,Q24='Tabla Impacto'!$D$13),"Moderado",IF(OR(Q24='Tabla Impacto'!$C$14,Q24='Tabla Impacto'!$D$14),"Mayor",IF(OR(Q24='Tabla Impacto'!$C$15,Q24='Tabla Impacto'!$D$15),"Catastrófico","")))))</f>
        <v>Moderado</v>
      </c>
      <c r="S24" s="121">
        <v>0.2</v>
      </c>
      <c r="T24" s="123" t="str">
        <f t="shared" si="4"/>
        <v>Moderado</v>
      </c>
      <c r="U24" s="116">
        <v>1</v>
      </c>
      <c r="V24" s="148" t="s">
        <v>213</v>
      </c>
      <c r="W24" s="154" t="s">
        <v>214</v>
      </c>
      <c r="X24" s="124" t="s">
        <v>115</v>
      </c>
      <c r="Y24" s="189" t="s">
        <v>132</v>
      </c>
      <c r="Z24" s="189" t="s">
        <v>117</v>
      </c>
      <c r="AA24" s="125" t="s">
        <v>145</v>
      </c>
      <c r="AB24" s="189" t="s">
        <v>118</v>
      </c>
      <c r="AC24" s="189" t="s">
        <v>119</v>
      </c>
      <c r="AD24" s="189" t="s">
        <v>120</v>
      </c>
      <c r="AE24" s="202">
        <f t="shared" si="5"/>
        <v>0.36</v>
      </c>
      <c r="AF24" s="193" t="str">
        <f t="shared" si="1"/>
        <v>Baja</v>
      </c>
      <c r="AG24" s="125">
        <v>0.36</v>
      </c>
      <c r="AH24" s="193" t="str">
        <f t="shared" si="2"/>
        <v>Leve</v>
      </c>
      <c r="AI24" s="125">
        <v>0.2</v>
      </c>
      <c r="AJ24" s="195" t="str">
        <f t="shared" si="3"/>
        <v>Bajo</v>
      </c>
      <c r="AK24" s="189" t="s">
        <v>121</v>
      </c>
      <c r="AL24" s="117" t="s">
        <v>215</v>
      </c>
      <c r="AM24" s="117" t="s">
        <v>395</v>
      </c>
      <c r="AN24" s="149" t="s">
        <v>393</v>
      </c>
      <c r="AO24" s="149"/>
      <c r="AP24" s="117"/>
      <c r="AQ24" s="119"/>
      <c r="AR24" s="126"/>
      <c r="AS24" s="117"/>
      <c r="AT24" s="119"/>
      <c r="AU24" s="126"/>
      <c r="AV24" s="117"/>
      <c r="AW24" s="119"/>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row>
    <row r="25" spans="1:75" s="2" customFormat="1" ht="115.2" x14ac:dyDescent="0.3">
      <c r="A25" s="254">
        <v>11</v>
      </c>
      <c r="B25" s="255" t="s">
        <v>371</v>
      </c>
      <c r="C25" s="255" t="s">
        <v>372</v>
      </c>
      <c r="D25" s="254" t="s">
        <v>103</v>
      </c>
      <c r="E25" s="255" t="s">
        <v>104</v>
      </c>
      <c r="F25" s="250" t="s">
        <v>105</v>
      </c>
      <c r="G25" s="250" t="s">
        <v>373</v>
      </c>
      <c r="H25" s="117" t="s">
        <v>374</v>
      </c>
      <c r="I25" s="250" t="s">
        <v>376</v>
      </c>
      <c r="J25" s="250" t="s">
        <v>139</v>
      </c>
      <c r="K25" s="250">
        <v>80</v>
      </c>
      <c r="L25" s="250" t="s">
        <v>128</v>
      </c>
      <c r="M25" s="251">
        <v>40</v>
      </c>
      <c r="N25" s="249" t="str">
        <f>IF(M25&lt;=0,"",IF(M25&lt;=2,"Muy Baja",IF(M25&lt;=24,"Baja",IF(M25&lt;=500,"Media",IF(M25&lt;=5000,"Alta","Muy Alta")))))</f>
        <v>Media</v>
      </c>
      <c r="O25" s="252">
        <f>IF(N25="","",IF(N25="Muy Baja",0.2,IF(N25="Baja",0.4,IF(N25="Media",0.6,IF(N25="Alta",0.8,IF(N25="Muy Alta",1,))))))</f>
        <v>0.6</v>
      </c>
      <c r="P25" s="253" t="s">
        <v>323</v>
      </c>
      <c r="Q25" s="252" t="str">
        <f>IF(NOT(ISERROR(MATCH(P25,'[4]Tabla Impacto'!$B$221:$B$223,0))),'[4]Tabla Impacto'!$F$223&amp;"Por favor no seleccionar los criterios de impacto(Afectación Económica o presupuestal y Pérdida Reputacional)",P25)</f>
        <v xml:space="preserve">     El riesgo afecta la imagen de alguna área de la organización</v>
      </c>
      <c r="R25" s="249" t="s">
        <v>294</v>
      </c>
      <c r="S25" s="252">
        <v>0.8</v>
      </c>
      <c r="T25" s="249" t="str">
        <f>IF(OR(AND(N25="Muy Baja",R25="Leve"),AND(N25="Muy Baja",R25="Menor"),AND(N25="Baja",R25="Leve")),"Bajo",IF(OR(AND(N25="Muy baja",R25="Moderado"),AND(N25="Baja",R25="Menor"),AND(N25="Baja",R25="Moderado"),AND(N25="Media",R25="Leve"),AND(N25="Media",R25="Menor"),AND(N25="Media",R25="Moderado"),AND(N25="Alta",R25="Leve"),AND(N25="Alta",R25="Menor")),"Moderado",IF(OR(AND(N25="Muy Baja",R25="Mayor"),AND(N25="Baja",R25="Mayor"),AND(N25="Media",R25="Mayor"),AND(N25="Alta",R25="Moderado"),AND(N25="Alta",R25="Mayor"),AND(N25="Muy Alta",R25="Leve"),AND(N25="Muy Alta",R25="Menor"),AND(N25="Muy Alta",R25="Moderado"),AND(N25="Muy Alta",R25="Mayor")),"Alto",IF(OR(AND(N25="Muy Baja",R25="Catastrófico"),AND(N25="Baja",R25="Catastrófico"),AND(N25="Media",R25="Catastrófico"),AND(N25="Alta",R25="Catastrófico"),AND(N25="Muy Alta",R25="Catastrófico")),"Extremo",""))))</f>
        <v>Alto</v>
      </c>
      <c r="U25" s="151">
        <v>1</v>
      </c>
      <c r="V25" s="190" t="s">
        <v>377</v>
      </c>
      <c r="W25" s="190" t="s">
        <v>378</v>
      </c>
      <c r="X25" s="191" t="str">
        <f t="shared" ref="X25:X26" si="6">IF(OR(Y25="Preventivo",Y25="Detectivo"),"Probabilidad",IF(Y25="Correctivo","Impacto",""))</f>
        <v>Probabilidad</v>
      </c>
      <c r="Y25" s="189" t="s">
        <v>132</v>
      </c>
      <c r="Z25" s="189" t="s">
        <v>117</v>
      </c>
      <c r="AA25" s="125" t="str">
        <f t="shared" ref="AA25:AA26" si="7">IF(AND(Y25="Preventivo",Z25="Automático"),"50%",IF(AND(Y25="Preventivo",Z25="Manual"),"40%",IF(AND(Y25="Detectivo",Z25="Automático"),"40%",IF(AND(Y25="Detectivo",Z25="Manual"),"30%",IF(AND(Y25="Correctivo",Z25="Automático"),"35%",IF(AND(Y25="Correctivo",Z25="Manual"),"25%",""))))))</f>
        <v>40%</v>
      </c>
      <c r="AB25" s="189" t="s">
        <v>146</v>
      </c>
      <c r="AC25" s="189" t="s">
        <v>147</v>
      </c>
      <c r="AD25" s="189" t="s">
        <v>148</v>
      </c>
      <c r="AE25" s="192">
        <f t="shared" ref="AE25:AE26" si="8">IFERROR(IF(AND(X24="Probabilidad",X25="Probabilidad"),(AG24-(+AG24*AA25)),IF(AND(X24="Impacto",X25="Probabilidad"),(AG23-(+AG23*AA25)),IF(X25="Impacto",AG24,""))),"")</f>
        <v>0.216</v>
      </c>
      <c r="AF25" s="193" t="str">
        <f t="shared" si="1"/>
        <v>Baja</v>
      </c>
      <c r="AG25" s="121">
        <f t="shared" ref="AG25:AG26" si="9">+AE25</f>
        <v>0.216</v>
      </c>
      <c r="AH25" s="193" t="str">
        <f t="shared" si="2"/>
        <v>Leve</v>
      </c>
      <c r="AI25" s="121">
        <f>IFERROR(IF(AND(X24="Impacto",X25="Impacto"),(AI24-(+AI24*AA25)),IF(AND(X24="Probabilidad",X25="Impacto"),(AI23-(+AI23*AA25)),IF(X25="Probabilidad",AI24,""))),"")</f>
        <v>0.2</v>
      </c>
      <c r="AJ25" s="193" t="str">
        <f t="shared" si="3"/>
        <v>Bajo</v>
      </c>
      <c r="AK25" s="194" t="s">
        <v>359</v>
      </c>
      <c r="AL25" s="188" t="s">
        <v>379</v>
      </c>
      <c r="AM25" s="117" t="s">
        <v>380</v>
      </c>
      <c r="AN25" s="149" t="s">
        <v>394</v>
      </c>
      <c r="AO25" s="149"/>
      <c r="AP25" s="117"/>
      <c r="AQ25" s="119"/>
      <c r="AR25" s="149"/>
      <c r="AS25" s="207"/>
      <c r="AT25" s="119"/>
      <c r="AU25" s="119"/>
      <c r="AV25" s="117"/>
      <c r="AW25" s="119"/>
    </row>
    <row r="26" spans="1:75" s="4" customFormat="1" ht="154.5" customHeight="1" x14ac:dyDescent="0.25">
      <c r="A26" s="254"/>
      <c r="B26" s="255"/>
      <c r="C26" s="255"/>
      <c r="D26" s="254"/>
      <c r="E26" s="255"/>
      <c r="F26" s="250"/>
      <c r="G26" s="250"/>
      <c r="H26" s="151" t="s">
        <v>375</v>
      </c>
      <c r="I26" s="250"/>
      <c r="J26" s="250"/>
      <c r="K26" s="250"/>
      <c r="L26" s="250"/>
      <c r="M26" s="251"/>
      <c r="N26" s="249"/>
      <c r="O26" s="252"/>
      <c r="P26" s="253"/>
      <c r="Q26" s="252"/>
      <c r="R26" s="249"/>
      <c r="S26" s="252"/>
      <c r="T26" s="249"/>
      <c r="U26" s="151">
        <v>2</v>
      </c>
      <c r="V26" s="190" t="s">
        <v>381</v>
      </c>
      <c r="W26" s="190" t="s">
        <v>382</v>
      </c>
      <c r="X26" s="191" t="str">
        <f t="shared" si="6"/>
        <v>Probabilidad</v>
      </c>
      <c r="Y26" s="189" t="s">
        <v>132</v>
      </c>
      <c r="Z26" s="189" t="s">
        <v>117</v>
      </c>
      <c r="AA26" s="125" t="str">
        <f t="shared" si="7"/>
        <v>40%</v>
      </c>
      <c r="AB26" s="189" t="s">
        <v>146</v>
      </c>
      <c r="AC26" s="189" t="s">
        <v>147</v>
      </c>
      <c r="AD26" s="189" t="s">
        <v>148</v>
      </c>
      <c r="AE26" s="192">
        <f t="shared" si="8"/>
        <v>0.12959999999999999</v>
      </c>
      <c r="AF26" s="193" t="str">
        <f t="shared" si="1"/>
        <v>Muy Baja</v>
      </c>
      <c r="AG26" s="121">
        <f t="shared" si="9"/>
        <v>0.12959999999999999</v>
      </c>
      <c r="AH26" s="193" t="str">
        <f t="shared" si="2"/>
        <v>Leve</v>
      </c>
      <c r="AI26" s="121">
        <f>IFERROR(IF(AND(X25="Impacto",X26="Impacto"),(AI25-(+AI25*AA26)),IF(AND(X25="Probabilidad",X26="Impacto"),(AI24-(+AI24*AA26)),IF(X26="Probabilidad",AI25,""))),"")</f>
        <v>0.2</v>
      </c>
      <c r="AJ26" s="193" t="str">
        <f t="shared" si="3"/>
        <v>Bajo</v>
      </c>
      <c r="AK26" s="194" t="s">
        <v>359</v>
      </c>
      <c r="AL26" s="117" t="s">
        <v>383</v>
      </c>
      <c r="AM26" s="117" t="s">
        <v>384</v>
      </c>
      <c r="AN26" s="149" t="s">
        <v>394</v>
      </c>
      <c r="AO26" s="149"/>
      <c r="AP26" s="117"/>
      <c r="AQ26" s="119"/>
      <c r="AR26" s="149"/>
      <c r="AS26" s="207"/>
      <c r="AT26" s="119"/>
      <c r="AU26" s="119"/>
      <c r="AV26" s="117"/>
      <c r="AW26" s="119"/>
    </row>
    <row r="27" spans="1:75" ht="49.5" customHeight="1" x14ac:dyDescent="0.25">
      <c r="A27" s="115"/>
      <c r="B27" s="139"/>
      <c r="C27" s="139"/>
      <c r="D27" s="139"/>
      <c r="E27" s="152"/>
      <c r="F27" s="287" t="s">
        <v>216</v>
      </c>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9"/>
    </row>
    <row r="28" spans="1:75" ht="18" x14ac:dyDescent="0.25">
      <c r="A28" s="290" t="s">
        <v>217</v>
      </c>
      <c r="B28" s="290"/>
      <c r="C28" s="290"/>
      <c r="D28" s="290"/>
      <c r="E28" s="290"/>
      <c r="F28" s="290"/>
      <c r="G28" s="290"/>
      <c r="H28" s="290"/>
      <c r="I28" s="290"/>
      <c r="J28" s="1"/>
      <c r="K28" s="1"/>
      <c r="L28" s="1"/>
      <c r="M28" s="284" t="s">
        <v>390</v>
      </c>
      <c r="N28" s="285"/>
      <c r="O28" s="285"/>
      <c r="P28" s="286"/>
      <c r="Q28" s="128"/>
      <c r="R28" s="128"/>
      <c r="S28" s="128"/>
      <c r="T28" s="128"/>
      <c r="U28" s="128"/>
      <c r="V28" s="128"/>
      <c r="W28" s="131"/>
      <c r="X28" s="130"/>
      <c r="Y28" s="130"/>
      <c r="Z28" s="128"/>
      <c r="AA28" s="130"/>
      <c r="AB28" s="130"/>
      <c r="AC28" s="128"/>
      <c r="AD28" s="128"/>
      <c r="AE28" s="128"/>
      <c r="AF28" s="128"/>
      <c r="AG28" s="128"/>
      <c r="AH28" s="128"/>
      <c r="AI28" s="128"/>
      <c r="AJ28" s="128"/>
      <c r="AK28" s="128"/>
      <c r="AL28" s="128"/>
      <c r="AM28" s="128"/>
      <c r="AN28" s="128"/>
      <c r="AO28" s="128"/>
      <c r="AP28" s="128"/>
      <c r="AQ28" s="128"/>
      <c r="AR28" s="128"/>
      <c r="AS28" s="128"/>
    </row>
    <row r="29" spans="1:75" ht="15" thickBot="1" x14ac:dyDescent="0.35">
      <c r="A29"/>
      <c r="B29"/>
      <c r="C29"/>
      <c r="D29"/>
      <c r="E29" s="134"/>
      <c r="F29"/>
      <c r="G29"/>
      <c r="H29"/>
      <c r="I29"/>
      <c r="J29" s="1"/>
      <c r="K29" s="1"/>
      <c r="L29" s="1"/>
      <c r="N29" s="129" t="str">
        <f>+IFERROR(VLOOKUP(J29,$J$184:$N$188,3,FALSE)*VLOOKUP(M29,$M$184:$N$188,3,FALSE),"")</f>
        <v/>
      </c>
      <c r="O29"/>
      <c r="P29"/>
      <c r="Q29" s="135"/>
      <c r="R29"/>
      <c r="S29"/>
      <c r="T29"/>
      <c r="U29"/>
      <c r="V29"/>
      <c r="W29"/>
      <c r="X29" s="129"/>
      <c r="Y29" s="203"/>
      <c r="Z29" s="135"/>
      <c r="AA29" s="203"/>
      <c r="AB29" s="203"/>
      <c r="AC29" s="200"/>
      <c r="AD29" s="200"/>
      <c r="AE29" s="200"/>
      <c r="AF29" s="200"/>
      <c r="AG29" s="132"/>
      <c r="AH29" s="201"/>
      <c r="AI29" s="134"/>
      <c r="AJ29" s="135"/>
      <c r="AK29" s="135"/>
      <c r="AL29"/>
      <c r="AM29"/>
      <c r="AN29" s="134"/>
      <c r="AO29"/>
      <c r="AP29" s="134"/>
      <c r="AQ29"/>
      <c r="AR29" s="134"/>
      <c r="AS29"/>
    </row>
    <row r="30" spans="1:75" ht="17.399999999999999" customHeight="1" thickTop="1" thickBot="1" x14ac:dyDescent="0.3">
      <c r="A30" s="282" t="s">
        <v>218</v>
      </c>
      <c r="B30" s="282"/>
      <c r="C30" s="282"/>
      <c r="D30" s="282"/>
      <c r="E30" s="282"/>
      <c r="F30" s="282"/>
      <c r="G30" s="282"/>
      <c r="H30" s="282"/>
      <c r="I30" s="137" t="s">
        <v>219</v>
      </c>
      <c r="J30" s="282" t="s">
        <v>220</v>
      </c>
      <c r="K30" s="282"/>
      <c r="L30" s="282"/>
      <c r="M30" s="282"/>
      <c r="N30" s="282"/>
      <c r="O30" s="282"/>
      <c r="P30" s="282"/>
      <c r="Q30" s="138"/>
      <c r="R30" s="283" t="s">
        <v>221</v>
      </c>
      <c r="S30" s="283"/>
      <c r="T30" s="283"/>
      <c r="U30" s="282" t="s">
        <v>222</v>
      </c>
      <c r="V30" s="282"/>
      <c r="W30" s="282"/>
      <c r="X30" s="282"/>
      <c r="Y30" s="283">
        <v>1</v>
      </c>
      <c r="Z30" s="283"/>
      <c r="AA30" s="283"/>
      <c r="AB30" s="283"/>
      <c r="AC30" s="136"/>
      <c r="AD30" s="136"/>
      <c r="AE30" s="136"/>
      <c r="AF30" s="136"/>
      <c r="AG30" s="136"/>
      <c r="AH30" s="136"/>
      <c r="AI30" s="136"/>
      <c r="AJ30" s="136"/>
      <c r="AK30" s="136"/>
      <c r="AL30" s="136"/>
      <c r="AM30" s="136"/>
      <c r="AN30" s="136"/>
      <c r="AO30" s="136"/>
      <c r="AP30" s="136"/>
      <c r="AQ30" s="136"/>
      <c r="AR30" s="136"/>
      <c r="AS30" s="133"/>
    </row>
    <row r="31" spans="1:75" ht="14.4" thickTop="1" x14ac:dyDescent="0.25"/>
    <row r="1048576" spans="31:31" x14ac:dyDescent="0.25">
      <c r="AE1048576" s="202" t="str">
        <f>IFERROR(IF(X1048576="Probabilidad",(O1048576-(+O1048576*AA1048576)),IF(X1048576="Impacto",O1048576,"")),"")</f>
        <v/>
      </c>
    </row>
  </sheetData>
  <dataConsolidate/>
  <mergeCells count="128">
    <mergeCell ref="AV1:AW1"/>
    <mergeCell ref="AV2:AW2"/>
    <mergeCell ref="AV3:AW3"/>
    <mergeCell ref="AV4:AW4"/>
    <mergeCell ref="AL10:AL11"/>
    <mergeCell ref="E8:AW8"/>
    <mergeCell ref="E7:AW7"/>
    <mergeCell ref="E6:AW6"/>
    <mergeCell ref="K10:K11"/>
    <mergeCell ref="L10:L11"/>
    <mergeCell ref="AK10:AK11"/>
    <mergeCell ref="AJ10:AJ11"/>
    <mergeCell ref="AI10:AI11"/>
    <mergeCell ref="AE10:AE11"/>
    <mergeCell ref="W10:W11"/>
    <mergeCell ref="AW10:AW11"/>
    <mergeCell ref="A1:F4"/>
    <mergeCell ref="AH10:AH11"/>
    <mergeCell ref="AF10:AF11"/>
    <mergeCell ref="AG10:AG11"/>
    <mergeCell ref="M10:M11"/>
    <mergeCell ref="N10:N11"/>
    <mergeCell ref="O10:O11"/>
    <mergeCell ref="R10:R11"/>
    <mergeCell ref="G1:AU4"/>
    <mergeCell ref="AR10:AR11"/>
    <mergeCell ref="AS10:AS11"/>
    <mergeCell ref="U30:X30"/>
    <mergeCell ref="Y30:AB30"/>
    <mergeCell ref="A30:H30"/>
    <mergeCell ref="M28:P28"/>
    <mergeCell ref="J30:P30"/>
    <mergeCell ref="R30:T30"/>
    <mergeCell ref="F27:AQ27"/>
    <mergeCell ref="A28:I28"/>
    <mergeCell ref="I10:I11"/>
    <mergeCell ref="H10:H11"/>
    <mergeCell ref="G10:G11"/>
    <mergeCell ref="F10:F11"/>
    <mergeCell ref="T10:T11"/>
    <mergeCell ref="P10:P11"/>
    <mergeCell ref="Q10:Q11"/>
    <mergeCell ref="AQ10:AQ11"/>
    <mergeCell ref="AP10:AP11"/>
    <mergeCell ref="AO10:AO11"/>
    <mergeCell ref="AN10:AN11"/>
    <mergeCell ref="AM10:AM11"/>
    <mergeCell ref="E10:E11"/>
    <mergeCell ref="AL9:AW9"/>
    <mergeCell ref="AT10:AT11"/>
    <mergeCell ref="AU10:AU11"/>
    <mergeCell ref="AV10:AV11"/>
    <mergeCell ref="S10:S11"/>
    <mergeCell ref="Y10:AD10"/>
    <mergeCell ref="AE9:AK9"/>
    <mergeCell ref="J10:J11"/>
    <mergeCell ref="A6:D6"/>
    <mergeCell ref="A7:D7"/>
    <mergeCell ref="A8:D8"/>
    <mergeCell ref="A9:M9"/>
    <mergeCell ref="N9:T9"/>
    <mergeCell ref="U9:AD9"/>
    <mergeCell ref="U10:U11"/>
    <mergeCell ref="V10:V11"/>
    <mergeCell ref="D10:D11"/>
    <mergeCell ref="X10:X11"/>
    <mergeCell ref="B10:B11"/>
    <mergeCell ref="C10:C11"/>
    <mergeCell ref="A10:A11"/>
    <mergeCell ref="I17:I18"/>
    <mergeCell ref="J17:J18"/>
    <mergeCell ref="K17:K18"/>
    <mergeCell ref="L17:L18"/>
    <mergeCell ref="L15:L16"/>
    <mergeCell ref="N15:N16"/>
    <mergeCell ref="O15:O16"/>
    <mergeCell ref="P15:P16"/>
    <mergeCell ref="R15:R16"/>
    <mergeCell ref="I15:I16"/>
    <mergeCell ref="J15:J16"/>
    <mergeCell ref="K15:K16"/>
    <mergeCell ref="A15:A16"/>
    <mergeCell ref="A17:A18"/>
    <mergeCell ref="B17:B18"/>
    <mergeCell ref="C17:C18"/>
    <mergeCell ref="D17:D18"/>
    <mergeCell ref="E17:E18"/>
    <mergeCell ref="F17:F18"/>
    <mergeCell ref="G17:G18"/>
    <mergeCell ref="H17:H18"/>
    <mergeCell ref="G15:G16"/>
    <mergeCell ref="H15:H16"/>
    <mergeCell ref="B15:B16"/>
    <mergeCell ref="C15:C16"/>
    <mergeCell ref="D15:D16"/>
    <mergeCell ref="E15:E16"/>
    <mergeCell ref="F15:F16"/>
    <mergeCell ref="S17:S18"/>
    <mergeCell ref="T17:T18"/>
    <mergeCell ref="M15:M16"/>
    <mergeCell ref="Q17:Q18"/>
    <mergeCell ref="Q15:Q16"/>
    <mergeCell ref="M17:M18"/>
    <mergeCell ref="N17:N18"/>
    <mergeCell ref="O17:O18"/>
    <mergeCell ref="P17:P18"/>
    <mergeCell ref="R17:R18"/>
    <mergeCell ref="S15:S16"/>
    <mergeCell ref="T15:T16"/>
    <mergeCell ref="A25:A26"/>
    <mergeCell ref="B25:B26"/>
    <mergeCell ref="C25:C26"/>
    <mergeCell ref="D25:D26"/>
    <mergeCell ref="E25:E26"/>
    <mergeCell ref="F25:F26"/>
    <mergeCell ref="G25:G26"/>
    <mergeCell ref="I25:I26"/>
    <mergeCell ref="J25:J26"/>
    <mergeCell ref="T25:T26"/>
    <mergeCell ref="K25:K26"/>
    <mergeCell ref="L25:L26"/>
    <mergeCell ref="M25:M26"/>
    <mergeCell ref="N25:N26"/>
    <mergeCell ref="O25:O26"/>
    <mergeCell ref="P25:P26"/>
    <mergeCell ref="Q25:Q26"/>
    <mergeCell ref="R25:R26"/>
    <mergeCell ref="S25:S26"/>
  </mergeCells>
  <conditionalFormatting sqref="N13:N15 N17 N19:N24">
    <cfRule type="cellIs" dxfId="89" priority="448" operator="equal">
      <formula>"Muy Alta"</formula>
    </cfRule>
    <cfRule type="cellIs" dxfId="88" priority="449" operator="equal">
      <formula>"Alta"</formula>
    </cfRule>
    <cfRule type="cellIs" dxfId="87" priority="450" operator="equal">
      <formula>"Media"</formula>
    </cfRule>
    <cfRule type="cellIs" dxfId="86" priority="451" operator="equal">
      <formula>"Baja"</formula>
    </cfRule>
    <cfRule type="cellIs" dxfId="85" priority="452" operator="equal">
      <formula>"Muy Baja"</formula>
    </cfRule>
  </conditionalFormatting>
  <conditionalFormatting sqref="R17 R13:R15 R19:R21">
    <cfRule type="cellIs" dxfId="84" priority="443" operator="equal">
      <formula>"Catastrófico"</formula>
    </cfRule>
    <cfRule type="cellIs" dxfId="83" priority="444" operator="equal">
      <formula>"Mayor"</formula>
    </cfRule>
    <cfRule type="cellIs" dxfId="82" priority="445" operator="equal">
      <formula>"Moderado"</formula>
    </cfRule>
    <cfRule type="cellIs" dxfId="81" priority="446" operator="equal">
      <formula>"Menor"</formula>
    </cfRule>
    <cfRule type="cellIs" dxfId="80" priority="447" operator="equal">
      <formula>"Leve"</formula>
    </cfRule>
  </conditionalFormatting>
  <conditionalFormatting sqref="T17 T13:T15 T19:T24">
    <cfRule type="cellIs" dxfId="79" priority="369" operator="equal">
      <formula>"Extremo"</formula>
    </cfRule>
    <cfRule type="cellIs" dxfId="78" priority="370" operator="equal">
      <formula>"Alto"</formula>
    </cfRule>
    <cfRule type="cellIs" dxfId="77" priority="371" operator="equal">
      <formula>"Moderado"</formula>
    </cfRule>
    <cfRule type="cellIs" dxfId="76" priority="372" operator="equal">
      <formula>"Bajo"</formula>
    </cfRule>
  </conditionalFormatting>
  <conditionalFormatting sqref="AF13:AF24">
    <cfRule type="cellIs" dxfId="75" priority="364" operator="equal">
      <formula>"Muy Alta"</formula>
    </cfRule>
    <cfRule type="cellIs" dxfId="74" priority="365" operator="equal">
      <formula>"Alta"</formula>
    </cfRule>
    <cfRule type="cellIs" dxfId="73" priority="366" operator="equal">
      <formula>"Media"</formula>
    </cfRule>
    <cfRule type="cellIs" dxfId="72" priority="367" operator="equal">
      <formula>"Baja"</formula>
    </cfRule>
    <cfRule type="cellIs" dxfId="71" priority="368" operator="equal">
      <formula>"Muy Baja"</formula>
    </cfRule>
  </conditionalFormatting>
  <conditionalFormatting sqref="AH13:AH24">
    <cfRule type="cellIs" dxfId="70" priority="359" operator="equal">
      <formula>"Catastrófico"</formula>
    </cfRule>
    <cfRule type="cellIs" dxfId="69" priority="360" operator="equal">
      <formula>"Mayor"</formula>
    </cfRule>
    <cfRule type="cellIs" dxfId="68" priority="361" operator="equal">
      <formula>"Moderado"</formula>
    </cfRule>
    <cfRule type="cellIs" dxfId="67" priority="362" operator="equal">
      <formula>"Menor"</formula>
    </cfRule>
    <cfRule type="cellIs" dxfId="66" priority="363" operator="equal">
      <formula>"Leve"</formula>
    </cfRule>
  </conditionalFormatting>
  <conditionalFormatting sqref="AJ13:AJ24">
    <cfRule type="cellIs" dxfId="65" priority="355" operator="equal">
      <formula>"Extremo"</formula>
    </cfRule>
    <cfRule type="cellIs" dxfId="64" priority="356" operator="equal">
      <formula>"Alto"</formula>
    </cfRule>
    <cfRule type="cellIs" dxfId="63" priority="357" operator="equal">
      <formula>"Moderado"</formula>
    </cfRule>
    <cfRule type="cellIs" dxfId="62" priority="358" operator="equal">
      <formula>"Bajo"</formula>
    </cfRule>
  </conditionalFormatting>
  <conditionalFormatting sqref="Q13:Q15 Q17 Q19:Q23">
    <cfRule type="containsText" dxfId="61" priority="130" operator="containsText" text="❌">
      <formula>NOT(ISERROR(SEARCH("❌",Q13)))</formula>
    </cfRule>
  </conditionalFormatting>
  <conditionalFormatting sqref="Q24">
    <cfRule type="containsText" dxfId="60" priority="96" operator="containsText" text="❌">
      <formula>NOT(ISERROR(SEARCH("❌",Q24)))</formula>
    </cfRule>
  </conditionalFormatting>
  <conditionalFormatting sqref="AG28:AG29">
    <cfRule type="cellIs" dxfId="59" priority="84" stopIfTrue="1" operator="equal">
      <formula>#REF!</formula>
    </cfRule>
    <cfRule type="cellIs" dxfId="58" priority="85" operator="equal">
      <formula>#REF!</formula>
    </cfRule>
    <cfRule type="cellIs" dxfId="57" priority="86" operator="equal">
      <formula>#REF!</formula>
    </cfRule>
  </conditionalFormatting>
  <conditionalFormatting sqref="AH28:AH29">
    <cfRule type="cellIs" dxfId="56" priority="87" stopIfTrue="1" operator="equal">
      <formula>#REF!</formula>
    </cfRule>
    <cfRule type="cellIs" dxfId="55" priority="88" stopIfTrue="1" operator="equal">
      <formula>#REF!</formula>
    </cfRule>
    <cfRule type="cellIs" dxfId="54" priority="89" stopIfTrue="1" operator="equal">
      <formula>#REF!</formula>
    </cfRule>
  </conditionalFormatting>
  <conditionalFormatting sqref="R22">
    <cfRule type="cellIs" dxfId="53" priority="69" operator="equal">
      <formula>"Catastrófico"</formula>
    </cfRule>
    <cfRule type="cellIs" dxfId="52" priority="70" operator="equal">
      <formula>"Mayor"</formula>
    </cfRule>
    <cfRule type="cellIs" dxfId="51" priority="71" operator="equal">
      <formula>"Moderado"</formula>
    </cfRule>
    <cfRule type="cellIs" dxfId="50" priority="72" operator="equal">
      <formula>"Menor"</formula>
    </cfRule>
    <cfRule type="cellIs" dxfId="49" priority="73" operator="equal">
      <formula>"Leve"</formula>
    </cfRule>
  </conditionalFormatting>
  <conditionalFormatting sqref="R23">
    <cfRule type="cellIs" dxfId="48" priority="64" operator="equal">
      <formula>"Catastrófico"</formula>
    </cfRule>
    <cfRule type="cellIs" dxfId="47" priority="65" operator="equal">
      <formula>"Mayor"</formula>
    </cfRule>
    <cfRule type="cellIs" dxfId="46" priority="66" operator="equal">
      <formula>"Moderado"</formula>
    </cfRule>
    <cfRule type="cellIs" dxfId="45" priority="67" operator="equal">
      <formula>"Menor"</formula>
    </cfRule>
    <cfRule type="cellIs" dxfId="44" priority="68" operator="equal">
      <formula>"Leve"</formula>
    </cfRule>
  </conditionalFormatting>
  <conditionalFormatting sqref="Q25">
    <cfRule type="containsText" dxfId="43" priority="34" operator="containsText" text="❌">
      <formula>NOT(ISERROR(SEARCH("❌",Q25)))</formula>
    </cfRule>
  </conditionalFormatting>
  <conditionalFormatting sqref="N25">
    <cfRule type="cellIs" dxfId="42" priority="29" operator="equal">
      <formula>"Muy Alta"</formula>
    </cfRule>
    <cfRule type="cellIs" dxfId="41" priority="30" operator="equal">
      <formula>"Alta"</formula>
    </cfRule>
    <cfRule type="cellIs" dxfId="40" priority="31" operator="equal">
      <formula>"Media"</formula>
    </cfRule>
    <cfRule type="cellIs" dxfId="39" priority="32" operator="equal">
      <formula>"Baja"</formula>
    </cfRule>
    <cfRule type="cellIs" dxfId="38" priority="33" operator="equal">
      <formula>"Muy Baja"</formula>
    </cfRule>
  </conditionalFormatting>
  <conditionalFormatting sqref="R25">
    <cfRule type="cellIs" dxfId="37" priority="24" operator="equal">
      <formula>"Catastrófico"</formula>
    </cfRule>
    <cfRule type="cellIs" dxfId="36" priority="25" operator="equal">
      <formula>"Mayor"</formula>
    </cfRule>
    <cfRule type="cellIs" dxfId="35" priority="26" operator="equal">
      <formula>"Moderado"</formula>
    </cfRule>
    <cfRule type="cellIs" dxfId="34" priority="27" operator="equal">
      <formula>"Menor"</formula>
    </cfRule>
    <cfRule type="cellIs" dxfId="33" priority="28" operator="equal">
      <formula>"Leve"</formula>
    </cfRule>
  </conditionalFormatting>
  <conditionalFormatting sqref="T25">
    <cfRule type="cellIs" dxfId="32" priority="20" operator="equal">
      <formula>"Extremo"</formula>
    </cfRule>
    <cfRule type="cellIs" dxfId="31" priority="21" operator="equal">
      <formula>"Alto"</formula>
    </cfRule>
    <cfRule type="cellIs" dxfId="30" priority="22" operator="equal">
      <formula>"Moderado"</formula>
    </cfRule>
    <cfRule type="cellIs" dxfId="29" priority="23" operator="equal">
      <formula>"Bajo"</formula>
    </cfRule>
  </conditionalFormatting>
  <conditionalFormatting sqref="AF25:AF26">
    <cfRule type="cellIs" dxfId="28" priority="15" operator="equal">
      <formula>"Muy Alta"</formula>
    </cfRule>
    <cfRule type="cellIs" dxfId="27" priority="16" operator="equal">
      <formula>"Alta"</formula>
    </cfRule>
    <cfRule type="cellIs" dxfId="26" priority="17" operator="equal">
      <formula>"Media"</formula>
    </cfRule>
    <cfRule type="cellIs" dxfId="25" priority="18" operator="equal">
      <formula>"Baja"</formula>
    </cfRule>
    <cfRule type="cellIs" dxfId="24" priority="19" operator="equal">
      <formula>"Muy Baja"</formula>
    </cfRule>
  </conditionalFormatting>
  <conditionalFormatting sqref="AH25:AH26">
    <cfRule type="cellIs" dxfId="23" priority="10" operator="equal">
      <formula>"Catastrófico"</formula>
    </cfRule>
    <cfRule type="cellIs" dxfId="22" priority="11" operator="equal">
      <formula>"Mayor"</formula>
    </cfRule>
    <cfRule type="cellIs" dxfId="21" priority="12" operator="equal">
      <formula>"Moderado"</formula>
    </cfRule>
    <cfRule type="cellIs" dxfId="20" priority="13" operator="equal">
      <formula>"Menor"</formula>
    </cfRule>
    <cfRule type="cellIs" dxfId="19" priority="14" operator="equal">
      <formula>"Leve"</formula>
    </cfRule>
  </conditionalFormatting>
  <conditionalFormatting sqref="AJ25:AJ26">
    <cfRule type="cellIs" dxfId="18" priority="6" operator="equal">
      <formula>"Extremo"</formula>
    </cfRule>
    <cfRule type="cellIs" dxfId="17" priority="7" operator="equal">
      <formula>"Alto"</formula>
    </cfRule>
    <cfRule type="cellIs" dxfId="16" priority="8" operator="equal">
      <formula>"Moderado"</formula>
    </cfRule>
    <cfRule type="cellIs" dxfId="15" priority="9" operator="equal">
      <formula>"Bajo"</formula>
    </cfRule>
  </conditionalFormatting>
  <conditionalFormatting sqref="R24">
    <cfRule type="cellIs" dxfId="14" priority="1" operator="equal">
      <formula>"Catastrófico"</formula>
    </cfRule>
    <cfRule type="cellIs" dxfId="13" priority="2" operator="equal">
      <formula>"Mayor"</formula>
    </cfRule>
    <cfRule type="cellIs" dxfId="12" priority="3" operator="equal">
      <formula>"Moderado"</formula>
    </cfRule>
    <cfRule type="cellIs" dxfId="11" priority="4" operator="equal">
      <formula>"Menor"</formula>
    </cfRule>
    <cfRule type="cellIs" dxfId="10" priority="5" operator="equal">
      <formula>"Leve"</formula>
    </cfRule>
  </conditionalFormatting>
  <dataValidations count="5">
    <dataValidation type="list" allowBlank="1" showInputMessage="1" showErrorMessage="1" sqref="I29 AG29:AH29" xr:uid="{00000000-0002-0000-0100-000001000000}">
      <formula1>#REF!</formula1>
    </dataValidation>
    <dataValidation type="list" allowBlank="1" showInputMessage="1" showErrorMessage="1" sqref="X29" xr:uid="{00000000-0002-0000-0100-000002000000}">
      <formula1>$P$184:$P$185</formula1>
    </dataValidation>
    <dataValidation type="list" allowBlank="1" showInputMessage="1" showErrorMessage="1" sqref="M29" xr:uid="{00000000-0002-0000-0100-000003000000}">
      <formula1>$M$184:$M$188</formula1>
    </dataValidation>
    <dataValidation type="list" allowBlank="1" showInputMessage="1" showErrorMessage="1" sqref="J29:L29" xr:uid="{00000000-0002-0000-0100-000004000000}">
      <formula1>$J$184:$J$188</formula1>
    </dataValidation>
    <dataValidation type="list" allowBlank="1" showInputMessage="1" showErrorMessage="1" sqref="AR29 AP29 AN29 Y29 AA29:AF29" xr:uid="{00000000-0002-0000-0100-000005000000}">
      <formula1>$AN$184:$AN$191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6000000}">
          <x14:formula1>
            <xm:f>'Opciones Tratamiento'!$B$9:$B$10</xm:f>
          </x14:formula1>
          <xm:sqref>AQ21:AQ24 AW13:AW24 AQ13 AT14 AT18 AT20:AT26</xm:sqref>
        </x14:dataValidation>
        <x14:dataValidation type="list" allowBlank="1" showInputMessage="1" showErrorMessage="1" xr:uid="{00000000-0002-0000-0100-000007000000}">
          <x14:formula1>
            <xm:f>'Tabla Valoración controles'!$D$4:$D$6</xm:f>
          </x14:formula1>
          <xm:sqref>Y13:Y24</xm:sqref>
        </x14:dataValidation>
        <x14:dataValidation type="list" allowBlank="1" showInputMessage="1" showErrorMessage="1" xr:uid="{00000000-0002-0000-0100-000008000000}">
          <x14:formula1>
            <xm:f>'Tabla Valoración controles'!$D$7:$D$8</xm:f>
          </x14:formula1>
          <xm:sqref>Z13:Z24</xm:sqref>
        </x14:dataValidation>
        <x14:dataValidation type="list" allowBlank="1" showInputMessage="1" showErrorMessage="1" xr:uid="{00000000-0002-0000-0100-000009000000}">
          <x14:formula1>
            <xm:f>'Tabla Valoración controles'!$D$9:$D$10</xm:f>
          </x14:formula1>
          <xm:sqref>AB13:AB24</xm:sqref>
        </x14:dataValidation>
        <x14:dataValidation type="list" allowBlank="1" showInputMessage="1" showErrorMessage="1" xr:uid="{00000000-0002-0000-0100-00000A000000}">
          <x14:formula1>
            <xm:f>'Tabla Valoración controles'!$D$11:$D$12</xm:f>
          </x14:formula1>
          <xm:sqref>AC13:AC24</xm:sqref>
        </x14:dataValidation>
        <x14:dataValidation type="list" allowBlank="1" showInputMessage="1" showErrorMessage="1" xr:uid="{00000000-0002-0000-0100-00000B000000}">
          <x14:formula1>
            <xm:f>'Tabla Valoración controles'!$D$13:$D$14</xm:f>
          </x14:formula1>
          <xm:sqref>AD13:AD24</xm:sqref>
        </x14:dataValidation>
        <x14:dataValidation type="list" allowBlank="1" showInputMessage="1" showErrorMessage="1" xr:uid="{00000000-0002-0000-0100-00000C000000}">
          <x14:formula1>
            <xm:f>'Opciones Tratamiento'!$B$13:$B$19</xm:f>
          </x14:formula1>
          <xm:sqref>J13:J15 J17 J19:J24</xm:sqref>
        </x14:dataValidation>
        <x14:dataValidation type="list" allowBlank="1" showInputMessage="1" showErrorMessage="1" xr:uid="{00000000-0002-0000-0100-00000D000000}">
          <x14:formula1>
            <xm:f>'Opciones Tratamiento'!$E$2:$E$4</xm:f>
          </x14:formula1>
          <xm:sqref>F13:F15 F17 F19:F25</xm:sqref>
        </x14:dataValidation>
        <x14:dataValidation type="list" allowBlank="1" showInputMessage="1" showErrorMessage="1" xr:uid="{00000000-0002-0000-0100-00000E000000}">
          <x14:formula1>
            <xm:f>'Opciones Tratamiento'!$B$2:$B$5</xm:f>
          </x14:formula1>
          <xm:sqref>AK13:AK24</xm:sqref>
        </x14:dataValidation>
        <x14:dataValidation type="list" allowBlank="1" showInputMessage="1" showErrorMessage="1" xr:uid="{00000000-0002-0000-0100-00000F000000}">
          <x14:formula1>
            <xm:f>'Tabla Impacto'!$F$210:$F$221</xm:f>
          </x14:formula1>
          <xm:sqref>P13:P15 P17 P19:P24</xm:sqref>
        </x14:dataValidation>
        <x14:dataValidation type="custom" allowBlank="1" showInputMessage="1" showErrorMessage="1" error="Recuerde que las acciones se generan bajo la medida de mitigar el riesgo" xr:uid="{00000000-0002-0000-0100-000010000000}">
          <x14:formula1>
            <xm:f>IF(OR(AN13='Opciones Tratamiento'!$B$2,AN13='Opciones Tratamiento'!$B$3,AN13='Opciones Tratamiento'!$B$4),ISBLANK(AN13),ISTEXT(AN13))</xm:f>
          </x14:formula1>
          <xm:sqref>AU13:AU24 AR14 AR18 AR20:AR24</xm:sqref>
        </x14:dataValidation>
        <x14:dataValidation type="custom" allowBlank="1" showInputMessage="1" showErrorMessage="1" error="Recuerde que las acciones se generan bajo la medida de mitigar el riesgo" xr:uid="{00000000-0002-0000-0100-000011000000}">
          <x14:formula1>
            <xm:f>IF(OR(AN13='Opciones Tratamiento'!$B$2,AN13='Opciones Tratamiento'!$B$3,AN13='Opciones Tratamiento'!$B$4),ISBLANK(AN13),ISTEXT(AN13))</xm:f>
          </x14:formula1>
          <xm:sqref>AV13:AV24 AS14 AS18 AS20:AS24</xm:sqref>
        </x14:dataValidation>
        <x14:dataValidation type="list" allowBlank="1" showInputMessage="1" showErrorMessage="1" xr:uid="{00000000-0002-0000-0100-000012000000}">
          <x14:formula1>
            <xm:f>Listas!$A$2:$A$9</xm:f>
          </x14:formula1>
          <xm:sqref>D13:D15 D17 D19:D25</xm:sqref>
        </x14:dataValidation>
        <x14:dataValidation type="list" allowBlank="1" showInputMessage="1" showErrorMessage="1" xr:uid="{00000000-0002-0000-0100-000013000000}">
          <x14:formula1>
            <xm:f>Listas!$B$2:$B$7</xm:f>
          </x14:formula1>
          <xm:sqref>E13:E15 E17 E19:E25</xm:sqref>
        </x14:dataValidation>
        <x14:dataValidation type="list" allowBlank="1" showInputMessage="1" showErrorMessage="1" xr:uid="{00000000-0002-0000-0100-000014000000}">
          <x14:formula1>
            <xm:f>Listas!$C$2:$C$6</xm:f>
          </x14:formula1>
          <xm:sqref>K13:K15 K17 K19:K24</xm:sqref>
        </x14:dataValidation>
        <x14:dataValidation type="list" allowBlank="1" showInputMessage="1" showErrorMessage="1" xr:uid="{00000000-0002-0000-0100-000015000000}">
          <x14:formula1>
            <xm:f>Listas!$D$2:$D$5</xm:f>
          </x14:formula1>
          <xm:sqref>L13:L15 L17 L19:L24</xm:sqref>
        </x14:dataValidation>
        <x14:dataValidation type="custom" allowBlank="1" showInputMessage="1" showErrorMessage="1" error="Recuerde que las acciones se generan bajo la medida de mitigar el riesgo" xr:uid="{00000000-0002-0000-0100-000016000000}">
          <x14:formula1>
            <xm:f>IF(OR(AK21='https://itceduco-my.sharepoint.com/personal/calidad_itc_edu_co/Documents/CALIDAD/MAPA DE RIESGOS/RIESGOS DE CORRUPCIÓN/[MAPA DE RIESGOS DE CORRUPCIÓN 2022 (2).xlsx]Opciones Tratamiento'!#REF!,AK21='https://itceduco-my.sharepoint.com/personal/calidad_itc_edu_co/Documents/CALIDAD/MAPA DE RIESGOS/RIESGOS DE CORRUPCIÓN/[MAPA DE RIESGOS DE CORRUPCIÓN 2022 (2).xlsx]Opciones Tratamiento'!#REF!,AK21='https://itceduco-my.sharepoint.com/personal/calidad_itc_edu_co/Documents/CALIDAD/MAPA DE RIESGOS/RIESGOS DE CORRUPCIÓN/[MAPA DE RIESGOS DE CORRUPCIÓN 2022 (2).xlsx]Opciones Tratamiento'!#REF!),ISBLANK(AK21),ISTEXT(AK21))</xm:f>
          </x14:formula1>
          <xm:sqref>AP21:AP22</xm:sqref>
        </x14:dataValidation>
        <x14:dataValidation type="custom" allowBlank="1" showInputMessage="1" showErrorMessage="1" error="Recuerde que las acciones se generan bajo la medida de mitigar el riesgo" xr:uid="{00000000-0002-0000-0100-000017000000}">
          <x14:formula1>
            <xm:f>IF(OR(AK21='https://itceduco-my.sharepoint.com/personal/calidad_itc_edu_co/Documents/CALIDAD/MAPA DE RIESGOS/RIESGOS DE CORRUPCIÓN/[MAPA DE RIESGOS DE CORRUPCIÓN 2022 (2).xlsx]Opciones Tratamiento'!#REF!,AK21='https://itceduco-my.sharepoint.com/personal/calidad_itc_edu_co/Documents/CALIDAD/MAPA DE RIESGOS/RIESGOS DE CORRUPCIÓN/[MAPA DE RIESGOS DE CORRUPCIÓN 2022 (2).xlsx]Opciones Tratamiento'!#REF!,AK21='https://itceduco-my.sharepoint.com/personal/calidad_itc_edu_co/Documents/CALIDAD/MAPA DE RIESGOS/RIESGOS DE CORRUPCIÓN/[MAPA DE RIESGOS DE CORRUPCIÓN 2022 (2).xlsx]Opciones Tratamiento'!#REF!),ISBLANK(AK21),ISTEXT(AK21))</xm:f>
          </x14:formula1>
          <xm:sqref>AO21:AO22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5" sqref="C5"/>
    </sheetView>
  </sheetViews>
  <sheetFormatPr baseColWidth="10" defaultColWidth="11.44140625" defaultRowHeight="14.4" x14ac:dyDescent="0.3"/>
  <sheetData>
    <row r="1" spans="1:4" x14ac:dyDescent="0.3">
      <c r="A1" t="s">
        <v>223</v>
      </c>
      <c r="B1" t="s">
        <v>74</v>
      </c>
      <c r="C1" t="s">
        <v>224</v>
      </c>
      <c r="D1" t="s">
        <v>225</v>
      </c>
    </row>
    <row r="2" spans="1:4" x14ac:dyDescent="0.3">
      <c r="A2" t="s">
        <v>226</v>
      </c>
      <c r="B2" t="s">
        <v>227</v>
      </c>
      <c r="C2" t="s">
        <v>228</v>
      </c>
      <c r="D2" t="s">
        <v>229</v>
      </c>
    </row>
    <row r="3" spans="1:4" x14ac:dyDescent="0.3">
      <c r="A3" t="s">
        <v>103</v>
      </c>
      <c r="B3" t="s">
        <v>230</v>
      </c>
      <c r="C3" t="s">
        <v>178</v>
      </c>
      <c r="D3" t="s">
        <v>231</v>
      </c>
    </row>
    <row r="4" spans="1:4" x14ac:dyDescent="0.3">
      <c r="A4" t="s">
        <v>232</v>
      </c>
      <c r="B4" t="s">
        <v>233</v>
      </c>
      <c r="C4" t="s">
        <v>110</v>
      </c>
      <c r="D4" t="s">
        <v>111</v>
      </c>
    </row>
    <row r="5" spans="1:4" x14ac:dyDescent="0.3">
      <c r="A5" t="s">
        <v>230</v>
      </c>
      <c r="B5" t="s">
        <v>201</v>
      </c>
      <c r="C5" t="s">
        <v>157</v>
      </c>
      <c r="D5" t="s">
        <v>128</v>
      </c>
    </row>
    <row r="6" spans="1:4" x14ac:dyDescent="0.3">
      <c r="A6" t="s">
        <v>234</v>
      </c>
      <c r="B6" t="s">
        <v>104</v>
      </c>
      <c r="C6" t="s">
        <v>128</v>
      </c>
    </row>
    <row r="7" spans="1:4" x14ac:dyDescent="0.3">
      <c r="A7" t="s">
        <v>235</v>
      </c>
      <c r="B7" t="s">
        <v>236</v>
      </c>
    </row>
    <row r="8" spans="1:4" x14ac:dyDescent="0.3">
      <c r="A8" t="s">
        <v>237</v>
      </c>
    </row>
    <row r="9" spans="1:4" x14ac:dyDescent="0.3">
      <c r="A9" t="s">
        <v>238</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L8" sqref="L8:M9"/>
    </sheetView>
  </sheetViews>
  <sheetFormatPr baseColWidth="10" defaultColWidth="11.44140625" defaultRowHeight="14.4" x14ac:dyDescent="0.3"/>
  <cols>
    <col min="2" max="39" width="5.6640625" customWidth="1"/>
    <col min="41" max="46" width="5.6640625" customWidth="1"/>
  </cols>
  <sheetData>
    <row r="1" spans="1:99" x14ac:dyDescent="0.3">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row>
    <row r="2" spans="1:99" ht="18" customHeight="1" x14ac:dyDescent="0.3">
      <c r="A2" s="75"/>
      <c r="B2" s="381" t="s">
        <v>239</v>
      </c>
      <c r="C2" s="381"/>
      <c r="D2" s="381"/>
      <c r="E2" s="381"/>
      <c r="F2" s="381"/>
      <c r="G2" s="381"/>
      <c r="H2" s="381"/>
      <c r="I2" s="381"/>
      <c r="J2" s="349" t="s">
        <v>15</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row>
    <row r="3" spans="1:99" ht="18.75" customHeight="1" x14ac:dyDescent="0.3">
      <c r="A3" s="75"/>
      <c r="B3" s="381"/>
      <c r="C3" s="381"/>
      <c r="D3" s="381"/>
      <c r="E3" s="381"/>
      <c r="F3" s="381"/>
      <c r="G3" s="381"/>
      <c r="H3" s="381"/>
      <c r="I3" s="381"/>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row>
    <row r="4" spans="1:99" ht="15" customHeight="1" x14ac:dyDescent="0.3">
      <c r="A4" s="75"/>
      <c r="B4" s="381"/>
      <c r="C4" s="381"/>
      <c r="D4" s="381"/>
      <c r="E4" s="381"/>
      <c r="F4" s="381"/>
      <c r="G4" s="381"/>
      <c r="H4" s="381"/>
      <c r="I4" s="381"/>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row>
    <row r="5" spans="1:99" ht="15" thickBot="1" x14ac:dyDescent="0.35">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row>
    <row r="6" spans="1:99" ht="15" customHeight="1" x14ac:dyDescent="0.3">
      <c r="A6" s="75"/>
      <c r="B6" s="296" t="s">
        <v>115</v>
      </c>
      <c r="C6" s="296"/>
      <c r="D6" s="297"/>
      <c r="E6" s="334" t="s">
        <v>240</v>
      </c>
      <c r="F6" s="335"/>
      <c r="G6" s="335"/>
      <c r="H6" s="335"/>
      <c r="I6" s="336"/>
      <c r="J6" s="345" t="e">
        <f>IF(AND('Mapa final'!#REF!="Muy Alta",'Mapa final'!#REF!="Leve"),CONCATENATE("R",'Mapa final'!#REF!),"")</f>
        <v>#REF!</v>
      </c>
      <c r="K6" s="346"/>
      <c r="L6" s="346" t="str">
        <f>IF(AND('Mapa final'!$N$13="Muy Alta",'Mapa final'!$R$13="Leve"),CONCATENATE("R",'Mapa final'!$A$13),"")</f>
        <v/>
      </c>
      <c r="M6" s="346"/>
      <c r="N6" s="346" t="e">
        <f>IF(AND('Mapa final'!#REF!="Muy Alta",'Mapa final'!#REF!="Leve"),CONCATENATE("R",'Mapa final'!#REF!),"")</f>
        <v>#REF!</v>
      </c>
      <c r="O6" s="348"/>
      <c r="P6" s="345" t="e">
        <f>IF(AND('Mapa final'!#REF!="Muy Alta",'Mapa final'!#REF!="Menor"),CONCATENATE("R",'Mapa final'!#REF!),"")</f>
        <v>#REF!</v>
      </c>
      <c r="Q6" s="346"/>
      <c r="R6" s="346" t="str">
        <f>IF(AND('Mapa final'!$N$13="Muy Alta",'Mapa final'!$R$13="Menor"),CONCATENATE("R",'Mapa final'!$A$13),"")</f>
        <v/>
      </c>
      <c r="S6" s="346"/>
      <c r="T6" s="346" t="e">
        <f>IF(AND('Mapa final'!#REF!="Muy Alta",'Mapa final'!#REF!="Menor"),CONCATENATE("R",'Mapa final'!#REF!),"")</f>
        <v>#REF!</v>
      </c>
      <c r="U6" s="348"/>
      <c r="V6" s="345" t="e">
        <f>IF(AND('Mapa final'!#REF!="Muy Alta",'Mapa final'!#REF!="Moderado"),CONCATENATE("R",'Mapa final'!#REF!),"")</f>
        <v>#REF!</v>
      </c>
      <c r="W6" s="346"/>
      <c r="X6" s="346" t="str">
        <f>IF(AND('Mapa final'!$N$13="Muy Alta",'Mapa final'!$R$13="Moderado"),CONCATENATE("R",'Mapa final'!$A$13),"")</f>
        <v/>
      </c>
      <c r="Y6" s="346"/>
      <c r="Z6" s="346" t="e">
        <f>IF(AND('Mapa final'!#REF!="Muy Alta",'Mapa final'!#REF!="Moderado"),CONCATENATE("R",'Mapa final'!#REF!),"")</f>
        <v>#REF!</v>
      </c>
      <c r="AA6" s="348"/>
      <c r="AB6" s="345" t="e">
        <f>IF(AND('Mapa final'!#REF!="Muy Alta",'Mapa final'!#REF!="Mayor"),CONCATENATE("R",'Mapa final'!#REF!),"")</f>
        <v>#REF!</v>
      </c>
      <c r="AC6" s="346"/>
      <c r="AD6" s="346" t="str">
        <f>IF(AND('Mapa final'!$N$13="Muy Alta",'Mapa final'!$R$13="Mayor"),CONCATENATE("R",'Mapa final'!$A$13),"")</f>
        <v/>
      </c>
      <c r="AE6" s="346"/>
      <c r="AF6" s="346" t="e">
        <f>IF(AND('Mapa final'!#REF!="Muy Alta",'Mapa final'!#REF!="Mayor"),CONCATENATE("R",'Mapa final'!#REF!),"")</f>
        <v>#REF!</v>
      </c>
      <c r="AG6" s="348"/>
      <c r="AH6" s="360" t="e">
        <f>IF(AND('Mapa final'!#REF!="Muy Alta",'Mapa final'!#REF!="Catastrófico"),CONCATENATE("R",'Mapa final'!#REF!),"")</f>
        <v>#REF!</v>
      </c>
      <c r="AI6" s="361"/>
      <c r="AJ6" s="361" t="str">
        <f>IF(AND('Mapa final'!$N$13="Muy Alta",'Mapa final'!$R$13="Catastrófico"),CONCATENATE("R",'Mapa final'!$A$13),"")</f>
        <v/>
      </c>
      <c r="AK6" s="361"/>
      <c r="AL6" s="361" t="e">
        <f>IF(AND('Mapa final'!#REF!="Muy Alta",'Mapa final'!#REF!="Catastrófico"),CONCATENATE("R",'Mapa final'!#REF!),"")</f>
        <v>#REF!</v>
      </c>
      <c r="AM6" s="362"/>
      <c r="AO6" s="298" t="s">
        <v>241</v>
      </c>
      <c r="AP6" s="299"/>
      <c r="AQ6" s="299"/>
      <c r="AR6" s="299"/>
      <c r="AS6" s="299"/>
      <c r="AT6" s="300"/>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row>
    <row r="7" spans="1:99" ht="15" customHeight="1" x14ac:dyDescent="0.3">
      <c r="A7" s="75"/>
      <c r="B7" s="296"/>
      <c r="C7" s="296"/>
      <c r="D7" s="297"/>
      <c r="E7" s="337"/>
      <c r="F7" s="338"/>
      <c r="G7" s="338"/>
      <c r="H7" s="338"/>
      <c r="I7" s="339"/>
      <c r="J7" s="347"/>
      <c r="K7" s="343"/>
      <c r="L7" s="343"/>
      <c r="M7" s="343"/>
      <c r="N7" s="343"/>
      <c r="O7" s="344"/>
      <c r="P7" s="347"/>
      <c r="Q7" s="343"/>
      <c r="R7" s="343"/>
      <c r="S7" s="343"/>
      <c r="T7" s="343"/>
      <c r="U7" s="344"/>
      <c r="V7" s="347"/>
      <c r="W7" s="343"/>
      <c r="X7" s="343"/>
      <c r="Y7" s="343"/>
      <c r="Z7" s="343"/>
      <c r="AA7" s="344"/>
      <c r="AB7" s="347"/>
      <c r="AC7" s="343"/>
      <c r="AD7" s="343"/>
      <c r="AE7" s="343"/>
      <c r="AF7" s="343"/>
      <c r="AG7" s="344"/>
      <c r="AH7" s="354"/>
      <c r="AI7" s="355"/>
      <c r="AJ7" s="355"/>
      <c r="AK7" s="355"/>
      <c r="AL7" s="355"/>
      <c r="AM7" s="356"/>
      <c r="AN7" s="75"/>
      <c r="AO7" s="301"/>
      <c r="AP7" s="302"/>
      <c r="AQ7" s="302"/>
      <c r="AR7" s="302"/>
      <c r="AS7" s="302"/>
      <c r="AT7" s="303"/>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row>
    <row r="8" spans="1:99" ht="15" customHeight="1" x14ac:dyDescent="0.3">
      <c r="A8" s="75"/>
      <c r="B8" s="296"/>
      <c r="C8" s="296"/>
      <c r="D8" s="297"/>
      <c r="E8" s="337"/>
      <c r="F8" s="338"/>
      <c r="G8" s="338"/>
      <c r="H8" s="338"/>
      <c r="I8" s="339"/>
      <c r="J8" s="347" t="e">
        <f>IF(AND('Mapa final'!#REF!="Muy Alta",'Mapa final'!#REF!="Leve"),CONCATENATE("R",'Mapa final'!#REF!),"")</f>
        <v>#REF!</v>
      </c>
      <c r="K8" s="343"/>
      <c r="L8" s="343" t="e">
        <f>IF(AND('Mapa final'!#REF!="Muy Alta",'Mapa final'!#REF!="Leve"),CONCATENATE("R",'Mapa final'!#REF!),"")</f>
        <v>#REF!</v>
      </c>
      <c r="M8" s="343"/>
      <c r="N8" s="343" t="e">
        <f>IF(AND('Mapa final'!#REF!="Muy Alta",'Mapa final'!#REF!="Leve"),CONCATENATE("R",'Mapa final'!#REF!),"")</f>
        <v>#REF!</v>
      </c>
      <c r="O8" s="344"/>
      <c r="P8" s="347" t="e">
        <f>IF(AND('Mapa final'!#REF!="Muy Alta",'Mapa final'!#REF!="Menor"),CONCATENATE("R",'Mapa final'!#REF!),"")</f>
        <v>#REF!</v>
      </c>
      <c r="Q8" s="343"/>
      <c r="R8" s="343" t="e">
        <f>IF(AND('Mapa final'!#REF!="Muy Alta",'Mapa final'!#REF!="Menor"),CONCATENATE("R",'Mapa final'!#REF!),"")</f>
        <v>#REF!</v>
      </c>
      <c r="S8" s="343"/>
      <c r="T8" s="343" t="e">
        <f>IF(AND('Mapa final'!#REF!="Muy Alta",'Mapa final'!#REF!="Menor"),CONCATENATE("R",'Mapa final'!#REF!),"")</f>
        <v>#REF!</v>
      </c>
      <c r="U8" s="344"/>
      <c r="V8" s="347" t="e">
        <f>IF(AND('Mapa final'!#REF!="Muy Alta",'Mapa final'!#REF!="Moderado"),CONCATENATE("R",'Mapa final'!#REF!),"")</f>
        <v>#REF!</v>
      </c>
      <c r="W8" s="343"/>
      <c r="X8" s="343" t="e">
        <f>IF(AND('Mapa final'!#REF!="Muy Alta",'Mapa final'!#REF!="Moderado"),CONCATENATE("R",'Mapa final'!#REF!),"")</f>
        <v>#REF!</v>
      </c>
      <c r="Y8" s="343"/>
      <c r="Z8" s="343" t="e">
        <f>IF(AND('Mapa final'!#REF!="Muy Alta",'Mapa final'!#REF!="Moderado"),CONCATENATE("R",'Mapa final'!#REF!),"")</f>
        <v>#REF!</v>
      </c>
      <c r="AA8" s="344"/>
      <c r="AB8" s="347" t="e">
        <f>IF(AND('Mapa final'!#REF!="Muy Alta",'Mapa final'!#REF!="Mayor"),CONCATENATE("R",'Mapa final'!#REF!),"")</f>
        <v>#REF!</v>
      </c>
      <c r="AC8" s="343"/>
      <c r="AD8" s="343" t="e">
        <f>IF(AND('Mapa final'!#REF!="Muy Alta",'Mapa final'!#REF!="Mayor"),CONCATENATE("R",'Mapa final'!#REF!),"")</f>
        <v>#REF!</v>
      </c>
      <c r="AE8" s="343"/>
      <c r="AF8" s="343" t="e">
        <f>IF(AND('Mapa final'!#REF!="Muy Alta",'Mapa final'!#REF!="Mayor"),CONCATENATE("R",'Mapa final'!#REF!),"")</f>
        <v>#REF!</v>
      </c>
      <c r="AG8" s="344"/>
      <c r="AH8" s="354" t="e">
        <f>IF(AND('Mapa final'!#REF!="Muy Alta",'Mapa final'!#REF!="Catastrófico"),CONCATENATE("R",'Mapa final'!#REF!),"")</f>
        <v>#REF!</v>
      </c>
      <c r="AI8" s="355"/>
      <c r="AJ8" s="355" t="e">
        <f>IF(AND('Mapa final'!#REF!="Muy Alta",'Mapa final'!#REF!="Catastrófico"),CONCATENATE("R",'Mapa final'!#REF!),"")</f>
        <v>#REF!</v>
      </c>
      <c r="AK8" s="355"/>
      <c r="AL8" s="355" t="e">
        <f>IF(AND('Mapa final'!#REF!="Muy Alta",'Mapa final'!#REF!="Catastrófico"),CONCATENATE("R",'Mapa final'!#REF!),"")</f>
        <v>#REF!</v>
      </c>
      <c r="AM8" s="356"/>
      <c r="AN8" s="75"/>
      <c r="AO8" s="301"/>
      <c r="AP8" s="302"/>
      <c r="AQ8" s="302"/>
      <c r="AR8" s="302"/>
      <c r="AS8" s="302"/>
      <c r="AT8" s="303"/>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row>
    <row r="9" spans="1:99" ht="15" customHeight="1" x14ac:dyDescent="0.3">
      <c r="A9" s="75"/>
      <c r="B9" s="296"/>
      <c r="C9" s="296"/>
      <c r="D9" s="297"/>
      <c r="E9" s="337"/>
      <c r="F9" s="338"/>
      <c r="G9" s="338"/>
      <c r="H9" s="338"/>
      <c r="I9" s="339"/>
      <c r="J9" s="347"/>
      <c r="K9" s="343"/>
      <c r="L9" s="343"/>
      <c r="M9" s="343"/>
      <c r="N9" s="343"/>
      <c r="O9" s="344"/>
      <c r="P9" s="347"/>
      <c r="Q9" s="343"/>
      <c r="R9" s="343"/>
      <c r="S9" s="343"/>
      <c r="T9" s="343"/>
      <c r="U9" s="344"/>
      <c r="V9" s="347"/>
      <c r="W9" s="343"/>
      <c r="X9" s="343"/>
      <c r="Y9" s="343"/>
      <c r="Z9" s="343"/>
      <c r="AA9" s="344"/>
      <c r="AB9" s="347"/>
      <c r="AC9" s="343"/>
      <c r="AD9" s="343"/>
      <c r="AE9" s="343"/>
      <c r="AF9" s="343"/>
      <c r="AG9" s="344"/>
      <c r="AH9" s="354"/>
      <c r="AI9" s="355"/>
      <c r="AJ9" s="355"/>
      <c r="AK9" s="355"/>
      <c r="AL9" s="355"/>
      <c r="AM9" s="356"/>
      <c r="AN9" s="75"/>
      <c r="AO9" s="301"/>
      <c r="AP9" s="302"/>
      <c r="AQ9" s="302"/>
      <c r="AR9" s="302"/>
      <c r="AS9" s="302"/>
      <c r="AT9" s="303"/>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row>
    <row r="10" spans="1:99" ht="15" customHeight="1" x14ac:dyDescent="0.3">
      <c r="A10" s="75"/>
      <c r="B10" s="296"/>
      <c r="C10" s="296"/>
      <c r="D10" s="297"/>
      <c r="E10" s="337"/>
      <c r="F10" s="338"/>
      <c r="G10" s="338"/>
      <c r="H10" s="338"/>
      <c r="I10" s="339"/>
      <c r="J10" s="347" t="e">
        <f>IF(AND('Mapa final'!#REF!="Muy Alta",'Mapa final'!#REF!="Leve"),CONCATENATE("R",'Mapa final'!#REF!),"")</f>
        <v>#REF!</v>
      </c>
      <c r="K10" s="343"/>
      <c r="L10" s="343" t="e">
        <f>IF(AND('Mapa final'!#REF!="Muy Alta",'Mapa final'!#REF!="Leve"),CONCATENATE("R",'Mapa final'!#REF!),"")</f>
        <v>#REF!</v>
      </c>
      <c r="M10" s="343"/>
      <c r="N10" s="343" t="e">
        <f>IF(AND('Mapa final'!#REF!="Muy Alta",'Mapa final'!#REF!="Leve"),CONCATENATE("R",'Mapa final'!#REF!),"")</f>
        <v>#REF!</v>
      </c>
      <c r="O10" s="344"/>
      <c r="P10" s="347" t="e">
        <f>IF(AND('Mapa final'!#REF!="Muy Alta",'Mapa final'!#REF!="Menor"),CONCATENATE("R",'Mapa final'!#REF!),"")</f>
        <v>#REF!</v>
      </c>
      <c r="Q10" s="343"/>
      <c r="R10" s="343" t="e">
        <f>IF(AND('Mapa final'!#REF!="Muy Alta",'Mapa final'!#REF!="Menor"),CONCATENATE("R",'Mapa final'!#REF!),"")</f>
        <v>#REF!</v>
      </c>
      <c r="S10" s="343"/>
      <c r="T10" s="343" t="e">
        <f>IF(AND('Mapa final'!#REF!="Muy Alta",'Mapa final'!#REF!="Menor"),CONCATENATE("R",'Mapa final'!#REF!),"")</f>
        <v>#REF!</v>
      </c>
      <c r="U10" s="344"/>
      <c r="V10" s="347" t="e">
        <f>IF(AND('Mapa final'!#REF!="Muy Alta",'Mapa final'!#REF!="Moderado"),CONCATENATE("R",'Mapa final'!#REF!),"")</f>
        <v>#REF!</v>
      </c>
      <c r="W10" s="343"/>
      <c r="X10" s="343" t="e">
        <f>IF(AND('Mapa final'!#REF!="Muy Alta",'Mapa final'!#REF!="Moderado"),CONCATENATE("R",'Mapa final'!#REF!),"")</f>
        <v>#REF!</v>
      </c>
      <c r="Y10" s="343"/>
      <c r="Z10" s="343" t="e">
        <f>IF(AND('Mapa final'!#REF!="Muy Alta",'Mapa final'!#REF!="Moderado"),CONCATENATE("R",'Mapa final'!#REF!),"")</f>
        <v>#REF!</v>
      </c>
      <c r="AA10" s="344"/>
      <c r="AB10" s="347" t="e">
        <f>IF(AND('Mapa final'!#REF!="Muy Alta",'Mapa final'!#REF!="Mayor"),CONCATENATE("R",'Mapa final'!#REF!),"")</f>
        <v>#REF!</v>
      </c>
      <c r="AC10" s="343"/>
      <c r="AD10" s="343" t="e">
        <f>IF(AND('Mapa final'!#REF!="Muy Alta",'Mapa final'!#REF!="Mayor"),CONCATENATE("R",'Mapa final'!#REF!),"")</f>
        <v>#REF!</v>
      </c>
      <c r="AE10" s="343"/>
      <c r="AF10" s="343" t="e">
        <f>IF(AND('Mapa final'!#REF!="Muy Alta",'Mapa final'!#REF!="Mayor"),CONCATENATE("R",'Mapa final'!#REF!),"")</f>
        <v>#REF!</v>
      </c>
      <c r="AG10" s="344"/>
      <c r="AH10" s="354" t="e">
        <f>IF(AND('Mapa final'!#REF!="Muy Alta",'Mapa final'!#REF!="Catastrófico"),CONCATENATE("R",'Mapa final'!#REF!),"")</f>
        <v>#REF!</v>
      </c>
      <c r="AI10" s="355"/>
      <c r="AJ10" s="355" t="e">
        <f>IF(AND('Mapa final'!#REF!="Muy Alta",'Mapa final'!#REF!="Catastrófico"),CONCATENATE("R",'Mapa final'!#REF!),"")</f>
        <v>#REF!</v>
      </c>
      <c r="AK10" s="355"/>
      <c r="AL10" s="355" t="e">
        <f>IF(AND('Mapa final'!#REF!="Muy Alta",'Mapa final'!#REF!="Catastrófico"),CONCATENATE("R",'Mapa final'!#REF!),"")</f>
        <v>#REF!</v>
      </c>
      <c r="AM10" s="356"/>
      <c r="AN10" s="75"/>
      <c r="AO10" s="301"/>
      <c r="AP10" s="302"/>
      <c r="AQ10" s="302"/>
      <c r="AR10" s="302"/>
      <c r="AS10" s="302"/>
      <c r="AT10" s="303"/>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row>
    <row r="11" spans="1:99" ht="15" customHeight="1" x14ac:dyDescent="0.3">
      <c r="A11" s="75"/>
      <c r="B11" s="296"/>
      <c r="C11" s="296"/>
      <c r="D11" s="297"/>
      <c r="E11" s="337"/>
      <c r="F11" s="338"/>
      <c r="G11" s="338"/>
      <c r="H11" s="338"/>
      <c r="I11" s="339"/>
      <c r="J11" s="347"/>
      <c r="K11" s="343"/>
      <c r="L11" s="343"/>
      <c r="M11" s="343"/>
      <c r="N11" s="343"/>
      <c r="O11" s="344"/>
      <c r="P11" s="347"/>
      <c r="Q11" s="343"/>
      <c r="R11" s="343"/>
      <c r="S11" s="343"/>
      <c r="T11" s="343"/>
      <c r="U11" s="344"/>
      <c r="V11" s="347"/>
      <c r="W11" s="343"/>
      <c r="X11" s="343"/>
      <c r="Y11" s="343"/>
      <c r="Z11" s="343"/>
      <c r="AA11" s="344"/>
      <c r="AB11" s="347"/>
      <c r="AC11" s="343"/>
      <c r="AD11" s="343"/>
      <c r="AE11" s="343"/>
      <c r="AF11" s="343"/>
      <c r="AG11" s="344"/>
      <c r="AH11" s="354"/>
      <c r="AI11" s="355"/>
      <c r="AJ11" s="355"/>
      <c r="AK11" s="355"/>
      <c r="AL11" s="355"/>
      <c r="AM11" s="356"/>
      <c r="AN11" s="75"/>
      <c r="AO11" s="301"/>
      <c r="AP11" s="302"/>
      <c r="AQ11" s="302"/>
      <c r="AR11" s="302"/>
      <c r="AS11" s="302"/>
      <c r="AT11" s="303"/>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row>
    <row r="12" spans="1:99" ht="15" customHeight="1" x14ac:dyDescent="0.3">
      <c r="A12" s="75"/>
      <c r="B12" s="296"/>
      <c r="C12" s="296"/>
      <c r="D12" s="297"/>
      <c r="E12" s="337"/>
      <c r="F12" s="338"/>
      <c r="G12" s="338"/>
      <c r="H12" s="338"/>
      <c r="I12" s="339"/>
      <c r="J12" s="347" t="e">
        <f>IF(AND('Mapa final'!#REF!="Muy Alta",'Mapa final'!#REF!="Leve"),CONCATENATE("R",'Mapa final'!#REF!),"")</f>
        <v>#REF!</v>
      </c>
      <c r="K12" s="343"/>
      <c r="L12" s="343" t="str">
        <f>IF(AND('Mapa final'!$N$27="Muy Alta",'Mapa final'!$R$27="Leve"),CONCATENATE("R",'Mapa final'!$A$27),"")</f>
        <v/>
      </c>
      <c r="M12" s="343"/>
      <c r="N12" s="343" t="e">
        <f>IF(AND('Mapa final'!#REF!="Muy Alta",'Mapa final'!#REF!="Leve"),CONCATENATE("R",'Mapa final'!#REF!),"")</f>
        <v>#REF!</v>
      </c>
      <c r="O12" s="344"/>
      <c r="P12" s="347" t="e">
        <f>IF(AND('Mapa final'!#REF!="Muy Alta",'Mapa final'!#REF!="Menor"),CONCATENATE("R",'Mapa final'!#REF!),"")</f>
        <v>#REF!</v>
      </c>
      <c r="Q12" s="343"/>
      <c r="R12" s="343" t="str">
        <f>IF(AND('Mapa final'!$N$27="Muy Alta",'Mapa final'!$R$27="Menor"),CONCATENATE("R",'Mapa final'!$A$27),"")</f>
        <v/>
      </c>
      <c r="S12" s="343"/>
      <c r="T12" s="343" t="e">
        <f>IF(AND('Mapa final'!#REF!="Muy Alta",'Mapa final'!#REF!="Menor"),CONCATENATE("R",'Mapa final'!#REF!),"")</f>
        <v>#REF!</v>
      </c>
      <c r="U12" s="344"/>
      <c r="V12" s="347" t="e">
        <f>IF(AND('Mapa final'!#REF!="Muy Alta",'Mapa final'!#REF!="Moderado"),CONCATENATE("R",'Mapa final'!#REF!),"")</f>
        <v>#REF!</v>
      </c>
      <c r="W12" s="343"/>
      <c r="X12" s="343" t="str">
        <f>IF(AND('Mapa final'!$N$27="Muy Alta",'Mapa final'!$R$27="Moderado"),CONCATENATE("R",'Mapa final'!$A$27),"")</f>
        <v/>
      </c>
      <c r="Y12" s="343"/>
      <c r="Z12" s="343" t="e">
        <f>IF(AND('Mapa final'!#REF!="Muy Alta",'Mapa final'!#REF!="Moderado"),CONCATENATE("R",'Mapa final'!#REF!),"")</f>
        <v>#REF!</v>
      </c>
      <c r="AA12" s="344"/>
      <c r="AB12" s="347" t="e">
        <f>IF(AND('Mapa final'!#REF!="Muy Alta",'Mapa final'!#REF!="Mayor"),CONCATENATE("R",'Mapa final'!#REF!),"")</f>
        <v>#REF!</v>
      </c>
      <c r="AC12" s="343"/>
      <c r="AD12" s="343" t="str">
        <f>IF(AND('Mapa final'!$N$27="Muy Alta",'Mapa final'!$R$27="Mayor"),CONCATENATE("R",'Mapa final'!$A$27),"")</f>
        <v/>
      </c>
      <c r="AE12" s="343"/>
      <c r="AF12" s="343" t="e">
        <f>IF(AND('Mapa final'!#REF!="Muy Alta",'Mapa final'!#REF!="Mayor"),CONCATENATE("R",'Mapa final'!#REF!),"")</f>
        <v>#REF!</v>
      </c>
      <c r="AG12" s="344"/>
      <c r="AH12" s="354" t="e">
        <f>IF(AND('Mapa final'!#REF!="Muy Alta",'Mapa final'!#REF!="Catastrófico"),CONCATENATE("R",'Mapa final'!#REF!),"")</f>
        <v>#REF!</v>
      </c>
      <c r="AI12" s="355"/>
      <c r="AJ12" s="355" t="str">
        <f>IF(AND('Mapa final'!$N$27="Muy Alta",'Mapa final'!$R$27="Catastrófico"),CONCATENATE("R",'Mapa final'!$A$27),"")</f>
        <v/>
      </c>
      <c r="AK12" s="355"/>
      <c r="AL12" s="355" t="e">
        <f>IF(AND('Mapa final'!#REF!="Muy Alta",'Mapa final'!#REF!="Catastrófico"),CONCATENATE("R",'Mapa final'!#REF!),"")</f>
        <v>#REF!</v>
      </c>
      <c r="AM12" s="356"/>
      <c r="AN12" s="75"/>
      <c r="AO12" s="301"/>
      <c r="AP12" s="302"/>
      <c r="AQ12" s="302"/>
      <c r="AR12" s="302"/>
      <c r="AS12" s="302"/>
      <c r="AT12" s="303"/>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row>
    <row r="13" spans="1:99" ht="15.75" customHeight="1" thickBot="1" x14ac:dyDescent="0.35">
      <c r="A13" s="75"/>
      <c r="B13" s="296"/>
      <c r="C13" s="296"/>
      <c r="D13" s="297"/>
      <c r="E13" s="340"/>
      <c r="F13" s="341"/>
      <c r="G13" s="341"/>
      <c r="H13" s="341"/>
      <c r="I13" s="342"/>
      <c r="J13" s="347"/>
      <c r="K13" s="343"/>
      <c r="L13" s="343"/>
      <c r="M13" s="343"/>
      <c r="N13" s="343"/>
      <c r="O13" s="344"/>
      <c r="P13" s="347"/>
      <c r="Q13" s="343"/>
      <c r="R13" s="343"/>
      <c r="S13" s="343"/>
      <c r="T13" s="343"/>
      <c r="U13" s="344"/>
      <c r="V13" s="347"/>
      <c r="W13" s="343"/>
      <c r="X13" s="343"/>
      <c r="Y13" s="343"/>
      <c r="Z13" s="343"/>
      <c r="AA13" s="344"/>
      <c r="AB13" s="347"/>
      <c r="AC13" s="343"/>
      <c r="AD13" s="343"/>
      <c r="AE13" s="343"/>
      <c r="AF13" s="343"/>
      <c r="AG13" s="344"/>
      <c r="AH13" s="357"/>
      <c r="AI13" s="358"/>
      <c r="AJ13" s="358"/>
      <c r="AK13" s="358"/>
      <c r="AL13" s="358"/>
      <c r="AM13" s="359"/>
      <c r="AN13" s="75"/>
      <c r="AO13" s="304"/>
      <c r="AP13" s="305"/>
      <c r="AQ13" s="305"/>
      <c r="AR13" s="305"/>
      <c r="AS13" s="305"/>
      <c r="AT13" s="306"/>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row>
    <row r="14" spans="1:99" ht="15" customHeight="1" x14ac:dyDescent="0.3">
      <c r="A14" s="75"/>
      <c r="B14" s="296"/>
      <c r="C14" s="296"/>
      <c r="D14" s="297"/>
      <c r="E14" s="334" t="s">
        <v>242</v>
      </c>
      <c r="F14" s="335"/>
      <c r="G14" s="335"/>
      <c r="H14" s="335"/>
      <c r="I14" s="335"/>
      <c r="J14" s="369" t="e">
        <f>IF(AND('Mapa final'!#REF!="Alta",'Mapa final'!#REF!="Leve"),CONCATENATE("R",'Mapa final'!#REF!),"")</f>
        <v>#REF!</v>
      </c>
      <c r="K14" s="370"/>
      <c r="L14" s="370" t="str">
        <f>IF(AND('Mapa final'!$N$13="Alta",'Mapa final'!$R$13="Leve"),CONCATENATE("R",'Mapa final'!$A$13),"")</f>
        <v/>
      </c>
      <c r="M14" s="370"/>
      <c r="N14" s="370" t="e">
        <f>IF(AND('Mapa final'!#REF!="Alta",'Mapa final'!#REF!="Leve"),CONCATENATE("R",'Mapa final'!#REF!),"")</f>
        <v>#REF!</v>
      </c>
      <c r="O14" s="371"/>
      <c r="P14" s="369" t="e">
        <f>IF(AND('Mapa final'!#REF!="Alta",'Mapa final'!#REF!="Menor"),CONCATENATE("R",'Mapa final'!#REF!),"")</f>
        <v>#REF!</v>
      </c>
      <c r="Q14" s="370"/>
      <c r="R14" s="370" t="str">
        <f>IF(AND('Mapa final'!$N$13="Alta",'Mapa final'!$R$13="Menor"),CONCATENATE("R",'Mapa final'!$A$13),"")</f>
        <v/>
      </c>
      <c r="S14" s="370"/>
      <c r="T14" s="370" t="e">
        <f>IF(AND('Mapa final'!#REF!="Alta",'Mapa final'!#REF!="Menor"),CONCATENATE("R",'Mapa final'!#REF!),"")</f>
        <v>#REF!</v>
      </c>
      <c r="U14" s="371"/>
      <c r="V14" s="345" t="e">
        <f>IF(AND('Mapa final'!#REF!="Alta",'Mapa final'!#REF!="Moderado"),CONCATENATE("R",'Mapa final'!#REF!),"")</f>
        <v>#REF!</v>
      </c>
      <c r="W14" s="346"/>
      <c r="X14" s="346" t="str">
        <f>IF(AND('Mapa final'!$N$13="Alta",'Mapa final'!$R$13="Moderado"),CONCATENATE("R",'Mapa final'!$A$13),"")</f>
        <v/>
      </c>
      <c r="Y14" s="346"/>
      <c r="Z14" s="346" t="e">
        <f>IF(AND('Mapa final'!#REF!="Alta",'Mapa final'!#REF!="Moderado"),CONCATENATE("R",'Mapa final'!#REF!),"")</f>
        <v>#REF!</v>
      </c>
      <c r="AA14" s="348"/>
      <c r="AB14" s="345" t="e">
        <f>IF(AND('Mapa final'!#REF!="Alta",'Mapa final'!#REF!="Mayor"),CONCATENATE("R",'Mapa final'!#REF!),"")</f>
        <v>#REF!</v>
      </c>
      <c r="AC14" s="346"/>
      <c r="AD14" s="346" t="str">
        <f>IF(AND('Mapa final'!$N$13="Alta",'Mapa final'!$R$13="Mayor"),CONCATENATE("R",'Mapa final'!$A$13),"")</f>
        <v/>
      </c>
      <c r="AE14" s="346"/>
      <c r="AF14" s="346" t="e">
        <f>IF(AND('Mapa final'!#REF!="Alta",'Mapa final'!#REF!="Mayor"),CONCATENATE("R",'Mapa final'!#REF!),"")</f>
        <v>#REF!</v>
      </c>
      <c r="AG14" s="348"/>
      <c r="AH14" s="360" t="e">
        <f>IF(AND('Mapa final'!#REF!="Alta",'Mapa final'!#REF!="Catastrófico"),CONCATENATE("R",'Mapa final'!#REF!),"")</f>
        <v>#REF!</v>
      </c>
      <c r="AI14" s="361"/>
      <c r="AJ14" s="361" t="str">
        <f>IF(AND('Mapa final'!$N$13="Alta",'Mapa final'!$R$13="Catastrófico"),CONCATENATE("R",'Mapa final'!$A$13),"")</f>
        <v/>
      </c>
      <c r="AK14" s="361"/>
      <c r="AL14" s="361" t="e">
        <f>IF(AND('Mapa final'!#REF!="Alta",'Mapa final'!#REF!="Catastrófico"),CONCATENATE("R",'Mapa final'!#REF!),"")</f>
        <v>#REF!</v>
      </c>
      <c r="AM14" s="362"/>
      <c r="AN14" s="75"/>
      <c r="AO14" s="307" t="s">
        <v>142</v>
      </c>
      <c r="AP14" s="308"/>
      <c r="AQ14" s="308"/>
      <c r="AR14" s="308"/>
      <c r="AS14" s="308"/>
      <c r="AT14" s="309"/>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row>
    <row r="15" spans="1:99" ht="15" customHeight="1" x14ac:dyDescent="0.3">
      <c r="A15" s="75"/>
      <c r="B15" s="296"/>
      <c r="C15" s="296"/>
      <c r="D15" s="297"/>
      <c r="E15" s="337"/>
      <c r="F15" s="338"/>
      <c r="G15" s="338"/>
      <c r="H15" s="338"/>
      <c r="I15" s="338"/>
      <c r="J15" s="363"/>
      <c r="K15" s="364"/>
      <c r="L15" s="364"/>
      <c r="M15" s="364"/>
      <c r="N15" s="364"/>
      <c r="O15" s="365"/>
      <c r="P15" s="363"/>
      <c r="Q15" s="364"/>
      <c r="R15" s="364"/>
      <c r="S15" s="364"/>
      <c r="T15" s="364"/>
      <c r="U15" s="365"/>
      <c r="V15" s="347"/>
      <c r="W15" s="343"/>
      <c r="X15" s="343"/>
      <c r="Y15" s="343"/>
      <c r="Z15" s="343"/>
      <c r="AA15" s="344"/>
      <c r="AB15" s="347"/>
      <c r="AC15" s="343"/>
      <c r="AD15" s="343"/>
      <c r="AE15" s="343"/>
      <c r="AF15" s="343"/>
      <c r="AG15" s="344"/>
      <c r="AH15" s="354"/>
      <c r="AI15" s="355"/>
      <c r="AJ15" s="355"/>
      <c r="AK15" s="355"/>
      <c r="AL15" s="355"/>
      <c r="AM15" s="356"/>
      <c r="AN15" s="75"/>
      <c r="AO15" s="310"/>
      <c r="AP15" s="311"/>
      <c r="AQ15" s="311"/>
      <c r="AR15" s="311"/>
      <c r="AS15" s="311"/>
      <c r="AT15" s="312"/>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row>
    <row r="16" spans="1:99" ht="15" customHeight="1" x14ac:dyDescent="0.3">
      <c r="A16" s="75"/>
      <c r="B16" s="296"/>
      <c r="C16" s="296"/>
      <c r="D16" s="297"/>
      <c r="E16" s="337"/>
      <c r="F16" s="338"/>
      <c r="G16" s="338"/>
      <c r="H16" s="338"/>
      <c r="I16" s="338"/>
      <c r="J16" s="363" t="e">
        <f>IF(AND('Mapa final'!#REF!="Alta",'Mapa final'!#REF!="Leve"),CONCATENATE("R",'Mapa final'!#REF!),"")</f>
        <v>#REF!</v>
      </c>
      <c r="K16" s="364"/>
      <c r="L16" s="364" t="e">
        <f>IF(AND('Mapa final'!#REF!="Alta",'Mapa final'!#REF!="Leve"),CONCATENATE("R",'Mapa final'!#REF!),"")</f>
        <v>#REF!</v>
      </c>
      <c r="M16" s="364"/>
      <c r="N16" s="364" t="e">
        <f>IF(AND('Mapa final'!#REF!="Alta",'Mapa final'!#REF!="Leve"),CONCATENATE("R",'Mapa final'!#REF!),"")</f>
        <v>#REF!</v>
      </c>
      <c r="O16" s="365"/>
      <c r="P16" s="363" t="e">
        <f>IF(AND('Mapa final'!#REF!="Alta",'Mapa final'!#REF!="Menor"),CONCATENATE("R",'Mapa final'!#REF!),"")</f>
        <v>#REF!</v>
      </c>
      <c r="Q16" s="364"/>
      <c r="R16" s="364" t="e">
        <f>IF(AND('Mapa final'!#REF!="Alta",'Mapa final'!#REF!="Menor"),CONCATENATE("R",'Mapa final'!#REF!),"")</f>
        <v>#REF!</v>
      </c>
      <c r="S16" s="364"/>
      <c r="T16" s="364" t="e">
        <f>IF(AND('Mapa final'!#REF!="Alta",'Mapa final'!#REF!="Menor"),CONCATENATE("R",'Mapa final'!#REF!),"")</f>
        <v>#REF!</v>
      </c>
      <c r="U16" s="365"/>
      <c r="V16" s="347" t="e">
        <f>IF(AND('Mapa final'!#REF!="Alta",'Mapa final'!#REF!="Moderado"),CONCATENATE("R",'Mapa final'!#REF!),"")</f>
        <v>#REF!</v>
      </c>
      <c r="W16" s="343"/>
      <c r="X16" s="343" t="e">
        <f>IF(AND('Mapa final'!#REF!="Alta",'Mapa final'!#REF!="Moderado"),CONCATENATE("R",'Mapa final'!#REF!),"")</f>
        <v>#REF!</v>
      </c>
      <c r="Y16" s="343"/>
      <c r="Z16" s="343" t="e">
        <f>IF(AND('Mapa final'!#REF!="Alta",'Mapa final'!#REF!="Moderado"),CONCATENATE("R",'Mapa final'!#REF!),"")</f>
        <v>#REF!</v>
      </c>
      <c r="AA16" s="344"/>
      <c r="AB16" s="347" t="e">
        <f>IF(AND('Mapa final'!#REF!="Alta",'Mapa final'!#REF!="Mayor"),CONCATENATE("R",'Mapa final'!#REF!),"")</f>
        <v>#REF!</v>
      </c>
      <c r="AC16" s="343"/>
      <c r="AD16" s="343" t="e">
        <f>IF(AND('Mapa final'!#REF!="Alta",'Mapa final'!#REF!="Mayor"),CONCATENATE("R",'Mapa final'!#REF!),"")</f>
        <v>#REF!</v>
      </c>
      <c r="AE16" s="343"/>
      <c r="AF16" s="343" t="e">
        <f>IF(AND('Mapa final'!#REF!="Alta",'Mapa final'!#REF!="Mayor"),CONCATENATE("R",'Mapa final'!#REF!),"")</f>
        <v>#REF!</v>
      </c>
      <c r="AG16" s="344"/>
      <c r="AH16" s="354" t="e">
        <f>IF(AND('Mapa final'!#REF!="Alta",'Mapa final'!#REF!="Catastrófico"),CONCATENATE("R",'Mapa final'!#REF!),"")</f>
        <v>#REF!</v>
      </c>
      <c r="AI16" s="355"/>
      <c r="AJ16" s="355" t="e">
        <f>IF(AND('Mapa final'!#REF!="Alta",'Mapa final'!#REF!="Catastrófico"),CONCATENATE("R",'Mapa final'!#REF!),"")</f>
        <v>#REF!</v>
      </c>
      <c r="AK16" s="355"/>
      <c r="AL16" s="355" t="e">
        <f>IF(AND('Mapa final'!#REF!="Alta",'Mapa final'!#REF!="Catastrófico"),CONCATENATE("R",'Mapa final'!#REF!),"")</f>
        <v>#REF!</v>
      </c>
      <c r="AM16" s="356"/>
      <c r="AN16" s="75"/>
      <c r="AO16" s="310"/>
      <c r="AP16" s="311"/>
      <c r="AQ16" s="311"/>
      <c r="AR16" s="311"/>
      <c r="AS16" s="311"/>
      <c r="AT16" s="312"/>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row>
    <row r="17" spans="1:80" ht="15" customHeight="1" x14ac:dyDescent="0.3">
      <c r="A17" s="75"/>
      <c r="B17" s="296"/>
      <c r="C17" s="296"/>
      <c r="D17" s="297"/>
      <c r="E17" s="337"/>
      <c r="F17" s="338"/>
      <c r="G17" s="338"/>
      <c r="H17" s="338"/>
      <c r="I17" s="338"/>
      <c r="J17" s="363"/>
      <c r="K17" s="364"/>
      <c r="L17" s="364"/>
      <c r="M17" s="364"/>
      <c r="N17" s="364"/>
      <c r="O17" s="365"/>
      <c r="P17" s="363"/>
      <c r="Q17" s="364"/>
      <c r="R17" s="364"/>
      <c r="S17" s="364"/>
      <c r="T17" s="364"/>
      <c r="U17" s="365"/>
      <c r="V17" s="347"/>
      <c r="W17" s="343"/>
      <c r="X17" s="343"/>
      <c r="Y17" s="343"/>
      <c r="Z17" s="343"/>
      <c r="AA17" s="344"/>
      <c r="AB17" s="347"/>
      <c r="AC17" s="343"/>
      <c r="AD17" s="343"/>
      <c r="AE17" s="343"/>
      <c r="AF17" s="343"/>
      <c r="AG17" s="344"/>
      <c r="AH17" s="354"/>
      <c r="AI17" s="355"/>
      <c r="AJ17" s="355"/>
      <c r="AK17" s="355"/>
      <c r="AL17" s="355"/>
      <c r="AM17" s="356"/>
      <c r="AN17" s="75"/>
      <c r="AO17" s="310"/>
      <c r="AP17" s="311"/>
      <c r="AQ17" s="311"/>
      <c r="AR17" s="311"/>
      <c r="AS17" s="311"/>
      <c r="AT17" s="312"/>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row>
    <row r="18" spans="1:80" ht="15" customHeight="1" x14ac:dyDescent="0.3">
      <c r="A18" s="75"/>
      <c r="B18" s="296"/>
      <c r="C18" s="296"/>
      <c r="D18" s="297"/>
      <c r="E18" s="337"/>
      <c r="F18" s="338"/>
      <c r="G18" s="338"/>
      <c r="H18" s="338"/>
      <c r="I18" s="338"/>
      <c r="J18" s="363" t="e">
        <f>IF(AND('Mapa final'!#REF!="Alta",'Mapa final'!#REF!="Leve"),CONCATENATE("R",'Mapa final'!#REF!),"")</f>
        <v>#REF!</v>
      </c>
      <c r="K18" s="364"/>
      <c r="L18" s="364" t="e">
        <f>IF(AND('Mapa final'!#REF!="Alta",'Mapa final'!#REF!="Leve"),CONCATENATE("R",'Mapa final'!#REF!),"")</f>
        <v>#REF!</v>
      </c>
      <c r="M18" s="364"/>
      <c r="N18" s="364" t="e">
        <f>IF(AND('Mapa final'!#REF!="Alta",'Mapa final'!#REF!="Leve"),CONCATENATE("R",'Mapa final'!#REF!),"")</f>
        <v>#REF!</v>
      </c>
      <c r="O18" s="365"/>
      <c r="P18" s="363" t="e">
        <f>IF(AND('Mapa final'!#REF!="Alta",'Mapa final'!#REF!="Menor"),CONCATENATE("R",'Mapa final'!#REF!),"")</f>
        <v>#REF!</v>
      </c>
      <c r="Q18" s="364"/>
      <c r="R18" s="364" t="e">
        <f>IF(AND('Mapa final'!#REF!="Alta",'Mapa final'!#REF!="Menor"),CONCATENATE("R",'Mapa final'!#REF!),"")</f>
        <v>#REF!</v>
      </c>
      <c r="S18" s="364"/>
      <c r="T18" s="364" t="e">
        <f>IF(AND('Mapa final'!#REF!="Alta",'Mapa final'!#REF!="Menor"),CONCATENATE("R",'Mapa final'!#REF!),"")</f>
        <v>#REF!</v>
      </c>
      <c r="U18" s="365"/>
      <c r="V18" s="347" t="e">
        <f>IF(AND('Mapa final'!#REF!="Alta",'Mapa final'!#REF!="Moderado"),CONCATENATE("R",'Mapa final'!#REF!),"")</f>
        <v>#REF!</v>
      </c>
      <c r="W18" s="343"/>
      <c r="X18" s="343" t="e">
        <f>IF(AND('Mapa final'!#REF!="Alta",'Mapa final'!#REF!="Moderado"),CONCATENATE("R",'Mapa final'!#REF!),"")</f>
        <v>#REF!</v>
      </c>
      <c r="Y18" s="343"/>
      <c r="Z18" s="343" t="e">
        <f>IF(AND('Mapa final'!#REF!="Alta",'Mapa final'!#REF!="Moderado"),CONCATENATE("R",'Mapa final'!#REF!),"")</f>
        <v>#REF!</v>
      </c>
      <c r="AA18" s="344"/>
      <c r="AB18" s="347" t="e">
        <f>IF(AND('Mapa final'!#REF!="Alta",'Mapa final'!#REF!="Mayor"),CONCATENATE("R",'Mapa final'!#REF!),"")</f>
        <v>#REF!</v>
      </c>
      <c r="AC18" s="343"/>
      <c r="AD18" s="343" t="e">
        <f>IF(AND('Mapa final'!#REF!="Alta",'Mapa final'!#REF!="Mayor"),CONCATENATE("R",'Mapa final'!#REF!),"")</f>
        <v>#REF!</v>
      </c>
      <c r="AE18" s="343"/>
      <c r="AF18" s="343" t="e">
        <f>IF(AND('Mapa final'!#REF!="Alta",'Mapa final'!#REF!="Mayor"),CONCATENATE("R",'Mapa final'!#REF!),"")</f>
        <v>#REF!</v>
      </c>
      <c r="AG18" s="344"/>
      <c r="AH18" s="354" t="e">
        <f>IF(AND('Mapa final'!#REF!="Alta",'Mapa final'!#REF!="Catastrófico"),CONCATENATE("R",'Mapa final'!#REF!),"")</f>
        <v>#REF!</v>
      </c>
      <c r="AI18" s="355"/>
      <c r="AJ18" s="355" t="e">
        <f>IF(AND('Mapa final'!#REF!="Alta",'Mapa final'!#REF!="Catastrófico"),CONCATENATE("R",'Mapa final'!#REF!),"")</f>
        <v>#REF!</v>
      </c>
      <c r="AK18" s="355"/>
      <c r="AL18" s="355" t="e">
        <f>IF(AND('Mapa final'!#REF!="Alta",'Mapa final'!#REF!="Catastrófico"),CONCATENATE("R",'Mapa final'!#REF!),"")</f>
        <v>#REF!</v>
      </c>
      <c r="AM18" s="356"/>
      <c r="AN18" s="75"/>
      <c r="AO18" s="310"/>
      <c r="AP18" s="311"/>
      <c r="AQ18" s="311"/>
      <c r="AR18" s="311"/>
      <c r="AS18" s="311"/>
      <c r="AT18" s="312"/>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row>
    <row r="19" spans="1:80" ht="15" customHeight="1" x14ac:dyDescent="0.3">
      <c r="A19" s="75"/>
      <c r="B19" s="296"/>
      <c r="C19" s="296"/>
      <c r="D19" s="297"/>
      <c r="E19" s="337"/>
      <c r="F19" s="338"/>
      <c r="G19" s="338"/>
      <c r="H19" s="338"/>
      <c r="I19" s="338"/>
      <c r="J19" s="363"/>
      <c r="K19" s="364"/>
      <c r="L19" s="364"/>
      <c r="M19" s="364"/>
      <c r="N19" s="364"/>
      <c r="O19" s="365"/>
      <c r="P19" s="363"/>
      <c r="Q19" s="364"/>
      <c r="R19" s="364"/>
      <c r="S19" s="364"/>
      <c r="T19" s="364"/>
      <c r="U19" s="365"/>
      <c r="V19" s="347"/>
      <c r="W19" s="343"/>
      <c r="X19" s="343"/>
      <c r="Y19" s="343"/>
      <c r="Z19" s="343"/>
      <c r="AA19" s="344"/>
      <c r="AB19" s="347"/>
      <c r="AC19" s="343"/>
      <c r="AD19" s="343"/>
      <c r="AE19" s="343"/>
      <c r="AF19" s="343"/>
      <c r="AG19" s="344"/>
      <c r="AH19" s="354"/>
      <c r="AI19" s="355"/>
      <c r="AJ19" s="355"/>
      <c r="AK19" s="355"/>
      <c r="AL19" s="355"/>
      <c r="AM19" s="356"/>
      <c r="AN19" s="75"/>
      <c r="AO19" s="310"/>
      <c r="AP19" s="311"/>
      <c r="AQ19" s="311"/>
      <c r="AR19" s="311"/>
      <c r="AS19" s="311"/>
      <c r="AT19" s="312"/>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row>
    <row r="20" spans="1:80" ht="15" customHeight="1" x14ac:dyDescent="0.3">
      <c r="A20" s="75"/>
      <c r="B20" s="296"/>
      <c r="C20" s="296"/>
      <c r="D20" s="297"/>
      <c r="E20" s="337"/>
      <c r="F20" s="338"/>
      <c r="G20" s="338"/>
      <c r="H20" s="338"/>
      <c r="I20" s="338"/>
      <c r="J20" s="363" t="e">
        <f>IF(AND('Mapa final'!#REF!="Alta",'Mapa final'!#REF!="Leve"),CONCATENATE("R",'Mapa final'!#REF!),"")</f>
        <v>#REF!</v>
      </c>
      <c r="K20" s="364"/>
      <c r="L20" s="364" t="str">
        <f>IF(AND('Mapa final'!$N$27="Alta",'Mapa final'!$R$27="Leve"),CONCATENATE("R",'Mapa final'!$A$27),"")</f>
        <v/>
      </c>
      <c r="M20" s="364"/>
      <c r="N20" s="364" t="e">
        <f>IF(AND('Mapa final'!#REF!="Alta",'Mapa final'!#REF!="Leve"),CONCATENATE("R",'Mapa final'!#REF!),"")</f>
        <v>#REF!</v>
      </c>
      <c r="O20" s="365"/>
      <c r="P20" s="363" t="e">
        <f>IF(AND('Mapa final'!#REF!="Alta",'Mapa final'!#REF!="Menor"),CONCATENATE("R",'Mapa final'!#REF!),"")</f>
        <v>#REF!</v>
      </c>
      <c r="Q20" s="364"/>
      <c r="R20" s="364" t="str">
        <f>IF(AND('Mapa final'!$N$27="Alta",'Mapa final'!$R$27="Menor"),CONCATENATE("R",'Mapa final'!$A$27),"")</f>
        <v/>
      </c>
      <c r="S20" s="364"/>
      <c r="T20" s="364" t="e">
        <f>IF(AND('Mapa final'!#REF!="Alta",'Mapa final'!#REF!="Menor"),CONCATENATE("R",'Mapa final'!#REF!),"")</f>
        <v>#REF!</v>
      </c>
      <c r="U20" s="365"/>
      <c r="V20" s="347" t="e">
        <f>IF(AND('Mapa final'!#REF!="Alta",'Mapa final'!#REF!="Moderado"),CONCATENATE("R",'Mapa final'!#REF!),"")</f>
        <v>#REF!</v>
      </c>
      <c r="W20" s="343"/>
      <c r="X20" s="343" t="str">
        <f>IF(AND('Mapa final'!$N$27="Alta",'Mapa final'!$R$27="Moderado"),CONCATENATE("R",'Mapa final'!$A$27),"")</f>
        <v/>
      </c>
      <c r="Y20" s="343"/>
      <c r="Z20" s="343" t="e">
        <f>IF(AND('Mapa final'!#REF!="Alta",'Mapa final'!#REF!="Moderado"),CONCATENATE("R",'Mapa final'!#REF!),"")</f>
        <v>#REF!</v>
      </c>
      <c r="AA20" s="344"/>
      <c r="AB20" s="347" t="e">
        <f>IF(AND('Mapa final'!#REF!="Alta",'Mapa final'!#REF!="Mayor"),CONCATENATE("R",'Mapa final'!#REF!),"")</f>
        <v>#REF!</v>
      </c>
      <c r="AC20" s="343"/>
      <c r="AD20" s="343" t="str">
        <f>IF(AND('Mapa final'!$N$27="Alta",'Mapa final'!$R$27="Mayor"),CONCATENATE("R",'Mapa final'!$A$27),"")</f>
        <v/>
      </c>
      <c r="AE20" s="343"/>
      <c r="AF20" s="343" t="e">
        <f>IF(AND('Mapa final'!#REF!="Alta",'Mapa final'!#REF!="Mayor"),CONCATENATE("R",'Mapa final'!#REF!),"")</f>
        <v>#REF!</v>
      </c>
      <c r="AG20" s="344"/>
      <c r="AH20" s="354" t="e">
        <f>IF(AND('Mapa final'!#REF!="Alta",'Mapa final'!#REF!="Catastrófico"),CONCATENATE("R",'Mapa final'!#REF!),"")</f>
        <v>#REF!</v>
      </c>
      <c r="AI20" s="355"/>
      <c r="AJ20" s="355" t="str">
        <f>IF(AND('Mapa final'!$N$27="Alta",'Mapa final'!$R$27="Catastrófico"),CONCATENATE("R",'Mapa final'!$A$27),"")</f>
        <v/>
      </c>
      <c r="AK20" s="355"/>
      <c r="AL20" s="355" t="e">
        <f>IF(AND('Mapa final'!#REF!="Alta",'Mapa final'!#REF!="Catastrófico"),CONCATENATE("R",'Mapa final'!#REF!),"")</f>
        <v>#REF!</v>
      </c>
      <c r="AM20" s="356"/>
      <c r="AN20" s="75"/>
      <c r="AO20" s="310"/>
      <c r="AP20" s="311"/>
      <c r="AQ20" s="311"/>
      <c r="AR20" s="311"/>
      <c r="AS20" s="311"/>
      <c r="AT20" s="312"/>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row>
    <row r="21" spans="1:80" ht="15.75" customHeight="1" thickBot="1" x14ac:dyDescent="0.35">
      <c r="A21" s="75"/>
      <c r="B21" s="296"/>
      <c r="C21" s="296"/>
      <c r="D21" s="297"/>
      <c r="E21" s="340"/>
      <c r="F21" s="341"/>
      <c r="G21" s="341"/>
      <c r="H21" s="341"/>
      <c r="I21" s="341"/>
      <c r="J21" s="366"/>
      <c r="K21" s="367"/>
      <c r="L21" s="367"/>
      <c r="M21" s="367"/>
      <c r="N21" s="367"/>
      <c r="O21" s="368"/>
      <c r="P21" s="366"/>
      <c r="Q21" s="367"/>
      <c r="R21" s="367"/>
      <c r="S21" s="367"/>
      <c r="T21" s="367"/>
      <c r="U21" s="368"/>
      <c r="V21" s="351"/>
      <c r="W21" s="352"/>
      <c r="X21" s="352"/>
      <c r="Y21" s="352"/>
      <c r="Z21" s="352"/>
      <c r="AA21" s="353"/>
      <c r="AB21" s="351"/>
      <c r="AC21" s="352"/>
      <c r="AD21" s="352"/>
      <c r="AE21" s="352"/>
      <c r="AF21" s="352"/>
      <c r="AG21" s="353"/>
      <c r="AH21" s="357"/>
      <c r="AI21" s="358"/>
      <c r="AJ21" s="358"/>
      <c r="AK21" s="358"/>
      <c r="AL21" s="358"/>
      <c r="AM21" s="359"/>
      <c r="AN21" s="75"/>
      <c r="AO21" s="313"/>
      <c r="AP21" s="314"/>
      <c r="AQ21" s="314"/>
      <c r="AR21" s="314"/>
      <c r="AS21" s="314"/>
      <c r="AT21" s="31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row>
    <row r="22" spans="1:80" x14ac:dyDescent="0.3">
      <c r="A22" s="75"/>
      <c r="B22" s="296"/>
      <c r="C22" s="296"/>
      <c r="D22" s="297"/>
      <c r="E22" s="334" t="s">
        <v>243</v>
      </c>
      <c r="F22" s="335"/>
      <c r="G22" s="335"/>
      <c r="H22" s="335"/>
      <c r="I22" s="336"/>
      <c r="J22" s="369" t="e">
        <f>IF(AND('Mapa final'!#REF!="Media",'Mapa final'!#REF!="Leve"),CONCATENATE("R",'Mapa final'!#REF!),"")</f>
        <v>#REF!</v>
      </c>
      <c r="K22" s="370"/>
      <c r="L22" s="370" t="str">
        <f>IF(AND('Mapa final'!$N$13="Media",'Mapa final'!$R$13="Leve"),CONCATENATE("R",'Mapa final'!$A$13),"")</f>
        <v/>
      </c>
      <c r="M22" s="370"/>
      <c r="N22" s="370" t="e">
        <f>IF(AND('Mapa final'!#REF!="Media",'Mapa final'!#REF!="Leve"),CONCATENATE("R",'Mapa final'!#REF!),"")</f>
        <v>#REF!</v>
      </c>
      <c r="O22" s="371"/>
      <c r="P22" s="369" t="e">
        <f>IF(AND('Mapa final'!#REF!="Media",'Mapa final'!#REF!="Menor"),CONCATENATE("R",'Mapa final'!#REF!),"")</f>
        <v>#REF!</v>
      </c>
      <c r="Q22" s="370"/>
      <c r="R22" s="370" t="str">
        <f>IF(AND('Mapa final'!$N$13="Media",'Mapa final'!$R$13="Menor"),CONCATENATE("R",'Mapa final'!$A$13),"")</f>
        <v/>
      </c>
      <c r="S22" s="370"/>
      <c r="T22" s="370" t="e">
        <f>IF(AND('Mapa final'!#REF!="Media",'Mapa final'!#REF!="Menor"),CONCATENATE("R",'Mapa final'!#REF!),"")</f>
        <v>#REF!</v>
      </c>
      <c r="U22" s="371"/>
      <c r="V22" s="369" t="e">
        <f>IF(AND('Mapa final'!#REF!="Media",'Mapa final'!#REF!="Moderado"),CONCATENATE("R",'Mapa final'!#REF!),"")</f>
        <v>#REF!</v>
      </c>
      <c r="W22" s="370"/>
      <c r="X22" s="370" t="str">
        <f>IF(AND('Mapa final'!$N$13="Media",'Mapa final'!$R$13="Moderado"),CONCATENATE("R",'Mapa final'!$A$13),"")</f>
        <v/>
      </c>
      <c r="Y22" s="370"/>
      <c r="Z22" s="370" t="e">
        <f>IF(AND('Mapa final'!#REF!="Media",'Mapa final'!#REF!="Moderado"),CONCATENATE("R",'Mapa final'!#REF!),"")</f>
        <v>#REF!</v>
      </c>
      <c r="AA22" s="371"/>
      <c r="AB22" s="345" t="e">
        <f>IF(AND('Mapa final'!#REF!="Media",'Mapa final'!#REF!="Mayor"),CONCATENATE("R",'Mapa final'!#REF!),"")</f>
        <v>#REF!</v>
      </c>
      <c r="AC22" s="346"/>
      <c r="AD22" s="346" t="str">
        <f>IF(AND('Mapa final'!$N$13="Media",'Mapa final'!$R$13="Mayor"),CONCATENATE("R",'Mapa final'!$A$13),"")</f>
        <v/>
      </c>
      <c r="AE22" s="346"/>
      <c r="AF22" s="346" t="e">
        <f>IF(AND('Mapa final'!#REF!="Media",'Mapa final'!#REF!="Mayor"),CONCATENATE("R",'Mapa final'!#REF!),"")</f>
        <v>#REF!</v>
      </c>
      <c r="AG22" s="348"/>
      <c r="AH22" s="360" t="e">
        <f>IF(AND('Mapa final'!#REF!="Media",'Mapa final'!#REF!="Catastrófico"),CONCATENATE("R",'Mapa final'!#REF!),"")</f>
        <v>#REF!</v>
      </c>
      <c r="AI22" s="361"/>
      <c r="AJ22" s="361" t="str">
        <f>IF(AND('Mapa final'!$N$13="Media",'Mapa final'!$R$13="Catastrófico"),CONCATENATE("R",'Mapa final'!$A$13),"")</f>
        <v/>
      </c>
      <c r="AK22" s="361"/>
      <c r="AL22" s="361" t="e">
        <f>IF(AND('Mapa final'!#REF!="Media",'Mapa final'!#REF!="Catastrófico"),CONCATENATE("R",'Mapa final'!#REF!),"")</f>
        <v>#REF!</v>
      </c>
      <c r="AM22" s="362"/>
      <c r="AN22" s="75"/>
      <c r="AO22" s="316" t="s">
        <v>141</v>
      </c>
      <c r="AP22" s="317"/>
      <c r="AQ22" s="317"/>
      <c r="AR22" s="317"/>
      <c r="AS22" s="317"/>
      <c r="AT22" s="318"/>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row>
    <row r="23" spans="1:80" x14ac:dyDescent="0.3">
      <c r="A23" s="75"/>
      <c r="B23" s="296"/>
      <c r="C23" s="296"/>
      <c r="D23" s="297"/>
      <c r="E23" s="337"/>
      <c r="F23" s="338"/>
      <c r="G23" s="338"/>
      <c r="H23" s="338"/>
      <c r="I23" s="339"/>
      <c r="J23" s="363"/>
      <c r="K23" s="364"/>
      <c r="L23" s="364"/>
      <c r="M23" s="364"/>
      <c r="N23" s="364"/>
      <c r="O23" s="365"/>
      <c r="P23" s="363"/>
      <c r="Q23" s="364"/>
      <c r="R23" s="364"/>
      <c r="S23" s="364"/>
      <c r="T23" s="364"/>
      <c r="U23" s="365"/>
      <c r="V23" s="363"/>
      <c r="W23" s="364"/>
      <c r="X23" s="364"/>
      <c r="Y23" s="364"/>
      <c r="Z23" s="364"/>
      <c r="AA23" s="365"/>
      <c r="AB23" s="347"/>
      <c r="AC23" s="343"/>
      <c r="AD23" s="343"/>
      <c r="AE23" s="343"/>
      <c r="AF23" s="343"/>
      <c r="AG23" s="344"/>
      <c r="AH23" s="354"/>
      <c r="AI23" s="355"/>
      <c r="AJ23" s="355"/>
      <c r="AK23" s="355"/>
      <c r="AL23" s="355"/>
      <c r="AM23" s="356"/>
      <c r="AN23" s="75"/>
      <c r="AO23" s="319"/>
      <c r="AP23" s="320"/>
      <c r="AQ23" s="320"/>
      <c r="AR23" s="320"/>
      <c r="AS23" s="320"/>
      <c r="AT23" s="321"/>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row>
    <row r="24" spans="1:80" x14ac:dyDescent="0.3">
      <c r="A24" s="75"/>
      <c r="B24" s="296"/>
      <c r="C24" s="296"/>
      <c r="D24" s="297"/>
      <c r="E24" s="337"/>
      <c r="F24" s="338"/>
      <c r="G24" s="338"/>
      <c r="H24" s="338"/>
      <c r="I24" s="339"/>
      <c r="J24" s="363" t="e">
        <f>IF(AND('Mapa final'!#REF!="Media",'Mapa final'!#REF!="Leve"),CONCATENATE("R",'Mapa final'!#REF!),"")</f>
        <v>#REF!</v>
      </c>
      <c r="K24" s="364"/>
      <c r="L24" s="364" t="e">
        <f>IF(AND('Mapa final'!#REF!="Media",'Mapa final'!#REF!="Leve"),CONCATENATE("R",'Mapa final'!#REF!),"")</f>
        <v>#REF!</v>
      </c>
      <c r="M24" s="364"/>
      <c r="N24" s="364" t="e">
        <f>IF(AND('Mapa final'!#REF!="Media",'Mapa final'!#REF!="Leve"),CONCATENATE("R",'Mapa final'!#REF!),"")</f>
        <v>#REF!</v>
      </c>
      <c r="O24" s="365"/>
      <c r="P24" s="363" t="e">
        <f>IF(AND('Mapa final'!#REF!="Media",'Mapa final'!#REF!="Menor"),CONCATENATE("R",'Mapa final'!#REF!),"")</f>
        <v>#REF!</v>
      </c>
      <c r="Q24" s="364"/>
      <c r="R24" s="364" t="e">
        <f>IF(AND('Mapa final'!#REF!="Media",'Mapa final'!#REF!="Menor"),CONCATENATE("R",'Mapa final'!#REF!),"")</f>
        <v>#REF!</v>
      </c>
      <c r="S24" s="364"/>
      <c r="T24" s="364" t="e">
        <f>IF(AND('Mapa final'!#REF!="Media",'Mapa final'!#REF!="Menor"),CONCATENATE("R",'Mapa final'!#REF!),"")</f>
        <v>#REF!</v>
      </c>
      <c r="U24" s="365"/>
      <c r="V24" s="363" t="e">
        <f>IF(AND('Mapa final'!#REF!="Media",'Mapa final'!#REF!="Moderado"),CONCATENATE("R",'Mapa final'!#REF!),"")</f>
        <v>#REF!</v>
      </c>
      <c r="W24" s="364"/>
      <c r="X24" s="364" t="e">
        <f>IF(AND('Mapa final'!#REF!="Media",'Mapa final'!#REF!="Moderado"),CONCATENATE("R",'Mapa final'!#REF!),"")</f>
        <v>#REF!</v>
      </c>
      <c r="Y24" s="364"/>
      <c r="Z24" s="364" t="e">
        <f>IF(AND('Mapa final'!#REF!="Media",'Mapa final'!#REF!="Moderado"),CONCATENATE("R",'Mapa final'!#REF!),"")</f>
        <v>#REF!</v>
      </c>
      <c r="AA24" s="365"/>
      <c r="AB24" s="347" t="e">
        <f>IF(AND('Mapa final'!#REF!="Media",'Mapa final'!#REF!="Mayor"),CONCATENATE("R",'Mapa final'!#REF!),"")</f>
        <v>#REF!</v>
      </c>
      <c r="AC24" s="343"/>
      <c r="AD24" s="343" t="e">
        <f>IF(AND('Mapa final'!#REF!="Media",'Mapa final'!#REF!="Mayor"),CONCATENATE("R",'Mapa final'!#REF!),"")</f>
        <v>#REF!</v>
      </c>
      <c r="AE24" s="343"/>
      <c r="AF24" s="343" t="e">
        <f>IF(AND('Mapa final'!#REF!="Media",'Mapa final'!#REF!="Mayor"),CONCATENATE("R",'Mapa final'!#REF!),"")</f>
        <v>#REF!</v>
      </c>
      <c r="AG24" s="344"/>
      <c r="AH24" s="354" t="e">
        <f>IF(AND('Mapa final'!#REF!="Media",'Mapa final'!#REF!="Catastrófico"),CONCATENATE("R",'Mapa final'!#REF!),"")</f>
        <v>#REF!</v>
      </c>
      <c r="AI24" s="355"/>
      <c r="AJ24" s="355" t="e">
        <f>IF(AND('Mapa final'!#REF!="Media",'Mapa final'!#REF!="Catastrófico"),CONCATENATE("R",'Mapa final'!#REF!),"")</f>
        <v>#REF!</v>
      </c>
      <c r="AK24" s="355"/>
      <c r="AL24" s="355" t="e">
        <f>IF(AND('Mapa final'!#REF!="Media",'Mapa final'!#REF!="Catastrófico"),CONCATENATE("R",'Mapa final'!#REF!),"")</f>
        <v>#REF!</v>
      </c>
      <c r="AM24" s="356"/>
      <c r="AN24" s="75"/>
      <c r="AO24" s="319"/>
      <c r="AP24" s="320"/>
      <c r="AQ24" s="320"/>
      <c r="AR24" s="320"/>
      <c r="AS24" s="320"/>
      <c r="AT24" s="321"/>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row>
    <row r="25" spans="1:80" x14ac:dyDescent="0.3">
      <c r="A25" s="75"/>
      <c r="B25" s="296"/>
      <c r="C25" s="296"/>
      <c r="D25" s="297"/>
      <c r="E25" s="337"/>
      <c r="F25" s="338"/>
      <c r="G25" s="338"/>
      <c r="H25" s="338"/>
      <c r="I25" s="339"/>
      <c r="J25" s="363"/>
      <c r="K25" s="364"/>
      <c r="L25" s="364"/>
      <c r="M25" s="364"/>
      <c r="N25" s="364"/>
      <c r="O25" s="365"/>
      <c r="P25" s="363"/>
      <c r="Q25" s="364"/>
      <c r="R25" s="364"/>
      <c r="S25" s="364"/>
      <c r="T25" s="364"/>
      <c r="U25" s="365"/>
      <c r="V25" s="363"/>
      <c r="W25" s="364"/>
      <c r="X25" s="364"/>
      <c r="Y25" s="364"/>
      <c r="Z25" s="364"/>
      <c r="AA25" s="365"/>
      <c r="AB25" s="347"/>
      <c r="AC25" s="343"/>
      <c r="AD25" s="343"/>
      <c r="AE25" s="343"/>
      <c r="AF25" s="343"/>
      <c r="AG25" s="344"/>
      <c r="AH25" s="354"/>
      <c r="AI25" s="355"/>
      <c r="AJ25" s="355"/>
      <c r="AK25" s="355"/>
      <c r="AL25" s="355"/>
      <c r="AM25" s="356"/>
      <c r="AN25" s="75"/>
      <c r="AO25" s="319"/>
      <c r="AP25" s="320"/>
      <c r="AQ25" s="320"/>
      <c r="AR25" s="320"/>
      <c r="AS25" s="320"/>
      <c r="AT25" s="321"/>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row>
    <row r="26" spans="1:80" x14ac:dyDescent="0.3">
      <c r="A26" s="75"/>
      <c r="B26" s="296"/>
      <c r="C26" s="296"/>
      <c r="D26" s="297"/>
      <c r="E26" s="337"/>
      <c r="F26" s="338"/>
      <c r="G26" s="338"/>
      <c r="H26" s="338"/>
      <c r="I26" s="339"/>
      <c r="J26" s="363" t="e">
        <f>IF(AND('Mapa final'!#REF!="Media",'Mapa final'!#REF!="Leve"),CONCATENATE("R",'Mapa final'!#REF!),"")</f>
        <v>#REF!</v>
      </c>
      <c r="K26" s="364"/>
      <c r="L26" s="364" t="e">
        <f>IF(AND('Mapa final'!#REF!="Media",'Mapa final'!#REF!="Leve"),CONCATENATE("R",'Mapa final'!#REF!),"")</f>
        <v>#REF!</v>
      </c>
      <c r="M26" s="364"/>
      <c r="N26" s="364" t="e">
        <f>IF(AND('Mapa final'!#REF!="Media",'Mapa final'!#REF!="Leve"),CONCATENATE("R",'Mapa final'!#REF!),"")</f>
        <v>#REF!</v>
      </c>
      <c r="O26" s="365"/>
      <c r="P26" s="363" t="e">
        <f>IF(AND('Mapa final'!#REF!="Media",'Mapa final'!#REF!="Menor"),CONCATENATE("R",'Mapa final'!#REF!),"")</f>
        <v>#REF!</v>
      </c>
      <c r="Q26" s="364"/>
      <c r="R26" s="364" t="e">
        <f>IF(AND('Mapa final'!#REF!="Media",'Mapa final'!#REF!="Menor"),CONCATENATE("R",'Mapa final'!#REF!),"")</f>
        <v>#REF!</v>
      </c>
      <c r="S26" s="364"/>
      <c r="T26" s="364" t="e">
        <f>IF(AND('Mapa final'!#REF!="Media",'Mapa final'!#REF!="Menor"),CONCATENATE("R",'Mapa final'!#REF!),"")</f>
        <v>#REF!</v>
      </c>
      <c r="U26" s="365"/>
      <c r="V26" s="363" t="e">
        <f>IF(AND('Mapa final'!#REF!="Media",'Mapa final'!#REF!="Moderado"),CONCATENATE("R",'Mapa final'!#REF!),"")</f>
        <v>#REF!</v>
      </c>
      <c r="W26" s="364"/>
      <c r="X26" s="364" t="e">
        <f>IF(AND('Mapa final'!#REF!="Media",'Mapa final'!#REF!="Moderado"),CONCATENATE("R",'Mapa final'!#REF!),"")</f>
        <v>#REF!</v>
      </c>
      <c r="Y26" s="364"/>
      <c r="Z26" s="364" t="e">
        <f>IF(AND('Mapa final'!#REF!="Media",'Mapa final'!#REF!="Moderado"),CONCATENATE("R",'Mapa final'!#REF!),"")</f>
        <v>#REF!</v>
      </c>
      <c r="AA26" s="365"/>
      <c r="AB26" s="347" t="e">
        <f>IF(AND('Mapa final'!#REF!="Media",'Mapa final'!#REF!="Mayor"),CONCATENATE("R",'Mapa final'!#REF!),"")</f>
        <v>#REF!</v>
      </c>
      <c r="AC26" s="343"/>
      <c r="AD26" s="343" t="e">
        <f>IF(AND('Mapa final'!#REF!="Media",'Mapa final'!#REF!="Mayor"),CONCATENATE("R",'Mapa final'!#REF!),"")</f>
        <v>#REF!</v>
      </c>
      <c r="AE26" s="343"/>
      <c r="AF26" s="343" t="e">
        <f>IF(AND('Mapa final'!#REF!="Media",'Mapa final'!#REF!="Mayor"),CONCATENATE("R",'Mapa final'!#REF!),"")</f>
        <v>#REF!</v>
      </c>
      <c r="AG26" s="344"/>
      <c r="AH26" s="354" t="e">
        <f>IF(AND('Mapa final'!#REF!="Media",'Mapa final'!#REF!="Catastrófico"),CONCATENATE("R",'Mapa final'!#REF!),"")</f>
        <v>#REF!</v>
      </c>
      <c r="AI26" s="355"/>
      <c r="AJ26" s="355" t="e">
        <f>IF(AND('Mapa final'!#REF!="Media",'Mapa final'!#REF!="Catastrófico"),CONCATENATE("R",'Mapa final'!#REF!),"")</f>
        <v>#REF!</v>
      </c>
      <c r="AK26" s="355"/>
      <c r="AL26" s="355" t="e">
        <f>IF(AND('Mapa final'!#REF!="Media",'Mapa final'!#REF!="Catastrófico"),CONCATENATE("R",'Mapa final'!#REF!),"")</f>
        <v>#REF!</v>
      </c>
      <c r="AM26" s="356"/>
      <c r="AN26" s="75"/>
      <c r="AO26" s="319"/>
      <c r="AP26" s="320"/>
      <c r="AQ26" s="320"/>
      <c r="AR26" s="320"/>
      <c r="AS26" s="320"/>
      <c r="AT26" s="321"/>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row>
    <row r="27" spans="1:80" x14ac:dyDescent="0.3">
      <c r="A27" s="75"/>
      <c r="B27" s="296"/>
      <c r="C27" s="296"/>
      <c r="D27" s="297"/>
      <c r="E27" s="337"/>
      <c r="F27" s="338"/>
      <c r="G27" s="338"/>
      <c r="H27" s="338"/>
      <c r="I27" s="339"/>
      <c r="J27" s="363"/>
      <c r="K27" s="364"/>
      <c r="L27" s="364"/>
      <c r="M27" s="364"/>
      <c r="N27" s="364"/>
      <c r="O27" s="365"/>
      <c r="P27" s="363"/>
      <c r="Q27" s="364"/>
      <c r="R27" s="364"/>
      <c r="S27" s="364"/>
      <c r="T27" s="364"/>
      <c r="U27" s="365"/>
      <c r="V27" s="363"/>
      <c r="W27" s="364"/>
      <c r="X27" s="364"/>
      <c r="Y27" s="364"/>
      <c r="Z27" s="364"/>
      <c r="AA27" s="365"/>
      <c r="AB27" s="347"/>
      <c r="AC27" s="343"/>
      <c r="AD27" s="343"/>
      <c r="AE27" s="343"/>
      <c r="AF27" s="343"/>
      <c r="AG27" s="344"/>
      <c r="AH27" s="354"/>
      <c r="AI27" s="355"/>
      <c r="AJ27" s="355"/>
      <c r="AK27" s="355"/>
      <c r="AL27" s="355"/>
      <c r="AM27" s="356"/>
      <c r="AN27" s="75"/>
      <c r="AO27" s="319"/>
      <c r="AP27" s="320"/>
      <c r="AQ27" s="320"/>
      <c r="AR27" s="320"/>
      <c r="AS27" s="320"/>
      <c r="AT27" s="321"/>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row>
    <row r="28" spans="1:80" x14ac:dyDescent="0.3">
      <c r="A28" s="75"/>
      <c r="B28" s="296"/>
      <c r="C28" s="296"/>
      <c r="D28" s="297"/>
      <c r="E28" s="337"/>
      <c r="F28" s="338"/>
      <c r="G28" s="338"/>
      <c r="H28" s="338"/>
      <c r="I28" s="339"/>
      <c r="J28" s="363" t="e">
        <f>IF(AND('Mapa final'!#REF!="Media",'Mapa final'!#REF!="Leve"),CONCATENATE("R",'Mapa final'!#REF!),"")</f>
        <v>#REF!</v>
      </c>
      <c r="K28" s="364"/>
      <c r="L28" s="364" t="str">
        <f>IF(AND('Mapa final'!$N$27="Media",'Mapa final'!$R$27="Leve"),CONCATENATE("R",'Mapa final'!$A$27),"")</f>
        <v/>
      </c>
      <c r="M28" s="364"/>
      <c r="N28" s="364" t="e">
        <f>IF(AND('Mapa final'!#REF!="Media",'Mapa final'!#REF!="Leve"),CONCATENATE("R",'Mapa final'!#REF!),"")</f>
        <v>#REF!</v>
      </c>
      <c r="O28" s="365"/>
      <c r="P28" s="363" t="e">
        <f>IF(AND('Mapa final'!#REF!="Media",'Mapa final'!#REF!="Menor"),CONCATENATE("R",'Mapa final'!#REF!),"")</f>
        <v>#REF!</v>
      </c>
      <c r="Q28" s="364"/>
      <c r="R28" s="364" t="str">
        <f>IF(AND('Mapa final'!$N$27="Media",'Mapa final'!$R$27="Menor"),CONCATENATE("R",'Mapa final'!$A$27),"")</f>
        <v/>
      </c>
      <c r="S28" s="364"/>
      <c r="T28" s="364" t="e">
        <f>IF(AND('Mapa final'!#REF!="Media",'Mapa final'!#REF!="Menor"),CONCATENATE("R",'Mapa final'!#REF!),"")</f>
        <v>#REF!</v>
      </c>
      <c r="U28" s="365"/>
      <c r="V28" s="363" t="e">
        <f>IF(AND('Mapa final'!#REF!="Media",'Mapa final'!#REF!="Moderado"),CONCATENATE("R",'Mapa final'!#REF!),"")</f>
        <v>#REF!</v>
      </c>
      <c r="W28" s="364"/>
      <c r="X28" s="364" t="str">
        <f>IF(AND('Mapa final'!$N$27="Media",'Mapa final'!$R$27="Moderado"),CONCATENATE("R",'Mapa final'!$A$27),"")</f>
        <v/>
      </c>
      <c r="Y28" s="364"/>
      <c r="Z28" s="364" t="e">
        <f>IF(AND('Mapa final'!#REF!="Media",'Mapa final'!#REF!="Moderado"),CONCATENATE("R",'Mapa final'!#REF!),"")</f>
        <v>#REF!</v>
      </c>
      <c r="AA28" s="365"/>
      <c r="AB28" s="347" t="e">
        <f>IF(AND('Mapa final'!#REF!="Media",'Mapa final'!#REF!="Mayor"),CONCATENATE("R",'Mapa final'!#REF!),"")</f>
        <v>#REF!</v>
      </c>
      <c r="AC28" s="343"/>
      <c r="AD28" s="343" t="str">
        <f>IF(AND('Mapa final'!$N$27="Media",'Mapa final'!$R$27="Mayor"),CONCATENATE("R",'Mapa final'!$A$27),"")</f>
        <v/>
      </c>
      <c r="AE28" s="343"/>
      <c r="AF28" s="343" t="e">
        <f>IF(AND('Mapa final'!#REF!="Media",'Mapa final'!#REF!="Mayor"),CONCATENATE("R",'Mapa final'!#REF!),"")</f>
        <v>#REF!</v>
      </c>
      <c r="AG28" s="344"/>
      <c r="AH28" s="354" t="e">
        <f>IF(AND('Mapa final'!#REF!="Media",'Mapa final'!#REF!="Catastrófico"),CONCATENATE("R",'Mapa final'!#REF!),"")</f>
        <v>#REF!</v>
      </c>
      <c r="AI28" s="355"/>
      <c r="AJ28" s="355" t="str">
        <f>IF(AND('Mapa final'!$N$27="Media",'Mapa final'!$R$27="Catastrófico"),CONCATENATE("R",'Mapa final'!$A$27),"")</f>
        <v/>
      </c>
      <c r="AK28" s="355"/>
      <c r="AL28" s="355" t="e">
        <f>IF(AND('Mapa final'!#REF!="Media",'Mapa final'!#REF!="Catastrófico"),CONCATENATE("R",'Mapa final'!#REF!),"")</f>
        <v>#REF!</v>
      </c>
      <c r="AM28" s="356"/>
      <c r="AN28" s="75"/>
      <c r="AO28" s="319"/>
      <c r="AP28" s="320"/>
      <c r="AQ28" s="320"/>
      <c r="AR28" s="320"/>
      <c r="AS28" s="320"/>
      <c r="AT28" s="321"/>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row>
    <row r="29" spans="1:80" ht="15" thickBot="1" x14ac:dyDescent="0.35">
      <c r="A29" s="75"/>
      <c r="B29" s="296"/>
      <c r="C29" s="296"/>
      <c r="D29" s="297"/>
      <c r="E29" s="340"/>
      <c r="F29" s="341"/>
      <c r="G29" s="341"/>
      <c r="H29" s="341"/>
      <c r="I29" s="342"/>
      <c r="J29" s="363"/>
      <c r="K29" s="364"/>
      <c r="L29" s="364"/>
      <c r="M29" s="364"/>
      <c r="N29" s="364"/>
      <c r="O29" s="365"/>
      <c r="P29" s="366"/>
      <c r="Q29" s="367"/>
      <c r="R29" s="367"/>
      <c r="S29" s="367"/>
      <c r="T29" s="367"/>
      <c r="U29" s="368"/>
      <c r="V29" s="366"/>
      <c r="W29" s="367"/>
      <c r="X29" s="367"/>
      <c r="Y29" s="367"/>
      <c r="Z29" s="367"/>
      <c r="AA29" s="368"/>
      <c r="AB29" s="351"/>
      <c r="AC29" s="352"/>
      <c r="AD29" s="352"/>
      <c r="AE29" s="352"/>
      <c r="AF29" s="352"/>
      <c r="AG29" s="353"/>
      <c r="AH29" s="357"/>
      <c r="AI29" s="358"/>
      <c r="AJ29" s="358"/>
      <c r="AK29" s="358"/>
      <c r="AL29" s="358"/>
      <c r="AM29" s="359"/>
      <c r="AN29" s="75"/>
      <c r="AO29" s="322"/>
      <c r="AP29" s="323"/>
      <c r="AQ29" s="323"/>
      <c r="AR29" s="323"/>
      <c r="AS29" s="323"/>
      <c r="AT29" s="324"/>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row>
    <row r="30" spans="1:80" x14ac:dyDescent="0.3">
      <c r="A30" s="75"/>
      <c r="B30" s="296"/>
      <c r="C30" s="296"/>
      <c r="D30" s="297"/>
      <c r="E30" s="334" t="s">
        <v>244</v>
      </c>
      <c r="F30" s="335"/>
      <c r="G30" s="335"/>
      <c r="H30" s="335"/>
      <c r="I30" s="335"/>
      <c r="J30" s="378" t="e">
        <f>IF(AND('Mapa final'!#REF!="Baja",'Mapa final'!#REF!="Leve"),CONCATENATE("R",'Mapa final'!#REF!),"")</f>
        <v>#REF!</v>
      </c>
      <c r="K30" s="379"/>
      <c r="L30" s="379" t="str">
        <f>IF(AND('Mapa final'!$N$13="Baja",'Mapa final'!$R$13="Leve"),CONCATENATE("R",'Mapa final'!$A$13),"")</f>
        <v/>
      </c>
      <c r="M30" s="379"/>
      <c r="N30" s="379" t="e">
        <f>IF(AND('Mapa final'!#REF!="Baja",'Mapa final'!#REF!="Leve"),CONCATENATE("R",'Mapa final'!#REF!),"")</f>
        <v>#REF!</v>
      </c>
      <c r="O30" s="380"/>
      <c r="P30" s="370" t="e">
        <f>IF(AND('Mapa final'!#REF!="Baja",'Mapa final'!#REF!="Menor"),CONCATENATE("R",'Mapa final'!#REF!),"")</f>
        <v>#REF!</v>
      </c>
      <c r="Q30" s="370"/>
      <c r="R30" s="370" t="str">
        <f>IF(AND('Mapa final'!$N$13="Baja",'Mapa final'!$R$13="Menor"),CONCATENATE("R",'Mapa final'!$A$13),"")</f>
        <v/>
      </c>
      <c r="S30" s="370"/>
      <c r="T30" s="370" t="e">
        <f>IF(AND('Mapa final'!#REF!="Baja",'Mapa final'!#REF!="Menor"),CONCATENATE("R",'Mapa final'!#REF!),"")</f>
        <v>#REF!</v>
      </c>
      <c r="U30" s="371"/>
      <c r="V30" s="369" t="e">
        <f>IF(AND('Mapa final'!#REF!="Baja",'Mapa final'!#REF!="Moderado"),CONCATENATE("R",'Mapa final'!#REF!),"")</f>
        <v>#REF!</v>
      </c>
      <c r="W30" s="370"/>
      <c r="X30" s="370" t="str">
        <f>IF(AND('Mapa final'!$N$13="Baja",'Mapa final'!$R$13="Moderado"),CONCATENATE("R",'Mapa final'!$A$13),"")</f>
        <v/>
      </c>
      <c r="Y30" s="370"/>
      <c r="Z30" s="370" t="e">
        <f>IF(AND('Mapa final'!#REF!="Baja",'Mapa final'!#REF!="Moderado"),CONCATENATE("R",'Mapa final'!#REF!),"")</f>
        <v>#REF!</v>
      </c>
      <c r="AA30" s="371"/>
      <c r="AB30" s="345" t="e">
        <f>IF(AND('Mapa final'!#REF!="Baja",'Mapa final'!#REF!="Mayor"),CONCATENATE("R",'Mapa final'!#REF!),"")</f>
        <v>#REF!</v>
      </c>
      <c r="AC30" s="346"/>
      <c r="AD30" s="346" t="str">
        <f>IF(AND('Mapa final'!$N$13="Baja",'Mapa final'!$R$13="Mayor"),CONCATENATE("R",'Mapa final'!$A$13),"")</f>
        <v/>
      </c>
      <c r="AE30" s="346"/>
      <c r="AF30" s="346" t="e">
        <f>IF(AND('Mapa final'!#REF!="Baja",'Mapa final'!#REF!="Mayor"),CONCATENATE("R",'Mapa final'!#REF!),"")</f>
        <v>#REF!</v>
      </c>
      <c r="AG30" s="348"/>
      <c r="AH30" s="360" t="e">
        <f>IF(AND('Mapa final'!#REF!="Baja",'Mapa final'!#REF!="Catastrófico"),CONCATENATE("R",'Mapa final'!#REF!),"")</f>
        <v>#REF!</v>
      </c>
      <c r="AI30" s="361"/>
      <c r="AJ30" s="361" t="str">
        <f>IF(AND('Mapa final'!$N$13="Baja",'Mapa final'!$R$13="Catastrófico"),CONCATENATE("R",'Mapa final'!$A$13),"")</f>
        <v/>
      </c>
      <c r="AK30" s="361"/>
      <c r="AL30" s="361" t="e">
        <f>IF(AND('Mapa final'!#REF!="Baja",'Mapa final'!#REF!="Catastrófico"),CONCATENATE("R",'Mapa final'!#REF!),"")</f>
        <v>#REF!</v>
      </c>
      <c r="AM30" s="362"/>
      <c r="AN30" s="75"/>
      <c r="AO30" s="325" t="s">
        <v>245</v>
      </c>
      <c r="AP30" s="326"/>
      <c r="AQ30" s="326"/>
      <c r="AR30" s="326"/>
      <c r="AS30" s="326"/>
      <c r="AT30" s="327"/>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row>
    <row r="31" spans="1:80" x14ac:dyDescent="0.3">
      <c r="A31" s="75"/>
      <c r="B31" s="296"/>
      <c r="C31" s="296"/>
      <c r="D31" s="297"/>
      <c r="E31" s="337"/>
      <c r="F31" s="338"/>
      <c r="G31" s="338"/>
      <c r="H31" s="338"/>
      <c r="I31" s="338"/>
      <c r="J31" s="374"/>
      <c r="K31" s="372"/>
      <c r="L31" s="372"/>
      <c r="M31" s="372"/>
      <c r="N31" s="372"/>
      <c r="O31" s="373"/>
      <c r="P31" s="364"/>
      <c r="Q31" s="364"/>
      <c r="R31" s="364"/>
      <c r="S31" s="364"/>
      <c r="T31" s="364"/>
      <c r="U31" s="365"/>
      <c r="V31" s="363"/>
      <c r="W31" s="364"/>
      <c r="X31" s="364"/>
      <c r="Y31" s="364"/>
      <c r="Z31" s="364"/>
      <c r="AA31" s="365"/>
      <c r="AB31" s="347"/>
      <c r="AC31" s="343"/>
      <c r="AD31" s="343"/>
      <c r="AE31" s="343"/>
      <c r="AF31" s="343"/>
      <c r="AG31" s="344"/>
      <c r="AH31" s="354"/>
      <c r="AI31" s="355"/>
      <c r="AJ31" s="355"/>
      <c r="AK31" s="355"/>
      <c r="AL31" s="355"/>
      <c r="AM31" s="356"/>
      <c r="AN31" s="75"/>
      <c r="AO31" s="328"/>
      <c r="AP31" s="329"/>
      <c r="AQ31" s="329"/>
      <c r="AR31" s="329"/>
      <c r="AS31" s="329"/>
      <c r="AT31" s="330"/>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row>
    <row r="32" spans="1:80" x14ac:dyDescent="0.3">
      <c r="A32" s="75"/>
      <c r="B32" s="296"/>
      <c r="C32" s="296"/>
      <c r="D32" s="297"/>
      <c r="E32" s="337"/>
      <c r="F32" s="338"/>
      <c r="G32" s="338"/>
      <c r="H32" s="338"/>
      <c r="I32" s="338"/>
      <c r="J32" s="374" t="e">
        <f>IF(AND('Mapa final'!#REF!="Baja",'Mapa final'!#REF!="Leve"),CONCATENATE("R",'Mapa final'!#REF!),"")</f>
        <v>#REF!</v>
      </c>
      <c r="K32" s="372"/>
      <c r="L32" s="372" t="e">
        <f>IF(AND('Mapa final'!#REF!="Baja",'Mapa final'!#REF!="Leve"),CONCATENATE("R",'Mapa final'!#REF!),"")</f>
        <v>#REF!</v>
      </c>
      <c r="M32" s="372"/>
      <c r="N32" s="372" t="e">
        <f>IF(AND('Mapa final'!#REF!="Baja",'Mapa final'!#REF!="Leve"),CONCATENATE("R",'Mapa final'!#REF!),"")</f>
        <v>#REF!</v>
      </c>
      <c r="O32" s="373"/>
      <c r="P32" s="364" t="e">
        <f>IF(AND('Mapa final'!#REF!="Baja",'Mapa final'!#REF!="Menor"),CONCATENATE("R",'Mapa final'!#REF!),"")</f>
        <v>#REF!</v>
      </c>
      <c r="Q32" s="364"/>
      <c r="R32" s="364" t="e">
        <f>IF(AND('Mapa final'!#REF!="Baja",'Mapa final'!#REF!="Menor"),CONCATENATE("R",'Mapa final'!#REF!),"")</f>
        <v>#REF!</v>
      </c>
      <c r="S32" s="364"/>
      <c r="T32" s="364" t="e">
        <f>IF(AND('Mapa final'!#REF!="Baja",'Mapa final'!#REF!="Menor"),CONCATENATE("R",'Mapa final'!#REF!),"")</f>
        <v>#REF!</v>
      </c>
      <c r="U32" s="365"/>
      <c r="V32" s="363" t="e">
        <f>IF(AND('Mapa final'!#REF!="Baja",'Mapa final'!#REF!="Moderado"),CONCATENATE("R",'Mapa final'!#REF!),"")</f>
        <v>#REF!</v>
      </c>
      <c r="W32" s="364"/>
      <c r="X32" s="364" t="e">
        <f>IF(AND('Mapa final'!#REF!="Baja",'Mapa final'!#REF!="Moderado"),CONCATENATE("R",'Mapa final'!#REF!),"")</f>
        <v>#REF!</v>
      </c>
      <c r="Y32" s="364"/>
      <c r="Z32" s="364" t="e">
        <f>IF(AND('Mapa final'!#REF!="Baja",'Mapa final'!#REF!="Moderado"),CONCATENATE("R",'Mapa final'!#REF!),"")</f>
        <v>#REF!</v>
      </c>
      <c r="AA32" s="365"/>
      <c r="AB32" s="347" t="e">
        <f>IF(AND('Mapa final'!#REF!="Baja",'Mapa final'!#REF!="Mayor"),CONCATENATE("R",'Mapa final'!#REF!),"")</f>
        <v>#REF!</v>
      </c>
      <c r="AC32" s="343"/>
      <c r="AD32" s="343" t="e">
        <f>IF(AND('Mapa final'!#REF!="Baja",'Mapa final'!#REF!="Mayor"),CONCATENATE("R",'Mapa final'!#REF!),"")</f>
        <v>#REF!</v>
      </c>
      <c r="AE32" s="343"/>
      <c r="AF32" s="343" t="e">
        <f>IF(AND('Mapa final'!#REF!="Baja",'Mapa final'!#REF!="Mayor"),CONCATENATE("R",'Mapa final'!#REF!),"")</f>
        <v>#REF!</v>
      </c>
      <c r="AG32" s="344"/>
      <c r="AH32" s="354" t="e">
        <f>IF(AND('Mapa final'!#REF!="Baja",'Mapa final'!#REF!="Catastrófico"),CONCATENATE("R",'Mapa final'!#REF!),"")</f>
        <v>#REF!</v>
      </c>
      <c r="AI32" s="355"/>
      <c r="AJ32" s="355" t="e">
        <f>IF(AND('Mapa final'!#REF!="Baja",'Mapa final'!#REF!="Catastrófico"),CONCATENATE("R",'Mapa final'!#REF!),"")</f>
        <v>#REF!</v>
      </c>
      <c r="AK32" s="355"/>
      <c r="AL32" s="355" t="e">
        <f>IF(AND('Mapa final'!#REF!="Baja",'Mapa final'!#REF!="Catastrófico"),CONCATENATE("R",'Mapa final'!#REF!),"")</f>
        <v>#REF!</v>
      </c>
      <c r="AM32" s="356"/>
      <c r="AN32" s="75"/>
      <c r="AO32" s="328"/>
      <c r="AP32" s="329"/>
      <c r="AQ32" s="329"/>
      <c r="AR32" s="329"/>
      <c r="AS32" s="329"/>
      <c r="AT32" s="330"/>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row>
    <row r="33" spans="1:80" x14ac:dyDescent="0.3">
      <c r="A33" s="75"/>
      <c r="B33" s="296"/>
      <c r="C33" s="296"/>
      <c r="D33" s="297"/>
      <c r="E33" s="337"/>
      <c r="F33" s="338"/>
      <c r="G33" s="338"/>
      <c r="H33" s="338"/>
      <c r="I33" s="338"/>
      <c r="J33" s="374"/>
      <c r="K33" s="372"/>
      <c r="L33" s="372"/>
      <c r="M33" s="372"/>
      <c r="N33" s="372"/>
      <c r="O33" s="373"/>
      <c r="P33" s="364"/>
      <c r="Q33" s="364"/>
      <c r="R33" s="364"/>
      <c r="S33" s="364"/>
      <c r="T33" s="364"/>
      <c r="U33" s="365"/>
      <c r="V33" s="363"/>
      <c r="W33" s="364"/>
      <c r="X33" s="364"/>
      <c r="Y33" s="364"/>
      <c r="Z33" s="364"/>
      <c r="AA33" s="365"/>
      <c r="AB33" s="347"/>
      <c r="AC33" s="343"/>
      <c r="AD33" s="343"/>
      <c r="AE33" s="343"/>
      <c r="AF33" s="343"/>
      <c r="AG33" s="344"/>
      <c r="AH33" s="354"/>
      <c r="AI33" s="355"/>
      <c r="AJ33" s="355"/>
      <c r="AK33" s="355"/>
      <c r="AL33" s="355"/>
      <c r="AM33" s="356"/>
      <c r="AN33" s="75"/>
      <c r="AO33" s="328"/>
      <c r="AP33" s="329"/>
      <c r="AQ33" s="329"/>
      <c r="AR33" s="329"/>
      <c r="AS33" s="329"/>
      <c r="AT33" s="330"/>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row>
    <row r="34" spans="1:80" x14ac:dyDescent="0.3">
      <c r="A34" s="75"/>
      <c r="B34" s="296"/>
      <c r="C34" s="296"/>
      <c r="D34" s="297"/>
      <c r="E34" s="337"/>
      <c r="F34" s="338"/>
      <c r="G34" s="338"/>
      <c r="H34" s="338"/>
      <c r="I34" s="338"/>
      <c r="J34" s="374" t="e">
        <f>IF(AND('Mapa final'!#REF!="Baja",'Mapa final'!#REF!="Leve"),CONCATENATE("R",'Mapa final'!#REF!),"")</f>
        <v>#REF!</v>
      </c>
      <c r="K34" s="372"/>
      <c r="L34" s="372" t="e">
        <f>IF(AND('Mapa final'!#REF!="Baja",'Mapa final'!#REF!="Leve"),CONCATENATE("R",'Mapa final'!#REF!),"")</f>
        <v>#REF!</v>
      </c>
      <c r="M34" s="372"/>
      <c r="N34" s="372" t="e">
        <f>IF(AND('Mapa final'!#REF!="Baja",'Mapa final'!#REF!="Leve"),CONCATENATE("R",'Mapa final'!#REF!),"")</f>
        <v>#REF!</v>
      </c>
      <c r="O34" s="373"/>
      <c r="P34" s="364" t="e">
        <f>IF(AND('Mapa final'!#REF!="Baja",'Mapa final'!#REF!="Menor"),CONCATENATE("R",'Mapa final'!#REF!),"")</f>
        <v>#REF!</v>
      </c>
      <c r="Q34" s="364"/>
      <c r="R34" s="364" t="e">
        <f>IF(AND('Mapa final'!#REF!="Baja",'Mapa final'!#REF!="Menor"),CONCATENATE("R",'Mapa final'!#REF!),"")</f>
        <v>#REF!</v>
      </c>
      <c r="S34" s="364"/>
      <c r="T34" s="364" t="e">
        <f>IF(AND('Mapa final'!#REF!="Baja",'Mapa final'!#REF!="Menor"),CONCATENATE("R",'Mapa final'!#REF!),"")</f>
        <v>#REF!</v>
      </c>
      <c r="U34" s="365"/>
      <c r="V34" s="363" t="e">
        <f>IF(AND('Mapa final'!#REF!="Baja",'Mapa final'!#REF!="Moderado"),CONCATENATE("R",'Mapa final'!#REF!),"")</f>
        <v>#REF!</v>
      </c>
      <c r="W34" s="364"/>
      <c r="X34" s="364" t="e">
        <f>IF(AND('Mapa final'!#REF!="Baja",'Mapa final'!#REF!="Moderado"),CONCATENATE("R",'Mapa final'!#REF!),"")</f>
        <v>#REF!</v>
      </c>
      <c r="Y34" s="364"/>
      <c r="Z34" s="364" t="e">
        <f>IF(AND('Mapa final'!#REF!="Baja",'Mapa final'!#REF!="Moderado"),CONCATENATE("R",'Mapa final'!#REF!),"")</f>
        <v>#REF!</v>
      </c>
      <c r="AA34" s="365"/>
      <c r="AB34" s="347" t="e">
        <f>IF(AND('Mapa final'!#REF!="Baja",'Mapa final'!#REF!="Mayor"),CONCATENATE("R",'Mapa final'!#REF!),"")</f>
        <v>#REF!</v>
      </c>
      <c r="AC34" s="343"/>
      <c r="AD34" s="343" t="e">
        <f>IF(AND('Mapa final'!#REF!="Baja",'Mapa final'!#REF!="Mayor"),CONCATENATE("R",'Mapa final'!#REF!),"")</f>
        <v>#REF!</v>
      </c>
      <c r="AE34" s="343"/>
      <c r="AF34" s="343" t="e">
        <f>IF(AND('Mapa final'!#REF!="Baja",'Mapa final'!#REF!="Mayor"),CONCATENATE("R",'Mapa final'!#REF!),"")</f>
        <v>#REF!</v>
      </c>
      <c r="AG34" s="344"/>
      <c r="AH34" s="354" t="e">
        <f>IF(AND('Mapa final'!#REF!="Baja",'Mapa final'!#REF!="Catastrófico"),CONCATENATE("R",'Mapa final'!#REF!),"")</f>
        <v>#REF!</v>
      </c>
      <c r="AI34" s="355"/>
      <c r="AJ34" s="355" t="e">
        <f>IF(AND('Mapa final'!#REF!="Baja",'Mapa final'!#REF!="Catastrófico"),CONCATENATE("R",'Mapa final'!#REF!),"")</f>
        <v>#REF!</v>
      </c>
      <c r="AK34" s="355"/>
      <c r="AL34" s="355" t="e">
        <f>IF(AND('Mapa final'!#REF!="Baja",'Mapa final'!#REF!="Catastrófico"),CONCATENATE("R",'Mapa final'!#REF!),"")</f>
        <v>#REF!</v>
      </c>
      <c r="AM34" s="356"/>
      <c r="AN34" s="75"/>
      <c r="AO34" s="328"/>
      <c r="AP34" s="329"/>
      <c r="AQ34" s="329"/>
      <c r="AR34" s="329"/>
      <c r="AS34" s="329"/>
      <c r="AT34" s="330"/>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row>
    <row r="35" spans="1:80" x14ac:dyDescent="0.3">
      <c r="A35" s="75"/>
      <c r="B35" s="296"/>
      <c r="C35" s="296"/>
      <c r="D35" s="297"/>
      <c r="E35" s="337"/>
      <c r="F35" s="338"/>
      <c r="G35" s="338"/>
      <c r="H35" s="338"/>
      <c r="I35" s="338"/>
      <c r="J35" s="374"/>
      <c r="K35" s="372"/>
      <c r="L35" s="372"/>
      <c r="M35" s="372"/>
      <c r="N35" s="372"/>
      <c r="O35" s="373"/>
      <c r="P35" s="364"/>
      <c r="Q35" s="364"/>
      <c r="R35" s="364"/>
      <c r="S35" s="364"/>
      <c r="T35" s="364"/>
      <c r="U35" s="365"/>
      <c r="V35" s="363"/>
      <c r="W35" s="364"/>
      <c r="X35" s="364"/>
      <c r="Y35" s="364"/>
      <c r="Z35" s="364"/>
      <c r="AA35" s="365"/>
      <c r="AB35" s="347"/>
      <c r="AC35" s="343"/>
      <c r="AD35" s="343"/>
      <c r="AE35" s="343"/>
      <c r="AF35" s="343"/>
      <c r="AG35" s="344"/>
      <c r="AH35" s="354"/>
      <c r="AI35" s="355"/>
      <c r="AJ35" s="355"/>
      <c r="AK35" s="355"/>
      <c r="AL35" s="355"/>
      <c r="AM35" s="356"/>
      <c r="AN35" s="75"/>
      <c r="AO35" s="328"/>
      <c r="AP35" s="329"/>
      <c r="AQ35" s="329"/>
      <c r="AR35" s="329"/>
      <c r="AS35" s="329"/>
      <c r="AT35" s="330"/>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row>
    <row r="36" spans="1:80" x14ac:dyDescent="0.3">
      <c r="A36" s="75"/>
      <c r="B36" s="296"/>
      <c r="C36" s="296"/>
      <c r="D36" s="297"/>
      <c r="E36" s="337"/>
      <c r="F36" s="338"/>
      <c r="G36" s="338"/>
      <c r="H36" s="338"/>
      <c r="I36" s="338"/>
      <c r="J36" s="374" t="e">
        <f>IF(AND('Mapa final'!#REF!="Baja",'Mapa final'!#REF!="Leve"),CONCATENATE("R",'Mapa final'!#REF!),"")</f>
        <v>#REF!</v>
      </c>
      <c r="K36" s="372"/>
      <c r="L36" s="372" t="str">
        <f>IF(AND('Mapa final'!$N$27="Baja",'Mapa final'!$R$27="Leve"),CONCATENATE("R",'Mapa final'!$A$27),"")</f>
        <v/>
      </c>
      <c r="M36" s="372"/>
      <c r="N36" s="372" t="e">
        <f>IF(AND('Mapa final'!#REF!="Baja",'Mapa final'!#REF!="Leve"),CONCATENATE("R",'Mapa final'!#REF!),"")</f>
        <v>#REF!</v>
      </c>
      <c r="O36" s="373"/>
      <c r="P36" s="364" t="e">
        <f>IF(AND('Mapa final'!#REF!="Baja",'Mapa final'!#REF!="Menor"),CONCATENATE("R",'Mapa final'!#REF!),"")</f>
        <v>#REF!</v>
      </c>
      <c r="Q36" s="364"/>
      <c r="R36" s="364" t="str">
        <f>IF(AND('Mapa final'!$N$27="Baja",'Mapa final'!$R$27="Menor"),CONCATENATE("R",'Mapa final'!$A$27),"")</f>
        <v/>
      </c>
      <c r="S36" s="364"/>
      <c r="T36" s="364" t="e">
        <f>IF(AND('Mapa final'!#REF!="Baja",'Mapa final'!#REF!="Menor"),CONCATENATE("R",'Mapa final'!#REF!),"")</f>
        <v>#REF!</v>
      </c>
      <c r="U36" s="365"/>
      <c r="V36" s="363" t="e">
        <f>IF(AND('Mapa final'!#REF!="Baja",'Mapa final'!#REF!="Moderado"),CONCATENATE("R",'Mapa final'!#REF!),"")</f>
        <v>#REF!</v>
      </c>
      <c r="W36" s="364"/>
      <c r="X36" s="364" t="str">
        <f>IF(AND('Mapa final'!$N$27="Baja",'Mapa final'!$R$27="Moderado"),CONCATENATE("R",'Mapa final'!$A$27),"")</f>
        <v/>
      </c>
      <c r="Y36" s="364"/>
      <c r="Z36" s="364" t="e">
        <f>IF(AND('Mapa final'!#REF!="Baja",'Mapa final'!#REF!="Moderado"),CONCATENATE("R",'Mapa final'!#REF!),"")</f>
        <v>#REF!</v>
      </c>
      <c r="AA36" s="365"/>
      <c r="AB36" s="347" t="e">
        <f>IF(AND('Mapa final'!#REF!="Baja",'Mapa final'!#REF!="Mayor"),CONCATENATE("R",'Mapa final'!#REF!),"")</f>
        <v>#REF!</v>
      </c>
      <c r="AC36" s="343"/>
      <c r="AD36" s="343" t="str">
        <f>IF(AND('Mapa final'!$N$27="Baja",'Mapa final'!$R$27="Mayor"),CONCATENATE("R",'Mapa final'!$A$27),"")</f>
        <v/>
      </c>
      <c r="AE36" s="343"/>
      <c r="AF36" s="343" t="e">
        <f>IF(AND('Mapa final'!#REF!="Baja",'Mapa final'!#REF!="Mayor"),CONCATENATE("R",'Mapa final'!#REF!),"")</f>
        <v>#REF!</v>
      </c>
      <c r="AG36" s="344"/>
      <c r="AH36" s="354" t="e">
        <f>IF(AND('Mapa final'!#REF!="Baja",'Mapa final'!#REF!="Catastrófico"),CONCATENATE("R",'Mapa final'!#REF!),"")</f>
        <v>#REF!</v>
      </c>
      <c r="AI36" s="355"/>
      <c r="AJ36" s="355" t="str">
        <f>IF(AND('Mapa final'!$N$27="Baja",'Mapa final'!$R$27="Catastrófico"),CONCATENATE("R",'Mapa final'!$A$27),"")</f>
        <v/>
      </c>
      <c r="AK36" s="355"/>
      <c r="AL36" s="355" t="e">
        <f>IF(AND('Mapa final'!#REF!="Baja",'Mapa final'!#REF!="Catastrófico"),CONCATENATE("R",'Mapa final'!#REF!),"")</f>
        <v>#REF!</v>
      </c>
      <c r="AM36" s="356"/>
      <c r="AN36" s="75"/>
      <c r="AO36" s="328"/>
      <c r="AP36" s="329"/>
      <c r="AQ36" s="329"/>
      <c r="AR36" s="329"/>
      <c r="AS36" s="329"/>
      <c r="AT36" s="330"/>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row>
    <row r="37" spans="1:80" ht="15" thickBot="1" x14ac:dyDescent="0.35">
      <c r="A37" s="75"/>
      <c r="B37" s="296"/>
      <c r="C37" s="296"/>
      <c r="D37" s="297"/>
      <c r="E37" s="340"/>
      <c r="F37" s="341"/>
      <c r="G37" s="341"/>
      <c r="H37" s="341"/>
      <c r="I37" s="341"/>
      <c r="J37" s="375"/>
      <c r="K37" s="376"/>
      <c r="L37" s="376"/>
      <c r="M37" s="376"/>
      <c r="N37" s="376"/>
      <c r="O37" s="377"/>
      <c r="P37" s="367"/>
      <c r="Q37" s="367"/>
      <c r="R37" s="367"/>
      <c r="S37" s="367"/>
      <c r="T37" s="367"/>
      <c r="U37" s="368"/>
      <c r="V37" s="366"/>
      <c r="W37" s="367"/>
      <c r="X37" s="367"/>
      <c r="Y37" s="367"/>
      <c r="Z37" s="367"/>
      <c r="AA37" s="368"/>
      <c r="AB37" s="351"/>
      <c r="AC37" s="352"/>
      <c r="AD37" s="352"/>
      <c r="AE37" s="352"/>
      <c r="AF37" s="352"/>
      <c r="AG37" s="353"/>
      <c r="AH37" s="357"/>
      <c r="AI37" s="358"/>
      <c r="AJ37" s="358"/>
      <c r="AK37" s="358"/>
      <c r="AL37" s="358"/>
      <c r="AM37" s="359"/>
      <c r="AN37" s="75"/>
      <c r="AO37" s="331"/>
      <c r="AP37" s="332"/>
      <c r="AQ37" s="332"/>
      <c r="AR37" s="332"/>
      <c r="AS37" s="332"/>
      <c r="AT37" s="333"/>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row>
    <row r="38" spans="1:80" x14ac:dyDescent="0.3">
      <c r="A38" s="75"/>
      <c r="B38" s="296"/>
      <c r="C38" s="296"/>
      <c r="D38" s="297"/>
      <c r="E38" s="334" t="s">
        <v>246</v>
      </c>
      <c r="F38" s="335"/>
      <c r="G38" s="335"/>
      <c r="H38" s="335"/>
      <c r="I38" s="336"/>
      <c r="J38" s="378" t="e">
        <f>IF(AND('Mapa final'!#REF!="Muy Baja",'Mapa final'!#REF!="Leve"),CONCATENATE("R",'Mapa final'!#REF!),"")</f>
        <v>#REF!</v>
      </c>
      <c r="K38" s="379"/>
      <c r="L38" s="379" t="str">
        <f>IF(AND('Mapa final'!$N$13="Muy Baja",'Mapa final'!$R$13="Leve"),CONCATENATE("R",'Mapa final'!$A$13),"")</f>
        <v/>
      </c>
      <c r="M38" s="379"/>
      <c r="N38" s="379" t="e">
        <f>IF(AND('Mapa final'!#REF!="Muy Baja",'Mapa final'!#REF!="Leve"),CONCATENATE("R",'Mapa final'!#REF!),"")</f>
        <v>#REF!</v>
      </c>
      <c r="O38" s="380"/>
      <c r="P38" s="378" t="e">
        <f>IF(AND('Mapa final'!#REF!="Muy Baja",'Mapa final'!#REF!="Menor"),CONCATENATE("R",'Mapa final'!#REF!),"")</f>
        <v>#REF!</v>
      </c>
      <c r="Q38" s="379"/>
      <c r="R38" s="379" t="str">
        <f>IF(AND('Mapa final'!$N$13="Muy Baja",'Mapa final'!$R$13="Menor"),CONCATENATE("R",'Mapa final'!$A$13),"")</f>
        <v/>
      </c>
      <c r="S38" s="379"/>
      <c r="T38" s="379" t="e">
        <f>IF(AND('Mapa final'!#REF!="Muy Baja",'Mapa final'!#REF!="Menor"),CONCATENATE("R",'Mapa final'!#REF!),"")</f>
        <v>#REF!</v>
      </c>
      <c r="U38" s="380"/>
      <c r="V38" s="369" t="e">
        <f>IF(AND('Mapa final'!#REF!="Muy Baja",'Mapa final'!#REF!="Moderado"),CONCATENATE("R",'Mapa final'!#REF!),"")</f>
        <v>#REF!</v>
      </c>
      <c r="W38" s="370"/>
      <c r="X38" s="370" t="str">
        <f>IF(AND('Mapa final'!$N$13="Muy Baja",'Mapa final'!$R$13="Moderado"),CONCATENATE("R",'Mapa final'!$A$13),"")</f>
        <v>R1</v>
      </c>
      <c r="Y38" s="370"/>
      <c r="Z38" s="370" t="e">
        <f>IF(AND('Mapa final'!#REF!="Muy Baja",'Mapa final'!#REF!="Moderado"),CONCATENATE("R",'Mapa final'!#REF!),"")</f>
        <v>#REF!</v>
      </c>
      <c r="AA38" s="371"/>
      <c r="AB38" s="345" t="e">
        <f>IF(AND('Mapa final'!#REF!="Muy Baja",'Mapa final'!#REF!="Mayor"),CONCATENATE("R",'Mapa final'!#REF!),"")</f>
        <v>#REF!</v>
      </c>
      <c r="AC38" s="346"/>
      <c r="AD38" s="346" t="str">
        <f>IF(AND('Mapa final'!$N$13="Muy Baja",'Mapa final'!$R$13="Mayor"),CONCATENATE("R",'Mapa final'!$A$13),"")</f>
        <v/>
      </c>
      <c r="AE38" s="346"/>
      <c r="AF38" s="346" t="e">
        <f>IF(AND('Mapa final'!#REF!="Muy Baja",'Mapa final'!#REF!="Mayor"),CONCATENATE("R",'Mapa final'!#REF!),"")</f>
        <v>#REF!</v>
      </c>
      <c r="AG38" s="348"/>
      <c r="AH38" s="360" t="e">
        <f>IF(AND('Mapa final'!#REF!="Muy Baja",'Mapa final'!#REF!="Catastrófico"),CONCATENATE("R",'Mapa final'!#REF!),"")</f>
        <v>#REF!</v>
      </c>
      <c r="AI38" s="361"/>
      <c r="AJ38" s="361" t="str">
        <f>IF(AND('Mapa final'!$N$13="Muy Baja",'Mapa final'!$R$13="Catastrófico"),CONCATENATE("R",'Mapa final'!$A$13),"")</f>
        <v/>
      </c>
      <c r="AK38" s="361"/>
      <c r="AL38" s="361" t="e">
        <f>IF(AND('Mapa final'!#REF!="Muy Baja",'Mapa final'!#REF!="Catastrófico"),CONCATENATE("R",'Mapa final'!#REF!),"")</f>
        <v>#REF!</v>
      </c>
      <c r="AM38" s="362"/>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row>
    <row r="39" spans="1:80" x14ac:dyDescent="0.3">
      <c r="A39" s="75"/>
      <c r="B39" s="296"/>
      <c r="C39" s="296"/>
      <c r="D39" s="297"/>
      <c r="E39" s="337"/>
      <c r="F39" s="338"/>
      <c r="G39" s="338"/>
      <c r="H39" s="338"/>
      <c r="I39" s="339"/>
      <c r="J39" s="374"/>
      <c r="K39" s="372"/>
      <c r="L39" s="372"/>
      <c r="M39" s="372"/>
      <c r="N39" s="372"/>
      <c r="O39" s="373"/>
      <c r="P39" s="374"/>
      <c r="Q39" s="372"/>
      <c r="R39" s="372"/>
      <c r="S39" s="372"/>
      <c r="T39" s="372"/>
      <c r="U39" s="373"/>
      <c r="V39" s="363"/>
      <c r="W39" s="364"/>
      <c r="X39" s="364"/>
      <c r="Y39" s="364"/>
      <c r="Z39" s="364"/>
      <c r="AA39" s="365"/>
      <c r="AB39" s="347"/>
      <c r="AC39" s="343"/>
      <c r="AD39" s="343"/>
      <c r="AE39" s="343"/>
      <c r="AF39" s="343"/>
      <c r="AG39" s="344"/>
      <c r="AH39" s="354"/>
      <c r="AI39" s="355"/>
      <c r="AJ39" s="355"/>
      <c r="AK39" s="355"/>
      <c r="AL39" s="355"/>
      <c r="AM39" s="356"/>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row>
    <row r="40" spans="1:80" x14ac:dyDescent="0.3">
      <c r="A40" s="75"/>
      <c r="B40" s="296"/>
      <c r="C40" s="296"/>
      <c r="D40" s="297"/>
      <c r="E40" s="337"/>
      <c r="F40" s="338"/>
      <c r="G40" s="338"/>
      <c r="H40" s="338"/>
      <c r="I40" s="339"/>
      <c r="J40" s="374" t="e">
        <f>IF(AND('Mapa final'!#REF!="Muy Baja",'Mapa final'!#REF!="Leve"),CONCATENATE("R",'Mapa final'!#REF!),"")</f>
        <v>#REF!</v>
      </c>
      <c r="K40" s="372"/>
      <c r="L40" s="372" t="e">
        <f>IF(AND('Mapa final'!#REF!="Muy Baja",'Mapa final'!#REF!="Leve"),CONCATENATE("R",'Mapa final'!#REF!),"")</f>
        <v>#REF!</v>
      </c>
      <c r="M40" s="372"/>
      <c r="N40" s="372" t="e">
        <f>IF(AND('Mapa final'!#REF!="Muy Baja",'Mapa final'!#REF!="Leve"),CONCATENATE("R",'Mapa final'!#REF!),"")</f>
        <v>#REF!</v>
      </c>
      <c r="O40" s="373"/>
      <c r="P40" s="374" t="e">
        <f>IF(AND('Mapa final'!#REF!="Muy Baja",'Mapa final'!#REF!="Menor"),CONCATENATE("R",'Mapa final'!#REF!),"")</f>
        <v>#REF!</v>
      </c>
      <c r="Q40" s="372"/>
      <c r="R40" s="372" t="e">
        <f>IF(AND('Mapa final'!#REF!="Muy Baja",'Mapa final'!#REF!="Menor"),CONCATENATE("R",'Mapa final'!#REF!),"")</f>
        <v>#REF!</v>
      </c>
      <c r="S40" s="372"/>
      <c r="T40" s="372" t="e">
        <f>IF(AND('Mapa final'!#REF!="Muy Baja",'Mapa final'!#REF!="Menor"),CONCATENATE("R",'Mapa final'!#REF!),"")</f>
        <v>#REF!</v>
      </c>
      <c r="U40" s="373"/>
      <c r="V40" s="363" t="e">
        <f>IF(AND('Mapa final'!#REF!="Muy Baja",'Mapa final'!#REF!="Moderado"),CONCATENATE("R",'Mapa final'!#REF!),"")</f>
        <v>#REF!</v>
      </c>
      <c r="W40" s="364"/>
      <c r="X40" s="364" t="e">
        <f>IF(AND('Mapa final'!#REF!="Muy Baja",'Mapa final'!#REF!="Moderado"),CONCATENATE("R",'Mapa final'!#REF!),"")</f>
        <v>#REF!</v>
      </c>
      <c r="Y40" s="364"/>
      <c r="Z40" s="364" t="e">
        <f>IF(AND('Mapa final'!#REF!="Muy Baja",'Mapa final'!#REF!="Moderado"),CONCATENATE("R",'Mapa final'!#REF!),"")</f>
        <v>#REF!</v>
      </c>
      <c r="AA40" s="365"/>
      <c r="AB40" s="347" t="e">
        <f>IF(AND('Mapa final'!#REF!="Muy Baja",'Mapa final'!#REF!="Mayor"),CONCATENATE("R",'Mapa final'!#REF!),"")</f>
        <v>#REF!</v>
      </c>
      <c r="AC40" s="343"/>
      <c r="AD40" s="343" t="e">
        <f>IF(AND('Mapa final'!#REF!="Muy Baja",'Mapa final'!#REF!="Mayor"),CONCATENATE("R",'Mapa final'!#REF!),"")</f>
        <v>#REF!</v>
      </c>
      <c r="AE40" s="343"/>
      <c r="AF40" s="343" t="e">
        <f>IF(AND('Mapa final'!#REF!="Muy Baja",'Mapa final'!#REF!="Mayor"),CONCATENATE("R",'Mapa final'!#REF!),"")</f>
        <v>#REF!</v>
      </c>
      <c r="AG40" s="344"/>
      <c r="AH40" s="354" t="e">
        <f>IF(AND('Mapa final'!#REF!="Muy Baja",'Mapa final'!#REF!="Catastrófico"),CONCATENATE("R",'Mapa final'!#REF!),"")</f>
        <v>#REF!</v>
      </c>
      <c r="AI40" s="355"/>
      <c r="AJ40" s="355" t="e">
        <f>IF(AND('Mapa final'!#REF!="Muy Baja",'Mapa final'!#REF!="Catastrófico"),CONCATENATE("R",'Mapa final'!#REF!),"")</f>
        <v>#REF!</v>
      </c>
      <c r="AK40" s="355"/>
      <c r="AL40" s="355" t="e">
        <f>IF(AND('Mapa final'!#REF!="Muy Baja",'Mapa final'!#REF!="Catastrófico"),CONCATENATE("R",'Mapa final'!#REF!),"")</f>
        <v>#REF!</v>
      </c>
      <c r="AM40" s="356"/>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row>
    <row r="41" spans="1:80" x14ac:dyDescent="0.3">
      <c r="A41" s="75"/>
      <c r="B41" s="296"/>
      <c r="C41" s="296"/>
      <c r="D41" s="297"/>
      <c r="E41" s="337"/>
      <c r="F41" s="338"/>
      <c r="G41" s="338"/>
      <c r="H41" s="338"/>
      <c r="I41" s="339"/>
      <c r="J41" s="374"/>
      <c r="K41" s="372"/>
      <c r="L41" s="372"/>
      <c r="M41" s="372"/>
      <c r="N41" s="372"/>
      <c r="O41" s="373"/>
      <c r="P41" s="374"/>
      <c r="Q41" s="372"/>
      <c r="R41" s="372"/>
      <c r="S41" s="372"/>
      <c r="T41" s="372"/>
      <c r="U41" s="373"/>
      <c r="V41" s="363"/>
      <c r="W41" s="364"/>
      <c r="X41" s="364"/>
      <c r="Y41" s="364"/>
      <c r="Z41" s="364"/>
      <c r="AA41" s="365"/>
      <c r="AB41" s="347"/>
      <c r="AC41" s="343"/>
      <c r="AD41" s="343"/>
      <c r="AE41" s="343"/>
      <c r="AF41" s="343"/>
      <c r="AG41" s="344"/>
      <c r="AH41" s="354"/>
      <c r="AI41" s="355"/>
      <c r="AJ41" s="355"/>
      <c r="AK41" s="355"/>
      <c r="AL41" s="355"/>
      <c r="AM41" s="356"/>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row>
    <row r="42" spans="1:80" x14ac:dyDescent="0.3">
      <c r="A42" s="75"/>
      <c r="B42" s="296"/>
      <c r="C42" s="296"/>
      <c r="D42" s="297"/>
      <c r="E42" s="337"/>
      <c r="F42" s="338"/>
      <c r="G42" s="338"/>
      <c r="H42" s="338"/>
      <c r="I42" s="339"/>
      <c r="J42" s="374" t="e">
        <f>IF(AND('Mapa final'!#REF!="Muy Baja",'Mapa final'!#REF!="Leve"),CONCATENATE("R",'Mapa final'!#REF!),"")</f>
        <v>#REF!</v>
      </c>
      <c r="K42" s="372"/>
      <c r="L42" s="372" t="e">
        <f>IF(AND('Mapa final'!#REF!="Muy Baja",'Mapa final'!#REF!="Leve"),CONCATENATE("R",'Mapa final'!#REF!),"")</f>
        <v>#REF!</v>
      </c>
      <c r="M42" s="372"/>
      <c r="N42" s="372" t="e">
        <f>IF(AND('Mapa final'!#REF!="Muy Baja",'Mapa final'!#REF!="Leve"),CONCATENATE("R",'Mapa final'!#REF!),"")</f>
        <v>#REF!</v>
      </c>
      <c r="O42" s="373"/>
      <c r="P42" s="374" t="e">
        <f>IF(AND('Mapa final'!#REF!="Muy Baja",'Mapa final'!#REF!="Menor"),CONCATENATE("R",'Mapa final'!#REF!),"")</f>
        <v>#REF!</v>
      </c>
      <c r="Q42" s="372"/>
      <c r="R42" s="372" t="e">
        <f>IF(AND('Mapa final'!#REF!="Muy Baja",'Mapa final'!#REF!="Menor"),CONCATENATE("R",'Mapa final'!#REF!),"")</f>
        <v>#REF!</v>
      </c>
      <c r="S42" s="372"/>
      <c r="T42" s="372" t="e">
        <f>IF(AND('Mapa final'!#REF!="Muy Baja",'Mapa final'!#REF!="Menor"),CONCATENATE("R",'Mapa final'!#REF!),"")</f>
        <v>#REF!</v>
      </c>
      <c r="U42" s="373"/>
      <c r="V42" s="363" t="e">
        <f>IF(AND('Mapa final'!#REF!="Muy Baja",'Mapa final'!#REF!="Moderado"),CONCATENATE("R",'Mapa final'!#REF!),"")</f>
        <v>#REF!</v>
      </c>
      <c r="W42" s="364"/>
      <c r="X42" s="364" t="e">
        <f>IF(AND('Mapa final'!#REF!="Muy Baja",'Mapa final'!#REF!="Moderado"),CONCATENATE("R",'Mapa final'!#REF!),"")</f>
        <v>#REF!</v>
      </c>
      <c r="Y42" s="364"/>
      <c r="Z42" s="364" t="e">
        <f>IF(AND('Mapa final'!#REF!="Muy Baja",'Mapa final'!#REF!="Moderado"),CONCATENATE("R",'Mapa final'!#REF!),"")</f>
        <v>#REF!</v>
      </c>
      <c r="AA42" s="365"/>
      <c r="AB42" s="347" t="e">
        <f>IF(AND('Mapa final'!#REF!="Muy Baja",'Mapa final'!#REF!="Mayor"),CONCATENATE("R",'Mapa final'!#REF!),"")</f>
        <v>#REF!</v>
      </c>
      <c r="AC42" s="343"/>
      <c r="AD42" s="343" t="e">
        <f>IF(AND('Mapa final'!#REF!="Muy Baja",'Mapa final'!#REF!="Mayor"),CONCATENATE("R",'Mapa final'!#REF!),"")</f>
        <v>#REF!</v>
      </c>
      <c r="AE42" s="343"/>
      <c r="AF42" s="343" t="e">
        <f>IF(AND('Mapa final'!#REF!="Muy Baja",'Mapa final'!#REF!="Mayor"),CONCATENATE("R",'Mapa final'!#REF!),"")</f>
        <v>#REF!</v>
      </c>
      <c r="AG42" s="344"/>
      <c r="AH42" s="354" t="e">
        <f>IF(AND('Mapa final'!#REF!="Muy Baja",'Mapa final'!#REF!="Catastrófico"),CONCATENATE("R",'Mapa final'!#REF!),"")</f>
        <v>#REF!</v>
      </c>
      <c r="AI42" s="355"/>
      <c r="AJ42" s="355" t="e">
        <f>IF(AND('Mapa final'!#REF!="Muy Baja",'Mapa final'!#REF!="Catastrófico"),CONCATENATE("R",'Mapa final'!#REF!),"")</f>
        <v>#REF!</v>
      </c>
      <c r="AK42" s="355"/>
      <c r="AL42" s="355" t="e">
        <f>IF(AND('Mapa final'!#REF!="Muy Baja",'Mapa final'!#REF!="Catastrófico"),CONCATENATE("R",'Mapa final'!#REF!),"")</f>
        <v>#REF!</v>
      </c>
      <c r="AM42" s="356"/>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row>
    <row r="43" spans="1:80" x14ac:dyDescent="0.3">
      <c r="A43" s="75"/>
      <c r="B43" s="296"/>
      <c r="C43" s="296"/>
      <c r="D43" s="297"/>
      <c r="E43" s="337"/>
      <c r="F43" s="338"/>
      <c r="G43" s="338"/>
      <c r="H43" s="338"/>
      <c r="I43" s="339"/>
      <c r="J43" s="374"/>
      <c r="K43" s="372"/>
      <c r="L43" s="372"/>
      <c r="M43" s="372"/>
      <c r="N43" s="372"/>
      <c r="O43" s="373"/>
      <c r="P43" s="374"/>
      <c r="Q43" s="372"/>
      <c r="R43" s="372"/>
      <c r="S43" s="372"/>
      <c r="T43" s="372"/>
      <c r="U43" s="373"/>
      <c r="V43" s="363"/>
      <c r="W43" s="364"/>
      <c r="X43" s="364"/>
      <c r="Y43" s="364"/>
      <c r="Z43" s="364"/>
      <c r="AA43" s="365"/>
      <c r="AB43" s="347"/>
      <c r="AC43" s="343"/>
      <c r="AD43" s="343"/>
      <c r="AE43" s="343"/>
      <c r="AF43" s="343"/>
      <c r="AG43" s="344"/>
      <c r="AH43" s="354"/>
      <c r="AI43" s="355"/>
      <c r="AJ43" s="355"/>
      <c r="AK43" s="355"/>
      <c r="AL43" s="355"/>
      <c r="AM43" s="356"/>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row>
    <row r="44" spans="1:80" x14ac:dyDescent="0.3">
      <c r="A44" s="75"/>
      <c r="B44" s="296"/>
      <c r="C44" s="296"/>
      <c r="D44" s="297"/>
      <c r="E44" s="337"/>
      <c r="F44" s="338"/>
      <c r="G44" s="338"/>
      <c r="H44" s="338"/>
      <c r="I44" s="339"/>
      <c r="J44" s="374" t="e">
        <f>IF(AND('Mapa final'!#REF!="Muy Baja",'Mapa final'!#REF!="Leve"),CONCATENATE("R",'Mapa final'!#REF!),"")</f>
        <v>#REF!</v>
      </c>
      <c r="K44" s="372"/>
      <c r="L44" s="372" t="str">
        <f>IF(AND('Mapa final'!$N$27="Muy Baja",'Mapa final'!$R$27="Leve"),CONCATENATE("R",'Mapa final'!$A$27),"")</f>
        <v/>
      </c>
      <c r="M44" s="372"/>
      <c r="N44" s="372" t="e">
        <f>IF(AND('Mapa final'!#REF!="Muy Baja",'Mapa final'!#REF!="Leve"),CONCATENATE("R",'Mapa final'!#REF!),"")</f>
        <v>#REF!</v>
      </c>
      <c r="O44" s="373"/>
      <c r="P44" s="374" t="e">
        <f>IF(AND('Mapa final'!#REF!="Muy Baja",'Mapa final'!#REF!="Menor"),CONCATENATE("R",'Mapa final'!#REF!),"")</f>
        <v>#REF!</v>
      </c>
      <c r="Q44" s="372"/>
      <c r="R44" s="372" t="str">
        <f>IF(AND('Mapa final'!$N$27="Muy Baja",'Mapa final'!$R$27="Menor"),CONCATENATE("R",'Mapa final'!$A$27),"")</f>
        <v/>
      </c>
      <c r="S44" s="372"/>
      <c r="T44" s="372" t="e">
        <f>IF(AND('Mapa final'!#REF!="Muy Baja",'Mapa final'!#REF!="Menor"),CONCATENATE("R",'Mapa final'!#REF!),"")</f>
        <v>#REF!</v>
      </c>
      <c r="U44" s="373"/>
      <c r="V44" s="363" t="e">
        <f>IF(AND('Mapa final'!#REF!="Muy Baja",'Mapa final'!#REF!="Moderado"),CONCATENATE("R",'Mapa final'!#REF!),"")</f>
        <v>#REF!</v>
      </c>
      <c r="W44" s="364"/>
      <c r="X44" s="364" t="str">
        <f>IF(AND('Mapa final'!$N$27="Muy Baja",'Mapa final'!$R$27="Moderado"),CONCATENATE("R",'Mapa final'!$A$27),"")</f>
        <v/>
      </c>
      <c r="Y44" s="364"/>
      <c r="Z44" s="364" t="e">
        <f>IF(AND('Mapa final'!#REF!="Muy Baja",'Mapa final'!#REF!="Moderado"),CONCATENATE("R",'Mapa final'!#REF!),"")</f>
        <v>#REF!</v>
      </c>
      <c r="AA44" s="365"/>
      <c r="AB44" s="347" t="e">
        <f>IF(AND('Mapa final'!#REF!="Muy Baja",'Mapa final'!#REF!="Mayor"),CONCATENATE("R",'Mapa final'!#REF!),"")</f>
        <v>#REF!</v>
      </c>
      <c r="AC44" s="343"/>
      <c r="AD44" s="343" t="str">
        <f>IF(AND('Mapa final'!$N$27="Muy Baja",'Mapa final'!$R$27="Mayor"),CONCATENATE("R",'Mapa final'!$A$27),"")</f>
        <v/>
      </c>
      <c r="AE44" s="343"/>
      <c r="AF44" s="343" t="e">
        <f>IF(AND('Mapa final'!#REF!="Muy Baja",'Mapa final'!#REF!="Mayor"),CONCATENATE("R",'Mapa final'!#REF!),"")</f>
        <v>#REF!</v>
      </c>
      <c r="AG44" s="344"/>
      <c r="AH44" s="354" t="e">
        <f>IF(AND('Mapa final'!#REF!="Muy Baja",'Mapa final'!#REF!="Catastrófico"),CONCATENATE("R",'Mapa final'!#REF!),"")</f>
        <v>#REF!</v>
      </c>
      <c r="AI44" s="355"/>
      <c r="AJ44" s="355" t="str">
        <f>IF(AND('Mapa final'!$N$27="Muy Baja",'Mapa final'!$R$27="Catastrófico"),CONCATENATE("R",'Mapa final'!$A$27),"")</f>
        <v/>
      </c>
      <c r="AK44" s="355"/>
      <c r="AL44" s="355" t="e">
        <f>IF(AND('Mapa final'!#REF!="Muy Baja",'Mapa final'!#REF!="Catastrófico"),CONCATENATE("R",'Mapa final'!#REF!),"")</f>
        <v>#REF!</v>
      </c>
      <c r="AM44" s="356"/>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row>
    <row r="45" spans="1:80" ht="15" thickBot="1" x14ac:dyDescent="0.35">
      <c r="A45" s="75"/>
      <c r="B45" s="296"/>
      <c r="C45" s="296"/>
      <c r="D45" s="297"/>
      <c r="E45" s="340"/>
      <c r="F45" s="341"/>
      <c r="G45" s="341"/>
      <c r="H45" s="341"/>
      <c r="I45" s="342"/>
      <c r="J45" s="375"/>
      <c r="K45" s="376"/>
      <c r="L45" s="376"/>
      <c r="M45" s="376"/>
      <c r="N45" s="376"/>
      <c r="O45" s="377"/>
      <c r="P45" s="375"/>
      <c r="Q45" s="376"/>
      <c r="R45" s="376"/>
      <c r="S45" s="376"/>
      <c r="T45" s="376"/>
      <c r="U45" s="377"/>
      <c r="V45" s="366"/>
      <c r="W45" s="367"/>
      <c r="X45" s="367"/>
      <c r="Y45" s="367"/>
      <c r="Z45" s="367"/>
      <c r="AA45" s="368"/>
      <c r="AB45" s="351"/>
      <c r="AC45" s="352"/>
      <c r="AD45" s="352"/>
      <c r="AE45" s="352"/>
      <c r="AF45" s="352"/>
      <c r="AG45" s="353"/>
      <c r="AH45" s="357"/>
      <c r="AI45" s="358"/>
      <c r="AJ45" s="358"/>
      <c r="AK45" s="358"/>
      <c r="AL45" s="358"/>
      <c r="AM45" s="359"/>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row>
    <row r="46" spans="1:80" x14ac:dyDescent="0.3">
      <c r="A46" s="75"/>
      <c r="B46" s="75"/>
      <c r="C46" s="75"/>
      <c r="D46" s="75"/>
      <c r="E46" s="75"/>
      <c r="F46" s="75"/>
      <c r="G46" s="75"/>
      <c r="H46" s="75"/>
      <c r="I46" s="75"/>
      <c r="J46" s="334" t="s">
        <v>247</v>
      </c>
      <c r="K46" s="335"/>
      <c r="L46" s="335"/>
      <c r="M46" s="335"/>
      <c r="N46" s="335"/>
      <c r="O46" s="336"/>
      <c r="P46" s="334" t="s">
        <v>248</v>
      </c>
      <c r="Q46" s="335"/>
      <c r="R46" s="335"/>
      <c r="S46" s="335"/>
      <c r="T46" s="335"/>
      <c r="U46" s="336"/>
      <c r="V46" s="334" t="s">
        <v>249</v>
      </c>
      <c r="W46" s="335"/>
      <c r="X46" s="335"/>
      <c r="Y46" s="335"/>
      <c r="Z46" s="335"/>
      <c r="AA46" s="336"/>
      <c r="AB46" s="334" t="s">
        <v>250</v>
      </c>
      <c r="AC46" s="350"/>
      <c r="AD46" s="335"/>
      <c r="AE46" s="335"/>
      <c r="AF46" s="335"/>
      <c r="AG46" s="336"/>
      <c r="AH46" s="334" t="s">
        <v>251</v>
      </c>
      <c r="AI46" s="335"/>
      <c r="AJ46" s="335"/>
      <c r="AK46" s="335"/>
      <c r="AL46" s="335"/>
      <c r="AM46" s="336"/>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x14ac:dyDescent="0.3">
      <c r="A47" s="75"/>
      <c r="B47" s="75"/>
      <c r="C47" s="75"/>
      <c r="D47" s="75"/>
      <c r="E47" s="75"/>
      <c r="F47" s="75"/>
      <c r="G47" s="75"/>
      <c r="H47" s="75"/>
      <c r="I47" s="75"/>
      <c r="J47" s="337"/>
      <c r="K47" s="338"/>
      <c r="L47" s="338"/>
      <c r="M47" s="338"/>
      <c r="N47" s="338"/>
      <c r="O47" s="339"/>
      <c r="P47" s="337"/>
      <c r="Q47" s="338"/>
      <c r="R47" s="338"/>
      <c r="S47" s="338"/>
      <c r="T47" s="338"/>
      <c r="U47" s="339"/>
      <c r="V47" s="337"/>
      <c r="W47" s="338"/>
      <c r="X47" s="338"/>
      <c r="Y47" s="338"/>
      <c r="Z47" s="338"/>
      <c r="AA47" s="339"/>
      <c r="AB47" s="337"/>
      <c r="AC47" s="338"/>
      <c r="AD47" s="338"/>
      <c r="AE47" s="338"/>
      <c r="AF47" s="338"/>
      <c r="AG47" s="339"/>
      <c r="AH47" s="337"/>
      <c r="AI47" s="338"/>
      <c r="AJ47" s="338"/>
      <c r="AK47" s="338"/>
      <c r="AL47" s="338"/>
      <c r="AM47" s="339"/>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x14ac:dyDescent="0.3">
      <c r="A48" s="75"/>
      <c r="B48" s="75"/>
      <c r="C48" s="75"/>
      <c r="D48" s="75"/>
      <c r="E48" s="75"/>
      <c r="F48" s="75"/>
      <c r="G48" s="75"/>
      <c r="H48" s="75"/>
      <c r="I48" s="75"/>
      <c r="J48" s="337"/>
      <c r="K48" s="338"/>
      <c r="L48" s="338"/>
      <c r="M48" s="338"/>
      <c r="N48" s="338"/>
      <c r="O48" s="339"/>
      <c r="P48" s="337"/>
      <c r="Q48" s="338"/>
      <c r="R48" s="338"/>
      <c r="S48" s="338"/>
      <c r="T48" s="338"/>
      <c r="U48" s="339"/>
      <c r="V48" s="337"/>
      <c r="W48" s="338"/>
      <c r="X48" s="338"/>
      <c r="Y48" s="338"/>
      <c r="Z48" s="338"/>
      <c r="AA48" s="339"/>
      <c r="AB48" s="337"/>
      <c r="AC48" s="338"/>
      <c r="AD48" s="338"/>
      <c r="AE48" s="338"/>
      <c r="AF48" s="338"/>
      <c r="AG48" s="339"/>
      <c r="AH48" s="337"/>
      <c r="AI48" s="338"/>
      <c r="AJ48" s="338"/>
      <c r="AK48" s="338"/>
      <c r="AL48" s="338"/>
      <c r="AM48" s="339"/>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x14ac:dyDescent="0.3">
      <c r="A49" s="75"/>
      <c r="B49" s="75"/>
      <c r="C49" s="75"/>
      <c r="D49" s="75"/>
      <c r="E49" s="75"/>
      <c r="F49" s="75"/>
      <c r="G49" s="75"/>
      <c r="H49" s="75"/>
      <c r="I49" s="75"/>
      <c r="J49" s="337"/>
      <c r="K49" s="338"/>
      <c r="L49" s="338"/>
      <c r="M49" s="338"/>
      <c r="N49" s="338"/>
      <c r="O49" s="339"/>
      <c r="P49" s="337"/>
      <c r="Q49" s="338"/>
      <c r="R49" s="338"/>
      <c r="S49" s="338"/>
      <c r="T49" s="338"/>
      <c r="U49" s="339"/>
      <c r="V49" s="337"/>
      <c r="W49" s="338"/>
      <c r="X49" s="338"/>
      <c r="Y49" s="338"/>
      <c r="Z49" s="338"/>
      <c r="AA49" s="339"/>
      <c r="AB49" s="337"/>
      <c r="AC49" s="338"/>
      <c r="AD49" s="338"/>
      <c r="AE49" s="338"/>
      <c r="AF49" s="338"/>
      <c r="AG49" s="339"/>
      <c r="AH49" s="337"/>
      <c r="AI49" s="338"/>
      <c r="AJ49" s="338"/>
      <c r="AK49" s="338"/>
      <c r="AL49" s="338"/>
      <c r="AM49" s="339"/>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x14ac:dyDescent="0.3">
      <c r="A50" s="75"/>
      <c r="B50" s="75"/>
      <c r="C50" s="75"/>
      <c r="D50" s="75"/>
      <c r="E50" s="75"/>
      <c r="F50" s="75"/>
      <c r="G50" s="75"/>
      <c r="H50" s="75"/>
      <c r="I50" s="75"/>
      <c r="J50" s="337"/>
      <c r="K50" s="338"/>
      <c r="L50" s="338"/>
      <c r="M50" s="338"/>
      <c r="N50" s="338"/>
      <c r="O50" s="339"/>
      <c r="P50" s="337"/>
      <c r="Q50" s="338"/>
      <c r="R50" s="338"/>
      <c r="S50" s="338"/>
      <c r="T50" s="338"/>
      <c r="U50" s="339"/>
      <c r="V50" s="337"/>
      <c r="W50" s="338"/>
      <c r="X50" s="338"/>
      <c r="Y50" s="338"/>
      <c r="Z50" s="338"/>
      <c r="AA50" s="339"/>
      <c r="AB50" s="337"/>
      <c r="AC50" s="338"/>
      <c r="AD50" s="338"/>
      <c r="AE50" s="338"/>
      <c r="AF50" s="338"/>
      <c r="AG50" s="339"/>
      <c r="AH50" s="337"/>
      <c r="AI50" s="338"/>
      <c r="AJ50" s="338"/>
      <c r="AK50" s="338"/>
      <c r="AL50" s="338"/>
      <c r="AM50" s="339"/>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thickBot="1" x14ac:dyDescent="0.35">
      <c r="A51" s="75"/>
      <c r="B51" s="75"/>
      <c r="C51" s="75"/>
      <c r="D51" s="75"/>
      <c r="E51" s="75"/>
      <c r="F51" s="75"/>
      <c r="G51" s="75"/>
      <c r="H51" s="75"/>
      <c r="I51" s="75"/>
      <c r="J51" s="340"/>
      <c r="K51" s="341"/>
      <c r="L51" s="341"/>
      <c r="M51" s="341"/>
      <c r="N51" s="341"/>
      <c r="O51" s="342"/>
      <c r="P51" s="340"/>
      <c r="Q51" s="341"/>
      <c r="R51" s="341"/>
      <c r="S51" s="341"/>
      <c r="T51" s="341"/>
      <c r="U51" s="342"/>
      <c r="V51" s="340"/>
      <c r="W51" s="341"/>
      <c r="X51" s="341"/>
      <c r="Y51" s="341"/>
      <c r="Z51" s="341"/>
      <c r="AA51" s="342"/>
      <c r="AB51" s="340"/>
      <c r="AC51" s="341"/>
      <c r="AD51" s="341"/>
      <c r="AE51" s="341"/>
      <c r="AF51" s="341"/>
      <c r="AG51" s="342"/>
      <c r="AH51" s="340"/>
      <c r="AI51" s="341"/>
      <c r="AJ51" s="341"/>
      <c r="AK51" s="341"/>
      <c r="AL51" s="341"/>
      <c r="AM51" s="342"/>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x14ac:dyDescent="0.3">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3">
      <c r="A53" s="75"/>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3">
      <c r="A54" s="75"/>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x14ac:dyDescent="0.3">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3">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3">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3">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3">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3">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x14ac:dyDescent="0.3">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3">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row>
    <row r="63" spans="1:80" x14ac:dyDescent="0.3">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row>
    <row r="64" spans="1:80" x14ac:dyDescent="0.3">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row>
    <row r="65" spans="1:80" x14ac:dyDescent="0.3">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row>
    <row r="66" spans="1:80" x14ac:dyDescent="0.3">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row>
    <row r="67" spans="1:80" x14ac:dyDescent="0.3">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row>
    <row r="68" spans="1:80" x14ac:dyDescent="0.3">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row>
    <row r="69" spans="1:80" x14ac:dyDescent="0.3">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row>
    <row r="70" spans="1:80" x14ac:dyDescent="0.3">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row>
    <row r="71" spans="1:80" x14ac:dyDescent="0.3">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row>
    <row r="72" spans="1:80" x14ac:dyDescent="0.3">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row>
    <row r="73" spans="1:80" x14ac:dyDescent="0.3">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row>
    <row r="74" spans="1:80" x14ac:dyDescent="0.3">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row>
    <row r="75" spans="1:80" x14ac:dyDescent="0.3">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row>
    <row r="76" spans="1:80" x14ac:dyDescent="0.3">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row>
    <row r="77" spans="1:80" x14ac:dyDescent="0.3">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row>
    <row r="78" spans="1:80" x14ac:dyDescent="0.3">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row>
    <row r="79" spans="1:80" x14ac:dyDescent="0.3">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row>
    <row r="80" spans="1:80" x14ac:dyDescent="0.3">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row>
    <row r="81" spans="1:63" x14ac:dyDescent="0.3">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row>
    <row r="82" spans="1:63" x14ac:dyDescent="0.3">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row>
    <row r="83" spans="1:63" x14ac:dyDescent="0.3">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row>
    <row r="84" spans="1:63" x14ac:dyDescent="0.3">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row>
    <row r="85" spans="1:63" x14ac:dyDescent="0.3">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row>
    <row r="86" spans="1:63" x14ac:dyDescent="0.3">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row>
    <row r="87" spans="1:63" x14ac:dyDescent="0.3">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row>
    <row r="88" spans="1:63" x14ac:dyDescent="0.3">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row>
    <row r="89" spans="1:63" x14ac:dyDescent="0.3">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row>
    <row r="90" spans="1:63" x14ac:dyDescent="0.3">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row>
    <row r="91" spans="1:63" x14ac:dyDescent="0.3">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row>
    <row r="92" spans="1:63" x14ac:dyDescent="0.3">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c r="BJ92" s="75"/>
      <c r="BK92" s="75"/>
    </row>
    <row r="93" spans="1:63" x14ac:dyDescent="0.3">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c r="BJ93" s="75"/>
      <c r="BK93" s="75"/>
    </row>
    <row r="94" spans="1:63" x14ac:dyDescent="0.3">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row>
    <row r="95" spans="1:63" x14ac:dyDescent="0.3">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row>
    <row r="96" spans="1:63" x14ac:dyDescent="0.3">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row>
    <row r="97" spans="1:63" x14ac:dyDescent="0.3">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row>
    <row r="98" spans="1:63" x14ac:dyDescent="0.3">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row>
    <row r="99" spans="1:63" x14ac:dyDescent="0.3">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row>
    <row r="100" spans="1:63" x14ac:dyDescent="0.3">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c r="BJ100" s="75"/>
      <c r="BK100" s="75"/>
    </row>
    <row r="101" spans="1:63" x14ac:dyDescent="0.3">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c r="BJ101" s="75"/>
      <c r="BK101" s="75"/>
    </row>
    <row r="102" spans="1:63" x14ac:dyDescent="0.3">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row>
    <row r="103" spans="1:63" x14ac:dyDescent="0.3">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row>
    <row r="104" spans="1:63" x14ac:dyDescent="0.3">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row>
    <row r="105" spans="1:63" x14ac:dyDescent="0.3">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c r="BJ105" s="75"/>
      <c r="BK105" s="75"/>
    </row>
    <row r="106" spans="1:63" x14ac:dyDescent="0.3">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c r="BJ106" s="75"/>
      <c r="BK106" s="75"/>
    </row>
    <row r="107" spans="1:63" x14ac:dyDescent="0.3">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c r="BJ107" s="75"/>
      <c r="BK107" s="75"/>
    </row>
    <row r="108" spans="1:63" x14ac:dyDescent="0.3">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c r="BJ108" s="75"/>
      <c r="BK108" s="75"/>
    </row>
    <row r="109" spans="1:63" x14ac:dyDescent="0.3">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c r="BI109" s="75"/>
      <c r="BJ109" s="75"/>
      <c r="BK109" s="75"/>
    </row>
    <row r="110" spans="1:63" x14ac:dyDescent="0.3">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c r="BI110" s="75"/>
      <c r="BJ110" s="75"/>
      <c r="BK110" s="75"/>
    </row>
    <row r="111" spans="1:63" x14ac:dyDescent="0.3">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c r="BI111" s="75"/>
      <c r="BJ111" s="75"/>
      <c r="BK111" s="75"/>
    </row>
    <row r="112" spans="1:63" x14ac:dyDescent="0.3">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c r="BI112" s="75"/>
      <c r="BJ112" s="75"/>
      <c r="BK112" s="75"/>
    </row>
    <row r="113" spans="1:63" x14ac:dyDescent="0.3">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c r="BI113" s="75"/>
      <c r="BJ113" s="75"/>
      <c r="BK113" s="75"/>
    </row>
    <row r="114" spans="1:63" x14ac:dyDescent="0.3">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row>
    <row r="115" spans="1:63" x14ac:dyDescent="0.3">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row>
    <row r="116" spans="1:63" x14ac:dyDescent="0.3">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row>
    <row r="117" spans="1:63" x14ac:dyDescent="0.3">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c r="BI117" s="75"/>
      <c r="BJ117" s="75"/>
      <c r="BK117" s="75"/>
    </row>
    <row r="118" spans="1:63" x14ac:dyDescent="0.3">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row>
    <row r="119" spans="1:63" x14ac:dyDescent="0.3">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row>
    <row r="120" spans="1:63" x14ac:dyDescent="0.3">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row>
    <row r="121" spans="1:63" x14ac:dyDescent="0.3">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row>
    <row r="122" spans="1:63" x14ac:dyDescent="0.3">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row>
    <row r="123" spans="1:63" x14ac:dyDescent="0.3">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row>
    <row r="124" spans="1:63" x14ac:dyDescent="0.3">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row>
    <row r="125" spans="1:63" x14ac:dyDescent="0.3">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row>
    <row r="126" spans="1:63" x14ac:dyDescent="0.3">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row>
    <row r="127" spans="1:63" x14ac:dyDescent="0.3">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row>
    <row r="128" spans="1:63" x14ac:dyDescent="0.3">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row>
    <row r="129" spans="2:63" x14ac:dyDescent="0.3">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row>
    <row r="130" spans="2:63" x14ac:dyDescent="0.3">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75"/>
    </row>
    <row r="131" spans="2:63" x14ac:dyDescent="0.3">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c r="BI131" s="75"/>
      <c r="BJ131" s="75"/>
      <c r="BK131" s="75"/>
    </row>
    <row r="132" spans="2:63" x14ac:dyDescent="0.3">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c r="BI132" s="75"/>
      <c r="BJ132" s="75"/>
      <c r="BK132" s="75"/>
    </row>
    <row r="133" spans="2:63" x14ac:dyDescent="0.3">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75"/>
    </row>
    <row r="134" spans="2:63" x14ac:dyDescent="0.3">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c r="BI134" s="75"/>
      <c r="BJ134" s="75"/>
      <c r="BK134" s="75"/>
    </row>
    <row r="135" spans="2:63" x14ac:dyDescent="0.3">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c r="BI135" s="75"/>
      <c r="BJ135" s="75"/>
      <c r="BK135" s="75"/>
    </row>
    <row r="136" spans="2:63" x14ac:dyDescent="0.3">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row>
    <row r="137" spans="2:63" x14ac:dyDescent="0.3">
      <c r="B137" s="75"/>
      <c r="C137" s="75"/>
      <c r="D137" s="75"/>
      <c r="E137" s="75"/>
      <c r="F137" s="75"/>
      <c r="G137" s="75"/>
      <c r="H137" s="75"/>
      <c r="I137" s="75"/>
    </row>
    <row r="138" spans="2:63" x14ac:dyDescent="0.3">
      <c r="B138" s="75"/>
      <c r="C138" s="75"/>
      <c r="D138" s="75"/>
      <c r="E138" s="75"/>
      <c r="F138" s="75"/>
      <c r="G138" s="75"/>
      <c r="H138" s="75"/>
      <c r="I138" s="75"/>
    </row>
    <row r="139" spans="2:63" x14ac:dyDescent="0.3">
      <c r="B139" s="75"/>
      <c r="C139" s="75"/>
      <c r="D139" s="75"/>
      <c r="E139" s="75"/>
      <c r="F139" s="75"/>
      <c r="G139" s="75"/>
      <c r="H139" s="75"/>
      <c r="I139" s="75"/>
    </row>
    <row r="140" spans="2:63" x14ac:dyDescent="0.3">
      <c r="B140" s="75"/>
      <c r="C140" s="75"/>
      <c r="D140" s="75"/>
      <c r="E140" s="75"/>
      <c r="F140" s="75"/>
      <c r="G140" s="75"/>
      <c r="H140" s="75"/>
      <c r="I140" s="7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S36" sqref="S36"/>
    </sheetView>
  </sheetViews>
  <sheetFormatPr baseColWidth="10" defaultColWidth="11.44140625" defaultRowHeight="14.4" x14ac:dyDescent="0.3"/>
  <cols>
    <col min="2" max="18" width="5.6640625" customWidth="1"/>
    <col min="19" max="19" width="8.44140625" customWidth="1"/>
    <col min="20" max="23" width="5.6640625" customWidth="1"/>
    <col min="24" max="24" width="8.44140625" customWidth="1"/>
    <col min="25" max="26" width="5.6640625" customWidth="1"/>
    <col min="27" max="27" width="10.6640625" customWidth="1"/>
    <col min="28" max="28" width="5.6640625" customWidth="1"/>
    <col min="29" max="29" width="7.44140625" customWidth="1"/>
    <col min="30" max="33" width="5.6640625" customWidth="1"/>
    <col min="34" max="34" width="8.44140625" customWidth="1"/>
    <col min="35" max="39" width="5.6640625" customWidth="1"/>
    <col min="41" max="46" width="5.6640625" customWidth="1"/>
  </cols>
  <sheetData>
    <row r="1" spans="1:91" x14ac:dyDescent="0.3">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row>
    <row r="2" spans="1:91" ht="18" customHeight="1" x14ac:dyDescent="0.3">
      <c r="A2" s="75"/>
      <c r="B2" s="407" t="s">
        <v>252</v>
      </c>
      <c r="C2" s="408"/>
      <c r="D2" s="408"/>
      <c r="E2" s="408"/>
      <c r="F2" s="408"/>
      <c r="G2" s="408"/>
      <c r="H2" s="408"/>
      <c r="I2" s="408"/>
      <c r="J2" s="349" t="s">
        <v>15</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row>
    <row r="3" spans="1:91" ht="18.75" customHeight="1" x14ac:dyDescent="0.3">
      <c r="A3" s="75"/>
      <c r="B3" s="408"/>
      <c r="C3" s="408"/>
      <c r="D3" s="408"/>
      <c r="E3" s="408"/>
      <c r="F3" s="408"/>
      <c r="G3" s="408"/>
      <c r="H3" s="408"/>
      <c r="I3" s="408"/>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row>
    <row r="4" spans="1:91" ht="15" customHeight="1" x14ac:dyDescent="0.3">
      <c r="A4" s="75"/>
      <c r="B4" s="408"/>
      <c r="C4" s="408"/>
      <c r="D4" s="408"/>
      <c r="E4" s="408"/>
      <c r="F4" s="408"/>
      <c r="G4" s="408"/>
      <c r="H4" s="408"/>
      <c r="I4" s="408"/>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row>
    <row r="5" spans="1:91" ht="15" thickBot="1" x14ac:dyDescent="0.35">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row>
    <row r="6" spans="1:91" ht="15" customHeight="1" x14ac:dyDescent="0.3">
      <c r="A6" s="75"/>
      <c r="B6" s="296" t="s">
        <v>115</v>
      </c>
      <c r="C6" s="296"/>
      <c r="D6" s="297"/>
      <c r="E6" s="391" t="s">
        <v>240</v>
      </c>
      <c r="F6" s="392"/>
      <c r="G6" s="392"/>
      <c r="H6" s="392"/>
      <c r="I6" s="409"/>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5"/>
      <c r="AO6" s="398" t="s">
        <v>241</v>
      </c>
      <c r="AP6" s="399"/>
      <c r="AQ6" s="399"/>
      <c r="AR6" s="399"/>
      <c r="AS6" s="399"/>
      <c r="AT6" s="400"/>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row>
    <row r="7" spans="1:91" ht="15" customHeight="1" x14ac:dyDescent="0.3">
      <c r="A7" s="75"/>
      <c r="B7" s="296"/>
      <c r="C7" s="296"/>
      <c r="D7" s="297"/>
      <c r="E7" s="395"/>
      <c r="F7" s="394"/>
      <c r="G7" s="394"/>
      <c r="H7" s="394"/>
      <c r="I7" s="410"/>
      <c r="J7" s="44" t="str">
        <f>IF(AND('Mapa final'!$AF$13="Muy Alta",'Mapa final'!$AH$13="Leve"),CONCATENATE("R2C",'Mapa final'!$U$13),"")</f>
        <v/>
      </c>
      <c r="K7" s="45" t="str">
        <f>IF(AND('Mapa final'!$AF$24="Muy Alta",'Mapa final'!$AH$24="Leve"),CONCATENATE("R2C",'Mapa final'!$U$24),"")</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final'!$AF$13="Muy Alta",'Mapa final'!$AH$13="Menor"),CONCATENATE("R2C",'Mapa final'!$U$13),"")</f>
        <v/>
      </c>
      <c r="Q7" s="45" t="str">
        <f>IF(AND('Mapa final'!$AF$24="Muy Alta",'Mapa final'!$AH$24="Menor"),CONCATENATE("R2C",'Mapa final'!$U$24),"")</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final'!$AF$13="Muy Alta",'Mapa final'!$AH$13="Moderado"),CONCATENATE("R2C",'Mapa final'!$U$13),"")</f>
        <v/>
      </c>
      <c r="W7" s="45" t="str">
        <f>IF(AND('Mapa final'!$AF$24="Muy Alta",'Mapa final'!$AH$24="Moderado"),CONCATENATE("R2C",'Mapa final'!$U$24),"")</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final'!$AF$13="Muy Alta",'Mapa final'!$AH$13="Mayor"),CONCATENATE("R2C",'Mapa final'!$U$13),"")</f>
        <v/>
      </c>
      <c r="AC7" s="45" t="str">
        <f>IF(AND('Mapa final'!$AF$24="Muy Alta",'Mapa final'!$AH$24="Mayor"),CONCATENATE("R2C",'Mapa final'!$U$24),"")</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final'!$AF$13="Muy Alta",'Mapa final'!$AH$13="Catastrófico"),CONCATENATE("R2C",'Mapa final'!$U$13),"")</f>
        <v/>
      </c>
      <c r="AI7" s="48" t="str">
        <f>IF(AND('Mapa final'!$AF$24="Muy Alta",'Mapa final'!$AH$24="Catastrófico"),CONCATENATE("R2C",'Mapa final'!$U$24),"")</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5"/>
      <c r="AO7" s="401"/>
      <c r="AP7" s="402"/>
      <c r="AQ7" s="402"/>
      <c r="AR7" s="402"/>
      <c r="AS7" s="402"/>
      <c r="AT7" s="403"/>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row>
    <row r="8" spans="1:91" ht="15" customHeight="1" x14ac:dyDescent="0.3">
      <c r="A8" s="75"/>
      <c r="B8" s="296"/>
      <c r="C8" s="296"/>
      <c r="D8" s="297"/>
      <c r="E8" s="395"/>
      <c r="F8" s="394"/>
      <c r="G8" s="394"/>
      <c r="H8" s="394"/>
      <c r="I8" s="410"/>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5"/>
      <c r="AO8" s="401"/>
      <c r="AP8" s="402"/>
      <c r="AQ8" s="402"/>
      <c r="AR8" s="402"/>
      <c r="AS8" s="402"/>
      <c r="AT8" s="403"/>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row>
    <row r="9" spans="1:91" ht="15" customHeight="1" x14ac:dyDescent="0.3">
      <c r="A9" s="75"/>
      <c r="B9" s="296"/>
      <c r="C9" s="296"/>
      <c r="D9" s="297"/>
      <c r="E9" s="395"/>
      <c r="F9" s="394"/>
      <c r="G9" s="394"/>
      <c r="H9" s="394"/>
      <c r="I9" s="410"/>
      <c r="J9" s="44" t="e">
        <f>IF(AND('Mapa final'!#REF!="Muy Alta",'Mapa final'!#REF!="Leve"),CONCATENATE("R4C",'Mapa final'!#REF!),"")</f>
        <v>#REF!</v>
      </c>
      <c r="K9" s="45" t="e">
        <f>IF(AND('Mapa final'!#REF!="Muy Alta",'Mapa final'!#REF!="Leve"),CONCATENATE("R4C",'Mapa final'!#REF!),"")</f>
        <v>#REF!</v>
      </c>
      <c r="L9" s="45" t="e">
        <f>IF(AND('Mapa final'!#REF!="Muy Alta",'Mapa final'!#REF!="Leve"),CONCATENATE("R4C",'Mapa final'!#REF!),"")</f>
        <v>#REF!</v>
      </c>
      <c r="M9" s="45" t="e">
        <f>IF(AND('Mapa final'!#REF!="Muy Alta",'Mapa final'!#REF!="Leve"),CONCATENATE("R4C",'Mapa final'!#REF!),"")</f>
        <v>#REF!</v>
      </c>
      <c r="N9" s="45"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45" t="e">
        <f>IF(AND('Mapa final'!#REF!="Muy Alta",'Mapa final'!#REF!="Menor"),CONCATENATE("R4C",'Mapa final'!#REF!),"")</f>
        <v>#REF!</v>
      </c>
      <c r="S9" s="45" t="e">
        <f>IF(AND('Mapa final'!#REF!="Muy Alta",'Mapa final'!#REF!="Menor"),CONCATENATE("R4C",'Mapa final'!#REF!),"")</f>
        <v>#REF!</v>
      </c>
      <c r="T9" s="45"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45" t="e">
        <f>IF(AND('Mapa final'!#REF!="Muy Alta",'Mapa final'!#REF!="Moderado"),CONCATENATE("R4C",'Mapa final'!#REF!),"")</f>
        <v>#REF!</v>
      </c>
      <c r="Y9" s="45" t="e">
        <f>IF(AND('Mapa final'!#REF!="Muy Alta",'Mapa final'!#REF!="Moderado"),CONCATENATE("R4C",'Mapa final'!#REF!),"")</f>
        <v>#REF!</v>
      </c>
      <c r="Z9" s="45"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45" t="e">
        <f>IF(AND('Mapa final'!#REF!="Muy Alta",'Mapa final'!#REF!="Mayor"),CONCATENATE("R4C",'Mapa final'!#REF!),"")</f>
        <v>#REF!</v>
      </c>
      <c r="AE9" s="45" t="e">
        <f>IF(AND('Mapa final'!#REF!="Muy Alta",'Mapa final'!#REF!="Mayor"),CONCATENATE("R4C",'Mapa final'!#REF!),"")</f>
        <v>#REF!</v>
      </c>
      <c r="AF9" s="45"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5"/>
      <c r="AO9" s="401"/>
      <c r="AP9" s="402"/>
      <c r="AQ9" s="402"/>
      <c r="AR9" s="402"/>
      <c r="AS9" s="402"/>
      <c r="AT9" s="403"/>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row>
    <row r="10" spans="1:91" ht="15" customHeight="1" x14ac:dyDescent="0.3">
      <c r="A10" s="75"/>
      <c r="B10" s="296"/>
      <c r="C10" s="296"/>
      <c r="D10" s="297"/>
      <c r="E10" s="395"/>
      <c r="F10" s="394"/>
      <c r="G10" s="394"/>
      <c r="H10" s="394"/>
      <c r="I10" s="410"/>
      <c r="J10" s="44" t="e">
        <f>IF(AND('Mapa final'!#REF!="Muy Alta",'Mapa final'!#REF!="Leve"),CONCATENATE("R5C",'Mapa final'!#REF!),"")</f>
        <v>#REF!</v>
      </c>
      <c r="K10" s="45" t="e">
        <f>IF(AND('Mapa final'!#REF!="Muy Alta",'Mapa final'!#REF!="Leve"),CONCATENATE("R5C",'Mapa final'!#REF!),"")</f>
        <v>#REF!</v>
      </c>
      <c r="L10" s="45" t="e">
        <f>IF(AND('Mapa final'!#REF!="Muy Alta",'Mapa final'!#REF!="Leve"),CONCATENATE("R5C",'Mapa final'!#REF!),"")</f>
        <v>#REF!</v>
      </c>
      <c r="M10" s="45" t="e">
        <f>IF(AND('Mapa final'!#REF!="Muy Alta",'Mapa final'!#REF!="Leve"),CONCATENATE("R5C",'Mapa final'!#REF!),"")</f>
        <v>#REF!</v>
      </c>
      <c r="N10" s="45"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45" t="e">
        <f>IF(AND('Mapa final'!#REF!="Muy Alta",'Mapa final'!#REF!="Menor"),CONCATENATE("R5C",'Mapa final'!#REF!),"")</f>
        <v>#REF!</v>
      </c>
      <c r="S10" s="45" t="e">
        <f>IF(AND('Mapa final'!#REF!="Muy Alta",'Mapa final'!#REF!="Menor"),CONCATENATE("R5C",'Mapa final'!#REF!),"")</f>
        <v>#REF!</v>
      </c>
      <c r="T10" s="45"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45" t="e">
        <f>IF(AND('Mapa final'!#REF!="Muy Alta",'Mapa final'!#REF!="Moderado"),CONCATENATE("R5C",'Mapa final'!#REF!),"")</f>
        <v>#REF!</v>
      </c>
      <c r="Y10" s="45" t="e">
        <f>IF(AND('Mapa final'!#REF!="Muy Alta",'Mapa final'!#REF!="Moderado"),CONCATENATE("R5C",'Mapa final'!#REF!),"")</f>
        <v>#REF!</v>
      </c>
      <c r="Z10" s="45"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45" t="e">
        <f>IF(AND('Mapa final'!#REF!="Muy Alta",'Mapa final'!#REF!="Mayor"),CONCATENATE("R5C",'Mapa final'!#REF!),"")</f>
        <v>#REF!</v>
      </c>
      <c r="AE10" s="45" t="e">
        <f>IF(AND('Mapa final'!#REF!="Muy Alta",'Mapa final'!#REF!="Mayor"),CONCATENATE("R5C",'Mapa final'!#REF!),"")</f>
        <v>#REF!</v>
      </c>
      <c r="AF10" s="45"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5"/>
      <c r="AO10" s="401"/>
      <c r="AP10" s="402"/>
      <c r="AQ10" s="402"/>
      <c r="AR10" s="402"/>
      <c r="AS10" s="402"/>
      <c r="AT10" s="403"/>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row>
    <row r="11" spans="1:91" ht="15" customHeight="1" x14ac:dyDescent="0.3">
      <c r="A11" s="75"/>
      <c r="B11" s="296"/>
      <c r="C11" s="296"/>
      <c r="D11" s="297"/>
      <c r="E11" s="395"/>
      <c r="F11" s="394"/>
      <c r="G11" s="394"/>
      <c r="H11" s="394"/>
      <c r="I11" s="410"/>
      <c r="J11" s="44" t="e">
        <f>IF(AND('Mapa final'!#REF!="Muy Alta",'Mapa final'!#REF!="Leve"),CONCATENATE("R6C",'Mapa final'!#REF!),"")</f>
        <v>#REF!</v>
      </c>
      <c r="K11" s="45" t="e">
        <f>IF(AND('Mapa final'!#REF!="Muy Alta",'Mapa final'!#REF!="Leve"),CONCATENATE("R6C",'Mapa final'!#REF!),"")</f>
        <v>#REF!</v>
      </c>
      <c r="L11" s="45" t="e">
        <f>IF(AND('Mapa final'!#REF!="Muy Alta",'Mapa final'!#REF!="Leve"),CONCATENATE("R6C",'Mapa final'!#REF!),"")</f>
        <v>#REF!</v>
      </c>
      <c r="M11" s="45" t="e">
        <f>IF(AND('Mapa final'!#REF!="Muy Alta",'Mapa final'!#REF!="Leve"),CONCATENATE("R6C",'Mapa final'!#REF!),"")</f>
        <v>#REF!</v>
      </c>
      <c r="N11" s="45"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45" t="e">
        <f>IF(AND('Mapa final'!#REF!="Muy Alta",'Mapa final'!#REF!="Menor"),CONCATENATE("R6C",'Mapa final'!#REF!),"")</f>
        <v>#REF!</v>
      </c>
      <c r="S11" s="45" t="e">
        <f>IF(AND('Mapa final'!#REF!="Muy Alta",'Mapa final'!#REF!="Menor"),CONCATENATE("R6C",'Mapa final'!#REF!),"")</f>
        <v>#REF!</v>
      </c>
      <c r="T11" s="45"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45" t="e">
        <f>IF(AND('Mapa final'!#REF!="Muy Alta",'Mapa final'!#REF!="Moderado"),CONCATENATE("R6C",'Mapa final'!#REF!),"")</f>
        <v>#REF!</v>
      </c>
      <c r="Y11" s="45" t="e">
        <f>IF(AND('Mapa final'!#REF!="Muy Alta",'Mapa final'!#REF!="Moderado"),CONCATENATE("R6C",'Mapa final'!#REF!),"")</f>
        <v>#REF!</v>
      </c>
      <c r="Z11" s="45"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45" t="e">
        <f>IF(AND('Mapa final'!#REF!="Muy Alta",'Mapa final'!#REF!="Mayor"),CONCATENATE("R6C",'Mapa final'!#REF!),"")</f>
        <v>#REF!</v>
      </c>
      <c r="AE11" s="45" t="e">
        <f>IF(AND('Mapa final'!#REF!="Muy Alta",'Mapa final'!#REF!="Mayor"),CONCATENATE("R6C",'Mapa final'!#REF!),"")</f>
        <v>#REF!</v>
      </c>
      <c r="AF11" s="45"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5"/>
      <c r="AO11" s="401"/>
      <c r="AP11" s="402"/>
      <c r="AQ11" s="402"/>
      <c r="AR11" s="402"/>
      <c r="AS11" s="402"/>
      <c r="AT11" s="403"/>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row>
    <row r="12" spans="1:91" ht="15" customHeight="1" x14ac:dyDescent="0.3">
      <c r="A12" s="75"/>
      <c r="B12" s="296"/>
      <c r="C12" s="296"/>
      <c r="D12" s="297"/>
      <c r="E12" s="395"/>
      <c r="F12" s="394"/>
      <c r="G12" s="394"/>
      <c r="H12" s="394"/>
      <c r="I12" s="410"/>
      <c r="J12" s="44" t="e">
        <f>IF(AND('Mapa final'!#REF!="Muy Alta",'Mapa final'!#REF!="Leve"),CONCATENATE("R7C",'Mapa final'!#REF!),"")</f>
        <v>#REF!</v>
      </c>
      <c r="K12" s="45" t="e">
        <f>IF(AND('Mapa final'!#REF!="Muy Alta",'Mapa final'!#REF!="Leve"),CONCATENATE("R7C",'Mapa final'!#REF!),"")</f>
        <v>#REF!</v>
      </c>
      <c r="L12" s="45" t="e">
        <f>IF(AND('Mapa final'!#REF!="Muy Alta",'Mapa final'!#REF!="Leve"),CONCATENATE("R7C",'Mapa final'!#REF!),"")</f>
        <v>#REF!</v>
      </c>
      <c r="M12" s="45" t="e">
        <f>IF(AND('Mapa final'!#REF!="Muy Alta",'Mapa final'!#REF!="Leve"),CONCATENATE("R7C",'Mapa final'!#REF!),"")</f>
        <v>#REF!</v>
      </c>
      <c r="N12" s="45"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45" t="e">
        <f>IF(AND('Mapa final'!#REF!="Muy Alta",'Mapa final'!#REF!="Menor"),CONCATENATE("R7C",'Mapa final'!#REF!),"")</f>
        <v>#REF!</v>
      </c>
      <c r="S12" s="45" t="e">
        <f>IF(AND('Mapa final'!#REF!="Muy Alta",'Mapa final'!#REF!="Menor"),CONCATENATE("R7C",'Mapa final'!#REF!),"")</f>
        <v>#REF!</v>
      </c>
      <c r="T12" s="45"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45" t="e">
        <f>IF(AND('Mapa final'!#REF!="Muy Alta",'Mapa final'!#REF!="Moderado"),CONCATENATE("R7C",'Mapa final'!#REF!),"")</f>
        <v>#REF!</v>
      </c>
      <c r="Y12" s="45" t="e">
        <f>IF(AND('Mapa final'!#REF!="Muy Alta",'Mapa final'!#REF!="Moderado"),CONCATENATE("R7C",'Mapa final'!#REF!),"")</f>
        <v>#REF!</v>
      </c>
      <c r="Z12" s="45"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45" t="e">
        <f>IF(AND('Mapa final'!#REF!="Muy Alta",'Mapa final'!#REF!="Mayor"),CONCATENATE("R7C",'Mapa final'!#REF!),"")</f>
        <v>#REF!</v>
      </c>
      <c r="AE12" s="45" t="e">
        <f>IF(AND('Mapa final'!#REF!="Muy Alta",'Mapa final'!#REF!="Mayor"),CONCATENATE("R7C",'Mapa final'!#REF!),"")</f>
        <v>#REF!</v>
      </c>
      <c r="AF12" s="45"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5"/>
      <c r="AO12" s="401"/>
      <c r="AP12" s="402"/>
      <c r="AQ12" s="402"/>
      <c r="AR12" s="402"/>
      <c r="AS12" s="402"/>
      <c r="AT12" s="403"/>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row>
    <row r="13" spans="1:91" ht="15" customHeight="1" x14ac:dyDescent="0.3">
      <c r="A13" s="75"/>
      <c r="B13" s="296"/>
      <c r="C13" s="296"/>
      <c r="D13" s="297"/>
      <c r="E13" s="395"/>
      <c r="F13" s="394"/>
      <c r="G13" s="394"/>
      <c r="H13" s="394"/>
      <c r="I13" s="410"/>
      <c r="J13" s="44" t="e">
        <f>IF(AND('Mapa final'!#REF!="Muy Alta",'Mapa final'!#REF!="Leve"),CONCATENATE("R8C",'Mapa final'!#REF!),"")</f>
        <v>#REF!</v>
      </c>
      <c r="K13" s="45" t="e">
        <f>IF(AND('Mapa final'!#REF!="Muy Alta",'Mapa final'!#REF!="Leve"),CONCATENATE("R8C",'Mapa final'!#REF!),"")</f>
        <v>#REF!</v>
      </c>
      <c r="L13" s="45" t="e">
        <f>IF(AND('Mapa final'!#REF!="Muy Alta",'Mapa final'!#REF!="Leve"),CONCATENATE("R8C",'Mapa final'!#REF!),"")</f>
        <v>#REF!</v>
      </c>
      <c r="M13" s="45" t="e">
        <f>IF(AND('Mapa final'!#REF!="Muy Alta",'Mapa final'!#REF!="Leve"),CONCATENATE("R8C",'Mapa final'!#REF!),"")</f>
        <v>#REF!</v>
      </c>
      <c r="N13" s="45"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45" t="e">
        <f>IF(AND('Mapa final'!#REF!="Muy Alta",'Mapa final'!#REF!="Menor"),CONCATENATE("R8C",'Mapa final'!#REF!),"")</f>
        <v>#REF!</v>
      </c>
      <c r="S13" s="45" t="e">
        <f>IF(AND('Mapa final'!#REF!="Muy Alta",'Mapa final'!#REF!="Menor"),CONCATENATE("R8C",'Mapa final'!#REF!),"")</f>
        <v>#REF!</v>
      </c>
      <c r="T13" s="45"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45" t="e">
        <f>IF(AND('Mapa final'!#REF!="Muy Alta",'Mapa final'!#REF!="Moderado"),CONCATENATE("R8C",'Mapa final'!#REF!),"")</f>
        <v>#REF!</v>
      </c>
      <c r="Y13" s="45" t="e">
        <f>IF(AND('Mapa final'!#REF!="Muy Alta",'Mapa final'!#REF!="Moderado"),CONCATENATE("R8C",'Mapa final'!#REF!),"")</f>
        <v>#REF!</v>
      </c>
      <c r="Z13" s="45"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45" t="e">
        <f>IF(AND('Mapa final'!#REF!="Muy Alta",'Mapa final'!#REF!="Mayor"),CONCATENATE("R8C",'Mapa final'!#REF!),"")</f>
        <v>#REF!</v>
      </c>
      <c r="AE13" s="45" t="e">
        <f>IF(AND('Mapa final'!#REF!="Muy Alta",'Mapa final'!#REF!="Mayor"),CONCATENATE("R8C",'Mapa final'!#REF!),"")</f>
        <v>#REF!</v>
      </c>
      <c r="AF13" s="45"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5"/>
      <c r="AO13" s="401"/>
      <c r="AP13" s="402"/>
      <c r="AQ13" s="402"/>
      <c r="AR13" s="402"/>
      <c r="AS13" s="402"/>
      <c r="AT13" s="403"/>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row>
    <row r="14" spans="1:91" ht="15" customHeight="1" x14ac:dyDescent="0.3">
      <c r="A14" s="75"/>
      <c r="B14" s="296"/>
      <c r="C14" s="296"/>
      <c r="D14" s="297"/>
      <c r="E14" s="395"/>
      <c r="F14" s="394"/>
      <c r="G14" s="394"/>
      <c r="H14" s="394"/>
      <c r="I14" s="410"/>
      <c r="J14" s="44" t="e">
        <f>IF(AND('Mapa final'!#REF!="Muy Alta",'Mapa final'!#REF!="Leve"),CONCATENATE("R9C",'Mapa final'!#REF!),"")</f>
        <v>#REF!</v>
      </c>
      <c r="K14" s="45" t="e">
        <f>IF(AND('Mapa final'!#REF!="Muy Alta",'Mapa final'!#REF!="Leve"),CONCATENATE("R9C",'Mapa final'!#REF!),"")</f>
        <v>#REF!</v>
      </c>
      <c r="L14" s="45" t="e">
        <f>IF(AND('Mapa final'!#REF!="Muy Alta",'Mapa final'!#REF!="Leve"),CONCATENATE("R9C",'Mapa final'!#REF!),"")</f>
        <v>#REF!</v>
      </c>
      <c r="M14" s="45" t="e">
        <f>IF(AND('Mapa final'!#REF!="Muy Alta",'Mapa final'!#REF!="Leve"),CONCATENATE("R9C",'Mapa final'!#REF!),"")</f>
        <v>#REF!</v>
      </c>
      <c r="N14" s="45"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45" t="e">
        <f>IF(AND('Mapa final'!#REF!="Muy Alta",'Mapa final'!#REF!="Menor"),CONCATENATE("R9C",'Mapa final'!#REF!),"")</f>
        <v>#REF!</v>
      </c>
      <c r="S14" s="45" t="e">
        <f>IF(AND('Mapa final'!#REF!="Muy Alta",'Mapa final'!#REF!="Menor"),CONCATENATE("R9C",'Mapa final'!#REF!),"")</f>
        <v>#REF!</v>
      </c>
      <c r="T14" s="45"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45" t="e">
        <f>IF(AND('Mapa final'!#REF!="Muy Alta",'Mapa final'!#REF!="Moderado"),CONCATENATE("R9C",'Mapa final'!#REF!),"")</f>
        <v>#REF!</v>
      </c>
      <c r="Y14" s="45" t="e">
        <f>IF(AND('Mapa final'!#REF!="Muy Alta",'Mapa final'!#REF!="Moderado"),CONCATENATE("R9C",'Mapa final'!#REF!),"")</f>
        <v>#REF!</v>
      </c>
      <c r="Z14" s="45"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45" t="e">
        <f>IF(AND('Mapa final'!#REF!="Muy Alta",'Mapa final'!#REF!="Mayor"),CONCATENATE("R9C",'Mapa final'!#REF!),"")</f>
        <v>#REF!</v>
      </c>
      <c r="AE14" s="45" t="e">
        <f>IF(AND('Mapa final'!#REF!="Muy Alta",'Mapa final'!#REF!="Mayor"),CONCATENATE("R9C",'Mapa final'!#REF!),"")</f>
        <v>#REF!</v>
      </c>
      <c r="AF14" s="45"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5"/>
      <c r="AO14" s="401"/>
      <c r="AP14" s="402"/>
      <c r="AQ14" s="402"/>
      <c r="AR14" s="402"/>
      <c r="AS14" s="402"/>
      <c r="AT14" s="403"/>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row>
    <row r="15" spans="1:91" ht="15.75" customHeight="1" thickBot="1" x14ac:dyDescent="0.35">
      <c r="A15" s="75"/>
      <c r="B15" s="296"/>
      <c r="C15" s="296"/>
      <c r="D15" s="297"/>
      <c r="E15" s="396"/>
      <c r="F15" s="397"/>
      <c r="G15" s="397"/>
      <c r="H15" s="397"/>
      <c r="I15" s="411"/>
      <c r="J15" s="50" t="e">
        <f>IF(AND('Mapa final'!#REF!="Muy Alta",'Mapa final'!#REF!="Leve"),CONCATENATE("R10C",'Mapa final'!#REF!),"")</f>
        <v>#REF!</v>
      </c>
      <c r="K15" s="51" t="e">
        <f>IF(AND('Mapa final'!#REF!="Muy Alta",'Mapa final'!#REF!="Leve"),CONCATENATE("R10C",'Mapa final'!#REF!),"")</f>
        <v>#REF!</v>
      </c>
      <c r="L15" s="51" t="e">
        <f>IF(AND('Mapa final'!#REF!="Muy Alta",'Mapa final'!#REF!="Leve"),CONCATENATE("R10C",'Mapa final'!#REF!),"")</f>
        <v>#REF!</v>
      </c>
      <c r="M15" s="51" t="e">
        <f>IF(AND('Mapa final'!#REF!="Muy Alta",'Mapa final'!#REF!="Leve"),CONCATENATE("R10C",'Mapa final'!#REF!),"")</f>
        <v>#REF!</v>
      </c>
      <c r="N15" s="51" t="e">
        <f>IF(AND('Mapa final'!#REF!="Muy Alta",'Mapa final'!#REF!="Leve"),CONCATENATE("R10C",'Mapa final'!#REF!),"")</f>
        <v>#REF!</v>
      </c>
      <c r="O15" s="52"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0" t="e">
        <f>IF(AND('Mapa final'!#REF!="Muy Alta",'Mapa final'!#REF!="Moderado"),CONCATENATE("R10C",'Mapa final'!#REF!),"")</f>
        <v>#REF!</v>
      </c>
      <c r="W15" s="51" t="e">
        <f>IF(AND('Mapa final'!#REF!="Muy Alta",'Mapa final'!#REF!="Moderado"),CONCATENATE("R10C",'Mapa final'!#REF!),"")</f>
        <v>#REF!</v>
      </c>
      <c r="X15" s="51" t="e">
        <f>IF(AND('Mapa final'!#REF!="Muy Alta",'Mapa final'!#REF!="Moderado"),CONCATENATE("R10C",'Mapa final'!#REF!),"")</f>
        <v>#REF!</v>
      </c>
      <c r="Y15" s="51" t="e">
        <f>IF(AND('Mapa final'!#REF!="Muy Alta",'Mapa final'!#REF!="Moderado"),CONCATENATE("R10C",'Mapa final'!#REF!),"")</f>
        <v>#REF!</v>
      </c>
      <c r="Z15" s="51" t="e">
        <f>IF(AND('Mapa final'!#REF!="Muy Alta",'Mapa final'!#REF!="Moderado"),CONCATENATE("R10C",'Mapa final'!#REF!),"")</f>
        <v>#REF!</v>
      </c>
      <c r="AA15" s="52"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3" t="e">
        <f>IF(AND('Mapa final'!#REF!="Muy Alta",'Mapa final'!#REF!="Catastrófico"),CONCATENATE("R10C",'Mapa final'!#REF!),"")</f>
        <v>#REF!</v>
      </c>
      <c r="AI15" s="54" t="e">
        <f>IF(AND('Mapa final'!#REF!="Muy Alta",'Mapa final'!#REF!="Catastrófico"),CONCATENATE("R10C",'Mapa final'!#REF!),"")</f>
        <v>#REF!</v>
      </c>
      <c r="AJ15" s="54" t="e">
        <f>IF(AND('Mapa final'!#REF!="Muy Alta",'Mapa final'!#REF!="Catastrófico"),CONCATENATE("R10C",'Mapa final'!#REF!),"")</f>
        <v>#REF!</v>
      </c>
      <c r="AK15" s="54" t="e">
        <f>IF(AND('Mapa final'!#REF!="Muy Alta",'Mapa final'!#REF!="Catastrófico"),CONCATENATE("R10C",'Mapa final'!#REF!),"")</f>
        <v>#REF!</v>
      </c>
      <c r="AL15" s="54" t="e">
        <f>IF(AND('Mapa final'!#REF!="Muy Alta",'Mapa final'!#REF!="Catastrófico"),CONCATENATE("R10C",'Mapa final'!#REF!),"")</f>
        <v>#REF!</v>
      </c>
      <c r="AM15" s="55" t="e">
        <f>IF(AND('Mapa final'!#REF!="Muy Alta",'Mapa final'!#REF!="Catastrófico"),CONCATENATE("R10C",'Mapa final'!#REF!),"")</f>
        <v>#REF!</v>
      </c>
      <c r="AN15" s="75"/>
      <c r="AO15" s="404"/>
      <c r="AP15" s="405"/>
      <c r="AQ15" s="405"/>
      <c r="AR15" s="405"/>
      <c r="AS15" s="405"/>
      <c r="AT15" s="406"/>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row>
    <row r="16" spans="1:91" ht="15" customHeight="1" x14ac:dyDescent="0.3">
      <c r="A16" s="75"/>
      <c r="B16" s="296"/>
      <c r="C16" s="296"/>
      <c r="D16" s="297"/>
      <c r="E16" s="391" t="s">
        <v>242</v>
      </c>
      <c r="F16" s="392"/>
      <c r="G16" s="392"/>
      <c r="H16" s="392"/>
      <c r="I16" s="392"/>
      <c r="J16" s="56" t="e">
        <f>IF(AND('Mapa final'!#REF!="Alta",'Mapa final'!#REF!="Leve"),CONCATENATE("R1C",'Mapa final'!#REF!),"")</f>
        <v>#REF!</v>
      </c>
      <c r="K16" s="57" t="e">
        <f>IF(AND('Mapa final'!#REF!="Alta",'Mapa final'!#REF!="Leve"),CONCATENATE("R1C",'Mapa final'!#REF!),"")</f>
        <v>#REF!</v>
      </c>
      <c r="L16" s="57" t="e">
        <f>IF(AND('Mapa final'!#REF!="Alta",'Mapa final'!#REF!="Leve"),CONCATENATE("R1C",'Mapa final'!#REF!),"")</f>
        <v>#REF!</v>
      </c>
      <c r="M16" s="57" t="e">
        <f>IF(AND('Mapa final'!#REF!="Alta",'Mapa final'!#REF!="Leve"),CONCATENATE("R1C",'Mapa final'!#REF!),"")</f>
        <v>#REF!</v>
      </c>
      <c r="N16" s="57" t="e">
        <f>IF(AND('Mapa final'!#REF!="Alta",'Mapa final'!#REF!="Leve"),CONCATENATE("R1C",'Mapa final'!#REF!),"")</f>
        <v>#REF!</v>
      </c>
      <c r="O16" s="58" t="e">
        <f>IF(AND('Mapa final'!#REF!="Alta",'Mapa final'!#REF!="Leve"),CONCATENATE("R1C",'Mapa final'!#REF!),"")</f>
        <v>#REF!</v>
      </c>
      <c r="P16" s="56" t="e">
        <f>IF(AND('Mapa final'!#REF!="Alta",'Mapa final'!#REF!="Menor"),CONCATENATE("R1C",'Mapa final'!#REF!),"")</f>
        <v>#REF!</v>
      </c>
      <c r="Q16" s="57" t="e">
        <f>IF(AND('Mapa final'!#REF!="Alta",'Mapa final'!#REF!="Menor"),CONCATENATE("R1C",'Mapa final'!#REF!),"")</f>
        <v>#REF!</v>
      </c>
      <c r="R16" s="57" t="e">
        <f>IF(AND('Mapa final'!#REF!="Alta",'Mapa final'!#REF!="Menor"),CONCATENATE("R1C",'Mapa final'!#REF!),"")</f>
        <v>#REF!</v>
      </c>
      <c r="S16" s="57" t="e">
        <f>IF(AND('Mapa final'!#REF!="Alta",'Mapa final'!#REF!="Menor"),CONCATENATE("R1C",'Mapa final'!#REF!),"")</f>
        <v>#REF!</v>
      </c>
      <c r="T16" s="57" t="e">
        <f>IF(AND('Mapa final'!#REF!="Alta",'Mapa final'!#REF!="Menor"),CONCATENATE("R1C",'Mapa final'!#REF!),"")</f>
        <v>#REF!</v>
      </c>
      <c r="U16" s="58"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5"/>
      <c r="AO16" s="382" t="s">
        <v>142</v>
      </c>
      <c r="AP16" s="383"/>
      <c r="AQ16" s="383"/>
      <c r="AR16" s="383"/>
      <c r="AS16" s="383"/>
      <c r="AT16" s="384"/>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row>
    <row r="17" spans="1:76" ht="15" customHeight="1" x14ac:dyDescent="0.3">
      <c r="A17" s="75"/>
      <c r="B17" s="296"/>
      <c r="C17" s="296"/>
      <c r="D17" s="297"/>
      <c r="E17" s="393"/>
      <c r="F17" s="394"/>
      <c r="G17" s="394"/>
      <c r="H17" s="394"/>
      <c r="I17" s="394"/>
      <c r="J17" s="59" t="str">
        <f>IF(AND('Mapa final'!$AF$13="Alta",'Mapa final'!$AH$13="Leve"),CONCATENATE("R2C",'Mapa final'!$U$13),"")</f>
        <v/>
      </c>
      <c r="K17" s="60" t="str">
        <f>IF(AND('Mapa final'!$AF$24="Alta",'Mapa final'!$AH$24="Leve"),CONCATENATE("R2C",'Mapa final'!$U$24),"")</f>
        <v/>
      </c>
      <c r="L17" s="60" t="e">
        <f>IF(AND('Mapa final'!#REF!="Alta",'Mapa final'!#REF!="Leve"),CONCATENATE("R2C",'Mapa final'!#REF!),"")</f>
        <v>#REF!</v>
      </c>
      <c r="M17" s="60" t="e">
        <f>IF(AND('Mapa final'!#REF!="Alta",'Mapa final'!#REF!="Leve"),CONCATENATE("R2C",'Mapa final'!#REF!),"")</f>
        <v>#REF!</v>
      </c>
      <c r="N17" s="60" t="e">
        <f>IF(AND('Mapa final'!#REF!="Alta",'Mapa final'!#REF!="Leve"),CONCATENATE("R2C",'Mapa final'!#REF!),"")</f>
        <v>#REF!</v>
      </c>
      <c r="O17" s="61" t="e">
        <f>IF(AND('Mapa final'!#REF!="Alta",'Mapa final'!#REF!="Leve"),CONCATENATE("R2C",'Mapa final'!#REF!),"")</f>
        <v>#REF!</v>
      </c>
      <c r="P17" s="59" t="str">
        <f>IF(AND('Mapa final'!$AF$13="Alta",'Mapa final'!$AH$13="Menor"),CONCATENATE("R2C",'Mapa final'!$U$13),"")</f>
        <v/>
      </c>
      <c r="Q17" s="60" t="str">
        <f>IF(AND('Mapa final'!$AF$24="Alta",'Mapa final'!$AH$24="Menor"),CONCATENATE("R2C",'Mapa final'!$U$24),"")</f>
        <v/>
      </c>
      <c r="R17" s="60" t="e">
        <f>IF(AND('Mapa final'!#REF!="Alta",'Mapa final'!#REF!="Menor"),CONCATENATE("R2C",'Mapa final'!#REF!),"")</f>
        <v>#REF!</v>
      </c>
      <c r="S17" s="60" t="e">
        <f>IF(AND('Mapa final'!#REF!="Alta",'Mapa final'!#REF!="Menor"),CONCATENATE("R2C",'Mapa final'!#REF!),"")</f>
        <v>#REF!</v>
      </c>
      <c r="T17" s="60" t="e">
        <f>IF(AND('Mapa final'!#REF!="Alta",'Mapa final'!#REF!="Menor"),CONCATENATE("R2C",'Mapa final'!#REF!),"")</f>
        <v>#REF!</v>
      </c>
      <c r="U17" s="61" t="e">
        <f>IF(AND('Mapa final'!#REF!="Alta",'Mapa final'!#REF!="Menor"),CONCATENATE("R2C",'Mapa final'!#REF!),"")</f>
        <v>#REF!</v>
      </c>
      <c r="V17" s="44" t="str">
        <f>IF(AND('Mapa final'!$AF$13="Alta",'Mapa final'!$AH$13="Moderado"),CONCATENATE("R2C",'Mapa final'!$U$13),"")</f>
        <v/>
      </c>
      <c r="W17" s="45" t="str">
        <f>IF(AND('Mapa final'!$AF$24="Alta",'Mapa final'!$AH$24="Moderado"),CONCATENATE("R2C",'Mapa final'!$U$24),"")</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final'!$AF$13="Alta",'Mapa final'!$AH$13="Mayor"),CONCATENATE("R2C",'Mapa final'!$U$13),"")</f>
        <v/>
      </c>
      <c r="AC17" s="45" t="str">
        <f>IF(AND('Mapa final'!$AF$24="Alta",'Mapa final'!$AH$24="Mayor"),CONCATENATE("R2C",'Mapa final'!$U$24),"")</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final'!$AF$13="Alta",'Mapa final'!$AH$13="Catastrófico"),CONCATENATE("R2C",'Mapa final'!$U$13),"")</f>
        <v/>
      </c>
      <c r="AI17" s="48" t="str">
        <f>IF(AND('Mapa final'!$AF$24="Alta",'Mapa final'!$AH$24="Catastrófico"),CONCATENATE("R2C",'Mapa final'!$U$24),"")</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5"/>
      <c r="AO17" s="385"/>
      <c r="AP17" s="386"/>
      <c r="AQ17" s="386"/>
      <c r="AR17" s="386"/>
      <c r="AS17" s="386"/>
      <c r="AT17" s="387"/>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row>
    <row r="18" spans="1:76" ht="15" customHeight="1" x14ac:dyDescent="0.3">
      <c r="A18" s="75"/>
      <c r="B18" s="296"/>
      <c r="C18" s="296"/>
      <c r="D18" s="297"/>
      <c r="E18" s="395"/>
      <c r="F18" s="394"/>
      <c r="G18" s="394"/>
      <c r="H18" s="394"/>
      <c r="I18" s="394"/>
      <c r="J18" s="59" t="e">
        <f>IF(AND('Mapa final'!#REF!="Alta",'Mapa final'!#REF!="Leve"),CONCATENATE("R3C",'Mapa final'!#REF!),"")</f>
        <v>#REF!</v>
      </c>
      <c r="K18" s="60" t="e">
        <f>IF(AND('Mapa final'!#REF!="Alta",'Mapa final'!#REF!="Leve"),CONCATENATE("R3C",'Mapa final'!#REF!),"")</f>
        <v>#REF!</v>
      </c>
      <c r="L18" s="60" t="e">
        <f>IF(AND('Mapa final'!#REF!="Alta",'Mapa final'!#REF!="Leve"),CONCATENATE("R3C",'Mapa final'!#REF!),"")</f>
        <v>#REF!</v>
      </c>
      <c r="M18" s="60" t="e">
        <f>IF(AND('Mapa final'!#REF!="Alta",'Mapa final'!#REF!="Leve"),CONCATENATE("R3C",'Mapa final'!#REF!),"")</f>
        <v>#REF!</v>
      </c>
      <c r="N18" s="60" t="e">
        <f>IF(AND('Mapa final'!#REF!="Alta",'Mapa final'!#REF!="Leve"),CONCATENATE("R3C",'Mapa final'!#REF!),"")</f>
        <v>#REF!</v>
      </c>
      <c r="O18" s="61" t="e">
        <f>IF(AND('Mapa final'!#REF!="Alta",'Mapa final'!#REF!="Leve"),CONCATENATE("R3C",'Mapa final'!#REF!),"")</f>
        <v>#REF!</v>
      </c>
      <c r="P18" s="59" t="e">
        <f>IF(AND('Mapa final'!#REF!="Alta",'Mapa final'!#REF!="Menor"),CONCATENATE("R3C",'Mapa final'!#REF!),"")</f>
        <v>#REF!</v>
      </c>
      <c r="Q18" s="60" t="e">
        <f>IF(AND('Mapa final'!#REF!="Alta",'Mapa final'!#REF!="Menor"),CONCATENATE("R3C",'Mapa final'!#REF!),"")</f>
        <v>#REF!</v>
      </c>
      <c r="R18" s="60" t="e">
        <f>IF(AND('Mapa final'!#REF!="Alta",'Mapa final'!#REF!="Menor"),CONCATENATE("R3C",'Mapa final'!#REF!),"")</f>
        <v>#REF!</v>
      </c>
      <c r="S18" s="60" t="e">
        <f>IF(AND('Mapa final'!#REF!="Alta",'Mapa final'!#REF!="Menor"),CONCATENATE("R3C",'Mapa final'!#REF!),"")</f>
        <v>#REF!</v>
      </c>
      <c r="T18" s="60" t="e">
        <f>IF(AND('Mapa final'!#REF!="Alta",'Mapa final'!#REF!="Menor"),CONCATENATE("R3C",'Mapa final'!#REF!),"")</f>
        <v>#REF!</v>
      </c>
      <c r="U18" s="61"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5"/>
      <c r="AO18" s="385"/>
      <c r="AP18" s="386"/>
      <c r="AQ18" s="386"/>
      <c r="AR18" s="386"/>
      <c r="AS18" s="386"/>
      <c r="AT18" s="387"/>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row>
    <row r="19" spans="1:76" ht="15" customHeight="1" x14ac:dyDescent="0.3">
      <c r="A19" s="75"/>
      <c r="B19" s="296"/>
      <c r="C19" s="296"/>
      <c r="D19" s="297"/>
      <c r="E19" s="395"/>
      <c r="F19" s="394"/>
      <c r="G19" s="394"/>
      <c r="H19" s="394"/>
      <c r="I19" s="394"/>
      <c r="J19" s="59" t="e">
        <f>IF(AND('Mapa final'!#REF!="Alta",'Mapa final'!#REF!="Leve"),CONCATENATE("R4C",'Mapa final'!#REF!),"")</f>
        <v>#REF!</v>
      </c>
      <c r="K19" s="60" t="e">
        <f>IF(AND('Mapa final'!#REF!="Alta",'Mapa final'!#REF!="Leve"),CONCATENATE("R4C",'Mapa final'!#REF!),"")</f>
        <v>#REF!</v>
      </c>
      <c r="L19" s="60" t="e">
        <f>IF(AND('Mapa final'!#REF!="Alta",'Mapa final'!#REF!="Leve"),CONCATENATE("R4C",'Mapa final'!#REF!),"")</f>
        <v>#REF!</v>
      </c>
      <c r="M19" s="60" t="e">
        <f>IF(AND('Mapa final'!#REF!="Alta",'Mapa final'!#REF!="Leve"),CONCATENATE("R4C",'Mapa final'!#REF!),"")</f>
        <v>#REF!</v>
      </c>
      <c r="N19" s="60" t="e">
        <f>IF(AND('Mapa final'!#REF!="Alta",'Mapa final'!#REF!="Leve"),CONCATENATE("R4C",'Mapa final'!#REF!),"")</f>
        <v>#REF!</v>
      </c>
      <c r="O19" s="61" t="e">
        <f>IF(AND('Mapa final'!#REF!="Alta",'Mapa final'!#REF!="Leve"),CONCATENATE("R4C",'Mapa final'!#REF!),"")</f>
        <v>#REF!</v>
      </c>
      <c r="P19" s="59" t="e">
        <f>IF(AND('Mapa final'!#REF!="Alta",'Mapa final'!#REF!="Menor"),CONCATENATE("R4C",'Mapa final'!#REF!),"")</f>
        <v>#REF!</v>
      </c>
      <c r="Q19" s="60" t="e">
        <f>IF(AND('Mapa final'!#REF!="Alta",'Mapa final'!#REF!="Menor"),CONCATENATE("R4C",'Mapa final'!#REF!),"")</f>
        <v>#REF!</v>
      </c>
      <c r="R19" s="60" t="e">
        <f>IF(AND('Mapa final'!#REF!="Alta",'Mapa final'!#REF!="Menor"),CONCATENATE("R4C",'Mapa final'!#REF!),"")</f>
        <v>#REF!</v>
      </c>
      <c r="S19" s="60" t="e">
        <f>IF(AND('Mapa final'!#REF!="Alta",'Mapa final'!#REF!="Menor"),CONCATENATE("R4C",'Mapa final'!#REF!),"")</f>
        <v>#REF!</v>
      </c>
      <c r="T19" s="60" t="e">
        <f>IF(AND('Mapa final'!#REF!="Alta",'Mapa final'!#REF!="Menor"),CONCATENATE("R4C",'Mapa final'!#REF!),"")</f>
        <v>#REF!</v>
      </c>
      <c r="U19" s="61"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45" t="e">
        <f>IF(AND('Mapa final'!#REF!="Alta",'Mapa final'!#REF!="Moderado"),CONCATENATE("R4C",'Mapa final'!#REF!),"")</f>
        <v>#REF!</v>
      </c>
      <c r="Y19" s="45" t="e">
        <f>IF(AND('Mapa final'!#REF!="Alta",'Mapa final'!#REF!="Moderado"),CONCATENATE("R4C",'Mapa final'!#REF!),"")</f>
        <v>#REF!</v>
      </c>
      <c r="Z19" s="45"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45" t="e">
        <f>IF(AND('Mapa final'!#REF!="Alta",'Mapa final'!#REF!="Mayor"),CONCATENATE("R4C",'Mapa final'!#REF!),"")</f>
        <v>#REF!</v>
      </c>
      <c r="AE19" s="45" t="e">
        <f>IF(AND('Mapa final'!#REF!="Alta",'Mapa final'!#REF!="Mayor"),CONCATENATE("R4C",'Mapa final'!#REF!),"")</f>
        <v>#REF!</v>
      </c>
      <c r="AF19" s="45"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5"/>
      <c r="AO19" s="385"/>
      <c r="AP19" s="386"/>
      <c r="AQ19" s="386"/>
      <c r="AR19" s="386"/>
      <c r="AS19" s="386"/>
      <c r="AT19" s="387"/>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row>
    <row r="20" spans="1:76" ht="15" customHeight="1" x14ac:dyDescent="0.3">
      <c r="A20" s="75"/>
      <c r="B20" s="296"/>
      <c r="C20" s="296"/>
      <c r="D20" s="297"/>
      <c r="E20" s="395"/>
      <c r="F20" s="394"/>
      <c r="G20" s="394"/>
      <c r="H20" s="394"/>
      <c r="I20" s="394"/>
      <c r="J20" s="59" t="e">
        <f>IF(AND('Mapa final'!#REF!="Alta",'Mapa final'!#REF!="Leve"),CONCATENATE("R5C",'Mapa final'!#REF!),"")</f>
        <v>#REF!</v>
      </c>
      <c r="K20" s="60" t="e">
        <f>IF(AND('Mapa final'!#REF!="Alta",'Mapa final'!#REF!="Leve"),CONCATENATE("R5C",'Mapa final'!#REF!),"")</f>
        <v>#REF!</v>
      </c>
      <c r="L20" s="60" t="e">
        <f>IF(AND('Mapa final'!#REF!="Alta",'Mapa final'!#REF!="Leve"),CONCATENATE("R5C",'Mapa final'!#REF!),"")</f>
        <v>#REF!</v>
      </c>
      <c r="M20" s="60" t="e">
        <f>IF(AND('Mapa final'!#REF!="Alta",'Mapa final'!#REF!="Leve"),CONCATENATE("R5C",'Mapa final'!#REF!),"")</f>
        <v>#REF!</v>
      </c>
      <c r="N20" s="60" t="e">
        <f>IF(AND('Mapa final'!#REF!="Alta",'Mapa final'!#REF!="Leve"),CONCATENATE("R5C",'Mapa final'!#REF!),"")</f>
        <v>#REF!</v>
      </c>
      <c r="O20" s="61" t="e">
        <f>IF(AND('Mapa final'!#REF!="Alta",'Mapa final'!#REF!="Leve"),CONCATENATE("R5C",'Mapa final'!#REF!),"")</f>
        <v>#REF!</v>
      </c>
      <c r="P20" s="59" t="e">
        <f>IF(AND('Mapa final'!#REF!="Alta",'Mapa final'!#REF!="Menor"),CONCATENATE("R5C",'Mapa final'!#REF!),"")</f>
        <v>#REF!</v>
      </c>
      <c r="Q20" s="60" t="e">
        <f>IF(AND('Mapa final'!#REF!="Alta",'Mapa final'!#REF!="Menor"),CONCATENATE("R5C",'Mapa final'!#REF!),"")</f>
        <v>#REF!</v>
      </c>
      <c r="R20" s="60" t="e">
        <f>IF(AND('Mapa final'!#REF!="Alta",'Mapa final'!#REF!="Menor"),CONCATENATE("R5C",'Mapa final'!#REF!),"")</f>
        <v>#REF!</v>
      </c>
      <c r="S20" s="60" t="e">
        <f>IF(AND('Mapa final'!#REF!="Alta",'Mapa final'!#REF!="Menor"),CONCATENATE("R5C",'Mapa final'!#REF!),"")</f>
        <v>#REF!</v>
      </c>
      <c r="T20" s="60" t="e">
        <f>IF(AND('Mapa final'!#REF!="Alta",'Mapa final'!#REF!="Menor"),CONCATENATE("R5C",'Mapa final'!#REF!),"")</f>
        <v>#REF!</v>
      </c>
      <c r="U20" s="61"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45" t="e">
        <f>IF(AND('Mapa final'!#REF!="Alta",'Mapa final'!#REF!="Moderado"),CONCATENATE("R5C",'Mapa final'!#REF!),"")</f>
        <v>#REF!</v>
      </c>
      <c r="Y20" s="45" t="e">
        <f>IF(AND('Mapa final'!#REF!="Alta",'Mapa final'!#REF!="Moderado"),CONCATENATE("R5C",'Mapa final'!#REF!),"")</f>
        <v>#REF!</v>
      </c>
      <c r="Z20" s="45"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45" t="e">
        <f>IF(AND('Mapa final'!#REF!="Alta",'Mapa final'!#REF!="Mayor"),CONCATENATE("R5C",'Mapa final'!#REF!),"")</f>
        <v>#REF!</v>
      </c>
      <c r="AE20" s="45" t="e">
        <f>IF(AND('Mapa final'!#REF!="Alta",'Mapa final'!#REF!="Mayor"),CONCATENATE("R5C",'Mapa final'!#REF!),"")</f>
        <v>#REF!</v>
      </c>
      <c r="AF20" s="45"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5"/>
      <c r="AO20" s="385"/>
      <c r="AP20" s="386"/>
      <c r="AQ20" s="386"/>
      <c r="AR20" s="386"/>
      <c r="AS20" s="386"/>
      <c r="AT20" s="387"/>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row>
    <row r="21" spans="1:76" ht="15" customHeight="1" x14ac:dyDescent="0.3">
      <c r="A21" s="75"/>
      <c r="B21" s="296"/>
      <c r="C21" s="296"/>
      <c r="D21" s="297"/>
      <c r="E21" s="395"/>
      <c r="F21" s="394"/>
      <c r="G21" s="394"/>
      <c r="H21" s="394"/>
      <c r="I21" s="394"/>
      <c r="J21" s="59" t="e">
        <f>IF(AND('Mapa final'!#REF!="Alta",'Mapa final'!#REF!="Leve"),CONCATENATE("R6C",'Mapa final'!#REF!),"")</f>
        <v>#REF!</v>
      </c>
      <c r="K21" s="60" t="e">
        <f>IF(AND('Mapa final'!#REF!="Alta",'Mapa final'!#REF!="Leve"),CONCATENATE("R6C",'Mapa final'!#REF!),"")</f>
        <v>#REF!</v>
      </c>
      <c r="L21" s="60" t="e">
        <f>IF(AND('Mapa final'!#REF!="Alta",'Mapa final'!#REF!="Leve"),CONCATENATE("R6C",'Mapa final'!#REF!),"")</f>
        <v>#REF!</v>
      </c>
      <c r="M21" s="60" t="e">
        <f>IF(AND('Mapa final'!#REF!="Alta",'Mapa final'!#REF!="Leve"),CONCATENATE("R6C",'Mapa final'!#REF!),"")</f>
        <v>#REF!</v>
      </c>
      <c r="N21" s="60" t="e">
        <f>IF(AND('Mapa final'!#REF!="Alta",'Mapa final'!#REF!="Leve"),CONCATENATE("R6C",'Mapa final'!#REF!),"")</f>
        <v>#REF!</v>
      </c>
      <c r="O21" s="61" t="e">
        <f>IF(AND('Mapa final'!#REF!="Alta",'Mapa final'!#REF!="Leve"),CONCATENATE("R6C",'Mapa final'!#REF!),"")</f>
        <v>#REF!</v>
      </c>
      <c r="P21" s="59" t="e">
        <f>IF(AND('Mapa final'!#REF!="Alta",'Mapa final'!#REF!="Menor"),CONCATENATE("R6C",'Mapa final'!#REF!),"")</f>
        <v>#REF!</v>
      </c>
      <c r="Q21" s="60" t="e">
        <f>IF(AND('Mapa final'!#REF!="Alta",'Mapa final'!#REF!="Menor"),CONCATENATE("R6C",'Mapa final'!#REF!),"")</f>
        <v>#REF!</v>
      </c>
      <c r="R21" s="60" t="e">
        <f>IF(AND('Mapa final'!#REF!="Alta",'Mapa final'!#REF!="Menor"),CONCATENATE("R6C",'Mapa final'!#REF!),"")</f>
        <v>#REF!</v>
      </c>
      <c r="S21" s="60" t="e">
        <f>IF(AND('Mapa final'!#REF!="Alta",'Mapa final'!#REF!="Menor"),CONCATENATE("R6C",'Mapa final'!#REF!),"")</f>
        <v>#REF!</v>
      </c>
      <c r="T21" s="60" t="e">
        <f>IF(AND('Mapa final'!#REF!="Alta",'Mapa final'!#REF!="Menor"),CONCATENATE("R6C",'Mapa final'!#REF!),"")</f>
        <v>#REF!</v>
      </c>
      <c r="U21" s="61"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45" t="e">
        <f>IF(AND('Mapa final'!#REF!="Alta",'Mapa final'!#REF!="Moderado"),CONCATENATE("R6C",'Mapa final'!#REF!),"")</f>
        <v>#REF!</v>
      </c>
      <c r="Y21" s="45" t="e">
        <f>IF(AND('Mapa final'!#REF!="Alta",'Mapa final'!#REF!="Moderado"),CONCATENATE("R6C",'Mapa final'!#REF!),"")</f>
        <v>#REF!</v>
      </c>
      <c r="Z21" s="45"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45" t="e">
        <f>IF(AND('Mapa final'!#REF!="Alta",'Mapa final'!#REF!="Mayor"),CONCATENATE("R6C",'Mapa final'!#REF!),"")</f>
        <v>#REF!</v>
      </c>
      <c r="AE21" s="45" t="e">
        <f>IF(AND('Mapa final'!#REF!="Alta",'Mapa final'!#REF!="Mayor"),CONCATENATE("R6C",'Mapa final'!#REF!),"")</f>
        <v>#REF!</v>
      </c>
      <c r="AF21" s="45"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5"/>
      <c r="AO21" s="385"/>
      <c r="AP21" s="386"/>
      <c r="AQ21" s="386"/>
      <c r="AR21" s="386"/>
      <c r="AS21" s="386"/>
      <c r="AT21" s="387"/>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row>
    <row r="22" spans="1:76" ht="15" customHeight="1" x14ac:dyDescent="0.3">
      <c r="A22" s="75"/>
      <c r="B22" s="296"/>
      <c r="C22" s="296"/>
      <c r="D22" s="297"/>
      <c r="E22" s="395"/>
      <c r="F22" s="394"/>
      <c r="G22" s="394"/>
      <c r="H22" s="394"/>
      <c r="I22" s="394"/>
      <c r="J22" s="59" t="e">
        <f>IF(AND('Mapa final'!#REF!="Alta",'Mapa final'!#REF!="Leve"),CONCATENATE("R7C",'Mapa final'!#REF!),"")</f>
        <v>#REF!</v>
      </c>
      <c r="K22" s="60" t="e">
        <f>IF(AND('Mapa final'!#REF!="Alta",'Mapa final'!#REF!="Leve"),CONCATENATE("R7C",'Mapa final'!#REF!),"")</f>
        <v>#REF!</v>
      </c>
      <c r="L22" s="60" t="e">
        <f>IF(AND('Mapa final'!#REF!="Alta",'Mapa final'!#REF!="Leve"),CONCATENATE("R7C",'Mapa final'!#REF!),"")</f>
        <v>#REF!</v>
      </c>
      <c r="M22" s="60" t="e">
        <f>IF(AND('Mapa final'!#REF!="Alta",'Mapa final'!#REF!="Leve"),CONCATENATE("R7C",'Mapa final'!#REF!),"")</f>
        <v>#REF!</v>
      </c>
      <c r="N22" s="60" t="e">
        <f>IF(AND('Mapa final'!#REF!="Alta",'Mapa final'!#REF!="Leve"),CONCATENATE("R7C",'Mapa final'!#REF!),"")</f>
        <v>#REF!</v>
      </c>
      <c r="O22" s="61" t="e">
        <f>IF(AND('Mapa final'!#REF!="Alta",'Mapa final'!#REF!="Leve"),CONCATENATE("R7C",'Mapa final'!#REF!),"")</f>
        <v>#REF!</v>
      </c>
      <c r="P22" s="59" t="e">
        <f>IF(AND('Mapa final'!#REF!="Alta",'Mapa final'!#REF!="Menor"),CONCATENATE("R7C",'Mapa final'!#REF!),"")</f>
        <v>#REF!</v>
      </c>
      <c r="Q22" s="60" t="e">
        <f>IF(AND('Mapa final'!#REF!="Alta",'Mapa final'!#REF!="Menor"),CONCATENATE("R7C",'Mapa final'!#REF!),"")</f>
        <v>#REF!</v>
      </c>
      <c r="R22" s="60" t="e">
        <f>IF(AND('Mapa final'!#REF!="Alta",'Mapa final'!#REF!="Menor"),CONCATENATE("R7C",'Mapa final'!#REF!),"")</f>
        <v>#REF!</v>
      </c>
      <c r="S22" s="60" t="e">
        <f>IF(AND('Mapa final'!#REF!="Alta",'Mapa final'!#REF!="Menor"),CONCATENATE("R7C",'Mapa final'!#REF!),"")</f>
        <v>#REF!</v>
      </c>
      <c r="T22" s="60" t="e">
        <f>IF(AND('Mapa final'!#REF!="Alta",'Mapa final'!#REF!="Menor"),CONCATENATE("R7C",'Mapa final'!#REF!),"")</f>
        <v>#REF!</v>
      </c>
      <c r="U22" s="61"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45" t="e">
        <f>IF(AND('Mapa final'!#REF!="Alta",'Mapa final'!#REF!="Moderado"),CONCATENATE("R7C",'Mapa final'!#REF!),"")</f>
        <v>#REF!</v>
      </c>
      <c r="Y22" s="45" t="e">
        <f>IF(AND('Mapa final'!#REF!="Alta",'Mapa final'!#REF!="Moderado"),CONCATENATE("R7C",'Mapa final'!#REF!),"")</f>
        <v>#REF!</v>
      </c>
      <c r="Z22" s="45"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45" t="e">
        <f>IF(AND('Mapa final'!#REF!="Alta",'Mapa final'!#REF!="Mayor"),CONCATENATE("R7C",'Mapa final'!#REF!),"")</f>
        <v>#REF!</v>
      </c>
      <c r="AE22" s="45" t="e">
        <f>IF(AND('Mapa final'!#REF!="Alta",'Mapa final'!#REF!="Mayor"),CONCATENATE("R7C",'Mapa final'!#REF!),"")</f>
        <v>#REF!</v>
      </c>
      <c r="AF22" s="45"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5"/>
      <c r="AO22" s="385"/>
      <c r="AP22" s="386"/>
      <c r="AQ22" s="386"/>
      <c r="AR22" s="386"/>
      <c r="AS22" s="386"/>
      <c r="AT22" s="387"/>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row>
    <row r="23" spans="1:76" ht="15" customHeight="1" x14ac:dyDescent="0.3">
      <c r="A23" s="75"/>
      <c r="B23" s="296"/>
      <c r="C23" s="296"/>
      <c r="D23" s="297"/>
      <c r="E23" s="395"/>
      <c r="F23" s="394"/>
      <c r="G23" s="394"/>
      <c r="H23" s="394"/>
      <c r="I23" s="394"/>
      <c r="J23" s="59" t="e">
        <f>IF(AND('Mapa final'!#REF!="Alta",'Mapa final'!#REF!="Leve"),CONCATENATE("R8C",'Mapa final'!#REF!),"")</f>
        <v>#REF!</v>
      </c>
      <c r="K23" s="60" t="e">
        <f>IF(AND('Mapa final'!#REF!="Alta",'Mapa final'!#REF!="Leve"),CONCATENATE("R8C",'Mapa final'!#REF!),"")</f>
        <v>#REF!</v>
      </c>
      <c r="L23" s="60" t="e">
        <f>IF(AND('Mapa final'!#REF!="Alta",'Mapa final'!#REF!="Leve"),CONCATENATE("R8C",'Mapa final'!#REF!),"")</f>
        <v>#REF!</v>
      </c>
      <c r="M23" s="60" t="e">
        <f>IF(AND('Mapa final'!#REF!="Alta",'Mapa final'!#REF!="Leve"),CONCATENATE("R8C",'Mapa final'!#REF!),"")</f>
        <v>#REF!</v>
      </c>
      <c r="N23" s="60" t="e">
        <f>IF(AND('Mapa final'!#REF!="Alta",'Mapa final'!#REF!="Leve"),CONCATENATE("R8C",'Mapa final'!#REF!),"")</f>
        <v>#REF!</v>
      </c>
      <c r="O23" s="61" t="e">
        <f>IF(AND('Mapa final'!#REF!="Alta",'Mapa final'!#REF!="Leve"),CONCATENATE("R8C",'Mapa final'!#REF!),"")</f>
        <v>#REF!</v>
      </c>
      <c r="P23" s="59" t="e">
        <f>IF(AND('Mapa final'!#REF!="Alta",'Mapa final'!#REF!="Menor"),CONCATENATE("R8C",'Mapa final'!#REF!),"")</f>
        <v>#REF!</v>
      </c>
      <c r="Q23" s="60" t="e">
        <f>IF(AND('Mapa final'!#REF!="Alta",'Mapa final'!#REF!="Menor"),CONCATENATE("R8C",'Mapa final'!#REF!),"")</f>
        <v>#REF!</v>
      </c>
      <c r="R23" s="60" t="e">
        <f>IF(AND('Mapa final'!#REF!="Alta",'Mapa final'!#REF!="Menor"),CONCATENATE("R8C",'Mapa final'!#REF!),"")</f>
        <v>#REF!</v>
      </c>
      <c r="S23" s="60" t="e">
        <f>IF(AND('Mapa final'!#REF!="Alta",'Mapa final'!#REF!="Menor"),CONCATENATE("R8C",'Mapa final'!#REF!),"")</f>
        <v>#REF!</v>
      </c>
      <c r="T23" s="60" t="e">
        <f>IF(AND('Mapa final'!#REF!="Alta",'Mapa final'!#REF!="Menor"),CONCATENATE("R8C",'Mapa final'!#REF!),"")</f>
        <v>#REF!</v>
      </c>
      <c r="U23" s="61"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45" t="e">
        <f>IF(AND('Mapa final'!#REF!="Alta",'Mapa final'!#REF!="Moderado"),CONCATENATE("R8C",'Mapa final'!#REF!),"")</f>
        <v>#REF!</v>
      </c>
      <c r="Y23" s="45" t="e">
        <f>IF(AND('Mapa final'!#REF!="Alta",'Mapa final'!#REF!="Moderado"),CONCATENATE("R8C",'Mapa final'!#REF!),"")</f>
        <v>#REF!</v>
      </c>
      <c r="Z23" s="45"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45" t="e">
        <f>IF(AND('Mapa final'!#REF!="Alta",'Mapa final'!#REF!="Mayor"),CONCATENATE("R8C",'Mapa final'!#REF!),"")</f>
        <v>#REF!</v>
      </c>
      <c r="AE23" s="45" t="e">
        <f>IF(AND('Mapa final'!#REF!="Alta",'Mapa final'!#REF!="Mayor"),CONCATENATE("R8C",'Mapa final'!#REF!),"")</f>
        <v>#REF!</v>
      </c>
      <c r="AF23" s="45"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5"/>
      <c r="AO23" s="385"/>
      <c r="AP23" s="386"/>
      <c r="AQ23" s="386"/>
      <c r="AR23" s="386"/>
      <c r="AS23" s="386"/>
      <c r="AT23" s="387"/>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row>
    <row r="24" spans="1:76" ht="15" customHeight="1" x14ac:dyDescent="0.3">
      <c r="A24" s="75"/>
      <c r="B24" s="296"/>
      <c r="C24" s="296"/>
      <c r="D24" s="297"/>
      <c r="E24" s="395"/>
      <c r="F24" s="394"/>
      <c r="G24" s="394"/>
      <c r="H24" s="394"/>
      <c r="I24" s="394"/>
      <c r="J24" s="59" t="e">
        <f>IF(AND('Mapa final'!#REF!="Alta",'Mapa final'!#REF!="Leve"),CONCATENATE("R9C",'Mapa final'!#REF!),"")</f>
        <v>#REF!</v>
      </c>
      <c r="K24" s="60" t="e">
        <f>IF(AND('Mapa final'!#REF!="Alta",'Mapa final'!#REF!="Leve"),CONCATENATE("R9C",'Mapa final'!#REF!),"")</f>
        <v>#REF!</v>
      </c>
      <c r="L24" s="60" t="e">
        <f>IF(AND('Mapa final'!#REF!="Alta",'Mapa final'!#REF!="Leve"),CONCATENATE("R9C",'Mapa final'!#REF!),"")</f>
        <v>#REF!</v>
      </c>
      <c r="M24" s="60" t="e">
        <f>IF(AND('Mapa final'!#REF!="Alta",'Mapa final'!#REF!="Leve"),CONCATENATE("R9C",'Mapa final'!#REF!),"")</f>
        <v>#REF!</v>
      </c>
      <c r="N24" s="60" t="e">
        <f>IF(AND('Mapa final'!#REF!="Alta",'Mapa final'!#REF!="Leve"),CONCATENATE("R9C",'Mapa final'!#REF!),"")</f>
        <v>#REF!</v>
      </c>
      <c r="O24" s="61" t="e">
        <f>IF(AND('Mapa final'!#REF!="Alta",'Mapa final'!#REF!="Leve"),CONCATENATE("R9C",'Mapa final'!#REF!),"")</f>
        <v>#REF!</v>
      </c>
      <c r="P24" s="59" t="e">
        <f>IF(AND('Mapa final'!#REF!="Alta",'Mapa final'!#REF!="Menor"),CONCATENATE("R9C",'Mapa final'!#REF!),"")</f>
        <v>#REF!</v>
      </c>
      <c r="Q24" s="60" t="e">
        <f>IF(AND('Mapa final'!#REF!="Alta",'Mapa final'!#REF!="Menor"),CONCATENATE("R9C",'Mapa final'!#REF!),"")</f>
        <v>#REF!</v>
      </c>
      <c r="R24" s="60" t="e">
        <f>IF(AND('Mapa final'!#REF!="Alta",'Mapa final'!#REF!="Menor"),CONCATENATE("R9C",'Mapa final'!#REF!),"")</f>
        <v>#REF!</v>
      </c>
      <c r="S24" s="60" t="e">
        <f>IF(AND('Mapa final'!#REF!="Alta",'Mapa final'!#REF!="Menor"),CONCATENATE("R9C",'Mapa final'!#REF!),"")</f>
        <v>#REF!</v>
      </c>
      <c r="T24" s="60" t="e">
        <f>IF(AND('Mapa final'!#REF!="Alta",'Mapa final'!#REF!="Menor"),CONCATENATE("R9C",'Mapa final'!#REF!),"")</f>
        <v>#REF!</v>
      </c>
      <c r="U24" s="61"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45" t="e">
        <f>IF(AND('Mapa final'!#REF!="Alta",'Mapa final'!#REF!="Moderado"),CONCATENATE("R9C",'Mapa final'!#REF!),"")</f>
        <v>#REF!</v>
      </c>
      <c r="Y24" s="45" t="e">
        <f>IF(AND('Mapa final'!#REF!="Alta",'Mapa final'!#REF!="Moderado"),CONCATENATE("R9C",'Mapa final'!#REF!),"")</f>
        <v>#REF!</v>
      </c>
      <c r="Z24" s="45"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45" t="e">
        <f>IF(AND('Mapa final'!#REF!="Alta",'Mapa final'!#REF!="Mayor"),CONCATENATE("R9C",'Mapa final'!#REF!),"")</f>
        <v>#REF!</v>
      </c>
      <c r="AE24" s="45" t="e">
        <f>IF(AND('Mapa final'!#REF!="Alta",'Mapa final'!#REF!="Mayor"),CONCATENATE("R9C",'Mapa final'!#REF!),"")</f>
        <v>#REF!</v>
      </c>
      <c r="AF24" s="45"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5"/>
      <c r="AO24" s="385"/>
      <c r="AP24" s="386"/>
      <c r="AQ24" s="386"/>
      <c r="AR24" s="386"/>
      <c r="AS24" s="386"/>
      <c r="AT24" s="387"/>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row>
    <row r="25" spans="1:76" ht="15.75" customHeight="1" thickBot="1" x14ac:dyDescent="0.35">
      <c r="A25" s="75"/>
      <c r="B25" s="296"/>
      <c r="C25" s="296"/>
      <c r="D25" s="297"/>
      <c r="E25" s="396"/>
      <c r="F25" s="397"/>
      <c r="G25" s="397"/>
      <c r="H25" s="397"/>
      <c r="I25" s="397"/>
      <c r="J25" s="62" t="e">
        <f>IF(AND('Mapa final'!#REF!="Alta",'Mapa final'!#REF!="Leve"),CONCATENATE("R10C",'Mapa final'!#REF!),"")</f>
        <v>#REF!</v>
      </c>
      <c r="K25" s="63" t="e">
        <f>IF(AND('Mapa final'!#REF!="Alta",'Mapa final'!#REF!="Leve"),CONCATENATE("R10C",'Mapa final'!#REF!),"")</f>
        <v>#REF!</v>
      </c>
      <c r="L25" s="63" t="e">
        <f>IF(AND('Mapa final'!#REF!="Alta",'Mapa final'!#REF!="Leve"),CONCATENATE("R10C",'Mapa final'!#REF!),"")</f>
        <v>#REF!</v>
      </c>
      <c r="M25" s="63" t="e">
        <f>IF(AND('Mapa final'!#REF!="Alta",'Mapa final'!#REF!="Leve"),CONCATENATE("R10C",'Mapa final'!#REF!),"")</f>
        <v>#REF!</v>
      </c>
      <c r="N25" s="63" t="e">
        <f>IF(AND('Mapa final'!#REF!="Alta",'Mapa final'!#REF!="Leve"),CONCATENATE("R10C",'Mapa final'!#REF!),"")</f>
        <v>#REF!</v>
      </c>
      <c r="O25" s="64" t="e">
        <f>IF(AND('Mapa final'!#REF!="Alta",'Mapa final'!#REF!="Leve"),CONCATENATE("R10C",'Mapa final'!#REF!),"")</f>
        <v>#REF!</v>
      </c>
      <c r="P25" s="62" t="e">
        <f>IF(AND('Mapa final'!#REF!="Alta",'Mapa final'!#REF!="Menor"),CONCATENATE("R10C",'Mapa final'!#REF!),"")</f>
        <v>#REF!</v>
      </c>
      <c r="Q25" s="63" t="e">
        <f>IF(AND('Mapa final'!#REF!="Alta",'Mapa final'!#REF!="Menor"),CONCATENATE("R10C",'Mapa final'!#REF!),"")</f>
        <v>#REF!</v>
      </c>
      <c r="R25" s="63" t="e">
        <f>IF(AND('Mapa final'!#REF!="Alta",'Mapa final'!#REF!="Menor"),CONCATENATE("R10C",'Mapa final'!#REF!),"")</f>
        <v>#REF!</v>
      </c>
      <c r="S25" s="63" t="e">
        <f>IF(AND('Mapa final'!#REF!="Alta",'Mapa final'!#REF!="Menor"),CONCATENATE("R10C",'Mapa final'!#REF!),"")</f>
        <v>#REF!</v>
      </c>
      <c r="T25" s="63" t="e">
        <f>IF(AND('Mapa final'!#REF!="Alta",'Mapa final'!#REF!="Menor"),CONCATENATE("R10C",'Mapa final'!#REF!),"")</f>
        <v>#REF!</v>
      </c>
      <c r="U25" s="64" t="e">
        <f>IF(AND('Mapa final'!#REF!="Alta",'Mapa final'!#REF!="Menor"),CONCATENATE("R10C",'Mapa final'!#REF!),"")</f>
        <v>#REF!</v>
      </c>
      <c r="V25" s="50" t="e">
        <f>IF(AND('Mapa final'!#REF!="Alta",'Mapa final'!#REF!="Moderado"),CONCATENATE("R10C",'Mapa final'!#REF!),"")</f>
        <v>#REF!</v>
      </c>
      <c r="W25" s="51" t="e">
        <f>IF(AND('Mapa final'!#REF!="Alta",'Mapa final'!#REF!="Moderado"),CONCATENATE("R10C",'Mapa final'!#REF!),"")</f>
        <v>#REF!</v>
      </c>
      <c r="X25" s="51" t="e">
        <f>IF(AND('Mapa final'!#REF!="Alta",'Mapa final'!#REF!="Moderado"),CONCATENATE("R10C",'Mapa final'!#REF!),"")</f>
        <v>#REF!</v>
      </c>
      <c r="Y25" s="51" t="e">
        <f>IF(AND('Mapa final'!#REF!="Alta",'Mapa final'!#REF!="Moderado"),CONCATENATE("R10C",'Mapa final'!#REF!),"")</f>
        <v>#REF!</v>
      </c>
      <c r="Z25" s="51" t="e">
        <f>IF(AND('Mapa final'!#REF!="Alta",'Mapa final'!#REF!="Moderado"),CONCATENATE("R10C",'Mapa final'!#REF!),"")</f>
        <v>#REF!</v>
      </c>
      <c r="AA25" s="52" t="e">
        <f>IF(AND('Mapa final'!#REF!="Alta",'Mapa final'!#REF!="Moderado"),CONCATENATE("R10C",'Mapa final'!#REF!),"")</f>
        <v>#REF!</v>
      </c>
      <c r="AB25" s="50" t="e">
        <f>IF(AND('Mapa final'!#REF!="Alta",'Mapa final'!#REF!="Mayor"),CONCATENATE("R10C",'Mapa final'!#REF!),"")</f>
        <v>#REF!</v>
      </c>
      <c r="AC25" s="51" t="e">
        <f>IF(AND('Mapa final'!#REF!="Alta",'Mapa final'!#REF!="Mayor"),CONCATENATE("R10C",'Mapa final'!#REF!),"")</f>
        <v>#REF!</v>
      </c>
      <c r="AD25" s="51" t="e">
        <f>IF(AND('Mapa final'!#REF!="Alta",'Mapa final'!#REF!="Mayor"),CONCATENATE("R10C",'Mapa final'!#REF!),"")</f>
        <v>#REF!</v>
      </c>
      <c r="AE25" s="51" t="e">
        <f>IF(AND('Mapa final'!#REF!="Alta",'Mapa final'!#REF!="Mayor"),CONCATENATE("R10C",'Mapa final'!#REF!),"")</f>
        <v>#REF!</v>
      </c>
      <c r="AF25" s="51" t="e">
        <f>IF(AND('Mapa final'!#REF!="Alta",'Mapa final'!#REF!="Mayor"),CONCATENATE("R10C",'Mapa final'!#REF!),"")</f>
        <v>#REF!</v>
      </c>
      <c r="AG25" s="52" t="e">
        <f>IF(AND('Mapa final'!#REF!="Alta",'Mapa final'!#REF!="Mayor"),CONCATENATE("R10C",'Mapa final'!#REF!),"")</f>
        <v>#REF!</v>
      </c>
      <c r="AH25" s="53" t="e">
        <f>IF(AND('Mapa final'!#REF!="Alta",'Mapa final'!#REF!="Catastrófico"),CONCATENATE("R10C",'Mapa final'!#REF!),"")</f>
        <v>#REF!</v>
      </c>
      <c r="AI25" s="54" t="e">
        <f>IF(AND('Mapa final'!#REF!="Alta",'Mapa final'!#REF!="Catastrófico"),CONCATENATE("R10C",'Mapa final'!#REF!),"")</f>
        <v>#REF!</v>
      </c>
      <c r="AJ25" s="54" t="e">
        <f>IF(AND('Mapa final'!#REF!="Alta",'Mapa final'!#REF!="Catastrófico"),CONCATENATE("R10C",'Mapa final'!#REF!),"")</f>
        <v>#REF!</v>
      </c>
      <c r="AK25" s="54" t="e">
        <f>IF(AND('Mapa final'!#REF!="Alta",'Mapa final'!#REF!="Catastrófico"),CONCATENATE("R10C",'Mapa final'!#REF!),"")</f>
        <v>#REF!</v>
      </c>
      <c r="AL25" s="54" t="e">
        <f>IF(AND('Mapa final'!#REF!="Alta",'Mapa final'!#REF!="Catastrófico"),CONCATENATE("R10C",'Mapa final'!#REF!),"")</f>
        <v>#REF!</v>
      </c>
      <c r="AM25" s="55" t="e">
        <f>IF(AND('Mapa final'!#REF!="Alta",'Mapa final'!#REF!="Catastrófico"),CONCATENATE("R10C",'Mapa final'!#REF!),"")</f>
        <v>#REF!</v>
      </c>
      <c r="AN25" s="75"/>
      <c r="AO25" s="388"/>
      <c r="AP25" s="389"/>
      <c r="AQ25" s="389"/>
      <c r="AR25" s="389"/>
      <c r="AS25" s="389"/>
      <c r="AT25" s="390"/>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row>
    <row r="26" spans="1:76" ht="15" customHeight="1" x14ac:dyDescent="0.3">
      <c r="A26" s="75"/>
      <c r="B26" s="296"/>
      <c r="C26" s="296"/>
      <c r="D26" s="297"/>
      <c r="E26" s="391" t="s">
        <v>243</v>
      </c>
      <c r="F26" s="392"/>
      <c r="G26" s="392"/>
      <c r="H26" s="392"/>
      <c r="I26" s="409"/>
      <c r="J26" s="56" t="e">
        <f>IF(AND('Mapa final'!#REF!="Media",'Mapa final'!#REF!="Leve"),CONCATENATE("R1C",'Mapa final'!#REF!),"")</f>
        <v>#REF!</v>
      </c>
      <c r="K26" s="57" t="e">
        <f>IF(AND('Mapa final'!#REF!="Media",'Mapa final'!#REF!="Leve"),CONCATENATE("R1C",'Mapa final'!#REF!),"")</f>
        <v>#REF!</v>
      </c>
      <c r="L26" s="57" t="e">
        <f>IF(AND('Mapa final'!#REF!="Media",'Mapa final'!#REF!="Leve"),CONCATENATE("R1C",'Mapa final'!#REF!),"")</f>
        <v>#REF!</v>
      </c>
      <c r="M26" s="57" t="e">
        <f>IF(AND('Mapa final'!#REF!="Media",'Mapa final'!#REF!="Leve"),CONCATENATE("R1C",'Mapa final'!#REF!),"")</f>
        <v>#REF!</v>
      </c>
      <c r="N26" s="57" t="e">
        <f>IF(AND('Mapa final'!#REF!="Media",'Mapa final'!#REF!="Leve"),CONCATENATE("R1C",'Mapa final'!#REF!),"")</f>
        <v>#REF!</v>
      </c>
      <c r="O26" s="58" t="e">
        <f>IF(AND('Mapa final'!#REF!="Media",'Mapa final'!#REF!="Leve"),CONCATENATE("R1C",'Mapa final'!#REF!),"")</f>
        <v>#REF!</v>
      </c>
      <c r="P26" s="56" t="e">
        <f>IF(AND('Mapa final'!#REF!="Media",'Mapa final'!#REF!="Menor"),CONCATENATE("R1C",'Mapa final'!#REF!),"")</f>
        <v>#REF!</v>
      </c>
      <c r="Q26" s="57" t="e">
        <f>IF(AND('Mapa final'!#REF!="Media",'Mapa final'!#REF!="Menor"),CONCATENATE("R1C",'Mapa final'!#REF!),"")</f>
        <v>#REF!</v>
      </c>
      <c r="R26" s="57" t="e">
        <f>IF(AND('Mapa final'!#REF!="Media",'Mapa final'!#REF!="Menor"),CONCATENATE("R1C",'Mapa final'!#REF!),"")</f>
        <v>#REF!</v>
      </c>
      <c r="S26" s="57" t="e">
        <f>IF(AND('Mapa final'!#REF!="Media",'Mapa final'!#REF!="Menor"),CONCATENATE("R1C",'Mapa final'!#REF!),"")</f>
        <v>#REF!</v>
      </c>
      <c r="T26" s="57" t="e">
        <f>IF(AND('Mapa final'!#REF!="Media",'Mapa final'!#REF!="Menor"),CONCATENATE("R1C",'Mapa final'!#REF!),"")</f>
        <v>#REF!</v>
      </c>
      <c r="U26" s="58" t="e">
        <f>IF(AND('Mapa final'!#REF!="Media",'Mapa final'!#REF!="Menor"),CONCATENATE("R1C",'Mapa final'!#REF!),"")</f>
        <v>#REF!</v>
      </c>
      <c r="V26" s="56" t="e">
        <f>IF(AND('Mapa final'!#REF!="Media",'Mapa final'!#REF!="Moderado"),CONCATENATE("R1C",'Mapa final'!#REF!),"")</f>
        <v>#REF!</v>
      </c>
      <c r="W26" s="57" t="e">
        <f>IF(AND('Mapa final'!#REF!="Media",'Mapa final'!#REF!="Moderado"),CONCATENATE("R1C",'Mapa final'!#REF!),"")</f>
        <v>#REF!</v>
      </c>
      <c r="X26" s="57" t="e">
        <f>IF(AND('Mapa final'!#REF!="Media",'Mapa final'!#REF!="Moderado"),CONCATENATE("R1C",'Mapa final'!#REF!),"")</f>
        <v>#REF!</v>
      </c>
      <c r="Y26" s="57" t="e">
        <f>IF(AND('Mapa final'!#REF!="Media",'Mapa final'!#REF!="Moderado"),CONCATENATE("R1C",'Mapa final'!#REF!),"")</f>
        <v>#REF!</v>
      </c>
      <c r="Z26" s="57" t="e">
        <f>IF(AND('Mapa final'!#REF!="Media",'Mapa final'!#REF!="Moderado"),CONCATENATE("R1C",'Mapa final'!#REF!),"")</f>
        <v>#REF!</v>
      </c>
      <c r="AA26" s="58"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5"/>
      <c r="AO26" s="421" t="s">
        <v>141</v>
      </c>
      <c r="AP26" s="422"/>
      <c r="AQ26" s="422"/>
      <c r="AR26" s="422"/>
      <c r="AS26" s="422"/>
      <c r="AT26" s="423"/>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row>
    <row r="27" spans="1:76" ht="15" customHeight="1" x14ac:dyDescent="0.3">
      <c r="A27" s="75"/>
      <c r="B27" s="296"/>
      <c r="C27" s="296"/>
      <c r="D27" s="297"/>
      <c r="E27" s="393"/>
      <c r="F27" s="394"/>
      <c r="G27" s="394"/>
      <c r="H27" s="394"/>
      <c r="I27" s="410"/>
      <c r="J27" s="59" t="str">
        <f>IF(AND('Mapa final'!$AF$13="Media",'Mapa final'!$AH$13="Leve"),CONCATENATE("R2C",'Mapa final'!$U$13),"")</f>
        <v/>
      </c>
      <c r="K27" s="60" t="str">
        <f>IF(AND('Mapa final'!$AF$24="Media",'Mapa final'!$AH$24="Leve"),CONCATENATE("R2C",'Mapa final'!$U$24),"")</f>
        <v/>
      </c>
      <c r="L27" s="60" t="e">
        <f>IF(AND('Mapa final'!#REF!="Media",'Mapa final'!#REF!="Leve"),CONCATENATE("R2C",'Mapa final'!#REF!),"")</f>
        <v>#REF!</v>
      </c>
      <c r="M27" s="60" t="e">
        <f>IF(AND('Mapa final'!#REF!="Media",'Mapa final'!#REF!="Leve"),CONCATENATE("R2C",'Mapa final'!#REF!),"")</f>
        <v>#REF!</v>
      </c>
      <c r="N27" s="60" t="e">
        <f>IF(AND('Mapa final'!#REF!="Media",'Mapa final'!#REF!="Leve"),CONCATENATE("R2C",'Mapa final'!#REF!),"")</f>
        <v>#REF!</v>
      </c>
      <c r="O27" s="61" t="e">
        <f>IF(AND('Mapa final'!#REF!="Media",'Mapa final'!#REF!="Leve"),CONCATENATE("R2C",'Mapa final'!#REF!),"")</f>
        <v>#REF!</v>
      </c>
      <c r="P27" s="59" t="str">
        <f>IF(AND('Mapa final'!$AF$13="Media",'Mapa final'!$AH$13="Menor"),CONCATENATE("R2C",'Mapa final'!$U$13),"")</f>
        <v/>
      </c>
      <c r="Q27" s="60" t="str">
        <f>IF(AND('Mapa final'!$AF$24="Media",'Mapa final'!$AH$24="Menor"),CONCATENATE("R2C",'Mapa final'!$U$24),"")</f>
        <v/>
      </c>
      <c r="R27" s="60" t="e">
        <f>IF(AND('Mapa final'!#REF!="Media",'Mapa final'!#REF!="Menor"),CONCATENATE("R2C",'Mapa final'!#REF!),"")</f>
        <v>#REF!</v>
      </c>
      <c r="S27" s="60" t="e">
        <f>IF(AND('Mapa final'!#REF!="Media",'Mapa final'!#REF!="Menor"),CONCATENATE("R2C",'Mapa final'!#REF!),"")</f>
        <v>#REF!</v>
      </c>
      <c r="T27" s="60" t="e">
        <f>IF(AND('Mapa final'!#REF!="Media",'Mapa final'!#REF!="Menor"),CONCATENATE("R2C",'Mapa final'!#REF!),"")</f>
        <v>#REF!</v>
      </c>
      <c r="U27" s="61" t="e">
        <f>IF(AND('Mapa final'!#REF!="Media",'Mapa final'!#REF!="Menor"),CONCATENATE("R2C",'Mapa final'!#REF!),"")</f>
        <v>#REF!</v>
      </c>
      <c r="V27" s="59" t="str">
        <f>IF(AND('Mapa final'!$AF$13="Media",'Mapa final'!$AH$13="Moderado"),CONCATENATE("R2C",'Mapa final'!$U$13),"")</f>
        <v/>
      </c>
      <c r="W27" s="60" t="str">
        <f>IF(AND('Mapa final'!$AF$24="Media",'Mapa final'!$AH$24="Moderado"),CONCATENATE("R2C",'Mapa final'!$U$24),"")</f>
        <v/>
      </c>
      <c r="X27" s="60" t="e">
        <f>IF(AND('Mapa final'!#REF!="Media",'Mapa final'!#REF!="Moderado"),CONCATENATE("R2C",'Mapa final'!#REF!),"")</f>
        <v>#REF!</v>
      </c>
      <c r="Y27" s="60" t="e">
        <f>IF(AND('Mapa final'!#REF!="Media",'Mapa final'!#REF!="Moderado"),CONCATENATE("R2C",'Mapa final'!#REF!),"")</f>
        <v>#REF!</v>
      </c>
      <c r="Z27" s="60" t="e">
        <f>IF(AND('Mapa final'!#REF!="Media",'Mapa final'!#REF!="Moderado"),CONCATENATE("R2C",'Mapa final'!#REF!),"")</f>
        <v>#REF!</v>
      </c>
      <c r="AA27" s="61" t="e">
        <f>IF(AND('Mapa final'!#REF!="Media",'Mapa final'!#REF!="Moderado"),CONCATENATE("R2C",'Mapa final'!#REF!),"")</f>
        <v>#REF!</v>
      </c>
      <c r="AB27" s="44" t="str">
        <f>IF(AND('Mapa final'!$AF$13="Media",'Mapa final'!$AH$13="Mayor"),CONCATENATE("R2C",'Mapa final'!$U$13),"")</f>
        <v/>
      </c>
      <c r="AC27" s="45" t="str">
        <f>IF(AND('Mapa final'!$AF$24="Media",'Mapa final'!$AH$24="Mayor"),CONCATENATE("R2C",'Mapa final'!$U$24),"")</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final'!$AF$13="Media",'Mapa final'!$AH$13="Catastrófico"),CONCATENATE("R2C",'Mapa final'!$U$13),"")</f>
        <v/>
      </c>
      <c r="AI27" s="48" t="str">
        <f>IF(AND('Mapa final'!$AF$24="Media",'Mapa final'!$AH$24="Catastrófico"),CONCATENATE("R2C",'Mapa final'!$U$24),"")</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5"/>
      <c r="AO27" s="424"/>
      <c r="AP27" s="425"/>
      <c r="AQ27" s="425"/>
      <c r="AR27" s="425"/>
      <c r="AS27" s="425"/>
      <c r="AT27" s="426"/>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row>
    <row r="28" spans="1:76" ht="15" customHeight="1" x14ac:dyDescent="0.3">
      <c r="A28" s="75"/>
      <c r="B28" s="296"/>
      <c r="C28" s="296"/>
      <c r="D28" s="297"/>
      <c r="E28" s="395"/>
      <c r="F28" s="394"/>
      <c r="G28" s="394"/>
      <c r="H28" s="394"/>
      <c r="I28" s="410"/>
      <c r="J28" s="59" t="e">
        <f>IF(AND('Mapa final'!#REF!="Media",'Mapa final'!#REF!="Leve"),CONCATENATE("R3C",'Mapa final'!#REF!),"")</f>
        <v>#REF!</v>
      </c>
      <c r="K28" s="60" t="e">
        <f>IF(AND('Mapa final'!#REF!="Media",'Mapa final'!#REF!="Leve"),CONCATENATE("R3C",'Mapa final'!#REF!),"")</f>
        <v>#REF!</v>
      </c>
      <c r="L28" s="60" t="e">
        <f>IF(AND('Mapa final'!#REF!="Media",'Mapa final'!#REF!="Leve"),CONCATENATE("R3C",'Mapa final'!#REF!),"")</f>
        <v>#REF!</v>
      </c>
      <c r="M28" s="60" t="e">
        <f>IF(AND('Mapa final'!#REF!="Media",'Mapa final'!#REF!="Leve"),CONCATENATE("R3C",'Mapa final'!#REF!),"")</f>
        <v>#REF!</v>
      </c>
      <c r="N28" s="60" t="e">
        <f>IF(AND('Mapa final'!#REF!="Media",'Mapa final'!#REF!="Leve"),CONCATENATE("R3C",'Mapa final'!#REF!),"")</f>
        <v>#REF!</v>
      </c>
      <c r="O28" s="61" t="e">
        <f>IF(AND('Mapa final'!#REF!="Media",'Mapa final'!#REF!="Leve"),CONCATENATE("R3C",'Mapa final'!#REF!),"")</f>
        <v>#REF!</v>
      </c>
      <c r="P28" s="59" t="e">
        <f>IF(AND('Mapa final'!#REF!="Media",'Mapa final'!#REF!="Menor"),CONCATENATE("R3C",'Mapa final'!#REF!),"")</f>
        <v>#REF!</v>
      </c>
      <c r="Q28" s="60" t="e">
        <f>IF(AND('Mapa final'!#REF!="Media",'Mapa final'!#REF!="Menor"),CONCATENATE("R3C",'Mapa final'!#REF!),"")</f>
        <v>#REF!</v>
      </c>
      <c r="R28" s="60" t="e">
        <f>IF(AND('Mapa final'!#REF!="Media",'Mapa final'!#REF!="Menor"),CONCATENATE("R3C",'Mapa final'!#REF!),"")</f>
        <v>#REF!</v>
      </c>
      <c r="S28" s="60" t="e">
        <f>IF(AND('Mapa final'!#REF!="Media",'Mapa final'!#REF!="Menor"),CONCATENATE("R3C",'Mapa final'!#REF!),"")</f>
        <v>#REF!</v>
      </c>
      <c r="T28" s="60" t="e">
        <f>IF(AND('Mapa final'!#REF!="Media",'Mapa final'!#REF!="Menor"),CONCATENATE("R3C",'Mapa final'!#REF!),"")</f>
        <v>#REF!</v>
      </c>
      <c r="U28" s="61" t="e">
        <f>IF(AND('Mapa final'!#REF!="Media",'Mapa final'!#REF!="Menor"),CONCATENATE("R3C",'Mapa final'!#REF!),"")</f>
        <v>#REF!</v>
      </c>
      <c r="V28" s="59" t="e">
        <f>IF(AND('Mapa final'!#REF!="Media",'Mapa final'!#REF!="Moderado"),CONCATENATE("R3C",'Mapa final'!#REF!),"")</f>
        <v>#REF!</v>
      </c>
      <c r="W28" s="60" t="e">
        <f>IF(AND('Mapa final'!#REF!="Media",'Mapa final'!#REF!="Moderado"),CONCATENATE("R3C",'Mapa final'!#REF!),"")</f>
        <v>#REF!</v>
      </c>
      <c r="X28" s="60" t="e">
        <f>IF(AND('Mapa final'!#REF!="Media",'Mapa final'!#REF!="Moderado"),CONCATENATE("R3C",'Mapa final'!#REF!),"")</f>
        <v>#REF!</v>
      </c>
      <c r="Y28" s="60" t="e">
        <f>IF(AND('Mapa final'!#REF!="Media",'Mapa final'!#REF!="Moderado"),CONCATENATE("R3C",'Mapa final'!#REF!),"")</f>
        <v>#REF!</v>
      </c>
      <c r="Z28" s="60" t="e">
        <f>IF(AND('Mapa final'!#REF!="Media",'Mapa final'!#REF!="Moderado"),CONCATENATE("R3C",'Mapa final'!#REF!),"")</f>
        <v>#REF!</v>
      </c>
      <c r="AA28" s="61"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5"/>
      <c r="AO28" s="424"/>
      <c r="AP28" s="425"/>
      <c r="AQ28" s="425"/>
      <c r="AR28" s="425"/>
      <c r="AS28" s="425"/>
      <c r="AT28" s="426"/>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row>
    <row r="29" spans="1:76" ht="15" customHeight="1" x14ac:dyDescent="0.3">
      <c r="A29" s="75"/>
      <c r="B29" s="296"/>
      <c r="C29" s="296"/>
      <c r="D29" s="297"/>
      <c r="E29" s="395"/>
      <c r="F29" s="394"/>
      <c r="G29" s="394"/>
      <c r="H29" s="394"/>
      <c r="I29" s="410"/>
      <c r="J29" s="59" t="e">
        <f>IF(AND('Mapa final'!#REF!="Media",'Mapa final'!#REF!="Leve"),CONCATENATE("R4C",'Mapa final'!#REF!),"")</f>
        <v>#REF!</v>
      </c>
      <c r="K29" s="60" t="e">
        <f>IF(AND('Mapa final'!#REF!="Media",'Mapa final'!#REF!="Leve"),CONCATENATE("R4C",'Mapa final'!#REF!),"")</f>
        <v>#REF!</v>
      </c>
      <c r="L29" s="60" t="e">
        <f>IF(AND('Mapa final'!#REF!="Media",'Mapa final'!#REF!="Leve"),CONCATENATE("R4C",'Mapa final'!#REF!),"")</f>
        <v>#REF!</v>
      </c>
      <c r="M29" s="60" t="e">
        <f>IF(AND('Mapa final'!#REF!="Media",'Mapa final'!#REF!="Leve"),CONCATENATE("R4C",'Mapa final'!#REF!),"")</f>
        <v>#REF!</v>
      </c>
      <c r="N29" s="60" t="e">
        <f>IF(AND('Mapa final'!#REF!="Media",'Mapa final'!#REF!="Leve"),CONCATENATE("R4C",'Mapa final'!#REF!),"")</f>
        <v>#REF!</v>
      </c>
      <c r="O29" s="61" t="e">
        <f>IF(AND('Mapa final'!#REF!="Media",'Mapa final'!#REF!="Leve"),CONCATENATE("R4C",'Mapa final'!#REF!),"")</f>
        <v>#REF!</v>
      </c>
      <c r="P29" s="59" t="e">
        <f>IF(AND('Mapa final'!#REF!="Media",'Mapa final'!#REF!="Menor"),CONCATENATE("R4C",'Mapa final'!#REF!),"")</f>
        <v>#REF!</v>
      </c>
      <c r="Q29" s="60" t="e">
        <f>IF(AND('Mapa final'!#REF!="Media",'Mapa final'!#REF!="Menor"),CONCATENATE("R4C",'Mapa final'!#REF!),"")</f>
        <v>#REF!</v>
      </c>
      <c r="R29" s="60" t="e">
        <f>IF(AND('Mapa final'!#REF!="Media",'Mapa final'!#REF!="Menor"),CONCATENATE("R4C",'Mapa final'!#REF!),"")</f>
        <v>#REF!</v>
      </c>
      <c r="S29" s="60" t="e">
        <f>IF(AND('Mapa final'!#REF!="Media",'Mapa final'!#REF!="Menor"),CONCATENATE("R4C",'Mapa final'!#REF!),"")</f>
        <v>#REF!</v>
      </c>
      <c r="T29" s="60" t="e">
        <f>IF(AND('Mapa final'!#REF!="Media",'Mapa final'!#REF!="Menor"),CONCATENATE("R4C",'Mapa final'!#REF!),"")</f>
        <v>#REF!</v>
      </c>
      <c r="U29" s="61" t="e">
        <f>IF(AND('Mapa final'!#REF!="Media",'Mapa final'!#REF!="Menor"),CONCATENATE("R4C",'Mapa final'!#REF!),"")</f>
        <v>#REF!</v>
      </c>
      <c r="V29" s="59" t="e">
        <f>IF(AND('Mapa final'!#REF!="Media",'Mapa final'!#REF!="Moderado"),CONCATENATE("R4C",'Mapa final'!#REF!),"")</f>
        <v>#REF!</v>
      </c>
      <c r="W29" s="60" t="e">
        <f>IF(AND('Mapa final'!#REF!="Media",'Mapa final'!#REF!="Moderado"),CONCATENATE("R4C",'Mapa final'!#REF!),"")</f>
        <v>#REF!</v>
      </c>
      <c r="X29" s="60" t="e">
        <f>IF(AND('Mapa final'!#REF!="Media",'Mapa final'!#REF!="Moderado"),CONCATENATE("R4C",'Mapa final'!#REF!),"")</f>
        <v>#REF!</v>
      </c>
      <c r="Y29" s="60" t="e">
        <f>IF(AND('Mapa final'!#REF!="Media",'Mapa final'!#REF!="Moderado"),CONCATENATE("R4C",'Mapa final'!#REF!),"")</f>
        <v>#REF!</v>
      </c>
      <c r="Z29" s="60" t="e">
        <f>IF(AND('Mapa final'!#REF!="Media",'Mapa final'!#REF!="Moderado"),CONCATENATE("R4C",'Mapa final'!#REF!),"")</f>
        <v>#REF!</v>
      </c>
      <c r="AA29" s="61"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45" t="e">
        <f>IF(AND('Mapa final'!#REF!="Media",'Mapa final'!#REF!="Mayor"),CONCATENATE("R4C",'Mapa final'!#REF!),"")</f>
        <v>#REF!</v>
      </c>
      <c r="AE29" s="45" t="e">
        <f>IF(AND('Mapa final'!#REF!="Media",'Mapa final'!#REF!="Mayor"),CONCATENATE("R4C",'Mapa final'!#REF!),"")</f>
        <v>#REF!</v>
      </c>
      <c r="AF29" s="45"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5"/>
      <c r="AO29" s="424"/>
      <c r="AP29" s="425"/>
      <c r="AQ29" s="425"/>
      <c r="AR29" s="425"/>
      <c r="AS29" s="425"/>
      <c r="AT29" s="426"/>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row>
    <row r="30" spans="1:76" ht="15" customHeight="1" x14ac:dyDescent="0.3">
      <c r="A30" s="75"/>
      <c r="B30" s="296"/>
      <c r="C30" s="296"/>
      <c r="D30" s="297"/>
      <c r="E30" s="395"/>
      <c r="F30" s="394"/>
      <c r="G30" s="394"/>
      <c r="H30" s="394"/>
      <c r="I30" s="410"/>
      <c r="J30" s="59" t="e">
        <f>IF(AND('Mapa final'!#REF!="Media",'Mapa final'!#REF!="Leve"),CONCATENATE("R5C",'Mapa final'!#REF!),"")</f>
        <v>#REF!</v>
      </c>
      <c r="K30" s="60" t="e">
        <f>IF(AND('Mapa final'!#REF!="Media",'Mapa final'!#REF!="Leve"),CONCATENATE("R5C",'Mapa final'!#REF!),"")</f>
        <v>#REF!</v>
      </c>
      <c r="L30" s="60" t="e">
        <f>IF(AND('Mapa final'!#REF!="Media",'Mapa final'!#REF!="Leve"),CONCATENATE("R5C",'Mapa final'!#REF!),"")</f>
        <v>#REF!</v>
      </c>
      <c r="M30" s="60" t="e">
        <f>IF(AND('Mapa final'!#REF!="Media",'Mapa final'!#REF!="Leve"),CONCATENATE("R5C",'Mapa final'!#REF!),"")</f>
        <v>#REF!</v>
      </c>
      <c r="N30" s="60" t="e">
        <f>IF(AND('Mapa final'!#REF!="Media",'Mapa final'!#REF!="Leve"),CONCATENATE("R5C",'Mapa final'!#REF!),"")</f>
        <v>#REF!</v>
      </c>
      <c r="O30" s="61" t="e">
        <f>IF(AND('Mapa final'!#REF!="Media",'Mapa final'!#REF!="Leve"),CONCATENATE("R5C",'Mapa final'!#REF!),"")</f>
        <v>#REF!</v>
      </c>
      <c r="P30" s="59" t="e">
        <f>IF(AND('Mapa final'!#REF!="Media",'Mapa final'!#REF!="Menor"),CONCATENATE("R5C",'Mapa final'!#REF!),"")</f>
        <v>#REF!</v>
      </c>
      <c r="Q30" s="60" t="e">
        <f>IF(AND('Mapa final'!#REF!="Media",'Mapa final'!#REF!="Menor"),CONCATENATE("R5C",'Mapa final'!#REF!),"")</f>
        <v>#REF!</v>
      </c>
      <c r="R30" s="60" t="e">
        <f>IF(AND('Mapa final'!#REF!="Media",'Mapa final'!#REF!="Menor"),CONCATENATE("R5C",'Mapa final'!#REF!),"")</f>
        <v>#REF!</v>
      </c>
      <c r="S30" s="60" t="e">
        <f>IF(AND('Mapa final'!#REF!="Media",'Mapa final'!#REF!="Menor"),CONCATENATE("R5C",'Mapa final'!#REF!),"")</f>
        <v>#REF!</v>
      </c>
      <c r="T30" s="60" t="e">
        <f>IF(AND('Mapa final'!#REF!="Media",'Mapa final'!#REF!="Menor"),CONCATENATE("R5C",'Mapa final'!#REF!),"")</f>
        <v>#REF!</v>
      </c>
      <c r="U30" s="61" t="e">
        <f>IF(AND('Mapa final'!#REF!="Media",'Mapa final'!#REF!="Menor"),CONCATENATE("R5C",'Mapa final'!#REF!),"")</f>
        <v>#REF!</v>
      </c>
      <c r="V30" s="59" t="e">
        <f>IF(AND('Mapa final'!#REF!="Media",'Mapa final'!#REF!="Moderado"),CONCATENATE("R5C",'Mapa final'!#REF!),"")</f>
        <v>#REF!</v>
      </c>
      <c r="W30" s="60" t="e">
        <f>IF(AND('Mapa final'!#REF!="Media",'Mapa final'!#REF!="Moderado"),CONCATENATE("R5C",'Mapa final'!#REF!),"")</f>
        <v>#REF!</v>
      </c>
      <c r="X30" s="60" t="e">
        <f>IF(AND('Mapa final'!#REF!="Media",'Mapa final'!#REF!="Moderado"),CONCATENATE("R5C",'Mapa final'!#REF!),"")</f>
        <v>#REF!</v>
      </c>
      <c r="Y30" s="60" t="e">
        <f>IF(AND('Mapa final'!#REF!="Media",'Mapa final'!#REF!="Moderado"),CONCATENATE("R5C",'Mapa final'!#REF!),"")</f>
        <v>#REF!</v>
      </c>
      <c r="Z30" s="60" t="e">
        <f>IF(AND('Mapa final'!#REF!="Media",'Mapa final'!#REF!="Moderado"),CONCATENATE("R5C",'Mapa final'!#REF!),"")</f>
        <v>#REF!</v>
      </c>
      <c r="AA30" s="61"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45" t="e">
        <f>IF(AND('Mapa final'!#REF!="Media",'Mapa final'!#REF!="Mayor"),CONCATENATE("R5C",'Mapa final'!#REF!),"")</f>
        <v>#REF!</v>
      </c>
      <c r="AE30" s="45" t="e">
        <f>IF(AND('Mapa final'!#REF!="Media",'Mapa final'!#REF!="Mayor"),CONCATENATE("R5C",'Mapa final'!#REF!),"")</f>
        <v>#REF!</v>
      </c>
      <c r="AF30" s="45"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5"/>
      <c r="AO30" s="424"/>
      <c r="AP30" s="425"/>
      <c r="AQ30" s="425"/>
      <c r="AR30" s="425"/>
      <c r="AS30" s="425"/>
      <c r="AT30" s="426"/>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row>
    <row r="31" spans="1:76" ht="15" customHeight="1" x14ac:dyDescent="0.3">
      <c r="A31" s="75"/>
      <c r="B31" s="296"/>
      <c r="C31" s="296"/>
      <c r="D31" s="297"/>
      <c r="E31" s="395"/>
      <c r="F31" s="394"/>
      <c r="G31" s="394"/>
      <c r="H31" s="394"/>
      <c r="I31" s="410"/>
      <c r="J31" s="59" t="e">
        <f>IF(AND('Mapa final'!#REF!="Media",'Mapa final'!#REF!="Leve"),CONCATENATE("R6C",'Mapa final'!#REF!),"")</f>
        <v>#REF!</v>
      </c>
      <c r="K31" s="60" t="e">
        <f>IF(AND('Mapa final'!#REF!="Media",'Mapa final'!#REF!="Leve"),CONCATENATE("R6C",'Mapa final'!#REF!),"")</f>
        <v>#REF!</v>
      </c>
      <c r="L31" s="60" t="e">
        <f>IF(AND('Mapa final'!#REF!="Media",'Mapa final'!#REF!="Leve"),CONCATENATE("R6C",'Mapa final'!#REF!),"")</f>
        <v>#REF!</v>
      </c>
      <c r="M31" s="60" t="e">
        <f>IF(AND('Mapa final'!#REF!="Media",'Mapa final'!#REF!="Leve"),CONCATENATE("R6C",'Mapa final'!#REF!),"")</f>
        <v>#REF!</v>
      </c>
      <c r="N31" s="60" t="e">
        <f>IF(AND('Mapa final'!#REF!="Media",'Mapa final'!#REF!="Leve"),CONCATENATE("R6C",'Mapa final'!#REF!),"")</f>
        <v>#REF!</v>
      </c>
      <c r="O31" s="61" t="e">
        <f>IF(AND('Mapa final'!#REF!="Media",'Mapa final'!#REF!="Leve"),CONCATENATE("R6C",'Mapa final'!#REF!),"")</f>
        <v>#REF!</v>
      </c>
      <c r="P31" s="59" t="e">
        <f>IF(AND('Mapa final'!#REF!="Media",'Mapa final'!#REF!="Menor"),CONCATENATE("R6C",'Mapa final'!#REF!),"")</f>
        <v>#REF!</v>
      </c>
      <c r="Q31" s="60" t="e">
        <f>IF(AND('Mapa final'!#REF!="Media",'Mapa final'!#REF!="Menor"),CONCATENATE("R6C",'Mapa final'!#REF!),"")</f>
        <v>#REF!</v>
      </c>
      <c r="R31" s="60" t="e">
        <f>IF(AND('Mapa final'!#REF!="Media",'Mapa final'!#REF!="Menor"),CONCATENATE("R6C",'Mapa final'!#REF!),"")</f>
        <v>#REF!</v>
      </c>
      <c r="S31" s="60" t="e">
        <f>IF(AND('Mapa final'!#REF!="Media",'Mapa final'!#REF!="Menor"),CONCATENATE("R6C",'Mapa final'!#REF!),"")</f>
        <v>#REF!</v>
      </c>
      <c r="T31" s="60" t="e">
        <f>IF(AND('Mapa final'!#REF!="Media",'Mapa final'!#REF!="Menor"),CONCATENATE("R6C",'Mapa final'!#REF!),"")</f>
        <v>#REF!</v>
      </c>
      <c r="U31" s="61" t="e">
        <f>IF(AND('Mapa final'!#REF!="Media",'Mapa final'!#REF!="Menor"),CONCATENATE("R6C",'Mapa final'!#REF!),"")</f>
        <v>#REF!</v>
      </c>
      <c r="V31" s="59" t="e">
        <f>IF(AND('Mapa final'!#REF!="Media",'Mapa final'!#REF!="Moderado"),CONCATENATE("R6C",'Mapa final'!#REF!),"")</f>
        <v>#REF!</v>
      </c>
      <c r="W31" s="60" t="e">
        <f>IF(AND('Mapa final'!#REF!="Media",'Mapa final'!#REF!="Moderado"),CONCATENATE("R6C",'Mapa final'!#REF!),"")</f>
        <v>#REF!</v>
      </c>
      <c r="X31" s="60" t="e">
        <f>IF(AND('Mapa final'!#REF!="Media",'Mapa final'!#REF!="Moderado"),CONCATENATE("R6C",'Mapa final'!#REF!),"")</f>
        <v>#REF!</v>
      </c>
      <c r="Y31" s="60" t="e">
        <f>IF(AND('Mapa final'!#REF!="Media",'Mapa final'!#REF!="Moderado"),CONCATENATE("R6C",'Mapa final'!#REF!),"")</f>
        <v>#REF!</v>
      </c>
      <c r="Z31" s="60" t="e">
        <f>IF(AND('Mapa final'!#REF!="Media",'Mapa final'!#REF!="Moderado"),CONCATENATE("R6C",'Mapa final'!#REF!),"")</f>
        <v>#REF!</v>
      </c>
      <c r="AA31" s="61"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45" t="e">
        <f>IF(AND('Mapa final'!#REF!="Media",'Mapa final'!#REF!="Mayor"),CONCATENATE("R6C",'Mapa final'!#REF!),"")</f>
        <v>#REF!</v>
      </c>
      <c r="AE31" s="45" t="e">
        <f>IF(AND('Mapa final'!#REF!="Media",'Mapa final'!#REF!="Mayor"),CONCATENATE("R6C",'Mapa final'!#REF!),"")</f>
        <v>#REF!</v>
      </c>
      <c r="AF31" s="45"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5"/>
      <c r="AO31" s="424"/>
      <c r="AP31" s="425"/>
      <c r="AQ31" s="425"/>
      <c r="AR31" s="425"/>
      <c r="AS31" s="425"/>
      <c r="AT31" s="426"/>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row>
    <row r="32" spans="1:76" ht="15" customHeight="1" x14ac:dyDescent="0.3">
      <c r="A32" s="75"/>
      <c r="B32" s="296"/>
      <c r="C32" s="296"/>
      <c r="D32" s="297"/>
      <c r="E32" s="395"/>
      <c r="F32" s="394"/>
      <c r="G32" s="394"/>
      <c r="H32" s="394"/>
      <c r="I32" s="410"/>
      <c r="J32" s="59" t="e">
        <f>IF(AND('Mapa final'!#REF!="Media",'Mapa final'!#REF!="Leve"),CONCATENATE("R7C",'Mapa final'!#REF!),"")</f>
        <v>#REF!</v>
      </c>
      <c r="K32" s="60" t="e">
        <f>IF(AND('Mapa final'!#REF!="Media",'Mapa final'!#REF!="Leve"),CONCATENATE("R7C",'Mapa final'!#REF!),"")</f>
        <v>#REF!</v>
      </c>
      <c r="L32" s="60" t="e">
        <f>IF(AND('Mapa final'!#REF!="Media",'Mapa final'!#REF!="Leve"),CONCATENATE("R7C",'Mapa final'!#REF!),"")</f>
        <v>#REF!</v>
      </c>
      <c r="M32" s="60" t="e">
        <f>IF(AND('Mapa final'!#REF!="Media",'Mapa final'!#REF!="Leve"),CONCATENATE("R7C",'Mapa final'!#REF!),"")</f>
        <v>#REF!</v>
      </c>
      <c r="N32" s="60" t="e">
        <f>IF(AND('Mapa final'!#REF!="Media",'Mapa final'!#REF!="Leve"),CONCATENATE("R7C",'Mapa final'!#REF!),"")</f>
        <v>#REF!</v>
      </c>
      <c r="O32" s="61" t="e">
        <f>IF(AND('Mapa final'!#REF!="Media",'Mapa final'!#REF!="Leve"),CONCATENATE("R7C",'Mapa final'!#REF!),"")</f>
        <v>#REF!</v>
      </c>
      <c r="P32" s="59" t="e">
        <f>IF(AND('Mapa final'!#REF!="Media",'Mapa final'!#REF!="Menor"),CONCATENATE("R7C",'Mapa final'!#REF!),"")</f>
        <v>#REF!</v>
      </c>
      <c r="Q32" s="60" t="e">
        <f>IF(AND('Mapa final'!#REF!="Media",'Mapa final'!#REF!="Menor"),CONCATENATE("R7C",'Mapa final'!#REF!),"")</f>
        <v>#REF!</v>
      </c>
      <c r="R32" s="60" t="e">
        <f>IF(AND('Mapa final'!#REF!="Media",'Mapa final'!#REF!="Menor"),CONCATENATE("R7C",'Mapa final'!#REF!),"")</f>
        <v>#REF!</v>
      </c>
      <c r="S32" s="60" t="e">
        <f>IF(AND('Mapa final'!#REF!="Media",'Mapa final'!#REF!="Menor"),CONCATENATE("R7C",'Mapa final'!#REF!),"")</f>
        <v>#REF!</v>
      </c>
      <c r="T32" s="60" t="e">
        <f>IF(AND('Mapa final'!#REF!="Media",'Mapa final'!#REF!="Menor"),CONCATENATE("R7C",'Mapa final'!#REF!),"")</f>
        <v>#REF!</v>
      </c>
      <c r="U32" s="61" t="e">
        <f>IF(AND('Mapa final'!#REF!="Media",'Mapa final'!#REF!="Menor"),CONCATENATE("R7C",'Mapa final'!#REF!),"")</f>
        <v>#REF!</v>
      </c>
      <c r="V32" s="59" t="e">
        <f>IF(AND('Mapa final'!#REF!="Media",'Mapa final'!#REF!="Moderado"),CONCATENATE("R7C",'Mapa final'!#REF!),"")</f>
        <v>#REF!</v>
      </c>
      <c r="W32" s="60" t="e">
        <f>IF(AND('Mapa final'!#REF!="Media",'Mapa final'!#REF!="Moderado"),CONCATENATE("R7C",'Mapa final'!#REF!),"")</f>
        <v>#REF!</v>
      </c>
      <c r="X32" s="60" t="e">
        <f>IF(AND('Mapa final'!#REF!="Media",'Mapa final'!#REF!="Moderado"),CONCATENATE("R7C",'Mapa final'!#REF!),"")</f>
        <v>#REF!</v>
      </c>
      <c r="Y32" s="60" t="e">
        <f>IF(AND('Mapa final'!#REF!="Media",'Mapa final'!#REF!="Moderado"),CONCATENATE("R7C",'Mapa final'!#REF!),"")</f>
        <v>#REF!</v>
      </c>
      <c r="Z32" s="60" t="e">
        <f>IF(AND('Mapa final'!#REF!="Media",'Mapa final'!#REF!="Moderado"),CONCATENATE("R7C",'Mapa final'!#REF!),"")</f>
        <v>#REF!</v>
      </c>
      <c r="AA32" s="61"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45" t="e">
        <f>IF(AND('Mapa final'!#REF!="Media",'Mapa final'!#REF!="Mayor"),CONCATENATE("R7C",'Mapa final'!#REF!),"")</f>
        <v>#REF!</v>
      </c>
      <c r="AE32" s="45" t="e">
        <f>IF(AND('Mapa final'!#REF!="Media",'Mapa final'!#REF!="Mayor"),CONCATENATE("R7C",'Mapa final'!#REF!),"")</f>
        <v>#REF!</v>
      </c>
      <c r="AF32" s="45"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5"/>
      <c r="AO32" s="424"/>
      <c r="AP32" s="425"/>
      <c r="AQ32" s="425"/>
      <c r="AR32" s="425"/>
      <c r="AS32" s="425"/>
      <c r="AT32" s="426"/>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row>
    <row r="33" spans="1:80" ht="15" customHeight="1" x14ac:dyDescent="0.3">
      <c r="A33" s="75"/>
      <c r="B33" s="296"/>
      <c r="C33" s="296"/>
      <c r="D33" s="297"/>
      <c r="E33" s="395"/>
      <c r="F33" s="394"/>
      <c r="G33" s="394"/>
      <c r="H33" s="394"/>
      <c r="I33" s="410"/>
      <c r="J33" s="59" t="e">
        <f>IF(AND('Mapa final'!#REF!="Media",'Mapa final'!#REF!="Leve"),CONCATENATE("R8C",'Mapa final'!#REF!),"")</f>
        <v>#REF!</v>
      </c>
      <c r="K33" s="60" t="e">
        <f>IF(AND('Mapa final'!#REF!="Media",'Mapa final'!#REF!="Leve"),CONCATENATE("R8C",'Mapa final'!#REF!),"")</f>
        <v>#REF!</v>
      </c>
      <c r="L33" s="60" t="e">
        <f>IF(AND('Mapa final'!#REF!="Media",'Mapa final'!#REF!="Leve"),CONCATENATE("R8C",'Mapa final'!#REF!),"")</f>
        <v>#REF!</v>
      </c>
      <c r="M33" s="60" t="e">
        <f>IF(AND('Mapa final'!#REF!="Media",'Mapa final'!#REF!="Leve"),CONCATENATE("R8C",'Mapa final'!#REF!),"")</f>
        <v>#REF!</v>
      </c>
      <c r="N33" s="60" t="e">
        <f>IF(AND('Mapa final'!#REF!="Media",'Mapa final'!#REF!="Leve"),CONCATENATE("R8C",'Mapa final'!#REF!),"")</f>
        <v>#REF!</v>
      </c>
      <c r="O33" s="61" t="e">
        <f>IF(AND('Mapa final'!#REF!="Media",'Mapa final'!#REF!="Leve"),CONCATENATE("R8C",'Mapa final'!#REF!),"")</f>
        <v>#REF!</v>
      </c>
      <c r="P33" s="59" t="e">
        <f>IF(AND('Mapa final'!#REF!="Media",'Mapa final'!#REF!="Menor"),CONCATENATE("R8C",'Mapa final'!#REF!),"")</f>
        <v>#REF!</v>
      </c>
      <c r="Q33" s="60" t="e">
        <f>IF(AND('Mapa final'!#REF!="Media",'Mapa final'!#REF!="Menor"),CONCATENATE("R8C",'Mapa final'!#REF!),"")</f>
        <v>#REF!</v>
      </c>
      <c r="R33" s="60" t="e">
        <f>IF(AND('Mapa final'!#REF!="Media",'Mapa final'!#REF!="Menor"),CONCATENATE("R8C",'Mapa final'!#REF!),"")</f>
        <v>#REF!</v>
      </c>
      <c r="S33" s="60" t="e">
        <f>IF(AND('Mapa final'!#REF!="Media",'Mapa final'!#REF!="Menor"),CONCATENATE("R8C",'Mapa final'!#REF!),"")</f>
        <v>#REF!</v>
      </c>
      <c r="T33" s="60" t="e">
        <f>IF(AND('Mapa final'!#REF!="Media",'Mapa final'!#REF!="Menor"),CONCATENATE("R8C",'Mapa final'!#REF!),"")</f>
        <v>#REF!</v>
      </c>
      <c r="U33" s="61" t="e">
        <f>IF(AND('Mapa final'!#REF!="Media",'Mapa final'!#REF!="Menor"),CONCATENATE("R8C",'Mapa final'!#REF!),"")</f>
        <v>#REF!</v>
      </c>
      <c r="V33" s="59" t="e">
        <f>IF(AND('Mapa final'!#REF!="Media",'Mapa final'!#REF!="Moderado"),CONCATENATE("R8C",'Mapa final'!#REF!),"")</f>
        <v>#REF!</v>
      </c>
      <c r="W33" s="60" t="e">
        <f>IF(AND('Mapa final'!#REF!="Media",'Mapa final'!#REF!="Moderado"),CONCATENATE("R8C",'Mapa final'!#REF!),"")</f>
        <v>#REF!</v>
      </c>
      <c r="X33" s="60" t="e">
        <f>IF(AND('Mapa final'!#REF!="Media",'Mapa final'!#REF!="Moderado"),CONCATENATE("R8C",'Mapa final'!#REF!),"")</f>
        <v>#REF!</v>
      </c>
      <c r="Y33" s="60" t="e">
        <f>IF(AND('Mapa final'!#REF!="Media",'Mapa final'!#REF!="Moderado"),CONCATENATE("R8C",'Mapa final'!#REF!),"")</f>
        <v>#REF!</v>
      </c>
      <c r="Z33" s="60" t="e">
        <f>IF(AND('Mapa final'!#REF!="Media",'Mapa final'!#REF!="Moderado"),CONCATENATE("R8C",'Mapa final'!#REF!),"")</f>
        <v>#REF!</v>
      </c>
      <c r="AA33" s="61"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45" t="e">
        <f>IF(AND('Mapa final'!#REF!="Media",'Mapa final'!#REF!="Mayor"),CONCATENATE("R8C",'Mapa final'!#REF!),"")</f>
        <v>#REF!</v>
      </c>
      <c r="AE33" s="45" t="e">
        <f>IF(AND('Mapa final'!#REF!="Media",'Mapa final'!#REF!="Mayor"),CONCATENATE("R8C",'Mapa final'!#REF!),"")</f>
        <v>#REF!</v>
      </c>
      <c r="AF33" s="45"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5"/>
      <c r="AO33" s="424"/>
      <c r="AP33" s="425"/>
      <c r="AQ33" s="425"/>
      <c r="AR33" s="425"/>
      <c r="AS33" s="425"/>
      <c r="AT33" s="426"/>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row>
    <row r="34" spans="1:80" ht="15" customHeight="1" x14ac:dyDescent="0.3">
      <c r="A34" s="75"/>
      <c r="B34" s="296"/>
      <c r="C34" s="296"/>
      <c r="D34" s="297"/>
      <c r="E34" s="395"/>
      <c r="F34" s="394"/>
      <c r="G34" s="394"/>
      <c r="H34" s="394"/>
      <c r="I34" s="410"/>
      <c r="J34" s="59" t="e">
        <f>IF(AND('Mapa final'!#REF!="Media",'Mapa final'!#REF!="Leve"),CONCATENATE("R9C",'Mapa final'!#REF!),"")</f>
        <v>#REF!</v>
      </c>
      <c r="K34" s="60" t="e">
        <f>IF(AND('Mapa final'!#REF!="Media",'Mapa final'!#REF!="Leve"),CONCATENATE("R9C",'Mapa final'!#REF!),"")</f>
        <v>#REF!</v>
      </c>
      <c r="L34" s="60" t="e">
        <f>IF(AND('Mapa final'!#REF!="Media",'Mapa final'!#REF!="Leve"),CONCATENATE("R9C",'Mapa final'!#REF!),"")</f>
        <v>#REF!</v>
      </c>
      <c r="M34" s="60" t="e">
        <f>IF(AND('Mapa final'!#REF!="Media",'Mapa final'!#REF!="Leve"),CONCATENATE("R9C",'Mapa final'!#REF!),"")</f>
        <v>#REF!</v>
      </c>
      <c r="N34" s="60" t="e">
        <f>IF(AND('Mapa final'!#REF!="Media",'Mapa final'!#REF!="Leve"),CONCATENATE("R9C",'Mapa final'!#REF!),"")</f>
        <v>#REF!</v>
      </c>
      <c r="O34" s="61" t="e">
        <f>IF(AND('Mapa final'!#REF!="Media",'Mapa final'!#REF!="Leve"),CONCATENATE("R9C",'Mapa final'!#REF!),"")</f>
        <v>#REF!</v>
      </c>
      <c r="P34" s="59" t="e">
        <f>IF(AND('Mapa final'!#REF!="Media",'Mapa final'!#REF!="Menor"),CONCATENATE("R9C",'Mapa final'!#REF!),"")</f>
        <v>#REF!</v>
      </c>
      <c r="Q34" s="60" t="e">
        <f>IF(AND('Mapa final'!#REF!="Media",'Mapa final'!#REF!="Menor"),CONCATENATE("R9C",'Mapa final'!#REF!),"")</f>
        <v>#REF!</v>
      </c>
      <c r="R34" s="60" t="e">
        <f>IF(AND('Mapa final'!#REF!="Media",'Mapa final'!#REF!="Menor"),CONCATENATE("R9C",'Mapa final'!#REF!),"")</f>
        <v>#REF!</v>
      </c>
      <c r="S34" s="60" t="e">
        <f>IF(AND('Mapa final'!#REF!="Media",'Mapa final'!#REF!="Menor"),CONCATENATE("R9C",'Mapa final'!#REF!),"")</f>
        <v>#REF!</v>
      </c>
      <c r="T34" s="60" t="e">
        <f>IF(AND('Mapa final'!#REF!="Media",'Mapa final'!#REF!="Menor"),CONCATENATE("R9C",'Mapa final'!#REF!),"")</f>
        <v>#REF!</v>
      </c>
      <c r="U34" s="61" t="e">
        <f>IF(AND('Mapa final'!#REF!="Media",'Mapa final'!#REF!="Menor"),CONCATENATE("R9C",'Mapa final'!#REF!),"")</f>
        <v>#REF!</v>
      </c>
      <c r="V34" s="59" t="e">
        <f>IF(AND('Mapa final'!#REF!="Media",'Mapa final'!#REF!="Moderado"),CONCATENATE("R9C",'Mapa final'!#REF!),"")</f>
        <v>#REF!</v>
      </c>
      <c r="W34" s="60" t="e">
        <f>IF(AND('Mapa final'!#REF!="Media",'Mapa final'!#REF!="Moderado"),CONCATENATE("R9C",'Mapa final'!#REF!),"")</f>
        <v>#REF!</v>
      </c>
      <c r="X34" s="60" t="e">
        <f>IF(AND('Mapa final'!#REF!="Media",'Mapa final'!#REF!="Moderado"),CONCATENATE("R9C",'Mapa final'!#REF!),"")</f>
        <v>#REF!</v>
      </c>
      <c r="Y34" s="60" t="e">
        <f>IF(AND('Mapa final'!#REF!="Media",'Mapa final'!#REF!="Moderado"),CONCATENATE("R9C",'Mapa final'!#REF!),"")</f>
        <v>#REF!</v>
      </c>
      <c r="Z34" s="60" t="e">
        <f>IF(AND('Mapa final'!#REF!="Media",'Mapa final'!#REF!="Moderado"),CONCATENATE("R9C",'Mapa final'!#REF!),"")</f>
        <v>#REF!</v>
      </c>
      <c r="AA34" s="61"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45" t="e">
        <f>IF(AND('Mapa final'!#REF!="Media",'Mapa final'!#REF!="Mayor"),CONCATENATE("R9C",'Mapa final'!#REF!),"")</f>
        <v>#REF!</v>
      </c>
      <c r="AE34" s="45" t="e">
        <f>IF(AND('Mapa final'!#REF!="Media",'Mapa final'!#REF!="Mayor"),CONCATENATE("R9C",'Mapa final'!#REF!),"")</f>
        <v>#REF!</v>
      </c>
      <c r="AF34" s="45"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5"/>
      <c r="AO34" s="424"/>
      <c r="AP34" s="425"/>
      <c r="AQ34" s="425"/>
      <c r="AR34" s="425"/>
      <c r="AS34" s="425"/>
      <c r="AT34" s="426"/>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row>
    <row r="35" spans="1:80" ht="15.75" customHeight="1" thickBot="1" x14ac:dyDescent="0.35">
      <c r="A35" s="75"/>
      <c r="B35" s="296"/>
      <c r="C35" s="296"/>
      <c r="D35" s="297"/>
      <c r="E35" s="396"/>
      <c r="F35" s="397"/>
      <c r="G35" s="397"/>
      <c r="H35" s="397"/>
      <c r="I35" s="411"/>
      <c r="J35" s="59" t="e">
        <f>IF(AND('Mapa final'!#REF!="Media",'Mapa final'!#REF!="Leve"),CONCATENATE("R10C",'Mapa final'!#REF!),"")</f>
        <v>#REF!</v>
      </c>
      <c r="K35" s="60" t="e">
        <f>IF(AND('Mapa final'!#REF!="Media",'Mapa final'!#REF!="Leve"),CONCATENATE("R10C",'Mapa final'!#REF!),"")</f>
        <v>#REF!</v>
      </c>
      <c r="L35" s="60" t="e">
        <f>IF(AND('Mapa final'!#REF!="Media",'Mapa final'!#REF!="Leve"),CONCATENATE("R10C",'Mapa final'!#REF!),"")</f>
        <v>#REF!</v>
      </c>
      <c r="M35" s="60" t="e">
        <f>IF(AND('Mapa final'!#REF!="Media",'Mapa final'!#REF!="Leve"),CONCATENATE("R10C",'Mapa final'!#REF!),"")</f>
        <v>#REF!</v>
      </c>
      <c r="N35" s="60" t="e">
        <f>IF(AND('Mapa final'!#REF!="Media",'Mapa final'!#REF!="Leve"),CONCATENATE("R10C",'Mapa final'!#REF!),"")</f>
        <v>#REF!</v>
      </c>
      <c r="O35" s="61" t="e">
        <f>IF(AND('Mapa final'!#REF!="Media",'Mapa final'!#REF!="Leve"),CONCATENATE("R10C",'Mapa final'!#REF!),"")</f>
        <v>#REF!</v>
      </c>
      <c r="P35" s="59" t="e">
        <f>IF(AND('Mapa final'!#REF!="Media",'Mapa final'!#REF!="Menor"),CONCATENATE("R10C",'Mapa final'!#REF!),"")</f>
        <v>#REF!</v>
      </c>
      <c r="Q35" s="60" t="e">
        <f>IF(AND('Mapa final'!#REF!="Media",'Mapa final'!#REF!="Menor"),CONCATENATE("R10C",'Mapa final'!#REF!),"")</f>
        <v>#REF!</v>
      </c>
      <c r="R35" s="60" t="e">
        <f>IF(AND('Mapa final'!#REF!="Media",'Mapa final'!#REF!="Menor"),CONCATENATE("R10C",'Mapa final'!#REF!),"")</f>
        <v>#REF!</v>
      </c>
      <c r="S35" s="60" t="e">
        <f>IF(AND('Mapa final'!#REF!="Media",'Mapa final'!#REF!="Menor"),CONCATENATE("R10C",'Mapa final'!#REF!),"")</f>
        <v>#REF!</v>
      </c>
      <c r="T35" s="60" t="e">
        <f>IF(AND('Mapa final'!#REF!="Media",'Mapa final'!#REF!="Menor"),CONCATENATE("R10C",'Mapa final'!#REF!),"")</f>
        <v>#REF!</v>
      </c>
      <c r="U35" s="61" t="e">
        <f>IF(AND('Mapa final'!#REF!="Media",'Mapa final'!#REF!="Menor"),CONCATENATE("R10C",'Mapa final'!#REF!),"")</f>
        <v>#REF!</v>
      </c>
      <c r="V35" s="59" t="e">
        <f>IF(AND('Mapa final'!#REF!="Media",'Mapa final'!#REF!="Moderado"),CONCATENATE("R10C",'Mapa final'!#REF!),"")</f>
        <v>#REF!</v>
      </c>
      <c r="W35" s="60" t="e">
        <f>IF(AND('Mapa final'!#REF!="Media",'Mapa final'!#REF!="Moderado"),CONCATENATE("R10C",'Mapa final'!#REF!),"")</f>
        <v>#REF!</v>
      </c>
      <c r="X35" s="60" t="e">
        <f>IF(AND('Mapa final'!#REF!="Media",'Mapa final'!#REF!="Moderado"),CONCATENATE("R10C",'Mapa final'!#REF!),"")</f>
        <v>#REF!</v>
      </c>
      <c r="Y35" s="60" t="e">
        <f>IF(AND('Mapa final'!#REF!="Media",'Mapa final'!#REF!="Moderado"),CONCATENATE("R10C",'Mapa final'!#REF!),"")</f>
        <v>#REF!</v>
      </c>
      <c r="Z35" s="60" t="e">
        <f>IF(AND('Mapa final'!#REF!="Media",'Mapa final'!#REF!="Moderado"),CONCATENATE("R10C",'Mapa final'!#REF!),"")</f>
        <v>#REF!</v>
      </c>
      <c r="AA35" s="61" t="e">
        <f>IF(AND('Mapa final'!#REF!="Media",'Mapa final'!#REF!="Moderado"),CONCATENATE("R10C",'Mapa final'!#REF!),"")</f>
        <v>#REF!</v>
      </c>
      <c r="AB35" s="50" t="e">
        <f>IF(AND('Mapa final'!#REF!="Media",'Mapa final'!#REF!="Mayor"),CONCATENATE("R10C",'Mapa final'!#REF!),"")</f>
        <v>#REF!</v>
      </c>
      <c r="AC35" s="51" t="e">
        <f>IF(AND('Mapa final'!#REF!="Media",'Mapa final'!#REF!="Mayor"),CONCATENATE("R10C",'Mapa final'!#REF!),"")</f>
        <v>#REF!</v>
      </c>
      <c r="AD35" s="51" t="e">
        <f>IF(AND('Mapa final'!#REF!="Media",'Mapa final'!#REF!="Mayor"),CONCATENATE("R10C",'Mapa final'!#REF!),"")</f>
        <v>#REF!</v>
      </c>
      <c r="AE35" s="51" t="e">
        <f>IF(AND('Mapa final'!#REF!="Media",'Mapa final'!#REF!="Mayor"),CONCATENATE("R10C",'Mapa final'!#REF!),"")</f>
        <v>#REF!</v>
      </c>
      <c r="AF35" s="51" t="e">
        <f>IF(AND('Mapa final'!#REF!="Media",'Mapa final'!#REF!="Mayor"),CONCATENATE("R10C",'Mapa final'!#REF!),"")</f>
        <v>#REF!</v>
      </c>
      <c r="AG35" s="52" t="e">
        <f>IF(AND('Mapa final'!#REF!="Media",'Mapa final'!#REF!="Mayor"),CONCATENATE("R10C",'Mapa final'!#REF!),"")</f>
        <v>#REF!</v>
      </c>
      <c r="AH35" s="53" t="e">
        <f>IF(AND('Mapa final'!#REF!="Media",'Mapa final'!#REF!="Catastrófico"),CONCATENATE("R10C",'Mapa final'!#REF!),"")</f>
        <v>#REF!</v>
      </c>
      <c r="AI35" s="54" t="e">
        <f>IF(AND('Mapa final'!#REF!="Media",'Mapa final'!#REF!="Catastrófico"),CONCATENATE("R10C",'Mapa final'!#REF!),"")</f>
        <v>#REF!</v>
      </c>
      <c r="AJ35" s="54" t="e">
        <f>IF(AND('Mapa final'!#REF!="Media",'Mapa final'!#REF!="Catastrófico"),CONCATENATE("R10C",'Mapa final'!#REF!),"")</f>
        <v>#REF!</v>
      </c>
      <c r="AK35" s="54" t="e">
        <f>IF(AND('Mapa final'!#REF!="Media",'Mapa final'!#REF!="Catastrófico"),CONCATENATE("R10C",'Mapa final'!#REF!),"")</f>
        <v>#REF!</v>
      </c>
      <c r="AL35" s="54" t="e">
        <f>IF(AND('Mapa final'!#REF!="Media",'Mapa final'!#REF!="Catastrófico"),CONCATENATE("R10C",'Mapa final'!#REF!),"")</f>
        <v>#REF!</v>
      </c>
      <c r="AM35" s="55" t="e">
        <f>IF(AND('Mapa final'!#REF!="Media",'Mapa final'!#REF!="Catastrófico"),CONCATENATE("R10C",'Mapa final'!#REF!),"")</f>
        <v>#REF!</v>
      </c>
      <c r="AN35" s="75"/>
      <c r="AO35" s="427"/>
      <c r="AP35" s="428"/>
      <c r="AQ35" s="428"/>
      <c r="AR35" s="428"/>
      <c r="AS35" s="428"/>
      <c r="AT35" s="429"/>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row>
    <row r="36" spans="1:80" ht="15" customHeight="1" x14ac:dyDescent="0.3">
      <c r="A36" s="75"/>
      <c r="B36" s="296"/>
      <c r="C36" s="296"/>
      <c r="D36" s="297"/>
      <c r="E36" s="391" t="s">
        <v>244</v>
      </c>
      <c r="F36" s="392"/>
      <c r="G36" s="392"/>
      <c r="H36" s="392"/>
      <c r="I36" s="392"/>
      <c r="J36" s="65" t="e">
        <f>IF(AND('Mapa final'!#REF!="Baja",'Mapa final'!#REF!="Leve"),CONCATENATE("R1C",'Mapa final'!#REF!),"")</f>
        <v>#REF!</v>
      </c>
      <c r="K36" s="66" t="e">
        <f>IF(AND('Mapa final'!#REF!="Baja",'Mapa final'!#REF!="Leve"),CONCATENATE("R1C",'Mapa final'!#REF!),"")</f>
        <v>#REF!</v>
      </c>
      <c r="L36" s="66" t="e">
        <f>IF(AND('Mapa final'!#REF!="Baja",'Mapa final'!#REF!="Leve"),CONCATENATE("R1C",'Mapa final'!#REF!),"")</f>
        <v>#REF!</v>
      </c>
      <c r="M36" s="66" t="e">
        <f>IF(AND('Mapa final'!#REF!="Baja",'Mapa final'!#REF!="Leve"),CONCATENATE("R1C",'Mapa final'!#REF!),"")</f>
        <v>#REF!</v>
      </c>
      <c r="N36" s="66" t="e">
        <f>IF(AND('Mapa final'!#REF!="Baja",'Mapa final'!#REF!="Leve"),CONCATENATE("R1C",'Mapa final'!#REF!),"")</f>
        <v>#REF!</v>
      </c>
      <c r="O36" s="67" t="e">
        <f>IF(AND('Mapa final'!#REF!="Baja",'Mapa final'!#REF!="Leve"),CONCATENATE("R1C",'Mapa final'!#REF!),"")</f>
        <v>#REF!</v>
      </c>
      <c r="P36" s="56" t="e">
        <f>IF(AND('Mapa final'!#REF!="Baja",'Mapa final'!#REF!="Menor"),CONCATENATE("R1C",'Mapa final'!#REF!),"")</f>
        <v>#REF!</v>
      </c>
      <c r="Q36" s="57" t="e">
        <f>IF(AND('Mapa final'!#REF!="Baja",'Mapa final'!#REF!="Menor"),CONCATENATE("R1C",'Mapa final'!#REF!),"")</f>
        <v>#REF!</v>
      </c>
      <c r="R36" s="57" t="e">
        <f>IF(AND('Mapa final'!#REF!="Baja",'Mapa final'!#REF!="Menor"),CONCATENATE("R1C",'Mapa final'!#REF!),"")</f>
        <v>#REF!</v>
      </c>
      <c r="S36" s="57" t="e">
        <f>IF(AND('Mapa final'!#REF!="Baja",'Mapa final'!#REF!="Menor"),CONCATENATE("R1C",'Mapa final'!#REF!),"")</f>
        <v>#REF!</v>
      </c>
      <c r="T36" s="57" t="e">
        <f>IF(AND('Mapa final'!#REF!="Baja",'Mapa final'!#REF!="Menor"),CONCATENATE("R1C",'Mapa final'!#REF!),"")</f>
        <v>#REF!</v>
      </c>
      <c r="U36" s="58" t="e">
        <f>IF(AND('Mapa final'!#REF!="Baja",'Mapa final'!#REF!="Menor"),CONCATENATE("R1C",'Mapa final'!#REF!),"")</f>
        <v>#REF!</v>
      </c>
      <c r="V36" s="56" t="e">
        <f>IF(AND('Mapa final'!#REF!="Baja",'Mapa final'!#REF!="Moderado"),CONCATENATE("R1C",'Mapa final'!#REF!),"")</f>
        <v>#REF!</v>
      </c>
      <c r="W36" s="57" t="e">
        <f>IF(AND('Mapa final'!#REF!="Baja",'Mapa final'!#REF!="Moderado"),CONCATENATE("R1C",'Mapa final'!#REF!),"")</f>
        <v>#REF!</v>
      </c>
      <c r="X36" s="57" t="e">
        <f>IF(AND('Mapa final'!#REF!="Baja",'Mapa final'!#REF!="Moderado"),CONCATENATE("R1C",'Mapa final'!#REF!),"")</f>
        <v>#REF!</v>
      </c>
      <c r="Y36" s="57" t="e">
        <f>IF(AND('Mapa final'!#REF!="Baja",'Mapa final'!#REF!="Moderado"),CONCATENATE("R1C",'Mapa final'!#REF!),"")</f>
        <v>#REF!</v>
      </c>
      <c r="Z36" s="57" t="e">
        <f>IF(AND('Mapa final'!#REF!="Baja",'Mapa final'!#REF!="Moderado"),CONCATENATE("R1C",'Mapa final'!#REF!),"")</f>
        <v>#REF!</v>
      </c>
      <c r="AA36" s="58"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5"/>
      <c r="AO36" s="412" t="s">
        <v>245</v>
      </c>
      <c r="AP36" s="413"/>
      <c r="AQ36" s="413"/>
      <c r="AR36" s="413"/>
      <c r="AS36" s="413"/>
      <c r="AT36" s="414"/>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row>
    <row r="37" spans="1:80" ht="15" customHeight="1" x14ac:dyDescent="0.3">
      <c r="A37" s="75"/>
      <c r="B37" s="296"/>
      <c r="C37" s="296"/>
      <c r="D37" s="297"/>
      <c r="E37" s="393"/>
      <c r="F37" s="394"/>
      <c r="G37" s="394"/>
      <c r="H37" s="394"/>
      <c r="I37" s="394"/>
      <c r="J37" s="68" t="str">
        <f>IF(AND('Mapa final'!$AF$13="Baja",'Mapa final'!$AH$13="Leve"),CONCATENATE("R2C",'Mapa final'!$U$13),"")</f>
        <v/>
      </c>
      <c r="K37" s="69" t="str">
        <f>IF(AND('Mapa final'!$AF$24="Baja",'Mapa final'!$AH$24="Leve"),CONCATENATE("R2C",'Mapa final'!$U$24),"")</f>
        <v>R2C1</v>
      </c>
      <c r="L37" s="69" t="e">
        <f>IF(AND('Mapa final'!#REF!="Baja",'Mapa final'!#REF!="Leve"),CONCATENATE("R2C",'Mapa final'!#REF!),"")</f>
        <v>#REF!</v>
      </c>
      <c r="M37" s="69" t="e">
        <f>IF(AND('Mapa final'!#REF!="Baja",'Mapa final'!#REF!="Leve"),CONCATENATE("R2C",'Mapa final'!#REF!),"")</f>
        <v>#REF!</v>
      </c>
      <c r="N37" s="69" t="e">
        <f>IF(AND('Mapa final'!#REF!="Baja",'Mapa final'!#REF!="Leve"),CONCATENATE("R2C",'Mapa final'!#REF!),"")</f>
        <v>#REF!</v>
      </c>
      <c r="O37" s="70" t="e">
        <f>IF(AND('Mapa final'!#REF!="Baja",'Mapa final'!#REF!="Leve"),CONCATENATE("R2C",'Mapa final'!#REF!),"")</f>
        <v>#REF!</v>
      </c>
      <c r="P37" s="59" t="str">
        <f>IF(AND('Mapa final'!$AF$13="Baja",'Mapa final'!$AH$13="Menor"),CONCATENATE("R2C",'Mapa final'!$U$13),"")</f>
        <v/>
      </c>
      <c r="Q37" s="60" t="str">
        <f>IF(AND('Mapa final'!$AF$24="Baja",'Mapa final'!$AH$24="Menor"),CONCATENATE("R2C",'Mapa final'!$U$24),"")</f>
        <v/>
      </c>
      <c r="R37" s="60" t="e">
        <f>IF(AND('Mapa final'!#REF!="Baja",'Mapa final'!#REF!="Menor"),CONCATENATE("R2C",'Mapa final'!#REF!),"")</f>
        <v>#REF!</v>
      </c>
      <c r="S37" s="60" t="e">
        <f>IF(AND('Mapa final'!#REF!="Baja",'Mapa final'!#REF!="Menor"),CONCATENATE("R2C",'Mapa final'!#REF!),"")</f>
        <v>#REF!</v>
      </c>
      <c r="T37" s="60" t="e">
        <f>IF(AND('Mapa final'!#REF!="Baja",'Mapa final'!#REF!="Menor"),CONCATENATE("R2C",'Mapa final'!#REF!),"")</f>
        <v>#REF!</v>
      </c>
      <c r="U37" s="61" t="e">
        <f>IF(AND('Mapa final'!#REF!="Baja",'Mapa final'!#REF!="Menor"),CONCATENATE("R2C",'Mapa final'!#REF!),"")</f>
        <v>#REF!</v>
      </c>
      <c r="V37" s="59" t="str">
        <f>IF(AND('Mapa final'!$AF$13="Baja",'Mapa final'!$AH$13="Moderado"),CONCATENATE("R2C",'Mapa final'!$U$13),"")</f>
        <v/>
      </c>
      <c r="W37" s="60" t="str">
        <f>IF(AND('Mapa final'!$AF$24="Baja",'Mapa final'!$AH$24="Moderado"),CONCATENATE("R2C",'Mapa final'!$U$24),"")</f>
        <v/>
      </c>
      <c r="X37" s="60" t="e">
        <f>IF(AND('Mapa final'!#REF!="Baja",'Mapa final'!#REF!="Moderado"),CONCATENATE("R2C",'Mapa final'!#REF!),"")</f>
        <v>#REF!</v>
      </c>
      <c r="Y37" s="60" t="e">
        <f>IF(AND('Mapa final'!#REF!="Baja",'Mapa final'!#REF!="Moderado"),CONCATENATE("R2C",'Mapa final'!#REF!),"")</f>
        <v>#REF!</v>
      </c>
      <c r="Z37" s="60" t="e">
        <f>IF(AND('Mapa final'!#REF!="Baja",'Mapa final'!#REF!="Moderado"),CONCATENATE("R2C",'Mapa final'!#REF!),"")</f>
        <v>#REF!</v>
      </c>
      <c r="AA37" s="61" t="e">
        <f>IF(AND('Mapa final'!#REF!="Baja",'Mapa final'!#REF!="Moderado"),CONCATENATE("R2C",'Mapa final'!#REF!),"")</f>
        <v>#REF!</v>
      </c>
      <c r="AB37" s="44" t="str">
        <f>IF(AND('Mapa final'!$AF$13="Baja",'Mapa final'!$AH$13="Mayor"),CONCATENATE("R2C",'Mapa final'!$U$13),"")</f>
        <v/>
      </c>
      <c r="AC37" s="45" t="str">
        <f>IF(AND('Mapa final'!$AF$24="Baja",'Mapa final'!$AH$24="Mayor"),CONCATENATE("R2C",'Mapa final'!$U$24),"")</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final'!$AF$13="Baja",'Mapa final'!$AH$13="Catastrófico"),CONCATENATE("R2C",'Mapa final'!$U$13),"")</f>
        <v/>
      </c>
      <c r="AI37" s="48" t="str">
        <f>IF(AND('Mapa final'!$AF$24="Baja",'Mapa final'!$AH$24="Catastrófico"),CONCATENATE("R2C",'Mapa final'!$U$24),"")</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5"/>
      <c r="AO37" s="415"/>
      <c r="AP37" s="416"/>
      <c r="AQ37" s="416"/>
      <c r="AR37" s="416"/>
      <c r="AS37" s="416"/>
      <c r="AT37" s="417"/>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row>
    <row r="38" spans="1:80" ht="15" customHeight="1" x14ac:dyDescent="0.3">
      <c r="A38" s="75"/>
      <c r="B38" s="296"/>
      <c r="C38" s="296"/>
      <c r="D38" s="297"/>
      <c r="E38" s="395"/>
      <c r="F38" s="394"/>
      <c r="G38" s="394"/>
      <c r="H38" s="394"/>
      <c r="I38" s="394"/>
      <c r="J38" s="68" t="e">
        <f>IF(AND('Mapa final'!#REF!="Baja",'Mapa final'!#REF!="Leve"),CONCATENATE("R3C",'Mapa final'!#REF!),"")</f>
        <v>#REF!</v>
      </c>
      <c r="K38" s="69" t="e">
        <f>IF(AND('Mapa final'!#REF!="Baja",'Mapa final'!#REF!="Leve"),CONCATENATE("R3C",'Mapa final'!#REF!),"")</f>
        <v>#REF!</v>
      </c>
      <c r="L38" s="69" t="e">
        <f>IF(AND('Mapa final'!#REF!="Baja",'Mapa final'!#REF!="Leve"),CONCATENATE("R3C",'Mapa final'!#REF!),"")</f>
        <v>#REF!</v>
      </c>
      <c r="M38" s="69" t="e">
        <f>IF(AND('Mapa final'!#REF!="Baja",'Mapa final'!#REF!="Leve"),CONCATENATE("R3C",'Mapa final'!#REF!),"")</f>
        <v>#REF!</v>
      </c>
      <c r="N38" s="69" t="e">
        <f>IF(AND('Mapa final'!#REF!="Baja",'Mapa final'!#REF!="Leve"),CONCATENATE("R3C",'Mapa final'!#REF!),"")</f>
        <v>#REF!</v>
      </c>
      <c r="O38" s="70" t="e">
        <f>IF(AND('Mapa final'!#REF!="Baja",'Mapa final'!#REF!="Leve"),CONCATENATE("R3C",'Mapa final'!#REF!),"")</f>
        <v>#REF!</v>
      </c>
      <c r="P38" s="59" t="e">
        <f>IF(AND('Mapa final'!#REF!="Baja",'Mapa final'!#REF!="Menor"),CONCATENATE("R3C",'Mapa final'!#REF!),"")</f>
        <v>#REF!</v>
      </c>
      <c r="Q38" s="60" t="e">
        <f>IF(AND('Mapa final'!#REF!="Baja",'Mapa final'!#REF!="Menor"),CONCATENATE("R3C",'Mapa final'!#REF!),"")</f>
        <v>#REF!</v>
      </c>
      <c r="R38" s="60" t="e">
        <f>IF(AND('Mapa final'!#REF!="Baja",'Mapa final'!#REF!="Menor"),CONCATENATE("R3C",'Mapa final'!#REF!),"")</f>
        <v>#REF!</v>
      </c>
      <c r="S38" s="60" t="e">
        <f>IF(AND('Mapa final'!#REF!="Baja",'Mapa final'!#REF!="Menor"),CONCATENATE("R3C",'Mapa final'!#REF!),"")</f>
        <v>#REF!</v>
      </c>
      <c r="T38" s="60" t="e">
        <f>IF(AND('Mapa final'!#REF!="Baja",'Mapa final'!#REF!="Menor"),CONCATENATE("R3C",'Mapa final'!#REF!),"")</f>
        <v>#REF!</v>
      </c>
      <c r="U38" s="61" t="e">
        <f>IF(AND('Mapa final'!#REF!="Baja",'Mapa final'!#REF!="Menor"),CONCATENATE("R3C",'Mapa final'!#REF!),"")</f>
        <v>#REF!</v>
      </c>
      <c r="V38" s="59" t="e">
        <f>IF(AND('Mapa final'!#REF!="Baja",'Mapa final'!#REF!="Moderado"),CONCATENATE("R3C",'Mapa final'!#REF!),"")</f>
        <v>#REF!</v>
      </c>
      <c r="W38" s="60" t="e">
        <f>IF(AND('Mapa final'!#REF!="Baja",'Mapa final'!#REF!="Moderado"),CONCATENATE("R3C",'Mapa final'!#REF!),"")</f>
        <v>#REF!</v>
      </c>
      <c r="X38" s="60" t="e">
        <f>IF(AND('Mapa final'!#REF!="Baja",'Mapa final'!#REF!="Moderado"),CONCATENATE("R3C",'Mapa final'!#REF!),"")</f>
        <v>#REF!</v>
      </c>
      <c r="Y38" s="60" t="e">
        <f>IF(AND('Mapa final'!#REF!="Baja",'Mapa final'!#REF!="Moderado"),CONCATENATE("R3C",'Mapa final'!#REF!),"")</f>
        <v>#REF!</v>
      </c>
      <c r="Z38" s="60" t="e">
        <f>IF(AND('Mapa final'!#REF!="Baja",'Mapa final'!#REF!="Moderado"),CONCATENATE("R3C",'Mapa final'!#REF!),"")</f>
        <v>#REF!</v>
      </c>
      <c r="AA38" s="61"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5"/>
      <c r="AO38" s="415"/>
      <c r="AP38" s="416"/>
      <c r="AQ38" s="416"/>
      <c r="AR38" s="416"/>
      <c r="AS38" s="416"/>
      <c r="AT38" s="417"/>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row>
    <row r="39" spans="1:80" ht="15" customHeight="1" x14ac:dyDescent="0.3">
      <c r="A39" s="75"/>
      <c r="B39" s="296"/>
      <c r="C39" s="296"/>
      <c r="D39" s="297"/>
      <c r="E39" s="395"/>
      <c r="F39" s="394"/>
      <c r="G39" s="394"/>
      <c r="H39" s="394"/>
      <c r="I39" s="394"/>
      <c r="J39" s="68" t="e">
        <f>IF(AND('Mapa final'!#REF!="Baja",'Mapa final'!#REF!="Leve"),CONCATENATE("R4C",'Mapa final'!#REF!),"")</f>
        <v>#REF!</v>
      </c>
      <c r="K39" s="69" t="e">
        <f>IF(AND('Mapa final'!#REF!="Baja",'Mapa final'!#REF!="Leve"),CONCATENATE("R4C",'Mapa final'!#REF!),"")</f>
        <v>#REF!</v>
      </c>
      <c r="L39" s="69" t="e">
        <f>IF(AND('Mapa final'!#REF!="Baja",'Mapa final'!#REF!="Leve"),CONCATENATE("R4C",'Mapa final'!#REF!),"")</f>
        <v>#REF!</v>
      </c>
      <c r="M39" s="69" t="e">
        <f>IF(AND('Mapa final'!#REF!="Baja",'Mapa final'!#REF!="Leve"),CONCATENATE("R4C",'Mapa final'!#REF!),"")</f>
        <v>#REF!</v>
      </c>
      <c r="N39" s="69" t="e">
        <f>IF(AND('Mapa final'!#REF!="Baja",'Mapa final'!#REF!="Leve"),CONCATENATE("R4C",'Mapa final'!#REF!),"")</f>
        <v>#REF!</v>
      </c>
      <c r="O39" s="70" t="e">
        <f>IF(AND('Mapa final'!#REF!="Baja",'Mapa final'!#REF!="Leve"),CONCATENATE("R4C",'Mapa final'!#REF!),"")</f>
        <v>#REF!</v>
      </c>
      <c r="P39" s="59" t="e">
        <f>IF(AND('Mapa final'!#REF!="Baja",'Mapa final'!#REF!="Menor"),CONCATENATE("R4C",'Mapa final'!#REF!),"")</f>
        <v>#REF!</v>
      </c>
      <c r="Q39" s="60" t="e">
        <f>IF(AND('Mapa final'!#REF!="Baja",'Mapa final'!#REF!="Menor"),CONCATENATE("R4C",'Mapa final'!#REF!),"")</f>
        <v>#REF!</v>
      </c>
      <c r="R39" s="60" t="e">
        <f>IF(AND('Mapa final'!#REF!="Baja",'Mapa final'!#REF!="Menor"),CONCATENATE("R4C",'Mapa final'!#REF!),"")</f>
        <v>#REF!</v>
      </c>
      <c r="S39" s="60" t="e">
        <f>IF(AND('Mapa final'!#REF!="Baja",'Mapa final'!#REF!="Menor"),CONCATENATE("R4C",'Mapa final'!#REF!),"")</f>
        <v>#REF!</v>
      </c>
      <c r="T39" s="60" t="e">
        <f>IF(AND('Mapa final'!#REF!="Baja",'Mapa final'!#REF!="Menor"),CONCATENATE("R4C",'Mapa final'!#REF!),"")</f>
        <v>#REF!</v>
      </c>
      <c r="U39" s="61" t="e">
        <f>IF(AND('Mapa final'!#REF!="Baja",'Mapa final'!#REF!="Menor"),CONCATENATE("R4C",'Mapa final'!#REF!),"")</f>
        <v>#REF!</v>
      </c>
      <c r="V39" s="59" t="e">
        <f>IF(AND('Mapa final'!#REF!="Baja",'Mapa final'!#REF!="Moderado"),CONCATENATE("R4C",'Mapa final'!#REF!),"")</f>
        <v>#REF!</v>
      </c>
      <c r="W39" s="60" t="e">
        <f>IF(AND('Mapa final'!#REF!="Baja",'Mapa final'!#REF!="Moderado"),CONCATENATE("R4C",'Mapa final'!#REF!),"")</f>
        <v>#REF!</v>
      </c>
      <c r="X39" s="60" t="e">
        <f>IF(AND('Mapa final'!#REF!="Baja",'Mapa final'!#REF!="Moderado"),CONCATENATE("R4C",'Mapa final'!#REF!),"")</f>
        <v>#REF!</v>
      </c>
      <c r="Y39" s="60" t="e">
        <f>IF(AND('Mapa final'!#REF!="Baja",'Mapa final'!#REF!="Moderado"),CONCATENATE("R4C",'Mapa final'!#REF!),"")</f>
        <v>#REF!</v>
      </c>
      <c r="Z39" s="60" t="e">
        <f>IF(AND('Mapa final'!#REF!="Baja",'Mapa final'!#REF!="Moderado"),CONCATENATE("R4C",'Mapa final'!#REF!),"")</f>
        <v>#REF!</v>
      </c>
      <c r="AA39" s="61"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5"/>
      <c r="AO39" s="415"/>
      <c r="AP39" s="416"/>
      <c r="AQ39" s="416"/>
      <c r="AR39" s="416"/>
      <c r="AS39" s="416"/>
      <c r="AT39" s="417"/>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row>
    <row r="40" spans="1:80" ht="15" customHeight="1" x14ac:dyDescent="0.3">
      <c r="A40" s="75"/>
      <c r="B40" s="296"/>
      <c r="C40" s="296"/>
      <c r="D40" s="297"/>
      <c r="E40" s="395"/>
      <c r="F40" s="394"/>
      <c r="G40" s="394"/>
      <c r="H40" s="394"/>
      <c r="I40" s="394"/>
      <c r="J40" s="68" t="e">
        <f>IF(AND('Mapa final'!#REF!="Baja",'Mapa final'!#REF!="Leve"),CONCATENATE("R5C",'Mapa final'!#REF!),"")</f>
        <v>#REF!</v>
      </c>
      <c r="K40" s="69" t="e">
        <f>IF(AND('Mapa final'!#REF!="Baja",'Mapa final'!#REF!="Leve"),CONCATENATE("R5C",'Mapa final'!#REF!),"")</f>
        <v>#REF!</v>
      </c>
      <c r="L40" s="69" t="e">
        <f>IF(AND('Mapa final'!#REF!="Baja",'Mapa final'!#REF!="Leve"),CONCATENATE("R5C",'Mapa final'!#REF!),"")</f>
        <v>#REF!</v>
      </c>
      <c r="M40" s="69" t="e">
        <f>IF(AND('Mapa final'!#REF!="Baja",'Mapa final'!#REF!="Leve"),CONCATENATE("R5C",'Mapa final'!#REF!),"")</f>
        <v>#REF!</v>
      </c>
      <c r="N40" s="69" t="e">
        <f>IF(AND('Mapa final'!#REF!="Baja",'Mapa final'!#REF!="Leve"),CONCATENATE("R5C",'Mapa final'!#REF!),"")</f>
        <v>#REF!</v>
      </c>
      <c r="O40" s="70" t="e">
        <f>IF(AND('Mapa final'!#REF!="Baja",'Mapa final'!#REF!="Leve"),CONCATENATE("R5C",'Mapa final'!#REF!),"")</f>
        <v>#REF!</v>
      </c>
      <c r="P40" s="59" t="e">
        <f>IF(AND('Mapa final'!#REF!="Baja",'Mapa final'!#REF!="Menor"),CONCATENATE("R5C",'Mapa final'!#REF!),"")</f>
        <v>#REF!</v>
      </c>
      <c r="Q40" s="60" t="e">
        <f>IF(AND('Mapa final'!#REF!="Baja",'Mapa final'!#REF!="Menor"),CONCATENATE("R5C",'Mapa final'!#REF!),"")</f>
        <v>#REF!</v>
      </c>
      <c r="R40" s="60" t="e">
        <f>IF(AND('Mapa final'!#REF!="Baja",'Mapa final'!#REF!="Menor"),CONCATENATE("R5C",'Mapa final'!#REF!),"")</f>
        <v>#REF!</v>
      </c>
      <c r="S40" s="60" t="e">
        <f>IF(AND('Mapa final'!#REF!="Baja",'Mapa final'!#REF!="Menor"),CONCATENATE("R5C",'Mapa final'!#REF!),"")</f>
        <v>#REF!</v>
      </c>
      <c r="T40" s="60" t="e">
        <f>IF(AND('Mapa final'!#REF!="Baja",'Mapa final'!#REF!="Menor"),CONCATENATE("R5C",'Mapa final'!#REF!),"")</f>
        <v>#REF!</v>
      </c>
      <c r="U40" s="61" t="e">
        <f>IF(AND('Mapa final'!#REF!="Baja",'Mapa final'!#REF!="Menor"),CONCATENATE("R5C",'Mapa final'!#REF!),"")</f>
        <v>#REF!</v>
      </c>
      <c r="V40" s="59" t="e">
        <f>IF(AND('Mapa final'!#REF!="Baja",'Mapa final'!#REF!="Moderado"),CONCATENATE("R5C",'Mapa final'!#REF!),"")</f>
        <v>#REF!</v>
      </c>
      <c r="W40" s="60" t="e">
        <f>IF(AND('Mapa final'!#REF!="Baja",'Mapa final'!#REF!="Moderado"),CONCATENATE("R5C",'Mapa final'!#REF!),"")</f>
        <v>#REF!</v>
      </c>
      <c r="X40" s="60" t="e">
        <f>IF(AND('Mapa final'!#REF!="Baja",'Mapa final'!#REF!="Moderado"),CONCATENATE("R5C",'Mapa final'!#REF!),"")</f>
        <v>#REF!</v>
      </c>
      <c r="Y40" s="60" t="e">
        <f>IF(AND('Mapa final'!#REF!="Baja",'Mapa final'!#REF!="Moderado"),CONCATENATE("R5C",'Mapa final'!#REF!),"")</f>
        <v>#REF!</v>
      </c>
      <c r="Z40" s="60" t="e">
        <f>IF(AND('Mapa final'!#REF!="Baja",'Mapa final'!#REF!="Moderado"),CONCATENATE("R5C",'Mapa final'!#REF!),"")</f>
        <v>#REF!</v>
      </c>
      <c r="AA40" s="61"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45" t="e">
        <f>IF(AND('Mapa final'!#REF!="Baja",'Mapa final'!#REF!="Mayor"),CONCATENATE("R5C",'Mapa final'!#REF!),"")</f>
        <v>#REF!</v>
      </c>
      <c r="AE40" s="45" t="e">
        <f>IF(AND('Mapa final'!#REF!="Baja",'Mapa final'!#REF!="Mayor"),CONCATENATE("R5C",'Mapa final'!#REF!),"")</f>
        <v>#REF!</v>
      </c>
      <c r="AF40" s="45"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5"/>
      <c r="AO40" s="415"/>
      <c r="AP40" s="416"/>
      <c r="AQ40" s="416"/>
      <c r="AR40" s="416"/>
      <c r="AS40" s="416"/>
      <c r="AT40" s="417"/>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row>
    <row r="41" spans="1:80" ht="15" customHeight="1" x14ac:dyDescent="0.3">
      <c r="A41" s="75"/>
      <c r="B41" s="296"/>
      <c r="C41" s="296"/>
      <c r="D41" s="297"/>
      <c r="E41" s="395"/>
      <c r="F41" s="394"/>
      <c r="G41" s="394"/>
      <c r="H41" s="394"/>
      <c r="I41" s="394"/>
      <c r="J41" s="68" t="e">
        <f>IF(AND('Mapa final'!#REF!="Baja",'Mapa final'!#REF!="Leve"),CONCATENATE("R6C",'Mapa final'!#REF!),"")</f>
        <v>#REF!</v>
      </c>
      <c r="K41" s="69" t="e">
        <f>IF(AND('Mapa final'!#REF!="Baja",'Mapa final'!#REF!="Leve"),CONCATENATE("R6C",'Mapa final'!#REF!),"")</f>
        <v>#REF!</v>
      </c>
      <c r="L41" s="69" t="e">
        <f>IF(AND('Mapa final'!#REF!="Baja",'Mapa final'!#REF!="Leve"),CONCATENATE("R6C",'Mapa final'!#REF!),"")</f>
        <v>#REF!</v>
      </c>
      <c r="M41" s="69" t="e">
        <f>IF(AND('Mapa final'!#REF!="Baja",'Mapa final'!#REF!="Leve"),CONCATENATE("R6C",'Mapa final'!#REF!),"")</f>
        <v>#REF!</v>
      </c>
      <c r="N41" s="69" t="e">
        <f>IF(AND('Mapa final'!#REF!="Baja",'Mapa final'!#REF!="Leve"),CONCATENATE("R6C",'Mapa final'!#REF!),"")</f>
        <v>#REF!</v>
      </c>
      <c r="O41" s="70" t="e">
        <f>IF(AND('Mapa final'!#REF!="Baja",'Mapa final'!#REF!="Leve"),CONCATENATE("R6C",'Mapa final'!#REF!),"")</f>
        <v>#REF!</v>
      </c>
      <c r="P41" s="59" t="e">
        <f>IF(AND('Mapa final'!#REF!="Baja",'Mapa final'!#REF!="Menor"),CONCATENATE("R6C",'Mapa final'!#REF!),"")</f>
        <v>#REF!</v>
      </c>
      <c r="Q41" s="60" t="e">
        <f>IF(AND('Mapa final'!#REF!="Baja",'Mapa final'!#REF!="Menor"),CONCATENATE("R6C",'Mapa final'!#REF!),"")</f>
        <v>#REF!</v>
      </c>
      <c r="R41" s="60" t="e">
        <f>IF(AND('Mapa final'!#REF!="Baja",'Mapa final'!#REF!="Menor"),CONCATENATE("R6C",'Mapa final'!#REF!),"")</f>
        <v>#REF!</v>
      </c>
      <c r="S41" s="60" t="e">
        <f>IF(AND('Mapa final'!#REF!="Baja",'Mapa final'!#REF!="Menor"),CONCATENATE("R6C",'Mapa final'!#REF!),"")</f>
        <v>#REF!</v>
      </c>
      <c r="T41" s="60" t="e">
        <f>IF(AND('Mapa final'!#REF!="Baja",'Mapa final'!#REF!="Menor"),CONCATENATE("R6C",'Mapa final'!#REF!),"")</f>
        <v>#REF!</v>
      </c>
      <c r="U41" s="61" t="e">
        <f>IF(AND('Mapa final'!#REF!="Baja",'Mapa final'!#REF!="Menor"),CONCATENATE("R6C",'Mapa final'!#REF!),"")</f>
        <v>#REF!</v>
      </c>
      <c r="V41" s="59" t="e">
        <f>IF(AND('Mapa final'!#REF!="Baja",'Mapa final'!#REF!="Moderado"),CONCATENATE("R6C",'Mapa final'!#REF!),"")</f>
        <v>#REF!</v>
      </c>
      <c r="W41" s="60" t="e">
        <f>IF(AND('Mapa final'!#REF!="Baja",'Mapa final'!#REF!="Moderado"),CONCATENATE("R6C",'Mapa final'!#REF!),"")</f>
        <v>#REF!</v>
      </c>
      <c r="X41" s="60" t="e">
        <f>IF(AND('Mapa final'!#REF!="Baja",'Mapa final'!#REF!="Moderado"),CONCATENATE("R6C",'Mapa final'!#REF!),"")</f>
        <v>#REF!</v>
      </c>
      <c r="Y41" s="60" t="e">
        <f>IF(AND('Mapa final'!#REF!="Baja",'Mapa final'!#REF!="Moderado"),CONCATENATE("R6C",'Mapa final'!#REF!),"")</f>
        <v>#REF!</v>
      </c>
      <c r="Z41" s="60" t="e">
        <f>IF(AND('Mapa final'!#REF!="Baja",'Mapa final'!#REF!="Moderado"),CONCATENATE("R6C",'Mapa final'!#REF!),"")</f>
        <v>#REF!</v>
      </c>
      <c r="AA41" s="61"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45" t="e">
        <f>IF(AND('Mapa final'!#REF!="Baja",'Mapa final'!#REF!="Mayor"),CONCATENATE("R6C",'Mapa final'!#REF!),"")</f>
        <v>#REF!</v>
      </c>
      <c r="AE41" s="45" t="e">
        <f>IF(AND('Mapa final'!#REF!="Baja",'Mapa final'!#REF!="Mayor"),CONCATENATE("R6C",'Mapa final'!#REF!),"")</f>
        <v>#REF!</v>
      </c>
      <c r="AF41" s="45"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5"/>
      <c r="AO41" s="415"/>
      <c r="AP41" s="416"/>
      <c r="AQ41" s="416"/>
      <c r="AR41" s="416"/>
      <c r="AS41" s="416"/>
      <c r="AT41" s="417"/>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row>
    <row r="42" spans="1:80" ht="15" customHeight="1" x14ac:dyDescent="0.3">
      <c r="A42" s="75"/>
      <c r="B42" s="296"/>
      <c r="C42" s="296"/>
      <c r="D42" s="297"/>
      <c r="E42" s="395"/>
      <c r="F42" s="394"/>
      <c r="G42" s="394"/>
      <c r="H42" s="394"/>
      <c r="I42" s="394"/>
      <c r="J42" s="68" t="e">
        <f>IF(AND('Mapa final'!#REF!="Baja",'Mapa final'!#REF!="Leve"),CONCATENATE("R7C",'Mapa final'!#REF!),"")</f>
        <v>#REF!</v>
      </c>
      <c r="K42" s="69" t="e">
        <f>IF(AND('Mapa final'!#REF!="Baja",'Mapa final'!#REF!="Leve"),CONCATENATE("R7C",'Mapa final'!#REF!),"")</f>
        <v>#REF!</v>
      </c>
      <c r="L42" s="69" t="e">
        <f>IF(AND('Mapa final'!#REF!="Baja",'Mapa final'!#REF!="Leve"),CONCATENATE("R7C",'Mapa final'!#REF!),"")</f>
        <v>#REF!</v>
      </c>
      <c r="M42" s="69" t="e">
        <f>IF(AND('Mapa final'!#REF!="Baja",'Mapa final'!#REF!="Leve"),CONCATENATE("R7C",'Mapa final'!#REF!),"")</f>
        <v>#REF!</v>
      </c>
      <c r="N42" s="69" t="e">
        <f>IF(AND('Mapa final'!#REF!="Baja",'Mapa final'!#REF!="Leve"),CONCATENATE("R7C",'Mapa final'!#REF!),"")</f>
        <v>#REF!</v>
      </c>
      <c r="O42" s="70" t="e">
        <f>IF(AND('Mapa final'!#REF!="Baja",'Mapa final'!#REF!="Leve"),CONCATENATE("R7C",'Mapa final'!#REF!),"")</f>
        <v>#REF!</v>
      </c>
      <c r="P42" s="59" t="e">
        <f>IF(AND('Mapa final'!#REF!="Baja",'Mapa final'!#REF!="Menor"),CONCATENATE("R7C",'Mapa final'!#REF!),"")</f>
        <v>#REF!</v>
      </c>
      <c r="Q42" s="60" t="e">
        <f>IF(AND('Mapa final'!#REF!="Baja",'Mapa final'!#REF!="Menor"),CONCATENATE("R7C",'Mapa final'!#REF!),"")</f>
        <v>#REF!</v>
      </c>
      <c r="R42" s="60" t="e">
        <f>IF(AND('Mapa final'!#REF!="Baja",'Mapa final'!#REF!="Menor"),CONCATENATE("R7C",'Mapa final'!#REF!),"")</f>
        <v>#REF!</v>
      </c>
      <c r="S42" s="60" t="e">
        <f>IF(AND('Mapa final'!#REF!="Baja",'Mapa final'!#REF!="Menor"),CONCATENATE("R7C",'Mapa final'!#REF!),"")</f>
        <v>#REF!</v>
      </c>
      <c r="T42" s="60" t="e">
        <f>IF(AND('Mapa final'!#REF!="Baja",'Mapa final'!#REF!="Menor"),CONCATENATE("R7C",'Mapa final'!#REF!),"")</f>
        <v>#REF!</v>
      </c>
      <c r="U42" s="61" t="e">
        <f>IF(AND('Mapa final'!#REF!="Baja",'Mapa final'!#REF!="Menor"),CONCATENATE("R7C",'Mapa final'!#REF!),"")</f>
        <v>#REF!</v>
      </c>
      <c r="V42" s="59" t="e">
        <f>IF(AND('Mapa final'!#REF!="Baja",'Mapa final'!#REF!="Moderado"),CONCATENATE("R7C",'Mapa final'!#REF!),"")</f>
        <v>#REF!</v>
      </c>
      <c r="W42" s="60" t="e">
        <f>IF(AND('Mapa final'!#REF!="Baja",'Mapa final'!#REF!="Moderado"),CONCATENATE("R7C",'Mapa final'!#REF!),"")</f>
        <v>#REF!</v>
      </c>
      <c r="X42" s="60" t="e">
        <f>IF(AND('Mapa final'!#REF!="Baja",'Mapa final'!#REF!="Moderado"),CONCATENATE("R7C",'Mapa final'!#REF!),"")</f>
        <v>#REF!</v>
      </c>
      <c r="Y42" s="60" t="e">
        <f>IF(AND('Mapa final'!#REF!="Baja",'Mapa final'!#REF!="Moderado"),CONCATENATE("R7C",'Mapa final'!#REF!),"")</f>
        <v>#REF!</v>
      </c>
      <c r="Z42" s="60" t="e">
        <f>IF(AND('Mapa final'!#REF!="Baja",'Mapa final'!#REF!="Moderado"),CONCATENATE("R7C",'Mapa final'!#REF!),"")</f>
        <v>#REF!</v>
      </c>
      <c r="AA42" s="61"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45" t="e">
        <f>IF(AND('Mapa final'!#REF!="Baja",'Mapa final'!#REF!="Mayor"),CONCATENATE("R7C",'Mapa final'!#REF!),"")</f>
        <v>#REF!</v>
      </c>
      <c r="AE42" s="45" t="e">
        <f>IF(AND('Mapa final'!#REF!="Baja",'Mapa final'!#REF!="Mayor"),CONCATENATE("R7C",'Mapa final'!#REF!),"")</f>
        <v>#REF!</v>
      </c>
      <c r="AF42" s="45"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5"/>
      <c r="AO42" s="415"/>
      <c r="AP42" s="416"/>
      <c r="AQ42" s="416"/>
      <c r="AR42" s="416"/>
      <c r="AS42" s="416"/>
      <c r="AT42" s="417"/>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row>
    <row r="43" spans="1:80" ht="15" customHeight="1" x14ac:dyDescent="0.3">
      <c r="A43" s="75"/>
      <c r="B43" s="296"/>
      <c r="C43" s="296"/>
      <c r="D43" s="297"/>
      <c r="E43" s="395"/>
      <c r="F43" s="394"/>
      <c r="G43" s="394"/>
      <c r="H43" s="394"/>
      <c r="I43" s="394"/>
      <c r="J43" s="68" t="e">
        <f>IF(AND('Mapa final'!#REF!="Baja",'Mapa final'!#REF!="Leve"),CONCATENATE("R8C",'Mapa final'!#REF!),"")</f>
        <v>#REF!</v>
      </c>
      <c r="K43" s="69" t="e">
        <f>IF(AND('Mapa final'!#REF!="Baja",'Mapa final'!#REF!="Leve"),CONCATENATE("R8C",'Mapa final'!#REF!),"")</f>
        <v>#REF!</v>
      </c>
      <c r="L43" s="69" t="e">
        <f>IF(AND('Mapa final'!#REF!="Baja",'Mapa final'!#REF!="Leve"),CONCATENATE("R8C",'Mapa final'!#REF!),"")</f>
        <v>#REF!</v>
      </c>
      <c r="M43" s="69" t="e">
        <f>IF(AND('Mapa final'!#REF!="Baja",'Mapa final'!#REF!="Leve"),CONCATENATE("R8C",'Mapa final'!#REF!),"")</f>
        <v>#REF!</v>
      </c>
      <c r="N43" s="69" t="e">
        <f>IF(AND('Mapa final'!#REF!="Baja",'Mapa final'!#REF!="Leve"),CONCATENATE("R8C",'Mapa final'!#REF!),"")</f>
        <v>#REF!</v>
      </c>
      <c r="O43" s="70" t="e">
        <f>IF(AND('Mapa final'!#REF!="Baja",'Mapa final'!#REF!="Leve"),CONCATENATE("R8C",'Mapa final'!#REF!),"")</f>
        <v>#REF!</v>
      </c>
      <c r="P43" s="59" t="e">
        <f>IF(AND('Mapa final'!#REF!="Baja",'Mapa final'!#REF!="Menor"),CONCATENATE("R8C",'Mapa final'!#REF!),"")</f>
        <v>#REF!</v>
      </c>
      <c r="Q43" s="60" t="e">
        <f>IF(AND('Mapa final'!#REF!="Baja",'Mapa final'!#REF!="Menor"),CONCATENATE("R8C",'Mapa final'!#REF!),"")</f>
        <v>#REF!</v>
      </c>
      <c r="R43" s="60" t="e">
        <f>IF(AND('Mapa final'!#REF!="Baja",'Mapa final'!#REF!="Menor"),CONCATENATE("R8C",'Mapa final'!#REF!),"")</f>
        <v>#REF!</v>
      </c>
      <c r="S43" s="60" t="e">
        <f>IF(AND('Mapa final'!#REF!="Baja",'Mapa final'!#REF!="Menor"),CONCATENATE("R8C",'Mapa final'!#REF!),"")</f>
        <v>#REF!</v>
      </c>
      <c r="T43" s="60" t="e">
        <f>IF(AND('Mapa final'!#REF!="Baja",'Mapa final'!#REF!="Menor"),CONCATENATE("R8C",'Mapa final'!#REF!),"")</f>
        <v>#REF!</v>
      </c>
      <c r="U43" s="61" t="e">
        <f>IF(AND('Mapa final'!#REF!="Baja",'Mapa final'!#REF!="Menor"),CONCATENATE("R8C",'Mapa final'!#REF!),"")</f>
        <v>#REF!</v>
      </c>
      <c r="V43" s="59" t="e">
        <f>IF(AND('Mapa final'!#REF!="Baja",'Mapa final'!#REF!="Moderado"),CONCATENATE("R8C",'Mapa final'!#REF!),"")</f>
        <v>#REF!</v>
      </c>
      <c r="W43" s="60" t="e">
        <f>IF(AND('Mapa final'!#REF!="Baja",'Mapa final'!#REF!="Moderado"),CONCATENATE("R8C",'Mapa final'!#REF!),"")</f>
        <v>#REF!</v>
      </c>
      <c r="X43" s="60" t="e">
        <f>IF(AND('Mapa final'!#REF!="Baja",'Mapa final'!#REF!="Moderado"),CONCATENATE("R8C",'Mapa final'!#REF!),"")</f>
        <v>#REF!</v>
      </c>
      <c r="Y43" s="60" t="e">
        <f>IF(AND('Mapa final'!#REF!="Baja",'Mapa final'!#REF!="Moderado"),CONCATENATE("R8C",'Mapa final'!#REF!),"")</f>
        <v>#REF!</v>
      </c>
      <c r="Z43" s="60" t="e">
        <f>IF(AND('Mapa final'!#REF!="Baja",'Mapa final'!#REF!="Moderado"),CONCATENATE("R8C",'Mapa final'!#REF!),"")</f>
        <v>#REF!</v>
      </c>
      <c r="AA43" s="61"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45" t="e">
        <f>IF(AND('Mapa final'!#REF!="Baja",'Mapa final'!#REF!="Mayor"),CONCATENATE("R8C",'Mapa final'!#REF!),"")</f>
        <v>#REF!</v>
      </c>
      <c r="AE43" s="45" t="e">
        <f>IF(AND('Mapa final'!#REF!="Baja",'Mapa final'!#REF!="Mayor"),CONCATENATE("R8C",'Mapa final'!#REF!),"")</f>
        <v>#REF!</v>
      </c>
      <c r="AF43" s="45"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5"/>
      <c r="AO43" s="415"/>
      <c r="AP43" s="416"/>
      <c r="AQ43" s="416"/>
      <c r="AR43" s="416"/>
      <c r="AS43" s="416"/>
      <c r="AT43" s="417"/>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row>
    <row r="44" spans="1:80" ht="15" customHeight="1" x14ac:dyDescent="0.3">
      <c r="A44" s="75"/>
      <c r="B44" s="296"/>
      <c r="C44" s="296"/>
      <c r="D44" s="297"/>
      <c r="E44" s="395"/>
      <c r="F44" s="394"/>
      <c r="G44" s="394"/>
      <c r="H44" s="394"/>
      <c r="I44" s="394"/>
      <c r="J44" s="68" t="e">
        <f>IF(AND('Mapa final'!#REF!="Baja",'Mapa final'!#REF!="Leve"),CONCATENATE("R9C",'Mapa final'!#REF!),"")</f>
        <v>#REF!</v>
      </c>
      <c r="K44" s="69" t="e">
        <f>IF(AND('Mapa final'!#REF!="Baja",'Mapa final'!#REF!="Leve"),CONCATENATE("R9C",'Mapa final'!#REF!),"")</f>
        <v>#REF!</v>
      </c>
      <c r="L44" s="69" t="e">
        <f>IF(AND('Mapa final'!#REF!="Baja",'Mapa final'!#REF!="Leve"),CONCATENATE("R9C",'Mapa final'!#REF!),"")</f>
        <v>#REF!</v>
      </c>
      <c r="M44" s="69" t="e">
        <f>IF(AND('Mapa final'!#REF!="Baja",'Mapa final'!#REF!="Leve"),CONCATENATE("R9C",'Mapa final'!#REF!),"")</f>
        <v>#REF!</v>
      </c>
      <c r="N44" s="69" t="e">
        <f>IF(AND('Mapa final'!#REF!="Baja",'Mapa final'!#REF!="Leve"),CONCATENATE("R9C",'Mapa final'!#REF!),"")</f>
        <v>#REF!</v>
      </c>
      <c r="O44" s="70" t="e">
        <f>IF(AND('Mapa final'!#REF!="Baja",'Mapa final'!#REF!="Leve"),CONCATENATE("R9C",'Mapa final'!#REF!),"")</f>
        <v>#REF!</v>
      </c>
      <c r="P44" s="59" t="e">
        <f>IF(AND('Mapa final'!#REF!="Baja",'Mapa final'!#REF!="Menor"),CONCATENATE("R9C",'Mapa final'!#REF!),"")</f>
        <v>#REF!</v>
      </c>
      <c r="Q44" s="60" t="e">
        <f>IF(AND('Mapa final'!#REF!="Baja",'Mapa final'!#REF!="Menor"),CONCATENATE("R9C",'Mapa final'!#REF!),"")</f>
        <v>#REF!</v>
      </c>
      <c r="R44" s="60" t="e">
        <f>IF(AND('Mapa final'!#REF!="Baja",'Mapa final'!#REF!="Menor"),CONCATENATE("R9C",'Mapa final'!#REF!),"")</f>
        <v>#REF!</v>
      </c>
      <c r="S44" s="60" t="e">
        <f>IF(AND('Mapa final'!#REF!="Baja",'Mapa final'!#REF!="Menor"),CONCATENATE("R9C",'Mapa final'!#REF!),"")</f>
        <v>#REF!</v>
      </c>
      <c r="T44" s="60" t="e">
        <f>IF(AND('Mapa final'!#REF!="Baja",'Mapa final'!#REF!="Menor"),CONCATENATE("R9C",'Mapa final'!#REF!),"")</f>
        <v>#REF!</v>
      </c>
      <c r="U44" s="61" t="e">
        <f>IF(AND('Mapa final'!#REF!="Baja",'Mapa final'!#REF!="Menor"),CONCATENATE("R9C",'Mapa final'!#REF!),"")</f>
        <v>#REF!</v>
      </c>
      <c r="V44" s="59" t="e">
        <f>IF(AND('Mapa final'!#REF!="Baja",'Mapa final'!#REF!="Moderado"),CONCATENATE("R9C",'Mapa final'!#REF!),"")</f>
        <v>#REF!</v>
      </c>
      <c r="W44" s="60" t="e">
        <f>IF(AND('Mapa final'!#REF!="Baja",'Mapa final'!#REF!="Moderado"),CONCATENATE("R9C",'Mapa final'!#REF!),"")</f>
        <v>#REF!</v>
      </c>
      <c r="X44" s="60" t="e">
        <f>IF(AND('Mapa final'!#REF!="Baja",'Mapa final'!#REF!="Moderado"),CONCATENATE("R9C",'Mapa final'!#REF!),"")</f>
        <v>#REF!</v>
      </c>
      <c r="Y44" s="60" t="e">
        <f>IF(AND('Mapa final'!#REF!="Baja",'Mapa final'!#REF!="Moderado"),CONCATENATE("R9C",'Mapa final'!#REF!),"")</f>
        <v>#REF!</v>
      </c>
      <c r="Z44" s="60" t="e">
        <f>IF(AND('Mapa final'!#REF!="Baja",'Mapa final'!#REF!="Moderado"),CONCATENATE("R9C",'Mapa final'!#REF!),"")</f>
        <v>#REF!</v>
      </c>
      <c r="AA44" s="61"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45" t="e">
        <f>IF(AND('Mapa final'!#REF!="Baja",'Mapa final'!#REF!="Mayor"),CONCATENATE("R9C",'Mapa final'!#REF!),"")</f>
        <v>#REF!</v>
      </c>
      <c r="AE44" s="45" t="e">
        <f>IF(AND('Mapa final'!#REF!="Baja",'Mapa final'!#REF!="Mayor"),CONCATENATE("R9C",'Mapa final'!#REF!),"")</f>
        <v>#REF!</v>
      </c>
      <c r="AF44" s="45"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5"/>
      <c r="AO44" s="415"/>
      <c r="AP44" s="416"/>
      <c r="AQ44" s="416"/>
      <c r="AR44" s="416"/>
      <c r="AS44" s="416"/>
      <c r="AT44" s="417"/>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row>
    <row r="45" spans="1:80" ht="15.75" customHeight="1" thickBot="1" x14ac:dyDescent="0.35">
      <c r="A45" s="75"/>
      <c r="B45" s="296"/>
      <c r="C45" s="296"/>
      <c r="D45" s="297"/>
      <c r="E45" s="396"/>
      <c r="F45" s="397"/>
      <c r="G45" s="397"/>
      <c r="H45" s="397"/>
      <c r="I45" s="397"/>
      <c r="J45" s="71" t="e">
        <f>IF(AND('Mapa final'!#REF!="Baja",'Mapa final'!#REF!="Leve"),CONCATENATE("R10C",'Mapa final'!#REF!),"")</f>
        <v>#REF!</v>
      </c>
      <c r="K45" s="72" t="e">
        <f>IF(AND('Mapa final'!#REF!="Baja",'Mapa final'!#REF!="Leve"),CONCATENATE("R10C",'Mapa final'!#REF!),"")</f>
        <v>#REF!</v>
      </c>
      <c r="L45" s="72" t="e">
        <f>IF(AND('Mapa final'!#REF!="Baja",'Mapa final'!#REF!="Leve"),CONCATENATE("R10C",'Mapa final'!#REF!),"")</f>
        <v>#REF!</v>
      </c>
      <c r="M45" s="72" t="e">
        <f>IF(AND('Mapa final'!#REF!="Baja",'Mapa final'!#REF!="Leve"),CONCATENATE("R10C",'Mapa final'!#REF!),"")</f>
        <v>#REF!</v>
      </c>
      <c r="N45" s="72" t="e">
        <f>IF(AND('Mapa final'!#REF!="Baja",'Mapa final'!#REF!="Leve"),CONCATENATE("R10C",'Mapa final'!#REF!),"")</f>
        <v>#REF!</v>
      </c>
      <c r="O45" s="73" t="e">
        <f>IF(AND('Mapa final'!#REF!="Baja",'Mapa final'!#REF!="Leve"),CONCATENATE("R10C",'Mapa final'!#REF!),"")</f>
        <v>#REF!</v>
      </c>
      <c r="P45" s="59" t="e">
        <f>IF(AND('Mapa final'!#REF!="Baja",'Mapa final'!#REF!="Menor"),CONCATENATE("R10C",'Mapa final'!#REF!),"")</f>
        <v>#REF!</v>
      </c>
      <c r="Q45" s="60" t="e">
        <f>IF(AND('Mapa final'!#REF!="Baja",'Mapa final'!#REF!="Menor"),CONCATENATE("R10C",'Mapa final'!#REF!),"")</f>
        <v>#REF!</v>
      </c>
      <c r="R45" s="60" t="e">
        <f>IF(AND('Mapa final'!#REF!="Baja",'Mapa final'!#REF!="Menor"),CONCATENATE("R10C",'Mapa final'!#REF!),"")</f>
        <v>#REF!</v>
      </c>
      <c r="S45" s="60" t="e">
        <f>IF(AND('Mapa final'!#REF!="Baja",'Mapa final'!#REF!="Menor"),CONCATENATE("R10C",'Mapa final'!#REF!),"")</f>
        <v>#REF!</v>
      </c>
      <c r="T45" s="60" t="e">
        <f>IF(AND('Mapa final'!#REF!="Baja",'Mapa final'!#REF!="Menor"),CONCATENATE("R10C",'Mapa final'!#REF!),"")</f>
        <v>#REF!</v>
      </c>
      <c r="U45" s="61" t="e">
        <f>IF(AND('Mapa final'!#REF!="Baja",'Mapa final'!#REF!="Menor"),CONCATENATE("R10C",'Mapa final'!#REF!),"")</f>
        <v>#REF!</v>
      </c>
      <c r="V45" s="62" t="e">
        <f>IF(AND('Mapa final'!#REF!="Baja",'Mapa final'!#REF!="Moderado"),CONCATENATE("R10C",'Mapa final'!#REF!),"")</f>
        <v>#REF!</v>
      </c>
      <c r="W45" s="63" t="e">
        <f>IF(AND('Mapa final'!#REF!="Baja",'Mapa final'!#REF!="Moderado"),CONCATENATE("R10C",'Mapa final'!#REF!),"")</f>
        <v>#REF!</v>
      </c>
      <c r="X45" s="63" t="e">
        <f>IF(AND('Mapa final'!#REF!="Baja",'Mapa final'!#REF!="Moderado"),CONCATENATE("R10C",'Mapa final'!#REF!),"")</f>
        <v>#REF!</v>
      </c>
      <c r="Y45" s="63" t="e">
        <f>IF(AND('Mapa final'!#REF!="Baja",'Mapa final'!#REF!="Moderado"),CONCATENATE("R10C",'Mapa final'!#REF!),"")</f>
        <v>#REF!</v>
      </c>
      <c r="Z45" s="63" t="e">
        <f>IF(AND('Mapa final'!#REF!="Baja",'Mapa final'!#REF!="Moderado"),CONCATENATE("R10C",'Mapa final'!#REF!),"")</f>
        <v>#REF!</v>
      </c>
      <c r="AA45" s="64" t="e">
        <f>IF(AND('Mapa final'!#REF!="Baja",'Mapa final'!#REF!="Moderado"),CONCATENATE("R10C",'Mapa final'!#REF!),"")</f>
        <v>#REF!</v>
      </c>
      <c r="AB45" s="50" t="e">
        <f>IF(AND('Mapa final'!#REF!="Baja",'Mapa final'!#REF!="Mayor"),CONCATENATE("R10C",'Mapa final'!#REF!),"")</f>
        <v>#REF!</v>
      </c>
      <c r="AC45" s="51" t="e">
        <f>IF(AND('Mapa final'!#REF!="Baja",'Mapa final'!#REF!="Mayor"),CONCATENATE("R10C",'Mapa final'!#REF!),"")</f>
        <v>#REF!</v>
      </c>
      <c r="AD45" s="51" t="e">
        <f>IF(AND('Mapa final'!#REF!="Baja",'Mapa final'!#REF!="Mayor"),CONCATENATE("R10C",'Mapa final'!#REF!),"")</f>
        <v>#REF!</v>
      </c>
      <c r="AE45" s="51" t="e">
        <f>IF(AND('Mapa final'!#REF!="Baja",'Mapa final'!#REF!="Mayor"),CONCATENATE("R10C",'Mapa final'!#REF!),"")</f>
        <v>#REF!</v>
      </c>
      <c r="AF45" s="51" t="e">
        <f>IF(AND('Mapa final'!#REF!="Baja",'Mapa final'!#REF!="Mayor"),CONCATENATE("R10C",'Mapa final'!#REF!),"")</f>
        <v>#REF!</v>
      </c>
      <c r="AG45" s="52" t="e">
        <f>IF(AND('Mapa final'!#REF!="Baja",'Mapa final'!#REF!="Mayor"),CONCATENATE("R10C",'Mapa final'!#REF!),"")</f>
        <v>#REF!</v>
      </c>
      <c r="AH45" s="53" t="e">
        <f>IF(AND('Mapa final'!#REF!="Baja",'Mapa final'!#REF!="Catastrófico"),CONCATENATE("R10C",'Mapa final'!#REF!),"")</f>
        <v>#REF!</v>
      </c>
      <c r="AI45" s="54" t="e">
        <f>IF(AND('Mapa final'!#REF!="Baja",'Mapa final'!#REF!="Catastrófico"),CONCATENATE("R10C",'Mapa final'!#REF!),"")</f>
        <v>#REF!</v>
      </c>
      <c r="AJ45" s="54" t="e">
        <f>IF(AND('Mapa final'!#REF!="Baja",'Mapa final'!#REF!="Catastrófico"),CONCATENATE("R10C",'Mapa final'!#REF!),"")</f>
        <v>#REF!</v>
      </c>
      <c r="AK45" s="54" t="e">
        <f>IF(AND('Mapa final'!#REF!="Baja",'Mapa final'!#REF!="Catastrófico"),CONCATENATE("R10C",'Mapa final'!#REF!),"")</f>
        <v>#REF!</v>
      </c>
      <c r="AL45" s="54" t="e">
        <f>IF(AND('Mapa final'!#REF!="Baja",'Mapa final'!#REF!="Catastrófico"),CONCATENATE("R10C",'Mapa final'!#REF!),"")</f>
        <v>#REF!</v>
      </c>
      <c r="AM45" s="55" t="e">
        <f>IF(AND('Mapa final'!#REF!="Baja",'Mapa final'!#REF!="Catastrófico"),CONCATENATE("R10C",'Mapa final'!#REF!),"")</f>
        <v>#REF!</v>
      </c>
      <c r="AN45" s="75"/>
      <c r="AO45" s="418"/>
      <c r="AP45" s="419"/>
      <c r="AQ45" s="419"/>
      <c r="AR45" s="419"/>
      <c r="AS45" s="419"/>
      <c r="AT45" s="420"/>
    </row>
    <row r="46" spans="1:80" ht="46.5" customHeight="1" x14ac:dyDescent="0.45">
      <c r="A46" s="75"/>
      <c r="B46" s="296"/>
      <c r="C46" s="296"/>
      <c r="D46" s="297"/>
      <c r="E46" s="391" t="s">
        <v>246</v>
      </c>
      <c r="F46" s="392"/>
      <c r="G46" s="392"/>
      <c r="H46" s="392"/>
      <c r="I46" s="409"/>
      <c r="J46" s="65" t="e">
        <f>IF(AND('Mapa final'!#REF!="Muy Baja",'Mapa final'!#REF!="Leve"),CONCATENATE("R1C",'Mapa final'!#REF!),"")</f>
        <v>#REF!</v>
      </c>
      <c r="K46" s="66" t="e">
        <f>IF(AND('Mapa final'!#REF!="Muy Baja",'Mapa final'!#REF!="Leve"),CONCATENATE("R1C",'Mapa final'!#REF!),"")</f>
        <v>#REF!</v>
      </c>
      <c r="L46" s="66" t="e">
        <f>IF(AND('Mapa final'!#REF!="Muy Baja",'Mapa final'!#REF!="Leve"),CONCATENATE("R1C",'Mapa final'!#REF!),"")</f>
        <v>#REF!</v>
      </c>
      <c r="M46" s="66" t="e">
        <f>IF(AND('Mapa final'!#REF!="Muy Baja",'Mapa final'!#REF!="Leve"),CONCATENATE("R1C",'Mapa final'!#REF!),"")</f>
        <v>#REF!</v>
      </c>
      <c r="N46" s="66" t="e">
        <f>IF(AND('Mapa final'!#REF!="Muy Baja",'Mapa final'!#REF!="Leve"),CONCATENATE("R1C",'Mapa final'!#REF!),"")</f>
        <v>#REF!</v>
      </c>
      <c r="O46" s="67" t="e">
        <f>IF(AND('Mapa final'!#REF!="Muy Baja",'Mapa final'!#REF!="Leve"),CONCATENATE("R1C",'Mapa final'!#REF!),"")</f>
        <v>#REF!</v>
      </c>
      <c r="P46" s="65" t="e">
        <f>IF(AND('Mapa final'!#REF!="Muy Baja",'Mapa final'!#REF!="Menor"),CONCATENATE("R1C",'Mapa final'!#REF!),"")</f>
        <v>#REF!</v>
      </c>
      <c r="Q46" s="66" t="e">
        <f>IF(AND('Mapa final'!#REF!="Muy Baja",'Mapa final'!#REF!="Menor"),CONCATENATE("R1C",'Mapa final'!#REF!),"")</f>
        <v>#REF!</v>
      </c>
      <c r="R46" s="66" t="e">
        <f>IF(AND('Mapa final'!#REF!="Muy Baja",'Mapa final'!#REF!="Menor"),CONCATENATE("R1C",'Mapa final'!#REF!),"")</f>
        <v>#REF!</v>
      </c>
      <c r="S46" s="66" t="e">
        <f>IF(AND('Mapa final'!#REF!="Muy Baja",'Mapa final'!#REF!="Menor"),CONCATENATE("R1C",'Mapa final'!#REF!),"")</f>
        <v>#REF!</v>
      </c>
      <c r="T46" s="66" t="e">
        <f>IF(AND('Mapa final'!#REF!="Muy Baja",'Mapa final'!#REF!="Menor"),CONCATENATE("R1C",'Mapa final'!#REF!),"")</f>
        <v>#REF!</v>
      </c>
      <c r="U46" s="67" t="e">
        <f>IF(AND('Mapa final'!#REF!="Muy Baja",'Mapa final'!#REF!="Menor"),CONCATENATE("R1C",'Mapa final'!#REF!),"")</f>
        <v>#REF!</v>
      </c>
      <c r="V46" s="56" t="e">
        <f>IF(AND('Mapa final'!#REF!="Muy Baja",'Mapa final'!#REF!="Moderado"),CONCATENATE("R1C",'Mapa final'!#REF!),"")</f>
        <v>#REF!</v>
      </c>
      <c r="W46" s="74" t="e">
        <f>IF(AND('Mapa final'!#REF!="Muy Baja",'Mapa final'!#REF!="Moderado"),CONCATENATE("R1C",'Mapa final'!#REF!),"")</f>
        <v>#REF!</v>
      </c>
      <c r="X46" s="57" t="e">
        <f>IF(AND('Mapa final'!#REF!="Muy Baja",'Mapa final'!#REF!="Moderado"),CONCATENATE("R1C",'Mapa final'!#REF!),"")</f>
        <v>#REF!</v>
      </c>
      <c r="Y46" s="57" t="e">
        <f>IF(AND('Mapa final'!#REF!="Muy Baja",'Mapa final'!#REF!="Moderado"),CONCATENATE("R1C",'Mapa final'!#REF!),"")</f>
        <v>#REF!</v>
      </c>
      <c r="Z46" s="57" t="e">
        <f>IF(AND('Mapa final'!#REF!="Muy Baja",'Mapa final'!#REF!="Moderado"),CONCATENATE("R1C",'Mapa final'!#REF!),"")</f>
        <v>#REF!</v>
      </c>
      <c r="AA46" s="58"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row>
    <row r="47" spans="1:80" ht="46.5" customHeight="1" x14ac:dyDescent="0.3">
      <c r="A47" s="75"/>
      <c r="B47" s="296"/>
      <c r="C47" s="296"/>
      <c r="D47" s="297"/>
      <c r="E47" s="393"/>
      <c r="F47" s="394"/>
      <c r="G47" s="394"/>
      <c r="H47" s="394"/>
      <c r="I47" s="410"/>
      <c r="J47" s="68" t="str">
        <f>IF(AND('Mapa final'!$AF$13="Muy Baja",'Mapa final'!$AH$13="Leve"),CONCATENATE("R2C",'Mapa final'!$U$13),"")</f>
        <v>R2C1</v>
      </c>
      <c r="K47" s="69" t="str">
        <f>IF(AND('Mapa final'!$AF$24="Muy Baja",'Mapa final'!$AH$24="Leve"),CONCATENATE("R2C",'Mapa final'!$U$24),"")</f>
        <v/>
      </c>
      <c r="L47" s="69" t="e">
        <f>IF(AND('Mapa final'!#REF!="Muy Baja",'Mapa final'!#REF!="Leve"),CONCATENATE("R2C",'Mapa final'!#REF!),"")</f>
        <v>#REF!</v>
      </c>
      <c r="M47" s="69" t="e">
        <f>IF(AND('Mapa final'!#REF!="Muy Baja",'Mapa final'!#REF!="Leve"),CONCATENATE("R2C",'Mapa final'!#REF!),"")</f>
        <v>#REF!</v>
      </c>
      <c r="N47" s="69" t="e">
        <f>IF(AND('Mapa final'!#REF!="Muy Baja",'Mapa final'!#REF!="Leve"),CONCATENATE("R2C",'Mapa final'!#REF!),"")</f>
        <v>#REF!</v>
      </c>
      <c r="O47" s="70" t="e">
        <f>IF(AND('Mapa final'!#REF!="Muy Baja",'Mapa final'!#REF!="Leve"),CONCATENATE("R2C",'Mapa final'!#REF!),"")</f>
        <v>#REF!</v>
      </c>
      <c r="P47" s="68" t="str">
        <f>IF(AND('Mapa final'!$AF$13="Muy Baja",'Mapa final'!$AH$13="Menor"),CONCATENATE("R2C",'Mapa final'!$U$13),"")</f>
        <v/>
      </c>
      <c r="Q47" s="69" t="str">
        <f>IF(AND('Mapa final'!$AF$24="Muy Baja",'Mapa final'!$AH$24="Menor"),CONCATENATE("R2C",'Mapa final'!$U$24),"")</f>
        <v/>
      </c>
      <c r="R47" s="69" t="e">
        <f>IF(AND('Mapa final'!#REF!="Muy Baja",'Mapa final'!#REF!="Menor"),CONCATENATE("R2C",'Mapa final'!#REF!),"")</f>
        <v>#REF!</v>
      </c>
      <c r="S47" s="69" t="e">
        <f>IF(AND('Mapa final'!#REF!="Muy Baja",'Mapa final'!#REF!="Menor"),CONCATENATE("R2C",'Mapa final'!#REF!),"")</f>
        <v>#REF!</v>
      </c>
      <c r="T47" s="69" t="e">
        <f>IF(AND('Mapa final'!#REF!="Muy Baja",'Mapa final'!#REF!="Menor"),CONCATENATE("R2C",'Mapa final'!#REF!),"")</f>
        <v>#REF!</v>
      </c>
      <c r="U47" s="70" t="e">
        <f>IF(AND('Mapa final'!#REF!="Muy Baja",'Mapa final'!#REF!="Menor"),CONCATENATE("R2C",'Mapa final'!#REF!),"")</f>
        <v>#REF!</v>
      </c>
      <c r="V47" s="59" t="str">
        <f>IF(AND('Mapa final'!$AF$13="Muy Baja",'Mapa final'!$AH$13="Moderado"),CONCATENATE("R2C",'Mapa final'!$U$13),"")</f>
        <v/>
      </c>
      <c r="W47" s="60" t="str">
        <f>IF(AND('Mapa final'!$AF$24="Muy Baja",'Mapa final'!$AH$24="Moderado"),CONCATENATE("R2C",'Mapa final'!$U$24),"")</f>
        <v/>
      </c>
      <c r="X47" s="60" t="e">
        <f>IF(AND('Mapa final'!#REF!="Muy Baja",'Mapa final'!#REF!="Moderado"),CONCATENATE("R2C",'Mapa final'!#REF!),"")</f>
        <v>#REF!</v>
      </c>
      <c r="Y47" s="60" t="e">
        <f>IF(AND('Mapa final'!#REF!="Muy Baja",'Mapa final'!#REF!="Moderado"),CONCATENATE("R2C",'Mapa final'!#REF!),"")</f>
        <v>#REF!</v>
      </c>
      <c r="Z47" s="60" t="e">
        <f>IF(AND('Mapa final'!#REF!="Muy Baja",'Mapa final'!#REF!="Moderado"),CONCATENATE("R2C",'Mapa final'!#REF!),"")</f>
        <v>#REF!</v>
      </c>
      <c r="AA47" s="61" t="e">
        <f>IF(AND('Mapa final'!#REF!="Muy Baja",'Mapa final'!#REF!="Moderado"),CONCATENATE("R2C",'Mapa final'!#REF!),"")</f>
        <v>#REF!</v>
      </c>
      <c r="AB47" s="44" t="str">
        <f>IF(AND('Mapa final'!$AF$13="Muy Baja",'Mapa final'!$AH$13="Mayor"),CONCATENATE("R2C",'Mapa final'!$U$13),"")</f>
        <v/>
      </c>
      <c r="AC47" s="45" t="str">
        <f>IF(AND('Mapa final'!$AF$24="Muy Baja",'Mapa final'!$AH$24="Mayor"),CONCATENATE("R2C",'Mapa final'!$U$24),"")</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final'!$AF$13="Muy Baja",'Mapa final'!$AH$13="Catastrófico"),CONCATENATE("R2C",'Mapa final'!$U$13),"")</f>
        <v/>
      </c>
      <c r="AI47" s="48" t="str">
        <f>IF(AND('Mapa final'!$AF$24="Muy Baja",'Mapa final'!$AH$24="Catastrófico"),CONCATENATE("R2C",'Mapa final'!$U$24),"")</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row>
    <row r="48" spans="1:80" ht="15" customHeight="1" x14ac:dyDescent="0.3">
      <c r="A48" s="75"/>
      <c r="B48" s="296"/>
      <c r="C48" s="296"/>
      <c r="D48" s="297"/>
      <c r="E48" s="393"/>
      <c r="F48" s="394"/>
      <c r="G48" s="394"/>
      <c r="H48" s="394"/>
      <c r="I48" s="410"/>
      <c r="J48" s="68" t="e">
        <f>IF(AND('Mapa final'!#REF!="Muy Baja",'Mapa final'!#REF!="Leve"),CONCATENATE("R3C",'Mapa final'!#REF!),"")</f>
        <v>#REF!</v>
      </c>
      <c r="K48" s="69" t="e">
        <f>IF(AND('Mapa final'!#REF!="Muy Baja",'Mapa final'!#REF!="Leve"),CONCATENATE("R3C",'Mapa final'!#REF!),"")</f>
        <v>#REF!</v>
      </c>
      <c r="L48" s="69" t="e">
        <f>IF(AND('Mapa final'!#REF!="Muy Baja",'Mapa final'!#REF!="Leve"),CONCATENATE("R3C",'Mapa final'!#REF!),"")</f>
        <v>#REF!</v>
      </c>
      <c r="M48" s="69" t="e">
        <f>IF(AND('Mapa final'!#REF!="Muy Baja",'Mapa final'!#REF!="Leve"),CONCATENATE("R3C",'Mapa final'!#REF!),"")</f>
        <v>#REF!</v>
      </c>
      <c r="N48" s="69" t="e">
        <f>IF(AND('Mapa final'!#REF!="Muy Baja",'Mapa final'!#REF!="Leve"),CONCATENATE("R3C",'Mapa final'!#REF!),"")</f>
        <v>#REF!</v>
      </c>
      <c r="O48" s="70" t="e">
        <f>IF(AND('Mapa final'!#REF!="Muy Baja",'Mapa final'!#REF!="Leve"),CONCATENATE("R3C",'Mapa final'!#REF!),"")</f>
        <v>#REF!</v>
      </c>
      <c r="P48" s="68" t="e">
        <f>IF(AND('Mapa final'!#REF!="Muy Baja",'Mapa final'!#REF!="Menor"),CONCATENATE("R3C",'Mapa final'!#REF!),"")</f>
        <v>#REF!</v>
      </c>
      <c r="Q48" s="69" t="e">
        <f>IF(AND('Mapa final'!#REF!="Muy Baja",'Mapa final'!#REF!="Menor"),CONCATENATE("R3C",'Mapa final'!#REF!),"")</f>
        <v>#REF!</v>
      </c>
      <c r="R48" s="69" t="e">
        <f>IF(AND('Mapa final'!#REF!="Muy Baja",'Mapa final'!#REF!="Menor"),CONCATENATE("R3C",'Mapa final'!#REF!),"")</f>
        <v>#REF!</v>
      </c>
      <c r="S48" s="69" t="e">
        <f>IF(AND('Mapa final'!#REF!="Muy Baja",'Mapa final'!#REF!="Menor"),CONCATENATE("R3C",'Mapa final'!#REF!),"")</f>
        <v>#REF!</v>
      </c>
      <c r="T48" s="69" t="e">
        <f>IF(AND('Mapa final'!#REF!="Muy Baja",'Mapa final'!#REF!="Menor"),CONCATENATE("R3C",'Mapa final'!#REF!),"")</f>
        <v>#REF!</v>
      </c>
      <c r="U48" s="70" t="e">
        <f>IF(AND('Mapa final'!#REF!="Muy Baja",'Mapa final'!#REF!="Menor"),CONCATENATE("R3C",'Mapa final'!#REF!),"")</f>
        <v>#REF!</v>
      </c>
      <c r="V48" s="59" t="e">
        <f>IF(AND('Mapa final'!#REF!="Muy Baja",'Mapa final'!#REF!="Moderado"),CONCATENATE("R3C",'Mapa final'!#REF!),"")</f>
        <v>#REF!</v>
      </c>
      <c r="W48" s="60" t="e">
        <f>IF(AND('Mapa final'!#REF!="Muy Baja",'Mapa final'!#REF!="Moderado"),CONCATENATE("R3C",'Mapa final'!#REF!),"")</f>
        <v>#REF!</v>
      </c>
      <c r="X48" s="60" t="e">
        <f>IF(AND('Mapa final'!#REF!="Muy Baja",'Mapa final'!#REF!="Moderado"),CONCATENATE("R3C",'Mapa final'!#REF!),"")</f>
        <v>#REF!</v>
      </c>
      <c r="Y48" s="60" t="e">
        <f>IF(AND('Mapa final'!#REF!="Muy Baja",'Mapa final'!#REF!="Moderado"),CONCATENATE("R3C",'Mapa final'!#REF!),"")</f>
        <v>#REF!</v>
      </c>
      <c r="Z48" s="60" t="e">
        <f>IF(AND('Mapa final'!#REF!="Muy Baja",'Mapa final'!#REF!="Moderado"),CONCATENATE("R3C",'Mapa final'!#REF!),"")</f>
        <v>#REF!</v>
      </c>
      <c r="AA48" s="61"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row>
    <row r="49" spans="1:80" ht="15" customHeight="1" x14ac:dyDescent="0.3">
      <c r="A49" s="75"/>
      <c r="B49" s="296"/>
      <c r="C49" s="296"/>
      <c r="D49" s="297"/>
      <c r="E49" s="395"/>
      <c r="F49" s="394"/>
      <c r="G49" s="394"/>
      <c r="H49" s="394"/>
      <c r="I49" s="410"/>
      <c r="J49" s="68" t="e">
        <f>IF(AND('Mapa final'!#REF!="Muy Baja",'Mapa final'!#REF!="Leve"),CONCATENATE("R4C",'Mapa final'!#REF!),"")</f>
        <v>#REF!</v>
      </c>
      <c r="K49" s="69" t="e">
        <f>IF(AND('Mapa final'!#REF!="Muy Baja",'Mapa final'!#REF!="Leve"),CONCATENATE("R4C",'Mapa final'!#REF!),"")</f>
        <v>#REF!</v>
      </c>
      <c r="L49" s="69" t="e">
        <f>IF(AND('Mapa final'!#REF!="Muy Baja",'Mapa final'!#REF!="Leve"),CONCATENATE("R4C",'Mapa final'!#REF!),"")</f>
        <v>#REF!</v>
      </c>
      <c r="M49" s="69" t="e">
        <f>IF(AND('Mapa final'!#REF!="Muy Baja",'Mapa final'!#REF!="Leve"),CONCATENATE("R4C",'Mapa final'!#REF!),"")</f>
        <v>#REF!</v>
      </c>
      <c r="N49" s="69" t="e">
        <f>IF(AND('Mapa final'!#REF!="Muy Baja",'Mapa final'!#REF!="Leve"),CONCATENATE("R4C",'Mapa final'!#REF!),"")</f>
        <v>#REF!</v>
      </c>
      <c r="O49" s="70" t="e">
        <f>IF(AND('Mapa final'!#REF!="Muy Baja",'Mapa final'!#REF!="Leve"),CONCATENATE("R4C",'Mapa final'!#REF!),"")</f>
        <v>#REF!</v>
      </c>
      <c r="P49" s="68" t="e">
        <f>IF(AND('Mapa final'!#REF!="Muy Baja",'Mapa final'!#REF!="Menor"),CONCATENATE("R4C",'Mapa final'!#REF!),"")</f>
        <v>#REF!</v>
      </c>
      <c r="Q49" s="69" t="e">
        <f>IF(AND('Mapa final'!#REF!="Muy Baja",'Mapa final'!#REF!="Menor"),CONCATENATE("R4C",'Mapa final'!#REF!),"")</f>
        <v>#REF!</v>
      </c>
      <c r="R49" s="69" t="e">
        <f>IF(AND('Mapa final'!#REF!="Muy Baja",'Mapa final'!#REF!="Menor"),CONCATENATE("R4C",'Mapa final'!#REF!),"")</f>
        <v>#REF!</v>
      </c>
      <c r="S49" s="69" t="e">
        <f>IF(AND('Mapa final'!#REF!="Muy Baja",'Mapa final'!#REF!="Menor"),CONCATENATE("R4C",'Mapa final'!#REF!),"")</f>
        <v>#REF!</v>
      </c>
      <c r="T49" s="69" t="e">
        <f>IF(AND('Mapa final'!#REF!="Muy Baja",'Mapa final'!#REF!="Menor"),CONCATENATE("R4C",'Mapa final'!#REF!),"")</f>
        <v>#REF!</v>
      </c>
      <c r="U49" s="70" t="e">
        <f>IF(AND('Mapa final'!#REF!="Muy Baja",'Mapa final'!#REF!="Menor"),CONCATENATE("R4C",'Mapa final'!#REF!),"")</f>
        <v>#REF!</v>
      </c>
      <c r="V49" s="59" t="e">
        <f>IF(AND('Mapa final'!#REF!="Muy Baja",'Mapa final'!#REF!="Moderado"),CONCATENATE("R4C",'Mapa final'!#REF!),"")</f>
        <v>#REF!</v>
      </c>
      <c r="W49" s="60" t="e">
        <f>IF(AND('Mapa final'!#REF!="Muy Baja",'Mapa final'!#REF!="Moderado"),CONCATENATE("R4C",'Mapa final'!#REF!),"")</f>
        <v>#REF!</v>
      </c>
      <c r="X49" s="60" t="e">
        <f>IF(AND('Mapa final'!#REF!="Muy Baja",'Mapa final'!#REF!="Moderado"),CONCATENATE("R4C",'Mapa final'!#REF!),"")</f>
        <v>#REF!</v>
      </c>
      <c r="Y49" s="60" t="e">
        <f>IF(AND('Mapa final'!#REF!="Muy Baja",'Mapa final'!#REF!="Moderado"),CONCATENATE("R4C",'Mapa final'!#REF!),"")</f>
        <v>#REF!</v>
      </c>
      <c r="Z49" s="60" t="e">
        <f>IF(AND('Mapa final'!#REF!="Muy Baja",'Mapa final'!#REF!="Moderado"),CONCATENATE("R4C",'Mapa final'!#REF!),"")</f>
        <v>#REF!</v>
      </c>
      <c r="AA49" s="61"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row>
    <row r="50" spans="1:80" ht="15" customHeight="1" x14ac:dyDescent="0.3">
      <c r="A50" s="75"/>
      <c r="B50" s="296"/>
      <c r="C50" s="296"/>
      <c r="D50" s="297"/>
      <c r="E50" s="395"/>
      <c r="F50" s="394"/>
      <c r="G50" s="394"/>
      <c r="H50" s="394"/>
      <c r="I50" s="410"/>
      <c r="J50" s="68" t="e">
        <f>IF(AND('Mapa final'!#REF!="Muy Baja",'Mapa final'!#REF!="Leve"),CONCATENATE("R5C",'Mapa final'!#REF!),"")</f>
        <v>#REF!</v>
      </c>
      <c r="K50" s="69" t="e">
        <f>IF(AND('Mapa final'!#REF!="Muy Baja",'Mapa final'!#REF!="Leve"),CONCATENATE("R5C",'Mapa final'!#REF!),"")</f>
        <v>#REF!</v>
      </c>
      <c r="L50" s="69" t="e">
        <f>IF(AND('Mapa final'!#REF!="Muy Baja",'Mapa final'!#REF!="Leve"),CONCATENATE("R5C",'Mapa final'!#REF!),"")</f>
        <v>#REF!</v>
      </c>
      <c r="M50" s="69" t="e">
        <f>IF(AND('Mapa final'!#REF!="Muy Baja",'Mapa final'!#REF!="Leve"),CONCATENATE("R5C",'Mapa final'!#REF!),"")</f>
        <v>#REF!</v>
      </c>
      <c r="N50" s="69" t="e">
        <f>IF(AND('Mapa final'!#REF!="Muy Baja",'Mapa final'!#REF!="Leve"),CONCATENATE("R5C",'Mapa final'!#REF!),"")</f>
        <v>#REF!</v>
      </c>
      <c r="O50" s="70" t="e">
        <f>IF(AND('Mapa final'!#REF!="Muy Baja",'Mapa final'!#REF!="Leve"),CONCATENATE("R5C",'Mapa final'!#REF!),"")</f>
        <v>#REF!</v>
      </c>
      <c r="P50" s="68" t="e">
        <f>IF(AND('Mapa final'!#REF!="Muy Baja",'Mapa final'!#REF!="Menor"),CONCATENATE("R5C",'Mapa final'!#REF!),"")</f>
        <v>#REF!</v>
      </c>
      <c r="Q50" s="69" t="e">
        <f>IF(AND('Mapa final'!#REF!="Muy Baja",'Mapa final'!#REF!="Menor"),CONCATENATE("R5C",'Mapa final'!#REF!),"")</f>
        <v>#REF!</v>
      </c>
      <c r="R50" s="69" t="e">
        <f>IF(AND('Mapa final'!#REF!="Muy Baja",'Mapa final'!#REF!="Menor"),CONCATENATE("R5C",'Mapa final'!#REF!),"")</f>
        <v>#REF!</v>
      </c>
      <c r="S50" s="69" t="e">
        <f>IF(AND('Mapa final'!#REF!="Muy Baja",'Mapa final'!#REF!="Menor"),CONCATENATE("R5C",'Mapa final'!#REF!),"")</f>
        <v>#REF!</v>
      </c>
      <c r="T50" s="69" t="e">
        <f>IF(AND('Mapa final'!#REF!="Muy Baja",'Mapa final'!#REF!="Menor"),CONCATENATE("R5C",'Mapa final'!#REF!),"")</f>
        <v>#REF!</v>
      </c>
      <c r="U50" s="70" t="e">
        <f>IF(AND('Mapa final'!#REF!="Muy Baja",'Mapa final'!#REF!="Menor"),CONCATENATE("R5C",'Mapa final'!#REF!),"")</f>
        <v>#REF!</v>
      </c>
      <c r="V50" s="59" t="e">
        <f>IF(AND('Mapa final'!#REF!="Muy Baja",'Mapa final'!#REF!="Moderado"),CONCATENATE("R5C",'Mapa final'!#REF!),"")</f>
        <v>#REF!</v>
      </c>
      <c r="W50" s="60" t="e">
        <f>IF(AND('Mapa final'!#REF!="Muy Baja",'Mapa final'!#REF!="Moderado"),CONCATENATE("R5C",'Mapa final'!#REF!),"")</f>
        <v>#REF!</v>
      </c>
      <c r="X50" s="60" t="e">
        <f>IF(AND('Mapa final'!#REF!="Muy Baja",'Mapa final'!#REF!="Moderado"),CONCATENATE("R5C",'Mapa final'!#REF!),"")</f>
        <v>#REF!</v>
      </c>
      <c r="Y50" s="60" t="e">
        <f>IF(AND('Mapa final'!#REF!="Muy Baja",'Mapa final'!#REF!="Moderado"),CONCATENATE("R5C",'Mapa final'!#REF!),"")</f>
        <v>#REF!</v>
      </c>
      <c r="Z50" s="60" t="e">
        <f>IF(AND('Mapa final'!#REF!="Muy Baja",'Mapa final'!#REF!="Moderado"),CONCATENATE("R5C",'Mapa final'!#REF!),"")</f>
        <v>#REF!</v>
      </c>
      <c r="AA50" s="61"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45" t="e">
        <f>IF(AND('Mapa final'!#REF!="Muy Baja",'Mapa final'!#REF!="Mayor"),CONCATENATE("R5C",'Mapa final'!#REF!),"")</f>
        <v>#REF!</v>
      </c>
      <c r="AE50" s="45" t="e">
        <f>IF(AND('Mapa final'!#REF!="Muy Baja",'Mapa final'!#REF!="Mayor"),CONCATENATE("R5C",'Mapa final'!#REF!),"")</f>
        <v>#REF!</v>
      </c>
      <c r="AF50" s="45"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row>
    <row r="51" spans="1:80" ht="15" customHeight="1" x14ac:dyDescent="0.3">
      <c r="A51" s="75"/>
      <c r="B51" s="296"/>
      <c r="C51" s="296"/>
      <c r="D51" s="297"/>
      <c r="E51" s="395"/>
      <c r="F51" s="394"/>
      <c r="G51" s="394"/>
      <c r="H51" s="394"/>
      <c r="I51" s="410"/>
      <c r="J51" s="68" t="e">
        <f>IF(AND('Mapa final'!#REF!="Muy Baja",'Mapa final'!#REF!="Leve"),CONCATENATE("R6C",'Mapa final'!#REF!),"")</f>
        <v>#REF!</v>
      </c>
      <c r="K51" s="69" t="e">
        <f>IF(AND('Mapa final'!#REF!="Muy Baja",'Mapa final'!#REF!="Leve"),CONCATENATE("R6C",'Mapa final'!#REF!),"")</f>
        <v>#REF!</v>
      </c>
      <c r="L51" s="69" t="e">
        <f>IF(AND('Mapa final'!#REF!="Muy Baja",'Mapa final'!#REF!="Leve"),CONCATENATE("R6C",'Mapa final'!#REF!),"")</f>
        <v>#REF!</v>
      </c>
      <c r="M51" s="69" t="e">
        <f>IF(AND('Mapa final'!#REF!="Muy Baja",'Mapa final'!#REF!="Leve"),CONCATENATE("R6C",'Mapa final'!#REF!),"")</f>
        <v>#REF!</v>
      </c>
      <c r="N51" s="69" t="e">
        <f>IF(AND('Mapa final'!#REF!="Muy Baja",'Mapa final'!#REF!="Leve"),CONCATENATE("R6C",'Mapa final'!#REF!),"")</f>
        <v>#REF!</v>
      </c>
      <c r="O51" s="70" t="e">
        <f>IF(AND('Mapa final'!#REF!="Muy Baja",'Mapa final'!#REF!="Leve"),CONCATENATE("R6C",'Mapa final'!#REF!),"")</f>
        <v>#REF!</v>
      </c>
      <c r="P51" s="68" t="e">
        <f>IF(AND('Mapa final'!#REF!="Muy Baja",'Mapa final'!#REF!="Menor"),CONCATENATE("R6C",'Mapa final'!#REF!),"")</f>
        <v>#REF!</v>
      </c>
      <c r="Q51" s="69" t="e">
        <f>IF(AND('Mapa final'!#REF!="Muy Baja",'Mapa final'!#REF!="Menor"),CONCATENATE("R6C",'Mapa final'!#REF!),"")</f>
        <v>#REF!</v>
      </c>
      <c r="R51" s="69" t="e">
        <f>IF(AND('Mapa final'!#REF!="Muy Baja",'Mapa final'!#REF!="Menor"),CONCATENATE("R6C",'Mapa final'!#REF!),"")</f>
        <v>#REF!</v>
      </c>
      <c r="S51" s="69" t="e">
        <f>IF(AND('Mapa final'!#REF!="Muy Baja",'Mapa final'!#REF!="Menor"),CONCATENATE("R6C",'Mapa final'!#REF!),"")</f>
        <v>#REF!</v>
      </c>
      <c r="T51" s="69" t="e">
        <f>IF(AND('Mapa final'!#REF!="Muy Baja",'Mapa final'!#REF!="Menor"),CONCATENATE("R6C",'Mapa final'!#REF!),"")</f>
        <v>#REF!</v>
      </c>
      <c r="U51" s="70" t="e">
        <f>IF(AND('Mapa final'!#REF!="Muy Baja",'Mapa final'!#REF!="Menor"),CONCATENATE("R6C",'Mapa final'!#REF!),"")</f>
        <v>#REF!</v>
      </c>
      <c r="V51" s="59" t="e">
        <f>IF(AND('Mapa final'!#REF!="Muy Baja",'Mapa final'!#REF!="Moderado"),CONCATENATE("R6C",'Mapa final'!#REF!),"")</f>
        <v>#REF!</v>
      </c>
      <c r="W51" s="60" t="e">
        <f>IF(AND('Mapa final'!#REF!="Muy Baja",'Mapa final'!#REF!="Moderado"),CONCATENATE("R6C",'Mapa final'!#REF!),"")</f>
        <v>#REF!</v>
      </c>
      <c r="X51" s="60" t="e">
        <f>IF(AND('Mapa final'!#REF!="Muy Baja",'Mapa final'!#REF!="Moderado"),CONCATENATE("R6C",'Mapa final'!#REF!),"")</f>
        <v>#REF!</v>
      </c>
      <c r="Y51" s="60" t="e">
        <f>IF(AND('Mapa final'!#REF!="Muy Baja",'Mapa final'!#REF!="Moderado"),CONCATENATE("R6C",'Mapa final'!#REF!),"")</f>
        <v>#REF!</v>
      </c>
      <c r="Z51" s="60" t="e">
        <f>IF(AND('Mapa final'!#REF!="Muy Baja",'Mapa final'!#REF!="Moderado"),CONCATENATE("R6C",'Mapa final'!#REF!),"")</f>
        <v>#REF!</v>
      </c>
      <c r="AA51" s="61"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45" t="e">
        <f>IF(AND('Mapa final'!#REF!="Muy Baja",'Mapa final'!#REF!="Mayor"),CONCATENATE("R6C",'Mapa final'!#REF!),"")</f>
        <v>#REF!</v>
      </c>
      <c r="AE51" s="45" t="e">
        <f>IF(AND('Mapa final'!#REF!="Muy Baja",'Mapa final'!#REF!="Mayor"),CONCATENATE("R6C",'Mapa final'!#REF!),"")</f>
        <v>#REF!</v>
      </c>
      <c r="AF51" s="45"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row>
    <row r="52" spans="1:80" ht="15" customHeight="1" x14ac:dyDescent="0.3">
      <c r="A52" s="75"/>
      <c r="B52" s="296"/>
      <c r="C52" s="296"/>
      <c r="D52" s="297"/>
      <c r="E52" s="395"/>
      <c r="F52" s="394"/>
      <c r="G52" s="394"/>
      <c r="H52" s="394"/>
      <c r="I52" s="410"/>
      <c r="J52" s="68" t="e">
        <f>IF(AND('Mapa final'!#REF!="Muy Baja",'Mapa final'!#REF!="Leve"),CONCATENATE("R7C",'Mapa final'!#REF!),"")</f>
        <v>#REF!</v>
      </c>
      <c r="K52" s="69" t="e">
        <f>IF(AND('Mapa final'!#REF!="Muy Baja",'Mapa final'!#REF!="Leve"),CONCATENATE("R7C",'Mapa final'!#REF!),"")</f>
        <v>#REF!</v>
      </c>
      <c r="L52" s="69" t="e">
        <f>IF(AND('Mapa final'!#REF!="Muy Baja",'Mapa final'!#REF!="Leve"),CONCATENATE("R7C",'Mapa final'!#REF!),"")</f>
        <v>#REF!</v>
      </c>
      <c r="M52" s="69" t="e">
        <f>IF(AND('Mapa final'!#REF!="Muy Baja",'Mapa final'!#REF!="Leve"),CONCATENATE("R7C",'Mapa final'!#REF!),"")</f>
        <v>#REF!</v>
      </c>
      <c r="N52" s="69" t="e">
        <f>IF(AND('Mapa final'!#REF!="Muy Baja",'Mapa final'!#REF!="Leve"),CONCATENATE("R7C",'Mapa final'!#REF!),"")</f>
        <v>#REF!</v>
      </c>
      <c r="O52" s="70" t="e">
        <f>IF(AND('Mapa final'!#REF!="Muy Baja",'Mapa final'!#REF!="Leve"),CONCATENATE("R7C",'Mapa final'!#REF!),"")</f>
        <v>#REF!</v>
      </c>
      <c r="P52" s="68" t="e">
        <f>IF(AND('Mapa final'!#REF!="Muy Baja",'Mapa final'!#REF!="Menor"),CONCATENATE("R7C",'Mapa final'!#REF!),"")</f>
        <v>#REF!</v>
      </c>
      <c r="Q52" s="69" t="e">
        <f>IF(AND('Mapa final'!#REF!="Muy Baja",'Mapa final'!#REF!="Menor"),CONCATENATE("R7C",'Mapa final'!#REF!),"")</f>
        <v>#REF!</v>
      </c>
      <c r="R52" s="69" t="e">
        <f>IF(AND('Mapa final'!#REF!="Muy Baja",'Mapa final'!#REF!="Menor"),CONCATENATE("R7C",'Mapa final'!#REF!),"")</f>
        <v>#REF!</v>
      </c>
      <c r="S52" s="69" t="e">
        <f>IF(AND('Mapa final'!#REF!="Muy Baja",'Mapa final'!#REF!="Menor"),CONCATENATE("R7C",'Mapa final'!#REF!),"")</f>
        <v>#REF!</v>
      </c>
      <c r="T52" s="69" t="e">
        <f>IF(AND('Mapa final'!#REF!="Muy Baja",'Mapa final'!#REF!="Menor"),CONCATENATE("R7C",'Mapa final'!#REF!),"")</f>
        <v>#REF!</v>
      </c>
      <c r="U52" s="70" t="e">
        <f>IF(AND('Mapa final'!#REF!="Muy Baja",'Mapa final'!#REF!="Menor"),CONCATENATE("R7C",'Mapa final'!#REF!),"")</f>
        <v>#REF!</v>
      </c>
      <c r="V52" s="59" t="e">
        <f>IF(AND('Mapa final'!#REF!="Muy Baja",'Mapa final'!#REF!="Moderado"),CONCATENATE("R7C",'Mapa final'!#REF!),"")</f>
        <v>#REF!</v>
      </c>
      <c r="W52" s="60" t="e">
        <f>IF(AND('Mapa final'!#REF!="Muy Baja",'Mapa final'!#REF!="Moderado"),CONCATENATE("R7C",'Mapa final'!#REF!),"")</f>
        <v>#REF!</v>
      </c>
      <c r="X52" s="60" t="e">
        <f>IF(AND('Mapa final'!#REF!="Muy Baja",'Mapa final'!#REF!="Moderado"),CONCATENATE("R7C",'Mapa final'!#REF!),"")</f>
        <v>#REF!</v>
      </c>
      <c r="Y52" s="60" t="e">
        <f>IF(AND('Mapa final'!#REF!="Muy Baja",'Mapa final'!#REF!="Moderado"),CONCATENATE("R7C",'Mapa final'!#REF!),"")</f>
        <v>#REF!</v>
      </c>
      <c r="Z52" s="60" t="e">
        <f>IF(AND('Mapa final'!#REF!="Muy Baja",'Mapa final'!#REF!="Moderado"),CONCATENATE("R7C",'Mapa final'!#REF!),"")</f>
        <v>#REF!</v>
      </c>
      <c r="AA52" s="61"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45" t="e">
        <f>IF(AND('Mapa final'!#REF!="Muy Baja",'Mapa final'!#REF!="Mayor"),CONCATENATE("R7C",'Mapa final'!#REF!),"")</f>
        <v>#REF!</v>
      </c>
      <c r="AE52" s="45" t="e">
        <f>IF(AND('Mapa final'!#REF!="Muy Baja",'Mapa final'!#REF!="Mayor"),CONCATENATE("R7C",'Mapa final'!#REF!),"")</f>
        <v>#REF!</v>
      </c>
      <c r="AF52" s="45"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row>
    <row r="53" spans="1:80" ht="15" customHeight="1" x14ac:dyDescent="0.3">
      <c r="A53" s="75"/>
      <c r="B53" s="296"/>
      <c r="C53" s="296"/>
      <c r="D53" s="297"/>
      <c r="E53" s="395"/>
      <c r="F53" s="394"/>
      <c r="G53" s="394"/>
      <c r="H53" s="394"/>
      <c r="I53" s="410"/>
      <c r="J53" s="68" t="e">
        <f>IF(AND('Mapa final'!#REF!="Muy Baja",'Mapa final'!#REF!="Leve"),CONCATENATE("R8C",'Mapa final'!#REF!),"")</f>
        <v>#REF!</v>
      </c>
      <c r="K53" s="69" t="e">
        <f>IF(AND('Mapa final'!#REF!="Muy Baja",'Mapa final'!#REF!="Leve"),CONCATENATE("R8C",'Mapa final'!#REF!),"")</f>
        <v>#REF!</v>
      </c>
      <c r="L53" s="69" t="e">
        <f>IF(AND('Mapa final'!#REF!="Muy Baja",'Mapa final'!#REF!="Leve"),CONCATENATE("R8C",'Mapa final'!#REF!),"")</f>
        <v>#REF!</v>
      </c>
      <c r="M53" s="69" t="e">
        <f>IF(AND('Mapa final'!#REF!="Muy Baja",'Mapa final'!#REF!="Leve"),CONCATENATE("R8C",'Mapa final'!#REF!),"")</f>
        <v>#REF!</v>
      </c>
      <c r="N53" s="69" t="e">
        <f>IF(AND('Mapa final'!#REF!="Muy Baja",'Mapa final'!#REF!="Leve"),CONCATENATE("R8C",'Mapa final'!#REF!),"")</f>
        <v>#REF!</v>
      </c>
      <c r="O53" s="70" t="e">
        <f>IF(AND('Mapa final'!#REF!="Muy Baja",'Mapa final'!#REF!="Leve"),CONCATENATE("R8C",'Mapa final'!#REF!),"")</f>
        <v>#REF!</v>
      </c>
      <c r="P53" s="68" t="e">
        <f>IF(AND('Mapa final'!#REF!="Muy Baja",'Mapa final'!#REF!="Menor"),CONCATENATE("R8C",'Mapa final'!#REF!),"")</f>
        <v>#REF!</v>
      </c>
      <c r="Q53" s="69" t="e">
        <f>IF(AND('Mapa final'!#REF!="Muy Baja",'Mapa final'!#REF!="Menor"),CONCATENATE("R8C",'Mapa final'!#REF!),"")</f>
        <v>#REF!</v>
      </c>
      <c r="R53" s="69" t="e">
        <f>IF(AND('Mapa final'!#REF!="Muy Baja",'Mapa final'!#REF!="Menor"),CONCATENATE("R8C",'Mapa final'!#REF!),"")</f>
        <v>#REF!</v>
      </c>
      <c r="S53" s="69" t="e">
        <f>IF(AND('Mapa final'!#REF!="Muy Baja",'Mapa final'!#REF!="Menor"),CONCATENATE("R8C",'Mapa final'!#REF!),"")</f>
        <v>#REF!</v>
      </c>
      <c r="T53" s="69" t="e">
        <f>IF(AND('Mapa final'!#REF!="Muy Baja",'Mapa final'!#REF!="Menor"),CONCATENATE("R8C",'Mapa final'!#REF!),"")</f>
        <v>#REF!</v>
      </c>
      <c r="U53" s="70" t="e">
        <f>IF(AND('Mapa final'!#REF!="Muy Baja",'Mapa final'!#REF!="Menor"),CONCATENATE("R8C",'Mapa final'!#REF!),"")</f>
        <v>#REF!</v>
      </c>
      <c r="V53" s="59" t="e">
        <f>IF(AND('Mapa final'!#REF!="Muy Baja",'Mapa final'!#REF!="Moderado"),CONCATENATE("R8C",'Mapa final'!#REF!),"")</f>
        <v>#REF!</v>
      </c>
      <c r="W53" s="60" t="e">
        <f>IF(AND('Mapa final'!#REF!="Muy Baja",'Mapa final'!#REF!="Moderado"),CONCATENATE("R8C",'Mapa final'!#REF!),"")</f>
        <v>#REF!</v>
      </c>
      <c r="X53" s="60" t="e">
        <f>IF(AND('Mapa final'!#REF!="Muy Baja",'Mapa final'!#REF!="Moderado"),CONCATENATE("R8C",'Mapa final'!#REF!),"")</f>
        <v>#REF!</v>
      </c>
      <c r="Y53" s="60" t="e">
        <f>IF(AND('Mapa final'!#REF!="Muy Baja",'Mapa final'!#REF!="Moderado"),CONCATENATE("R8C",'Mapa final'!#REF!),"")</f>
        <v>#REF!</v>
      </c>
      <c r="Z53" s="60" t="e">
        <f>IF(AND('Mapa final'!#REF!="Muy Baja",'Mapa final'!#REF!="Moderado"),CONCATENATE("R8C",'Mapa final'!#REF!),"")</f>
        <v>#REF!</v>
      </c>
      <c r="AA53" s="61"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45" t="e">
        <f>IF(AND('Mapa final'!#REF!="Muy Baja",'Mapa final'!#REF!="Mayor"),CONCATENATE("R8C",'Mapa final'!#REF!),"")</f>
        <v>#REF!</v>
      </c>
      <c r="AE53" s="45" t="e">
        <f>IF(AND('Mapa final'!#REF!="Muy Baja",'Mapa final'!#REF!="Mayor"),CONCATENATE("R8C",'Mapa final'!#REF!),"")</f>
        <v>#REF!</v>
      </c>
      <c r="AF53" s="45"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row>
    <row r="54" spans="1:80" ht="15" customHeight="1" x14ac:dyDescent="0.3">
      <c r="A54" s="75"/>
      <c r="B54" s="296"/>
      <c r="C54" s="296"/>
      <c r="D54" s="297"/>
      <c r="E54" s="395"/>
      <c r="F54" s="394"/>
      <c r="G54" s="394"/>
      <c r="H54" s="394"/>
      <c r="I54" s="410"/>
      <c r="J54" s="68" t="e">
        <f>IF(AND('Mapa final'!#REF!="Muy Baja",'Mapa final'!#REF!="Leve"),CONCATENATE("R9C",'Mapa final'!#REF!),"")</f>
        <v>#REF!</v>
      </c>
      <c r="K54" s="69" t="e">
        <f>IF(AND('Mapa final'!#REF!="Muy Baja",'Mapa final'!#REF!="Leve"),CONCATENATE("R9C",'Mapa final'!#REF!),"")</f>
        <v>#REF!</v>
      </c>
      <c r="L54" s="69" t="e">
        <f>IF(AND('Mapa final'!#REF!="Muy Baja",'Mapa final'!#REF!="Leve"),CONCATENATE("R9C",'Mapa final'!#REF!),"")</f>
        <v>#REF!</v>
      </c>
      <c r="M54" s="69" t="e">
        <f>IF(AND('Mapa final'!#REF!="Muy Baja",'Mapa final'!#REF!="Leve"),CONCATENATE("R9C",'Mapa final'!#REF!),"")</f>
        <v>#REF!</v>
      </c>
      <c r="N54" s="69" t="e">
        <f>IF(AND('Mapa final'!#REF!="Muy Baja",'Mapa final'!#REF!="Leve"),CONCATENATE("R9C",'Mapa final'!#REF!),"")</f>
        <v>#REF!</v>
      </c>
      <c r="O54" s="70" t="e">
        <f>IF(AND('Mapa final'!#REF!="Muy Baja",'Mapa final'!#REF!="Leve"),CONCATENATE("R9C",'Mapa final'!#REF!),"")</f>
        <v>#REF!</v>
      </c>
      <c r="P54" s="68" t="e">
        <f>IF(AND('Mapa final'!#REF!="Muy Baja",'Mapa final'!#REF!="Menor"),CONCATENATE("R9C",'Mapa final'!#REF!),"")</f>
        <v>#REF!</v>
      </c>
      <c r="Q54" s="69" t="e">
        <f>IF(AND('Mapa final'!#REF!="Muy Baja",'Mapa final'!#REF!="Menor"),CONCATENATE("R9C",'Mapa final'!#REF!),"")</f>
        <v>#REF!</v>
      </c>
      <c r="R54" s="69" t="e">
        <f>IF(AND('Mapa final'!#REF!="Muy Baja",'Mapa final'!#REF!="Menor"),CONCATENATE("R9C",'Mapa final'!#REF!),"")</f>
        <v>#REF!</v>
      </c>
      <c r="S54" s="69" t="e">
        <f>IF(AND('Mapa final'!#REF!="Muy Baja",'Mapa final'!#REF!="Menor"),CONCATENATE("R9C",'Mapa final'!#REF!),"")</f>
        <v>#REF!</v>
      </c>
      <c r="T54" s="69" t="e">
        <f>IF(AND('Mapa final'!#REF!="Muy Baja",'Mapa final'!#REF!="Menor"),CONCATENATE("R9C",'Mapa final'!#REF!),"")</f>
        <v>#REF!</v>
      </c>
      <c r="U54" s="70" t="e">
        <f>IF(AND('Mapa final'!#REF!="Muy Baja",'Mapa final'!#REF!="Menor"),CONCATENATE("R9C",'Mapa final'!#REF!),"")</f>
        <v>#REF!</v>
      </c>
      <c r="V54" s="59" t="e">
        <f>IF(AND('Mapa final'!#REF!="Muy Baja",'Mapa final'!#REF!="Moderado"),CONCATENATE("R9C",'Mapa final'!#REF!),"")</f>
        <v>#REF!</v>
      </c>
      <c r="W54" s="60" t="e">
        <f>IF(AND('Mapa final'!#REF!="Muy Baja",'Mapa final'!#REF!="Moderado"),CONCATENATE("R9C",'Mapa final'!#REF!),"")</f>
        <v>#REF!</v>
      </c>
      <c r="X54" s="60" t="e">
        <f>IF(AND('Mapa final'!#REF!="Muy Baja",'Mapa final'!#REF!="Moderado"),CONCATENATE("R9C",'Mapa final'!#REF!),"")</f>
        <v>#REF!</v>
      </c>
      <c r="Y54" s="60" t="e">
        <f>IF(AND('Mapa final'!#REF!="Muy Baja",'Mapa final'!#REF!="Moderado"),CONCATENATE("R9C",'Mapa final'!#REF!),"")</f>
        <v>#REF!</v>
      </c>
      <c r="Z54" s="60" t="e">
        <f>IF(AND('Mapa final'!#REF!="Muy Baja",'Mapa final'!#REF!="Moderado"),CONCATENATE("R9C",'Mapa final'!#REF!),"")</f>
        <v>#REF!</v>
      </c>
      <c r="AA54" s="61"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45" t="e">
        <f>IF(AND('Mapa final'!#REF!="Muy Baja",'Mapa final'!#REF!="Mayor"),CONCATENATE("R9C",'Mapa final'!#REF!),"")</f>
        <v>#REF!</v>
      </c>
      <c r="AE54" s="45" t="e">
        <f>IF(AND('Mapa final'!#REF!="Muy Baja",'Mapa final'!#REF!="Mayor"),CONCATENATE("R9C",'Mapa final'!#REF!),"")</f>
        <v>#REF!</v>
      </c>
      <c r="AF54" s="45"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row>
    <row r="55" spans="1:80" ht="15.75" customHeight="1" thickBot="1" x14ac:dyDescent="0.35">
      <c r="A55" s="75"/>
      <c r="B55" s="296"/>
      <c r="C55" s="296"/>
      <c r="D55" s="297"/>
      <c r="E55" s="396"/>
      <c r="F55" s="397"/>
      <c r="G55" s="397"/>
      <c r="H55" s="397"/>
      <c r="I55" s="411"/>
      <c r="J55" s="71" t="e">
        <f>IF(AND('Mapa final'!#REF!="Muy Baja",'Mapa final'!#REF!="Leve"),CONCATENATE("R10C",'Mapa final'!#REF!),"")</f>
        <v>#REF!</v>
      </c>
      <c r="K55" s="72" t="e">
        <f>IF(AND('Mapa final'!#REF!="Muy Baja",'Mapa final'!#REF!="Leve"),CONCATENATE("R10C",'Mapa final'!#REF!),"")</f>
        <v>#REF!</v>
      </c>
      <c r="L55" s="72" t="e">
        <f>IF(AND('Mapa final'!#REF!="Muy Baja",'Mapa final'!#REF!="Leve"),CONCATENATE("R10C",'Mapa final'!#REF!),"")</f>
        <v>#REF!</v>
      </c>
      <c r="M55" s="72" t="e">
        <f>IF(AND('Mapa final'!#REF!="Muy Baja",'Mapa final'!#REF!="Leve"),CONCATENATE("R10C",'Mapa final'!#REF!),"")</f>
        <v>#REF!</v>
      </c>
      <c r="N55" s="72" t="e">
        <f>IF(AND('Mapa final'!#REF!="Muy Baja",'Mapa final'!#REF!="Leve"),CONCATENATE("R10C",'Mapa final'!#REF!),"")</f>
        <v>#REF!</v>
      </c>
      <c r="O55" s="73" t="e">
        <f>IF(AND('Mapa final'!#REF!="Muy Baja",'Mapa final'!#REF!="Leve"),CONCATENATE("R10C",'Mapa final'!#REF!),"")</f>
        <v>#REF!</v>
      </c>
      <c r="P55" s="71" t="e">
        <f>IF(AND('Mapa final'!#REF!="Muy Baja",'Mapa final'!#REF!="Menor"),CONCATENATE("R10C",'Mapa final'!#REF!),"")</f>
        <v>#REF!</v>
      </c>
      <c r="Q55" s="72" t="e">
        <f>IF(AND('Mapa final'!#REF!="Muy Baja",'Mapa final'!#REF!="Menor"),CONCATENATE("R10C",'Mapa final'!#REF!),"")</f>
        <v>#REF!</v>
      </c>
      <c r="R55" s="72" t="e">
        <f>IF(AND('Mapa final'!#REF!="Muy Baja",'Mapa final'!#REF!="Menor"),CONCATENATE("R10C",'Mapa final'!#REF!),"")</f>
        <v>#REF!</v>
      </c>
      <c r="S55" s="72" t="e">
        <f>IF(AND('Mapa final'!#REF!="Muy Baja",'Mapa final'!#REF!="Menor"),CONCATENATE("R10C",'Mapa final'!#REF!),"")</f>
        <v>#REF!</v>
      </c>
      <c r="T55" s="72" t="e">
        <f>IF(AND('Mapa final'!#REF!="Muy Baja",'Mapa final'!#REF!="Menor"),CONCATENATE("R10C",'Mapa final'!#REF!),"")</f>
        <v>#REF!</v>
      </c>
      <c r="U55" s="73" t="e">
        <f>IF(AND('Mapa final'!#REF!="Muy Baja",'Mapa final'!#REF!="Menor"),CONCATENATE("R10C",'Mapa final'!#REF!),"")</f>
        <v>#REF!</v>
      </c>
      <c r="V55" s="62" t="e">
        <f>IF(AND('Mapa final'!#REF!="Muy Baja",'Mapa final'!#REF!="Moderado"),CONCATENATE("R10C",'Mapa final'!#REF!),"")</f>
        <v>#REF!</v>
      </c>
      <c r="W55" s="63" t="e">
        <f>IF(AND('Mapa final'!#REF!="Muy Baja",'Mapa final'!#REF!="Moderado"),CONCATENATE("R10C",'Mapa final'!#REF!),"")</f>
        <v>#REF!</v>
      </c>
      <c r="X55" s="63" t="e">
        <f>IF(AND('Mapa final'!#REF!="Muy Baja",'Mapa final'!#REF!="Moderado"),CONCATENATE("R10C",'Mapa final'!#REF!),"")</f>
        <v>#REF!</v>
      </c>
      <c r="Y55" s="63" t="e">
        <f>IF(AND('Mapa final'!#REF!="Muy Baja",'Mapa final'!#REF!="Moderado"),CONCATENATE("R10C",'Mapa final'!#REF!),"")</f>
        <v>#REF!</v>
      </c>
      <c r="Z55" s="63" t="e">
        <f>IF(AND('Mapa final'!#REF!="Muy Baja",'Mapa final'!#REF!="Moderado"),CONCATENATE("R10C",'Mapa final'!#REF!),"")</f>
        <v>#REF!</v>
      </c>
      <c r="AA55" s="64" t="e">
        <f>IF(AND('Mapa final'!#REF!="Muy Baja",'Mapa final'!#REF!="Moderado"),CONCATENATE("R10C",'Mapa final'!#REF!),"")</f>
        <v>#REF!</v>
      </c>
      <c r="AB55" s="50" t="e">
        <f>IF(AND('Mapa final'!#REF!="Muy Baja",'Mapa final'!#REF!="Mayor"),CONCATENATE("R10C",'Mapa final'!#REF!),"")</f>
        <v>#REF!</v>
      </c>
      <c r="AC55" s="51" t="e">
        <f>IF(AND('Mapa final'!#REF!="Muy Baja",'Mapa final'!#REF!="Mayor"),CONCATENATE("R10C",'Mapa final'!#REF!),"")</f>
        <v>#REF!</v>
      </c>
      <c r="AD55" s="51" t="e">
        <f>IF(AND('Mapa final'!#REF!="Muy Baja",'Mapa final'!#REF!="Mayor"),CONCATENATE("R10C",'Mapa final'!#REF!),"")</f>
        <v>#REF!</v>
      </c>
      <c r="AE55" s="51" t="e">
        <f>IF(AND('Mapa final'!#REF!="Muy Baja",'Mapa final'!#REF!="Mayor"),CONCATENATE("R10C",'Mapa final'!#REF!),"")</f>
        <v>#REF!</v>
      </c>
      <c r="AF55" s="51" t="e">
        <f>IF(AND('Mapa final'!#REF!="Muy Baja",'Mapa final'!#REF!="Mayor"),CONCATENATE("R10C",'Mapa final'!#REF!),"")</f>
        <v>#REF!</v>
      </c>
      <c r="AG55" s="52" t="e">
        <f>IF(AND('Mapa final'!#REF!="Muy Baja",'Mapa final'!#REF!="Mayor"),CONCATENATE("R10C",'Mapa final'!#REF!),"")</f>
        <v>#REF!</v>
      </c>
      <c r="AH55" s="53" t="e">
        <f>IF(AND('Mapa final'!#REF!="Muy Baja",'Mapa final'!#REF!="Catastrófico"),CONCATENATE("R10C",'Mapa final'!#REF!),"")</f>
        <v>#REF!</v>
      </c>
      <c r="AI55" s="54" t="e">
        <f>IF(AND('Mapa final'!#REF!="Muy Baja",'Mapa final'!#REF!="Catastrófico"),CONCATENATE("R10C",'Mapa final'!#REF!),"")</f>
        <v>#REF!</v>
      </c>
      <c r="AJ55" s="54" t="e">
        <f>IF(AND('Mapa final'!#REF!="Muy Baja",'Mapa final'!#REF!="Catastrófico"),CONCATENATE("R10C",'Mapa final'!#REF!),"")</f>
        <v>#REF!</v>
      </c>
      <c r="AK55" s="54" t="e">
        <f>IF(AND('Mapa final'!#REF!="Muy Baja",'Mapa final'!#REF!="Catastrófico"),CONCATENATE("R10C",'Mapa final'!#REF!),"")</f>
        <v>#REF!</v>
      </c>
      <c r="AL55" s="54" t="e">
        <f>IF(AND('Mapa final'!#REF!="Muy Baja",'Mapa final'!#REF!="Catastrófico"),CONCATENATE("R10C",'Mapa final'!#REF!),"")</f>
        <v>#REF!</v>
      </c>
      <c r="AM55" s="55" t="e">
        <f>IF(AND('Mapa final'!#REF!="Muy Baja",'Mapa final'!#REF!="Catastrófico"),CONCATENATE("R10C",'Mapa final'!#REF!),"")</f>
        <v>#REF!</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row>
    <row r="56" spans="1:80" x14ac:dyDescent="0.3">
      <c r="A56" s="75"/>
      <c r="B56" s="75"/>
      <c r="C56" s="75"/>
      <c r="D56" s="75"/>
      <c r="E56" s="75"/>
      <c r="F56" s="75"/>
      <c r="G56" s="75"/>
      <c r="H56" s="75"/>
      <c r="I56" s="75"/>
      <c r="J56" s="391" t="s">
        <v>247</v>
      </c>
      <c r="K56" s="392"/>
      <c r="L56" s="392"/>
      <c r="M56" s="392"/>
      <c r="N56" s="392"/>
      <c r="O56" s="409"/>
      <c r="P56" s="391" t="s">
        <v>248</v>
      </c>
      <c r="Q56" s="392"/>
      <c r="R56" s="392"/>
      <c r="S56" s="392"/>
      <c r="T56" s="392"/>
      <c r="U56" s="409"/>
      <c r="V56" s="391" t="s">
        <v>249</v>
      </c>
      <c r="W56" s="392"/>
      <c r="X56" s="392"/>
      <c r="Y56" s="392"/>
      <c r="Z56" s="392"/>
      <c r="AA56" s="409"/>
      <c r="AB56" s="391" t="s">
        <v>250</v>
      </c>
      <c r="AC56" s="430"/>
      <c r="AD56" s="392"/>
      <c r="AE56" s="392"/>
      <c r="AF56" s="392"/>
      <c r="AG56" s="409"/>
      <c r="AH56" s="391" t="s">
        <v>251</v>
      </c>
      <c r="AI56" s="392"/>
      <c r="AJ56" s="392"/>
      <c r="AK56" s="392"/>
      <c r="AL56" s="392"/>
      <c r="AM56" s="409"/>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row>
    <row r="57" spans="1:80" x14ac:dyDescent="0.3">
      <c r="A57" s="75"/>
      <c r="B57" s="75"/>
      <c r="C57" s="75"/>
      <c r="D57" s="75"/>
      <c r="E57" s="75"/>
      <c r="F57" s="75"/>
      <c r="G57" s="75"/>
      <c r="H57" s="75"/>
      <c r="I57" s="75"/>
      <c r="J57" s="395"/>
      <c r="K57" s="394"/>
      <c r="L57" s="394"/>
      <c r="M57" s="394"/>
      <c r="N57" s="394"/>
      <c r="O57" s="410"/>
      <c r="P57" s="395"/>
      <c r="Q57" s="394"/>
      <c r="R57" s="394"/>
      <c r="S57" s="394"/>
      <c r="T57" s="394"/>
      <c r="U57" s="410"/>
      <c r="V57" s="395"/>
      <c r="W57" s="394"/>
      <c r="X57" s="394"/>
      <c r="Y57" s="394"/>
      <c r="Z57" s="394"/>
      <c r="AA57" s="410"/>
      <c r="AB57" s="395"/>
      <c r="AC57" s="394"/>
      <c r="AD57" s="394"/>
      <c r="AE57" s="394"/>
      <c r="AF57" s="394"/>
      <c r="AG57" s="410"/>
      <c r="AH57" s="395"/>
      <c r="AI57" s="394"/>
      <c r="AJ57" s="394"/>
      <c r="AK57" s="394"/>
      <c r="AL57" s="394"/>
      <c r="AM57" s="410"/>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row>
    <row r="58" spans="1:80" x14ac:dyDescent="0.3">
      <c r="A58" s="75"/>
      <c r="B58" s="75"/>
      <c r="C58" s="75"/>
      <c r="D58" s="75"/>
      <c r="E58" s="75"/>
      <c r="F58" s="75"/>
      <c r="G58" s="75"/>
      <c r="H58" s="75"/>
      <c r="I58" s="75"/>
      <c r="J58" s="395"/>
      <c r="K58" s="394"/>
      <c r="L58" s="394"/>
      <c r="M58" s="394"/>
      <c r="N58" s="394"/>
      <c r="O58" s="410"/>
      <c r="P58" s="395"/>
      <c r="Q58" s="394"/>
      <c r="R58" s="394"/>
      <c r="S58" s="394"/>
      <c r="T58" s="394"/>
      <c r="U58" s="410"/>
      <c r="V58" s="395"/>
      <c r="W58" s="394"/>
      <c r="X58" s="394"/>
      <c r="Y58" s="394"/>
      <c r="Z58" s="394"/>
      <c r="AA58" s="410"/>
      <c r="AB58" s="395"/>
      <c r="AC58" s="394"/>
      <c r="AD58" s="394"/>
      <c r="AE58" s="394"/>
      <c r="AF58" s="394"/>
      <c r="AG58" s="410"/>
      <c r="AH58" s="395"/>
      <c r="AI58" s="394"/>
      <c r="AJ58" s="394"/>
      <c r="AK58" s="394"/>
      <c r="AL58" s="394"/>
      <c r="AM58" s="410"/>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row>
    <row r="59" spans="1:80" x14ac:dyDescent="0.3">
      <c r="A59" s="75"/>
      <c r="B59" s="75"/>
      <c r="C59" s="75"/>
      <c r="D59" s="75"/>
      <c r="E59" s="75"/>
      <c r="F59" s="75"/>
      <c r="G59" s="75"/>
      <c r="H59" s="75"/>
      <c r="I59" s="75"/>
      <c r="J59" s="395"/>
      <c r="K59" s="394"/>
      <c r="L59" s="394"/>
      <c r="M59" s="394"/>
      <c r="N59" s="394"/>
      <c r="O59" s="410"/>
      <c r="P59" s="395"/>
      <c r="Q59" s="394"/>
      <c r="R59" s="394"/>
      <c r="S59" s="394"/>
      <c r="T59" s="394"/>
      <c r="U59" s="410"/>
      <c r="V59" s="395"/>
      <c r="W59" s="394"/>
      <c r="X59" s="394"/>
      <c r="Y59" s="394"/>
      <c r="Z59" s="394"/>
      <c r="AA59" s="410"/>
      <c r="AB59" s="395"/>
      <c r="AC59" s="394"/>
      <c r="AD59" s="394"/>
      <c r="AE59" s="394"/>
      <c r="AF59" s="394"/>
      <c r="AG59" s="410"/>
      <c r="AH59" s="395"/>
      <c r="AI59" s="394"/>
      <c r="AJ59" s="394"/>
      <c r="AK59" s="394"/>
      <c r="AL59" s="394"/>
      <c r="AM59" s="410"/>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row>
    <row r="60" spans="1:80" x14ac:dyDescent="0.3">
      <c r="A60" s="75"/>
      <c r="B60" s="75"/>
      <c r="C60" s="75"/>
      <c r="D60" s="75"/>
      <c r="E60" s="75"/>
      <c r="F60" s="75"/>
      <c r="G60" s="75"/>
      <c r="H60" s="75"/>
      <c r="I60" s="75"/>
      <c r="J60" s="395"/>
      <c r="K60" s="394"/>
      <c r="L60" s="394"/>
      <c r="M60" s="394"/>
      <c r="N60" s="394"/>
      <c r="O60" s="410"/>
      <c r="P60" s="395"/>
      <c r="Q60" s="394"/>
      <c r="R60" s="394"/>
      <c r="S60" s="394"/>
      <c r="T60" s="394"/>
      <c r="U60" s="410"/>
      <c r="V60" s="395"/>
      <c r="W60" s="394"/>
      <c r="X60" s="394"/>
      <c r="Y60" s="394"/>
      <c r="Z60" s="394"/>
      <c r="AA60" s="410"/>
      <c r="AB60" s="395"/>
      <c r="AC60" s="394"/>
      <c r="AD60" s="394"/>
      <c r="AE60" s="394"/>
      <c r="AF60" s="394"/>
      <c r="AG60" s="410"/>
      <c r="AH60" s="395"/>
      <c r="AI60" s="394"/>
      <c r="AJ60" s="394"/>
      <c r="AK60" s="394"/>
      <c r="AL60" s="394"/>
      <c r="AM60" s="410"/>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row>
    <row r="61" spans="1:80" ht="15" thickBot="1" x14ac:dyDescent="0.35">
      <c r="A61" s="75"/>
      <c r="B61" s="75"/>
      <c r="C61" s="75"/>
      <c r="D61" s="75"/>
      <c r="E61" s="75"/>
      <c r="F61" s="75"/>
      <c r="G61" s="75"/>
      <c r="H61" s="75"/>
      <c r="I61" s="75"/>
      <c r="J61" s="396"/>
      <c r="K61" s="397"/>
      <c r="L61" s="397"/>
      <c r="M61" s="397"/>
      <c r="N61" s="397"/>
      <c r="O61" s="411"/>
      <c r="P61" s="396"/>
      <c r="Q61" s="397"/>
      <c r="R61" s="397"/>
      <c r="S61" s="397"/>
      <c r="T61" s="397"/>
      <c r="U61" s="411"/>
      <c r="V61" s="396"/>
      <c r="W61" s="397"/>
      <c r="X61" s="397"/>
      <c r="Y61" s="397"/>
      <c r="Z61" s="397"/>
      <c r="AA61" s="411"/>
      <c r="AB61" s="396"/>
      <c r="AC61" s="397"/>
      <c r="AD61" s="397"/>
      <c r="AE61" s="397"/>
      <c r="AF61" s="397"/>
      <c r="AG61" s="411"/>
      <c r="AH61" s="396"/>
      <c r="AI61" s="397"/>
      <c r="AJ61" s="397"/>
      <c r="AK61" s="397"/>
      <c r="AL61" s="397"/>
      <c r="AM61" s="411"/>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row>
    <row r="62" spans="1:80" x14ac:dyDescent="0.3">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row>
    <row r="63" spans="1:80" ht="15" customHeight="1" x14ac:dyDescent="0.3">
      <c r="A63" s="7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5"/>
      <c r="AV63" s="75"/>
      <c r="AW63" s="75"/>
      <c r="AX63" s="75"/>
      <c r="AY63" s="75"/>
      <c r="AZ63" s="75"/>
      <c r="BA63" s="75"/>
      <c r="BB63" s="75"/>
      <c r="BC63" s="75"/>
      <c r="BD63" s="75"/>
      <c r="BE63" s="75"/>
      <c r="BF63" s="75"/>
      <c r="BG63" s="75"/>
      <c r="BH63" s="75"/>
    </row>
    <row r="64" spans="1:80" ht="15" customHeight="1" x14ac:dyDescent="0.3">
      <c r="A64" s="7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5"/>
      <c r="AV64" s="75"/>
      <c r="AW64" s="75"/>
      <c r="AX64" s="75"/>
      <c r="AY64" s="75"/>
      <c r="AZ64" s="75"/>
      <c r="BA64" s="75"/>
      <c r="BB64" s="75"/>
      <c r="BC64" s="75"/>
      <c r="BD64" s="75"/>
      <c r="BE64" s="75"/>
      <c r="BF64" s="75"/>
      <c r="BG64" s="75"/>
      <c r="BH64" s="75"/>
    </row>
    <row r="65" spans="1:60" x14ac:dyDescent="0.3">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row>
    <row r="66" spans="1:60" x14ac:dyDescent="0.3">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row>
    <row r="67" spans="1:60" x14ac:dyDescent="0.3">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row>
    <row r="68" spans="1:60" x14ac:dyDescent="0.3">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row>
    <row r="69" spans="1:60" x14ac:dyDescent="0.3">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row>
    <row r="70" spans="1:60" x14ac:dyDescent="0.3">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row>
    <row r="71" spans="1:60" x14ac:dyDescent="0.3">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row>
    <row r="72" spans="1:60" x14ac:dyDescent="0.3">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row>
    <row r="73" spans="1:60" x14ac:dyDescent="0.3">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row>
    <row r="74" spans="1:60" x14ac:dyDescent="0.3">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row>
    <row r="75" spans="1:60" x14ac:dyDescent="0.3">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row>
    <row r="76" spans="1:60" x14ac:dyDescent="0.3">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row>
    <row r="77" spans="1:60" x14ac:dyDescent="0.3">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row>
    <row r="78" spans="1:60" x14ac:dyDescent="0.3">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row>
    <row r="79" spans="1:60" x14ac:dyDescent="0.3">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row>
    <row r="80" spans="1:60" x14ac:dyDescent="0.3">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row>
    <row r="81" spans="1:60" x14ac:dyDescent="0.3">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row>
    <row r="82" spans="1:60" x14ac:dyDescent="0.3">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row>
    <row r="83" spans="1:60" x14ac:dyDescent="0.3">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row>
    <row r="84" spans="1:60" x14ac:dyDescent="0.3">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row>
    <row r="85" spans="1:60" x14ac:dyDescent="0.3">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row>
    <row r="86" spans="1:60" x14ac:dyDescent="0.3">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row>
    <row r="87" spans="1:60" x14ac:dyDescent="0.3">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row>
    <row r="88" spans="1:60" x14ac:dyDescent="0.3">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row>
    <row r="89" spans="1:60" x14ac:dyDescent="0.3">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row>
    <row r="90" spans="1:60" x14ac:dyDescent="0.3">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60" x14ac:dyDescent="0.3">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row>
    <row r="92" spans="1:60" x14ac:dyDescent="0.3">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row>
    <row r="93" spans="1:60" x14ac:dyDescent="0.3">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row>
    <row r="94" spans="1:60" x14ac:dyDescent="0.3">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row>
    <row r="95" spans="1:60" x14ac:dyDescent="0.3">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row>
    <row r="96" spans="1:60" x14ac:dyDescent="0.3">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row>
    <row r="97" spans="1:60" x14ac:dyDescent="0.3">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row>
    <row r="98" spans="1:60" x14ac:dyDescent="0.3">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60" x14ac:dyDescent="0.3">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row>
    <row r="100" spans="1:60" x14ac:dyDescent="0.3">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row>
    <row r="101" spans="1:60" x14ac:dyDescent="0.3">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row>
    <row r="102" spans="1:60" x14ac:dyDescent="0.3">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row>
    <row r="103" spans="1:60" x14ac:dyDescent="0.3">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row>
    <row r="104" spans="1:60" x14ac:dyDescent="0.3">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row>
    <row r="105" spans="1:60" x14ac:dyDescent="0.3">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row>
    <row r="106" spans="1:60" x14ac:dyDescent="0.3">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row>
    <row r="107" spans="1:60" x14ac:dyDescent="0.3">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row>
    <row r="108" spans="1:60" x14ac:dyDescent="0.3">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row>
    <row r="109" spans="1:60" x14ac:dyDescent="0.3">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c r="AQ109" s="75"/>
      <c r="AR109" s="75"/>
      <c r="AS109" s="75"/>
      <c r="AT109" s="75"/>
      <c r="AU109" s="75"/>
      <c r="AV109" s="75"/>
      <c r="AW109" s="75"/>
      <c r="AX109" s="75"/>
      <c r="AY109" s="75"/>
      <c r="AZ109" s="75"/>
      <c r="BA109" s="75"/>
      <c r="BB109" s="75"/>
      <c r="BC109" s="75"/>
      <c r="BD109" s="75"/>
      <c r="BE109" s="75"/>
      <c r="BF109" s="75"/>
      <c r="BG109" s="75"/>
      <c r="BH109" s="75"/>
    </row>
    <row r="110" spans="1:60" x14ac:dyDescent="0.3">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c r="AQ110" s="75"/>
      <c r="AR110" s="75"/>
      <c r="AS110" s="75"/>
      <c r="AT110" s="75"/>
      <c r="AU110" s="75"/>
      <c r="AV110" s="75"/>
      <c r="AW110" s="75"/>
      <c r="AX110" s="75"/>
      <c r="AY110" s="75"/>
      <c r="AZ110" s="75"/>
      <c r="BA110" s="75"/>
      <c r="BB110" s="75"/>
      <c r="BC110" s="75"/>
      <c r="BD110" s="75"/>
      <c r="BE110" s="75"/>
      <c r="BF110" s="75"/>
      <c r="BG110" s="75"/>
      <c r="BH110" s="75"/>
    </row>
    <row r="111" spans="1:60" x14ac:dyDescent="0.3">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5"/>
      <c r="BE111" s="75"/>
      <c r="BF111" s="75"/>
      <c r="BG111" s="75"/>
      <c r="BH111" s="75"/>
    </row>
    <row r="112" spans="1:60" x14ac:dyDescent="0.3">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5"/>
      <c r="BE112" s="75"/>
      <c r="BF112" s="75"/>
      <c r="BG112" s="75"/>
      <c r="BH112" s="75"/>
    </row>
    <row r="113" spans="1:60" x14ac:dyDescent="0.3">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5"/>
      <c r="BE113" s="75"/>
      <c r="BF113" s="75"/>
      <c r="BG113" s="75"/>
      <c r="BH113" s="75"/>
    </row>
    <row r="114" spans="1:60" x14ac:dyDescent="0.3">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5"/>
      <c r="BE114" s="75"/>
      <c r="BF114" s="75"/>
      <c r="BG114" s="75"/>
      <c r="BH114" s="75"/>
    </row>
    <row r="115" spans="1:60" x14ac:dyDescent="0.3">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5"/>
      <c r="BE115" s="75"/>
      <c r="BF115" s="75"/>
      <c r="BG115" s="75"/>
      <c r="BH115" s="75"/>
    </row>
    <row r="116" spans="1:60" x14ac:dyDescent="0.3">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75"/>
      <c r="BD116" s="75"/>
      <c r="BE116" s="75"/>
      <c r="BF116" s="75"/>
      <c r="BG116" s="75"/>
      <c r="BH116" s="75"/>
    </row>
    <row r="117" spans="1:60" x14ac:dyDescent="0.3">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75"/>
      <c r="AR117" s="75"/>
      <c r="AS117" s="75"/>
      <c r="AT117" s="75"/>
      <c r="AU117" s="75"/>
      <c r="AV117" s="75"/>
      <c r="AW117" s="75"/>
      <c r="AX117" s="75"/>
      <c r="AY117" s="75"/>
      <c r="AZ117" s="75"/>
      <c r="BA117" s="75"/>
      <c r="BB117" s="75"/>
      <c r="BC117" s="75"/>
      <c r="BD117" s="75"/>
      <c r="BE117" s="75"/>
      <c r="BF117" s="75"/>
      <c r="BG117" s="75"/>
      <c r="BH117" s="75"/>
    </row>
    <row r="118" spans="1:60" x14ac:dyDescent="0.3">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row>
    <row r="119" spans="1:60" x14ac:dyDescent="0.3">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row>
    <row r="120" spans="1:60" x14ac:dyDescent="0.3">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row>
    <row r="121" spans="1:60" x14ac:dyDescent="0.3">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row>
    <row r="122" spans="1:60" x14ac:dyDescent="0.3">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row>
    <row r="123" spans="1:60" x14ac:dyDescent="0.3">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row>
    <row r="124" spans="1:60" x14ac:dyDescent="0.3">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row>
    <row r="125" spans="1:60" x14ac:dyDescent="0.3">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row>
    <row r="126" spans="1:60" x14ac:dyDescent="0.3">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row>
    <row r="127" spans="1:60" x14ac:dyDescent="0.3">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row>
    <row r="128" spans="1:60" x14ac:dyDescent="0.3">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row>
    <row r="129" spans="1:60" x14ac:dyDescent="0.3">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row>
    <row r="130" spans="1:60" x14ac:dyDescent="0.3">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row>
    <row r="131" spans="1:60" x14ac:dyDescent="0.3">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c r="AQ131" s="75"/>
      <c r="AR131" s="75"/>
      <c r="AS131" s="75"/>
      <c r="AT131" s="75"/>
      <c r="AU131" s="75"/>
      <c r="AV131" s="75"/>
      <c r="AW131" s="75"/>
      <c r="AX131" s="75"/>
      <c r="AY131" s="75"/>
      <c r="AZ131" s="75"/>
      <c r="BA131" s="75"/>
      <c r="BB131" s="75"/>
      <c r="BC131" s="75"/>
      <c r="BD131" s="75"/>
      <c r="BE131" s="75"/>
      <c r="BF131" s="75"/>
      <c r="BG131" s="75"/>
      <c r="BH131" s="75"/>
    </row>
    <row r="132" spans="1:60" x14ac:dyDescent="0.3">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c r="AQ132" s="75"/>
      <c r="AR132" s="75"/>
      <c r="AS132" s="75"/>
      <c r="AT132" s="75"/>
      <c r="AU132" s="75"/>
      <c r="AV132" s="75"/>
      <c r="AW132" s="75"/>
      <c r="AX132" s="75"/>
      <c r="AY132" s="75"/>
      <c r="AZ132" s="75"/>
      <c r="BA132" s="75"/>
      <c r="BB132" s="75"/>
      <c r="BC132" s="75"/>
      <c r="BD132" s="75"/>
      <c r="BE132" s="75"/>
      <c r="BF132" s="75"/>
      <c r="BG132" s="75"/>
      <c r="BH132" s="75"/>
    </row>
    <row r="133" spans="1:60" x14ac:dyDescent="0.3">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row>
    <row r="134" spans="1:60" x14ac:dyDescent="0.3">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5"/>
      <c r="AY134" s="75"/>
      <c r="AZ134" s="75"/>
      <c r="BA134" s="75"/>
      <c r="BB134" s="75"/>
      <c r="BC134" s="75"/>
      <c r="BD134" s="75"/>
      <c r="BE134" s="75"/>
      <c r="BF134" s="75"/>
      <c r="BG134" s="75"/>
      <c r="BH134" s="75"/>
    </row>
    <row r="135" spans="1:60" x14ac:dyDescent="0.3">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c r="AQ135" s="75"/>
      <c r="AR135" s="75"/>
      <c r="AS135" s="75"/>
      <c r="AT135" s="75"/>
      <c r="AU135" s="75"/>
      <c r="AV135" s="75"/>
      <c r="AW135" s="75"/>
      <c r="AX135" s="75"/>
      <c r="AY135" s="75"/>
      <c r="AZ135" s="75"/>
      <c r="BA135" s="75"/>
      <c r="BB135" s="75"/>
      <c r="BC135" s="75"/>
      <c r="BD135" s="75"/>
      <c r="BE135" s="75"/>
      <c r="BF135" s="75"/>
      <c r="BG135" s="75"/>
      <c r="BH135" s="75"/>
    </row>
    <row r="136" spans="1:60" x14ac:dyDescent="0.3">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c r="AQ136" s="75"/>
      <c r="AR136" s="75"/>
      <c r="AS136" s="75"/>
      <c r="AT136" s="75"/>
      <c r="AU136" s="75"/>
      <c r="AV136" s="75"/>
      <c r="AW136" s="75"/>
      <c r="AX136" s="75"/>
      <c r="AY136" s="75"/>
      <c r="AZ136" s="75"/>
      <c r="BA136" s="75"/>
      <c r="BB136" s="75"/>
      <c r="BC136" s="75"/>
      <c r="BD136" s="75"/>
      <c r="BE136" s="75"/>
      <c r="BF136" s="75"/>
      <c r="BG136" s="75"/>
      <c r="BH136" s="75"/>
    </row>
    <row r="137" spans="1:60" x14ac:dyDescent="0.3">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c r="AQ137" s="75"/>
      <c r="AR137" s="75"/>
      <c r="AS137" s="75"/>
      <c r="AT137" s="75"/>
      <c r="AU137" s="75"/>
      <c r="AV137" s="75"/>
      <c r="AW137" s="75"/>
      <c r="AX137" s="75"/>
      <c r="AY137" s="75"/>
      <c r="AZ137" s="75"/>
      <c r="BA137" s="75"/>
      <c r="BB137" s="75"/>
      <c r="BC137" s="75"/>
      <c r="BD137" s="75"/>
      <c r="BE137" s="75"/>
      <c r="BF137" s="75"/>
      <c r="BG137" s="75"/>
      <c r="BH137" s="75"/>
    </row>
    <row r="138" spans="1:60" x14ac:dyDescent="0.3">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c r="AQ138" s="75"/>
      <c r="AR138" s="75"/>
      <c r="AS138" s="75"/>
      <c r="AT138" s="75"/>
      <c r="AU138" s="75"/>
      <c r="AV138" s="75"/>
      <c r="AW138" s="75"/>
      <c r="AX138" s="75"/>
      <c r="AY138" s="75"/>
      <c r="AZ138" s="75"/>
      <c r="BA138" s="75"/>
      <c r="BB138" s="75"/>
      <c r="BC138" s="75"/>
      <c r="BD138" s="75"/>
      <c r="BE138" s="75"/>
      <c r="BF138" s="75"/>
      <c r="BG138" s="75"/>
      <c r="BH138" s="75"/>
    </row>
    <row r="139" spans="1:60" x14ac:dyDescent="0.3">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c r="AQ139" s="75"/>
      <c r="AR139" s="75"/>
      <c r="AS139" s="75"/>
      <c r="AT139" s="75"/>
      <c r="AU139" s="75"/>
      <c r="AV139" s="75"/>
      <c r="AW139" s="75"/>
      <c r="AX139" s="75"/>
      <c r="AY139" s="75"/>
      <c r="AZ139" s="75"/>
      <c r="BA139" s="75"/>
      <c r="BB139" s="75"/>
      <c r="BC139" s="75"/>
      <c r="BD139" s="75"/>
      <c r="BE139" s="75"/>
      <c r="BF139" s="75"/>
      <c r="BG139" s="75"/>
      <c r="BH139" s="75"/>
    </row>
    <row r="140" spans="1:60" x14ac:dyDescent="0.3">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c r="AQ140" s="75"/>
      <c r="AR140" s="75"/>
      <c r="AS140" s="75"/>
      <c r="AT140" s="75"/>
      <c r="AU140" s="75"/>
      <c r="AV140" s="75"/>
      <c r="AW140" s="75"/>
      <c r="AX140" s="75"/>
      <c r="AY140" s="75"/>
      <c r="AZ140" s="75"/>
      <c r="BA140" s="75"/>
      <c r="BB140" s="75"/>
      <c r="BC140" s="75"/>
      <c r="BD140" s="75"/>
      <c r="BE140" s="75"/>
      <c r="BF140" s="75"/>
      <c r="BG140" s="75"/>
      <c r="BH140" s="75"/>
    </row>
    <row r="141" spans="1:60" x14ac:dyDescent="0.3">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75"/>
      <c r="BA141" s="75"/>
      <c r="BB141" s="75"/>
      <c r="BC141" s="75"/>
      <c r="BD141" s="75"/>
      <c r="BE141" s="75"/>
      <c r="BF141" s="75"/>
      <c r="BG141" s="75"/>
      <c r="BH141" s="75"/>
    </row>
    <row r="142" spans="1:60" x14ac:dyDescent="0.3">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5"/>
      <c r="AT142" s="75"/>
      <c r="AU142" s="75"/>
      <c r="AV142" s="75"/>
      <c r="AW142" s="75"/>
      <c r="AX142" s="75"/>
      <c r="AY142" s="75"/>
      <c r="AZ142" s="75"/>
      <c r="BA142" s="75"/>
      <c r="BB142" s="75"/>
      <c r="BC142" s="75"/>
      <c r="BD142" s="75"/>
      <c r="BE142" s="75"/>
      <c r="BF142" s="75"/>
      <c r="BG142" s="75"/>
      <c r="BH142" s="75"/>
    </row>
    <row r="143" spans="1:60" x14ac:dyDescent="0.3">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c r="AQ143" s="75"/>
      <c r="AR143" s="75"/>
      <c r="AS143" s="75"/>
      <c r="AT143" s="75"/>
      <c r="AU143" s="75"/>
      <c r="AV143" s="75"/>
      <c r="AW143" s="75"/>
      <c r="AX143" s="75"/>
      <c r="AY143" s="75"/>
      <c r="AZ143" s="75"/>
      <c r="BA143" s="75"/>
      <c r="BB143" s="75"/>
      <c r="BC143" s="75"/>
      <c r="BD143" s="75"/>
      <c r="BE143" s="75"/>
      <c r="BF143" s="75"/>
      <c r="BG143" s="75"/>
      <c r="BH143" s="75"/>
    </row>
    <row r="144" spans="1:60" x14ac:dyDescent="0.3">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c r="AQ144" s="75"/>
      <c r="AR144" s="75"/>
      <c r="AS144" s="75"/>
      <c r="AT144" s="75"/>
      <c r="AU144" s="75"/>
      <c r="AV144" s="75"/>
      <c r="AW144" s="75"/>
      <c r="AX144" s="75"/>
      <c r="AY144" s="75"/>
      <c r="AZ144" s="75"/>
      <c r="BA144" s="75"/>
      <c r="BB144" s="75"/>
      <c r="BC144" s="75"/>
      <c r="BD144" s="75"/>
      <c r="BE144" s="75"/>
      <c r="BF144" s="75"/>
      <c r="BG144" s="75"/>
      <c r="BH144" s="75"/>
    </row>
    <row r="145" spans="1:60" x14ac:dyDescent="0.3">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row>
    <row r="146" spans="1:60" x14ac:dyDescent="0.3">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row>
    <row r="147" spans="1:60" x14ac:dyDescent="0.3">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row>
    <row r="148" spans="1:60" x14ac:dyDescent="0.3">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row>
    <row r="149" spans="1:60" x14ac:dyDescent="0.3">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row>
    <row r="150" spans="1:60" x14ac:dyDescent="0.3">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row>
    <row r="151" spans="1:60" x14ac:dyDescent="0.3">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row>
    <row r="152" spans="1:60" x14ac:dyDescent="0.3">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row>
    <row r="153" spans="1:60" x14ac:dyDescent="0.3">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row>
    <row r="154" spans="1:60" x14ac:dyDescent="0.3">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row>
    <row r="155" spans="1:60" x14ac:dyDescent="0.3">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row>
    <row r="156" spans="1:60" x14ac:dyDescent="0.3">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row>
    <row r="157" spans="1:60" x14ac:dyDescent="0.3">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row>
    <row r="158" spans="1:60" x14ac:dyDescent="0.3">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row>
    <row r="159" spans="1:60" x14ac:dyDescent="0.3">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row>
    <row r="160" spans="1:60" x14ac:dyDescent="0.3">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row>
    <row r="161" spans="1:60" x14ac:dyDescent="0.3">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row>
    <row r="162" spans="1:60" x14ac:dyDescent="0.3">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row>
    <row r="163" spans="1:60" x14ac:dyDescent="0.3">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row>
    <row r="164" spans="1:60" x14ac:dyDescent="0.3">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row>
    <row r="165" spans="1:60" x14ac:dyDescent="0.3">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row>
    <row r="166" spans="1:60" x14ac:dyDescent="0.3">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row>
    <row r="167" spans="1:60" x14ac:dyDescent="0.3">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row>
    <row r="168" spans="1:60" x14ac:dyDescent="0.3">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row>
    <row r="169" spans="1:60" x14ac:dyDescent="0.3">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row>
    <row r="170" spans="1:60" x14ac:dyDescent="0.3">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row>
    <row r="171" spans="1:60" x14ac:dyDescent="0.3">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row>
    <row r="172" spans="1:60" x14ac:dyDescent="0.3">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row>
    <row r="173" spans="1:60" x14ac:dyDescent="0.3">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row>
    <row r="174" spans="1:60" x14ac:dyDescent="0.3">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row>
    <row r="175" spans="1:60" x14ac:dyDescent="0.3">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75"/>
      <c r="AW175" s="75"/>
      <c r="AX175" s="75"/>
      <c r="AY175" s="75"/>
      <c r="AZ175" s="75"/>
      <c r="BA175" s="75"/>
      <c r="BB175" s="75"/>
      <c r="BC175" s="75"/>
      <c r="BD175" s="75"/>
      <c r="BE175" s="75"/>
      <c r="BF175" s="75"/>
      <c r="BG175" s="75"/>
      <c r="BH175" s="75"/>
    </row>
    <row r="176" spans="1:60" x14ac:dyDescent="0.3">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75"/>
      <c r="AW176" s="75"/>
      <c r="AX176" s="75"/>
      <c r="AY176" s="75"/>
      <c r="AZ176" s="75"/>
      <c r="BA176" s="75"/>
      <c r="BB176" s="75"/>
      <c r="BC176" s="75"/>
      <c r="BD176" s="75"/>
      <c r="BE176" s="75"/>
      <c r="BF176" s="75"/>
      <c r="BG176" s="75"/>
      <c r="BH176" s="75"/>
    </row>
    <row r="177" spans="1:60" x14ac:dyDescent="0.3">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5"/>
      <c r="BB177" s="75"/>
      <c r="BC177" s="75"/>
      <c r="BD177" s="75"/>
      <c r="BE177" s="75"/>
      <c r="BF177" s="75"/>
      <c r="BG177" s="75"/>
      <c r="BH177" s="75"/>
    </row>
    <row r="178" spans="1:60" x14ac:dyDescent="0.3">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75"/>
      <c r="AW178" s="75"/>
      <c r="AX178" s="75"/>
      <c r="AY178" s="75"/>
      <c r="AZ178" s="75"/>
      <c r="BA178" s="75"/>
      <c r="BB178" s="75"/>
      <c r="BC178" s="75"/>
      <c r="BD178" s="75"/>
      <c r="BE178" s="75"/>
      <c r="BF178" s="75"/>
      <c r="BG178" s="75"/>
      <c r="BH178" s="75"/>
    </row>
    <row r="179" spans="1:60" x14ac:dyDescent="0.3">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75"/>
      <c r="AW179" s="75"/>
      <c r="AX179" s="75"/>
      <c r="AY179" s="75"/>
      <c r="AZ179" s="75"/>
      <c r="BA179" s="75"/>
      <c r="BB179" s="75"/>
      <c r="BC179" s="75"/>
      <c r="BD179" s="75"/>
      <c r="BE179" s="75"/>
      <c r="BF179" s="75"/>
      <c r="BG179" s="75"/>
      <c r="BH179" s="75"/>
    </row>
    <row r="180" spans="1:60" x14ac:dyDescent="0.3">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75"/>
      <c r="AX180" s="75"/>
      <c r="AY180" s="75"/>
      <c r="AZ180" s="75"/>
      <c r="BA180" s="75"/>
      <c r="BB180" s="75"/>
      <c r="BC180" s="75"/>
      <c r="BD180" s="75"/>
      <c r="BE180" s="75"/>
      <c r="BF180" s="75"/>
      <c r="BG180" s="75"/>
      <c r="BH180" s="75"/>
    </row>
    <row r="181" spans="1:60" x14ac:dyDescent="0.3">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c r="BH181" s="75"/>
    </row>
    <row r="182" spans="1:60" x14ac:dyDescent="0.3">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75"/>
      <c r="AW182" s="75"/>
      <c r="AX182" s="75"/>
      <c r="AY182" s="75"/>
      <c r="AZ182" s="75"/>
      <c r="BA182" s="75"/>
      <c r="BB182" s="75"/>
      <c r="BC182" s="75"/>
      <c r="BD182" s="75"/>
      <c r="BE182" s="75"/>
      <c r="BF182" s="75"/>
      <c r="BG182" s="75"/>
      <c r="BH182" s="75"/>
    </row>
    <row r="183" spans="1:60" x14ac:dyDescent="0.3">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75"/>
      <c r="AW183" s="75"/>
      <c r="AX183" s="75"/>
      <c r="AY183" s="75"/>
      <c r="AZ183" s="75"/>
      <c r="BA183" s="75"/>
      <c r="BB183" s="75"/>
      <c r="BC183" s="75"/>
      <c r="BD183" s="75"/>
      <c r="BE183" s="75"/>
      <c r="BF183" s="75"/>
      <c r="BG183" s="75"/>
      <c r="BH183" s="75"/>
    </row>
    <row r="184" spans="1:60" x14ac:dyDescent="0.3">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75"/>
      <c r="AW184" s="75"/>
      <c r="AX184" s="75"/>
      <c r="AY184" s="75"/>
      <c r="AZ184" s="75"/>
      <c r="BA184" s="75"/>
      <c r="BB184" s="75"/>
      <c r="BC184" s="75"/>
      <c r="BD184" s="75"/>
      <c r="BE184" s="75"/>
      <c r="BF184" s="75"/>
      <c r="BG184" s="75"/>
      <c r="BH184" s="75"/>
    </row>
    <row r="185" spans="1:60" x14ac:dyDescent="0.3">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75"/>
      <c r="AW185" s="75"/>
      <c r="AX185" s="75"/>
      <c r="AY185" s="75"/>
      <c r="AZ185" s="75"/>
      <c r="BA185" s="75"/>
      <c r="BB185" s="75"/>
      <c r="BC185" s="75"/>
      <c r="BD185" s="75"/>
      <c r="BE185" s="75"/>
      <c r="BF185" s="75"/>
      <c r="BG185" s="75"/>
      <c r="BH185" s="75"/>
    </row>
    <row r="186" spans="1:60" x14ac:dyDescent="0.3">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row>
    <row r="187" spans="1:60" x14ac:dyDescent="0.3">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row>
    <row r="188" spans="1:60" x14ac:dyDescent="0.3">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row>
    <row r="189" spans="1:60" x14ac:dyDescent="0.3">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75"/>
      <c r="AW189" s="75"/>
      <c r="AX189" s="75"/>
      <c r="AY189" s="75"/>
      <c r="AZ189" s="75"/>
      <c r="BA189" s="75"/>
      <c r="BB189" s="75"/>
      <c r="BC189" s="75"/>
      <c r="BD189" s="75"/>
      <c r="BE189" s="75"/>
      <c r="BF189" s="75"/>
      <c r="BG189" s="75"/>
      <c r="BH189" s="75"/>
    </row>
    <row r="190" spans="1:60" x14ac:dyDescent="0.3">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75"/>
      <c r="AW190" s="75"/>
      <c r="AX190" s="75"/>
      <c r="AY190" s="75"/>
      <c r="AZ190" s="75"/>
      <c r="BA190" s="75"/>
      <c r="BB190" s="75"/>
      <c r="BC190" s="75"/>
      <c r="BD190" s="75"/>
      <c r="BE190" s="75"/>
      <c r="BF190" s="75"/>
      <c r="BG190" s="75"/>
      <c r="BH190" s="75"/>
    </row>
    <row r="191" spans="1:60" x14ac:dyDescent="0.3">
      <c r="A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75"/>
      <c r="AW191" s="75"/>
      <c r="AX191" s="75"/>
      <c r="AY191" s="75"/>
      <c r="AZ191" s="75"/>
      <c r="BA191" s="75"/>
      <c r="BB191" s="75"/>
      <c r="BC191" s="75"/>
      <c r="BD191" s="75"/>
      <c r="BE191" s="75"/>
      <c r="BF191" s="75"/>
      <c r="BG191" s="75"/>
      <c r="BH191" s="75"/>
    </row>
    <row r="192" spans="1:60" x14ac:dyDescent="0.3">
      <c r="A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75"/>
      <c r="AY192" s="75"/>
      <c r="AZ192" s="75"/>
      <c r="BA192" s="75"/>
      <c r="BB192" s="75"/>
      <c r="BC192" s="75"/>
      <c r="BD192" s="75"/>
      <c r="BE192" s="75"/>
      <c r="BF192" s="75"/>
      <c r="BG192" s="75"/>
      <c r="BH192" s="75"/>
    </row>
    <row r="193" spans="1:60" x14ac:dyDescent="0.3">
      <c r="A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75"/>
      <c r="AW193" s="75"/>
      <c r="AX193" s="75"/>
      <c r="AY193" s="75"/>
      <c r="AZ193" s="75"/>
      <c r="BA193" s="75"/>
      <c r="BB193" s="75"/>
      <c r="BC193" s="75"/>
      <c r="BD193" s="75"/>
      <c r="BE193" s="75"/>
      <c r="BF193" s="75"/>
      <c r="BG193" s="75"/>
      <c r="BH193" s="75"/>
    </row>
    <row r="194" spans="1:60" x14ac:dyDescent="0.3">
      <c r="A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row>
    <row r="195" spans="1:60" x14ac:dyDescent="0.3">
      <c r="A195" s="75"/>
      <c r="J195" s="75"/>
      <c r="K195" s="75"/>
      <c r="L195" s="75"/>
      <c r="M195" s="75"/>
      <c r="N195" s="75"/>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row>
    <row r="196" spans="1:60" x14ac:dyDescent="0.3">
      <c r="A196" s="75"/>
      <c r="J196" s="75"/>
      <c r="K196" s="75"/>
      <c r="L196" s="75"/>
      <c r="M196" s="75"/>
      <c r="N196" s="75"/>
      <c r="O196" s="75"/>
      <c r="P196" s="75"/>
      <c r="Q196" s="75"/>
      <c r="R196" s="75"/>
      <c r="S196" s="75"/>
      <c r="T196" s="75"/>
      <c r="U196" s="75"/>
      <c r="V196" s="75"/>
      <c r="W196" s="75"/>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row>
    <row r="197" spans="1:60" x14ac:dyDescent="0.3">
      <c r="A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row>
    <row r="198" spans="1:60" x14ac:dyDescent="0.3">
      <c r="A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row>
    <row r="199" spans="1:60" x14ac:dyDescent="0.3">
      <c r="A199" s="75"/>
      <c r="J199" s="75"/>
      <c r="K199" s="75"/>
      <c r="L199" s="75"/>
      <c r="M199" s="75"/>
      <c r="N199" s="75"/>
      <c r="O199" s="75"/>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row>
    <row r="200" spans="1:60" x14ac:dyDescent="0.3">
      <c r="A200" s="75"/>
      <c r="J200" s="75"/>
      <c r="K200" s="75"/>
      <c r="L200" s="75"/>
      <c r="M200" s="75"/>
      <c r="N200" s="75"/>
      <c r="O200" s="75"/>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75"/>
      <c r="AW200" s="75"/>
      <c r="AX200" s="75"/>
      <c r="AY200" s="75"/>
      <c r="AZ200" s="75"/>
      <c r="BA200" s="75"/>
      <c r="BB200" s="75"/>
      <c r="BC200" s="75"/>
      <c r="BD200" s="75"/>
      <c r="BE200" s="75"/>
      <c r="BF200" s="75"/>
      <c r="BG200" s="75"/>
      <c r="BH200" s="75"/>
    </row>
    <row r="201" spans="1:60" x14ac:dyDescent="0.3">
      <c r="A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75"/>
      <c r="AX201" s="75"/>
      <c r="AY201" s="75"/>
      <c r="AZ201" s="75"/>
      <c r="BA201" s="75"/>
      <c r="BB201" s="75"/>
      <c r="BC201" s="75"/>
      <c r="BD201" s="75"/>
      <c r="BE201" s="75"/>
      <c r="BF201" s="75"/>
      <c r="BG201" s="75"/>
      <c r="BH201" s="75"/>
    </row>
    <row r="202" spans="1:60" x14ac:dyDescent="0.3">
      <c r="A202" s="75"/>
      <c r="J202" s="75"/>
      <c r="K202" s="75"/>
      <c r="L202" s="75"/>
      <c r="M202" s="75"/>
      <c r="N202" s="75"/>
      <c r="O202" s="75"/>
      <c r="P202" s="75"/>
      <c r="Q202" s="75"/>
      <c r="R202" s="75"/>
      <c r="S202" s="75"/>
      <c r="T202" s="75"/>
      <c r="U202" s="75"/>
      <c r="V202" s="75"/>
      <c r="W202" s="75"/>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75"/>
      <c r="AW202" s="75"/>
      <c r="AX202" s="75"/>
      <c r="AY202" s="75"/>
      <c r="AZ202" s="75"/>
      <c r="BA202" s="75"/>
      <c r="BB202" s="75"/>
      <c r="BC202" s="75"/>
      <c r="BD202" s="75"/>
      <c r="BE202" s="75"/>
      <c r="BF202" s="75"/>
      <c r="BG202" s="75"/>
      <c r="BH202" s="75"/>
    </row>
    <row r="203" spans="1:60" x14ac:dyDescent="0.3">
      <c r="A203" s="75"/>
      <c r="J203" s="75"/>
      <c r="K203" s="75"/>
      <c r="L203" s="75"/>
      <c r="M203" s="75"/>
      <c r="N203" s="75"/>
      <c r="O203" s="75"/>
      <c r="P203" s="75"/>
      <c r="Q203" s="75"/>
      <c r="R203" s="75"/>
      <c r="S203" s="75"/>
      <c r="T203" s="75"/>
      <c r="U203" s="75"/>
      <c r="V203" s="75"/>
      <c r="W203" s="75"/>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75"/>
      <c r="AW203" s="75"/>
      <c r="AX203" s="75"/>
      <c r="AY203" s="75"/>
      <c r="AZ203" s="75"/>
      <c r="BA203" s="75"/>
      <c r="BB203" s="75"/>
      <c r="BC203" s="75"/>
      <c r="BD203" s="75"/>
      <c r="BE203" s="75"/>
      <c r="BF203" s="75"/>
      <c r="BG203" s="75"/>
      <c r="BH203" s="75"/>
    </row>
    <row r="204" spans="1:60" x14ac:dyDescent="0.3">
      <c r="A204" s="75"/>
      <c r="J204" s="75"/>
      <c r="K204" s="75"/>
      <c r="L204" s="75"/>
      <c r="M204" s="75"/>
      <c r="N204" s="75"/>
      <c r="O204" s="75"/>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75"/>
      <c r="AW204" s="75"/>
      <c r="AX204" s="75"/>
      <c r="AY204" s="75"/>
      <c r="AZ204" s="75"/>
      <c r="BA204" s="75"/>
      <c r="BB204" s="75"/>
      <c r="BC204" s="75"/>
      <c r="BD204" s="75"/>
      <c r="BE204" s="75"/>
      <c r="BF204" s="75"/>
      <c r="BG204" s="75"/>
      <c r="BH204" s="75"/>
    </row>
    <row r="205" spans="1:60" x14ac:dyDescent="0.3">
      <c r="A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75"/>
      <c r="AW205" s="75"/>
      <c r="AX205" s="75"/>
      <c r="AY205" s="75"/>
      <c r="AZ205" s="75"/>
      <c r="BA205" s="75"/>
      <c r="BB205" s="75"/>
      <c r="BC205" s="75"/>
      <c r="BD205" s="75"/>
      <c r="BE205" s="75"/>
      <c r="BF205" s="75"/>
      <c r="BG205" s="75"/>
      <c r="BH205" s="75"/>
    </row>
    <row r="206" spans="1:60" x14ac:dyDescent="0.3">
      <c r="A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row>
    <row r="207" spans="1:60" x14ac:dyDescent="0.3">
      <c r="A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row>
    <row r="208" spans="1:60" x14ac:dyDescent="0.3">
      <c r="A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row>
    <row r="209" spans="1:60" x14ac:dyDescent="0.3">
      <c r="A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row>
    <row r="210" spans="1:60" x14ac:dyDescent="0.3">
      <c r="A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75"/>
      <c r="AW210" s="75"/>
      <c r="AX210" s="75"/>
      <c r="AY210" s="75"/>
      <c r="AZ210" s="75"/>
      <c r="BA210" s="75"/>
      <c r="BB210" s="75"/>
      <c r="BC210" s="75"/>
      <c r="BD210" s="75"/>
      <c r="BE210" s="75"/>
      <c r="BF210" s="75"/>
      <c r="BG210" s="75"/>
      <c r="BH210" s="75"/>
    </row>
    <row r="211" spans="1:60" x14ac:dyDescent="0.3">
      <c r="A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row>
    <row r="212" spans="1:60" x14ac:dyDescent="0.3">
      <c r="A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75"/>
      <c r="AW212" s="75"/>
      <c r="AX212" s="75"/>
      <c r="AY212" s="75"/>
      <c r="AZ212" s="75"/>
      <c r="BA212" s="75"/>
      <c r="BB212" s="75"/>
      <c r="BC212" s="75"/>
      <c r="BD212" s="75"/>
      <c r="BE212" s="75"/>
      <c r="BF212" s="75"/>
      <c r="BG212" s="75"/>
      <c r="BH212" s="75"/>
    </row>
    <row r="213" spans="1:60" x14ac:dyDescent="0.3">
      <c r="A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c r="AY213" s="75"/>
      <c r="AZ213" s="75"/>
      <c r="BA213" s="75"/>
      <c r="BB213" s="75"/>
      <c r="BC213" s="75"/>
      <c r="BD213" s="75"/>
      <c r="BE213" s="75"/>
      <c r="BF213" s="75"/>
      <c r="BG213" s="75"/>
      <c r="BH213" s="75"/>
    </row>
    <row r="214" spans="1:60" x14ac:dyDescent="0.3">
      <c r="A214" s="75"/>
      <c r="J214" s="75"/>
      <c r="K214" s="75"/>
      <c r="L214" s="75"/>
      <c r="M214" s="75"/>
      <c r="N214" s="75"/>
      <c r="O214" s="75"/>
      <c r="P214" s="75"/>
      <c r="Q214" s="75"/>
      <c r="R214" s="75"/>
      <c r="S214" s="75"/>
      <c r="T214" s="75"/>
      <c r="U214" s="75"/>
      <c r="V214" s="75"/>
      <c r="W214" s="75"/>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75"/>
      <c r="AW214" s="75"/>
      <c r="AX214" s="75"/>
      <c r="AY214" s="75"/>
      <c r="AZ214" s="75"/>
      <c r="BA214" s="75"/>
      <c r="BB214" s="75"/>
      <c r="BC214" s="75"/>
      <c r="BD214" s="75"/>
      <c r="BE214" s="75"/>
      <c r="BF214" s="75"/>
      <c r="BG214" s="75"/>
      <c r="BH214" s="75"/>
    </row>
    <row r="215" spans="1:60" x14ac:dyDescent="0.3">
      <c r="A215" s="75"/>
      <c r="J215" s="75"/>
      <c r="K215" s="75"/>
      <c r="L215" s="75"/>
      <c r="M215" s="75"/>
      <c r="N215" s="75"/>
      <c r="O215" s="75"/>
      <c r="P215" s="75"/>
      <c r="Q215" s="75"/>
      <c r="R215" s="75"/>
      <c r="S215" s="75"/>
      <c r="T215" s="75"/>
      <c r="U215" s="75"/>
      <c r="V215" s="75"/>
      <c r="W215" s="75"/>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75"/>
      <c r="AW215" s="75"/>
      <c r="AX215" s="75"/>
      <c r="AY215" s="75"/>
      <c r="AZ215" s="75"/>
      <c r="BA215" s="75"/>
      <c r="BB215" s="75"/>
      <c r="BC215" s="75"/>
      <c r="BD215" s="75"/>
      <c r="BE215" s="75"/>
      <c r="BF215" s="75"/>
      <c r="BG215" s="75"/>
      <c r="BH215" s="75"/>
    </row>
    <row r="216" spans="1:60" x14ac:dyDescent="0.3">
      <c r="A216" s="75"/>
      <c r="J216" s="75"/>
      <c r="K216" s="75"/>
      <c r="L216" s="75"/>
      <c r="M216" s="75"/>
      <c r="N216" s="75"/>
      <c r="O216" s="75"/>
      <c r="P216" s="75"/>
      <c r="Q216" s="75"/>
      <c r="R216" s="75"/>
      <c r="S216" s="75"/>
      <c r="T216" s="75"/>
      <c r="U216" s="75"/>
      <c r="V216" s="75"/>
      <c r="W216" s="75"/>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75"/>
      <c r="AW216" s="75"/>
      <c r="AX216" s="75"/>
      <c r="AY216" s="75"/>
      <c r="AZ216" s="75"/>
      <c r="BA216" s="75"/>
      <c r="BB216" s="75"/>
      <c r="BC216" s="75"/>
      <c r="BD216" s="75"/>
      <c r="BE216" s="75"/>
      <c r="BF216" s="75"/>
      <c r="BG216" s="75"/>
      <c r="BH216" s="75"/>
    </row>
    <row r="217" spans="1:60" x14ac:dyDescent="0.3">
      <c r="A217" s="75"/>
      <c r="J217" s="75"/>
      <c r="K217" s="75"/>
      <c r="L217" s="75"/>
      <c r="M217" s="75"/>
      <c r="N217" s="75"/>
      <c r="O217" s="75"/>
      <c r="P217" s="75"/>
      <c r="Q217" s="75"/>
      <c r="R217" s="75"/>
      <c r="S217" s="75"/>
      <c r="T217" s="75"/>
      <c r="U217" s="75"/>
      <c r="V217" s="75"/>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5"/>
    </row>
    <row r="218" spans="1:60" x14ac:dyDescent="0.3">
      <c r="A218" s="75"/>
      <c r="J218" s="75"/>
      <c r="K218" s="75"/>
      <c r="L218" s="75"/>
      <c r="M218" s="75"/>
      <c r="N218" s="75"/>
      <c r="O218" s="75"/>
      <c r="P218" s="75"/>
      <c r="Q218" s="75"/>
      <c r="R218" s="75"/>
      <c r="S218" s="75"/>
      <c r="T218" s="75"/>
      <c r="U218" s="75"/>
      <c r="V218" s="75"/>
      <c r="W218" s="75"/>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75"/>
      <c r="AW218" s="75"/>
      <c r="AX218" s="75"/>
      <c r="AY218" s="75"/>
      <c r="AZ218" s="75"/>
      <c r="BA218" s="75"/>
      <c r="BB218" s="75"/>
      <c r="BC218" s="75"/>
      <c r="BD218" s="75"/>
      <c r="BE218" s="75"/>
      <c r="BF218" s="75"/>
      <c r="BG218" s="75"/>
      <c r="BH218" s="75"/>
    </row>
    <row r="219" spans="1:60" x14ac:dyDescent="0.3">
      <c r="A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c r="AY219" s="75"/>
      <c r="AZ219" s="75"/>
      <c r="BA219" s="75"/>
      <c r="BB219" s="75"/>
      <c r="BC219" s="75"/>
      <c r="BD219" s="75"/>
      <c r="BE219" s="75"/>
      <c r="BF219" s="75"/>
      <c r="BG219" s="75"/>
      <c r="BH219" s="75"/>
    </row>
    <row r="220" spans="1:60" x14ac:dyDescent="0.3">
      <c r="A220" s="75"/>
      <c r="J220" s="75"/>
      <c r="K220" s="75"/>
      <c r="L220" s="75"/>
      <c r="M220" s="75"/>
      <c r="N220" s="75"/>
      <c r="O220" s="75"/>
      <c r="P220" s="75"/>
      <c r="Q220" s="75"/>
      <c r="R220" s="75"/>
      <c r="S220" s="75"/>
      <c r="T220" s="75"/>
      <c r="U220" s="75"/>
      <c r="V220" s="75"/>
      <c r="W220" s="75"/>
      <c r="X220" s="75"/>
      <c r="Y220" s="75"/>
      <c r="Z220" s="75"/>
      <c r="AA220" s="75"/>
      <c r="AB220" s="75"/>
      <c r="AC220" s="75"/>
      <c r="AD220" s="75"/>
      <c r="AE220" s="75"/>
      <c r="AF220" s="75"/>
      <c r="AG220" s="75"/>
      <c r="AH220" s="75"/>
      <c r="AI220" s="75"/>
      <c r="AJ220" s="75"/>
      <c r="AK220" s="75"/>
      <c r="AL220" s="75"/>
      <c r="AM220" s="75"/>
      <c r="AN220" s="75"/>
      <c r="AO220" s="75"/>
      <c r="AP220" s="75"/>
      <c r="AQ220" s="75"/>
      <c r="AR220" s="75"/>
      <c r="AS220" s="75"/>
      <c r="AT220" s="75"/>
      <c r="AU220" s="75"/>
      <c r="AV220" s="75"/>
      <c r="AW220" s="75"/>
      <c r="AX220" s="75"/>
      <c r="AY220" s="75"/>
      <c r="AZ220" s="75"/>
      <c r="BA220" s="75"/>
      <c r="BB220" s="75"/>
      <c r="BC220" s="75"/>
      <c r="BD220" s="75"/>
      <c r="BE220" s="75"/>
      <c r="BF220" s="75"/>
      <c r="BG220" s="75"/>
      <c r="BH220" s="75"/>
    </row>
    <row r="221" spans="1:60" x14ac:dyDescent="0.3">
      <c r="A221" s="75"/>
      <c r="J221" s="75"/>
      <c r="K221" s="75"/>
      <c r="L221" s="75"/>
      <c r="M221" s="75"/>
      <c r="N221" s="75"/>
      <c r="O221" s="75"/>
      <c r="P221" s="75"/>
      <c r="Q221" s="75"/>
      <c r="R221" s="75"/>
      <c r="S221" s="75"/>
      <c r="T221" s="75"/>
      <c r="U221" s="75"/>
      <c r="V221" s="75"/>
      <c r="W221" s="75"/>
      <c r="X221" s="75"/>
      <c r="Y221" s="75"/>
      <c r="Z221" s="75"/>
      <c r="AA221" s="75"/>
      <c r="AB221" s="75"/>
      <c r="AC221" s="75"/>
      <c r="AD221" s="75"/>
      <c r="AE221" s="75"/>
      <c r="AF221" s="75"/>
      <c r="AG221" s="75"/>
      <c r="AH221" s="75"/>
      <c r="AI221" s="75"/>
      <c r="AJ221" s="75"/>
      <c r="AK221" s="75"/>
      <c r="AL221" s="75"/>
      <c r="AM221" s="75"/>
      <c r="AN221" s="75"/>
      <c r="AO221" s="75"/>
      <c r="AP221" s="75"/>
      <c r="AQ221" s="75"/>
      <c r="AR221" s="75"/>
      <c r="AS221" s="75"/>
      <c r="AT221" s="75"/>
      <c r="AU221" s="75"/>
      <c r="AV221" s="75"/>
      <c r="AW221" s="75"/>
      <c r="AX221" s="75"/>
      <c r="AY221" s="75"/>
      <c r="AZ221" s="75"/>
      <c r="BA221" s="75"/>
      <c r="BB221" s="75"/>
      <c r="BC221" s="75"/>
      <c r="BD221" s="75"/>
      <c r="BE221" s="75"/>
      <c r="BF221" s="75"/>
      <c r="BG221" s="75"/>
      <c r="BH221" s="75"/>
    </row>
    <row r="222" spans="1:60" x14ac:dyDescent="0.3">
      <c r="A222" s="75"/>
      <c r="J222" s="75"/>
      <c r="K222" s="75"/>
      <c r="L222" s="75"/>
      <c r="M222" s="75"/>
      <c r="N222" s="75"/>
      <c r="O222" s="75"/>
      <c r="P222" s="75"/>
      <c r="Q222" s="75"/>
      <c r="R222" s="75"/>
      <c r="S222" s="75"/>
      <c r="T222" s="75"/>
      <c r="U222" s="75"/>
      <c r="V222" s="75"/>
      <c r="W222" s="75"/>
      <c r="X222" s="75"/>
      <c r="Y222" s="75"/>
      <c r="Z222" s="75"/>
      <c r="AA222" s="75"/>
      <c r="AB222" s="75"/>
      <c r="AC222" s="75"/>
      <c r="AD222" s="75"/>
      <c r="AE222" s="75"/>
      <c r="AF222" s="75"/>
      <c r="AG222" s="75"/>
      <c r="AH222" s="75"/>
      <c r="AI222" s="75"/>
      <c r="AJ222" s="75"/>
      <c r="AK222" s="75"/>
      <c r="AL222" s="75"/>
      <c r="AM222" s="75"/>
      <c r="AN222" s="75"/>
      <c r="AO222" s="75"/>
      <c r="AP222" s="75"/>
      <c r="AQ222" s="75"/>
      <c r="AR222" s="75"/>
      <c r="AS222" s="75"/>
      <c r="AT222" s="75"/>
      <c r="AU222" s="75"/>
      <c r="AV222" s="75"/>
      <c r="AW222" s="75"/>
      <c r="AX222" s="75"/>
      <c r="AY222" s="75"/>
      <c r="AZ222" s="75"/>
      <c r="BA222" s="75"/>
      <c r="BB222" s="75"/>
      <c r="BC222" s="75"/>
      <c r="BD222" s="75"/>
      <c r="BE222" s="75"/>
      <c r="BF222" s="75"/>
      <c r="BG222" s="75"/>
      <c r="BH222" s="75"/>
    </row>
    <row r="223" spans="1:60" x14ac:dyDescent="0.3">
      <c r="A223" s="75"/>
      <c r="J223" s="75"/>
      <c r="K223" s="75"/>
      <c r="L223" s="75"/>
      <c r="M223" s="75"/>
      <c r="N223" s="75"/>
      <c r="O223" s="75"/>
      <c r="P223" s="75"/>
      <c r="Q223" s="75"/>
      <c r="R223" s="75"/>
      <c r="S223" s="75"/>
      <c r="T223" s="75"/>
      <c r="U223" s="75"/>
      <c r="V223" s="75"/>
      <c r="W223" s="75"/>
      <c r="X223" s="75"/>
      <c r="Y223" s="75"/>
      <c r="Z223" s="75"/>
      <c r="AA223" s="75"/>
      <c r="AB223" s="75"/>
      <c r="AC223" s="75"/>
      <c r="AD223" s="75"/>
      <c r="AE223" s="75"/>
      <c r="AF223" s="75"/>
      <c r="AG223" s="75"/>
      <c r="AH223" s="75"/>
      <c r="AI223" s="75"/>
      <c r="AJ223" s="75"/>
      <c r="AK223" s="75"/>
      <c r="AL223" s="75"/>
      <c r="AM223" s="75"/>
      <c r="AN223" s="75"/>
      <c r="AO223" s="75"/>
      <c r="AP223" s="75"/>
      <c r="AQ223" s="75"/>
      <c r="AR223" s="75"/>
      <c r="AS223" s="75"/>
      <c r="AT223" s="75"/>
      <c r="AU223" s="75"/>
      <c r="AV223" s="75"/>
      <c r="AW223" s="75"/>
      <c r="AX223" s="75"/>
      <c r="AY223" s="75"/>
      <c r="AZ223" s="75"/>
      <c r="BA223" s="75"/>
      <c r="BB223" s="75"/>
      <c r="BC223" s="75"/>
      <c r="BD223" s="75"/>
      <c r="BE223" s="75"/>
      <c r="BF223" s="75"/>
      <c r="BG223" s="75"/>
      <c r="BH223" s="75"/>
    </row>
    <row r="224" spans="1:60" x14ac:dyDescent="0.3">
      <c r="A224" s="75"/>
      <c r="J224" s="75"/>
      <c r="K224" s="75"/>
      <c r="L224" s="75"/>
      <c r="M224" s="75"/>
      <c r="N224" s="75"/>
      <c r="O224" s="75"/>
      <c r="P224" s="75"/>
      <c r="Q224" s="75"/>
      <c r="R224" s="75"/>
      <c r="S224" s="75"/>
      <c r="T224" s="75"/>
      <c r="U224" s="75"/>
      <c r="V224" s="75"/>
      <c r="W224" s="75"/>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75"/>
      <c r="AW224" s="75"/>
      <c r="AX224" s="75"/>
      <c r="AY224" s="75"/>
      <c r="AZ224" s="75"/>
      <c r="BA224" s="75"/>
      <c r="BB224" s="75"/>
      <c r="BC224" s="75"/>
      <c r="BD224" s="75"/>
      <c r="BE224" s="75"/>
      <c r="BF224" s="75"/>
      <c r="BG224" s="75"/>
      <c r="BH224" s="75"/>
    </row>
    <row r="225" spans="1:60" x14ac:dyDescent="0.3">
      <c r="A225" s="75"/>
      <c r="J225" s="75"/>
      <c r="K225" s="75"/>
      <c r="L225" s="75"/>
      <c r="M225" s="75"/>
      <c r="N225" s="75"/>
      <c r="O225" s="75"/>
      <c r="P225" s="75"/>
      <c r="Q225" s="75"/>
      <c r="R225" s="75"/>
      <c r="S225" s="75"/>
      <c r="T225" s="75"/>
      <c r="U225" s="75"/>
      <c r="V225" s="75"/>
      <c r="W225" s="75"/>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75"/>
      <c r="AW225" s="75"/>
      <c r="AX225" s="75"/>
      <c r="AY225" s="75"/>
      <c r="AZ225" s="75"/>
      <c r="BA225" s="75"/>
      <c r="BB225" s="75"/>
      <c r="BC225" s="75"/>
      <c r="BD225" s="75"/>
      <c r="BE225" s="75"/>
      <c r="BF225" s="75"/>
      <c r="BG225" s="75"/>
      <c r="BH225" s="75"/>
    </row>
    <row r="226" spans="1:60" x14ac:dyDescent="0.3">
      <c r="A226" s="75"/>
      <c r="J226" s="75"/>
      <c r="K226" s="75"/>
      <c r="L226" s="75"/>
      <c r="M226" s="75"/>
      <c r="N226" s="75"/>
      <c r="O226" s="75"/>
      <c r="P226" s="75"/>
      <c r="Q226" s="75"/>
      <c r="R226" s="75"/>
      <c r="S226" s="75"/>
      <c r="T226" s="75"/>
      <c r="U226" s="75"/>
      <c r="V226" s="75"/>
      <c r="W226" s="75"/>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75"/>
      <c r="AW226" s="75"/>
      <c r="AX226" s="75"/>
      <c r="AY226" s="75"/>
      <c r="AZ226" s="75"/>
      <c r="BA226" s="75"/>
      <c r="BB226" s="75"/>
      <c r="BC226" s="75"/>
      <c r="BD226" s="75"/>
      <c r="BE226" s="75"/>
      <c r="BF226" s="75"/>
      <c r="BG226" s="75"/>
      <c r="BH226" s="75"/>
    </row>
    <row r="227" spans="1:60" x14ac:dyDescent="0.3">
      <c r="A227" s="75"/>
      <c r="J227" s="75"/>
      <c r="K227" s="75"/>
      <c r="L227" s="75"/>
      <c r="M227" s="75"/>
      <c r="N227" s="75"/>
      <c r="O227" s="75"/>
      <c r="P227" s="75"/>
      <c r="Q227" s="75"/>
      <c r="R227" s="75"/>
      <c r="S227" s="75"/>
      <c r="T227" s="75"/>
      <c r="U227" s="75"/>
      <c r="V227" s="75"/>
      <c r="W227" s="75"/>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75"/>
      <c r="AW227" s="75"/>
      <c r="AX227" s="75"/>
      <c r="AY227" s="75"/>
      <c r="AZ227" s="75"/>
      <c r="BA227" s="75"/>
      <c r="BB227" s="75"/>
      <c r="BC227" s="75"/>
      <c r="BD227" s="75"/>
      <c r="BE227" s="75"/>
      <c r="BF227" s="75"/>
      <c r="BG227" s="75"/>
      <c r="BH227" s="75"/>
    </row>
    <row r="228" spans="1:60" x14ac:dyDescent="0.3">
      <c r="A228" s="75"/>
      <c r="J228" s="75"/>
      <c r="K228" s="75"/>
      <c r="L228" s="75"/>
      <c r="M228" s="75"/>
      <c r="N228" s="75"/>
      <c r="O228" s="75"/>
      <c r="P228" s="75"/>
      <c r="Q228" s="75"/>
      <c r="R228" s="75"/>
      <c r="S228" s="75"/>
      <c r="T228" s="75"/>
      <c r="U228" s="75"/>
      <c r="V228" s="75"/>
      <c r="W228" s="75"/>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75"/>
      <c r="AW228" s="75"/>
      <c r="AX228" s="75"/>
      <c r="AY228" s="75"/>
      <c r="AZ228" s="75"/>
      <c r="BA228" s="75"/>
      <c r="BB228" s="75"/>
      <c r="BC228" s="75"/>
      <c r="BD228" s="75"/>
      <c r="BE228" s="75"/>
      <c r="BF228" s="75"/>
      <c r="BG228" s="75"/>
      <c r="BH228" s="75"/>
    </row>
    <row r="229" spans="1:60" x14ac:dyDescent="0.3">
      <c r="A229" s="75"/>
      <c r="J229" s="75"/>
      <c r="K229" s="75"/>
      <c r="L229" s="75"/>
      <c r="M229" s="75"/>
      <c r="N229" s="75"/>
      <c r="O229" s="75"/>
      <c r="P229" s="75"/>
      <c r="Q229" s="75"/>
      <c r="R229" s="75"/>
      <c r="S229" s="75"/>
      <c r="T229" s="75"/>
      <c r="U229" s="75"/>
      <c r="V229" s="75"/>
      <c r="W229" s="75"/>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75"/>
      <c r="AW229" s="75"/>
      <c r="AX229" s="75"/>
      <c r="AY229" s="75"/>
      <c r="AZ229" s="75"/>
      <c r="BA229" s="75"/>
      <c r="BB229" s="75"/>
      <c r="BC229" s="75"/>
      <c r="BD229" s="75"/>
      <c r="BE229" s="75"/>
      <c r="BF229" s="75"/>
      <c r="BG229" s="75"/>
      <c r="BH229" s="75"/>
    </row>
    <row r="230" spans="1:60" x14ac:dyDescent="0.3">
      <c r="A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row>
    <row r="231" spans="1:60" x14ac:dyDescent="0.3">
      <c r="A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row>
    <row r="232" spans="1:60" x14ac:dyDescent="0.3">
      <c r="A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row>
    <row r="233" spans="1:60" x14ac:dyDescent="0.3">
      <c r="A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row>
    <row r="234" spans="1:60" x14ac:dyDescent="0.3">
      <c r="A234" s="75"/>
      <c r="J234" s="75"/>
      <c r="K234" s="75"/>
      <c r="L234" s="75"/>
      <c r="M234" s="75"/>
      <c r="N234" s="75"/>
      <c r="O234" s="75"/>
      <c r="P234" s="75"/>
      <c r="Q234" s="75"/>
      <c r="R234" s="75"/>
      <c r="S234" s="75"/>
      <c r="T234" s="75"/>
      <c r="U234" s="75"/>
      <c r="V234" s="75"/>
      <c r="W234" s="75"/>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row>
    <row r="235" spans="1:60" x14ac:dyDescent="0.3">
      <c r="A235" s="75"/>
      <c r="J235" s="75"/>
      <c r="K235" s="75"/>
      <c r="L235" s="75"/>
      <c r="M235" s="75"/>
      <c r="N235" s="75"/>
      <c r="O235" s="75"/>
      <c r="P235" s="75"/>
      <c r="Q235" s="75"/>
      <c r="R235" s="75"/>
      <c r="S235" s="75"/>
      <c r="T235" s="75"/>
      <c r="U235" s="75"/>
      <c r="V235" s="75"/>
      <c r="W235" s="75"/>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row>
    <row r="236" spans="1:60" x14ac:dyDescent="0.3">
      <c r="A236" s="75"/>
      <c r="J236" s="75"/>
      <c r="K236" s="75"/>
      <c r="L236" s="75"/>
      <c r="M236" s="75"/>
      <c r="N236" s="75"/>
      <c r="O236" s="75"/>
      <c r="P236" s="75"/>
      <c r="Q236" s="75"/>
      <c r="R236" s="75"/>
      <c r="S236" s="75"/>
      <c r="T236" s="75"/>
      <c r="U236" s="75"/>
      <c r="V236" s="75"/>
      <c r="W236" s="75"/>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75"/>
      <c r="AW236" s="75"/>
      <c r="AX236" s="75"/>
      <c r="AY236" s="75"/>
      <c r="AZ236" s="75"/>
      <c r="BA236" s="75"/>
      <c r="BB236" s="75"/>
      <c r="BC236" s="75"/>
      <c r="BD236" s="75"/>
      <c r="BE236" s="75"/>
      <c r="BF236" s="75"/>
      <c r="BG236" s="75"/>
      <c r="BH236" s="75"/>
    </row>
    <row r="237" spans="1:60" x14ac:dyDescent="0.3">
      <c r="A237" s="75"/>
      <c r="J237" s="75"/>
      <c r="K237" s="75"/>
      <c r="L237" s="75"/>
      <c r="M237" s="75"/>
      <c r="N237" s="75"/>
      <c r="O237" s="75"/>
      <c r="P237" s="75"/>
      <c r="Q237" s="75"/>
      <c r="R237" s="75"/>
      <c r="S237" s="75"/>
      <c r="T237" s="75"/>
      <c r="U237" s="75"/>
      <c r="V237" s="75"/>
      <c r="W237" s="75"/>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75"/>
      <c r="AW237" s="75"/>
      <c r="AX237" s="75"/>
      <c r="AY237" s="75"/>
      <c r="AZ237" s="75"/>
      <c r="BA237" s="75"/>
      <c r="BB237" s="75"/>
      <c r="BC237" s="75"/>
      <c r="BD237" s="75"/>
      <c r="BE237" s="75"/>
      <c r="BF237" s="75"/>
      <c r="BG237" s="75"/>
      <c r="BH237" s="75"/>
    </row>
    <row r="238" spans="1:60" x14ac:dyDescent="0.3">
      <c r="A238" s="75"/>
      <c r="J238" s="75"/>
      <c r="K238" s="75"/>
      <c r="L238" s="75"/>
      <c r="M238" s="75"/>
      <c r="N238" s="75"/>
      <c r="O238" s="75"/>
      <c r="P238" s="75"/>
      <c r="Q238" s="75"/>
      <c r="R238" s="75"/>
      <c r="S238" s="75"/>
      <c r="T238" s="75"/>
      <c r="U238" s="75"/>
      <c r="V238" s="75"/>
      <c r="W238" s="75"/>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75"/>
      <c r="AW238" s="75"/>
      <c r="AX238" s="75"/>
      <c r="AY238" s="75"/>
      <c r="AZ238" s="75"/>
      <c r="BA238" s="75"/>
      <c r="BB238" s="75"/>
      <c r="BC238" s="75"/>
      <c r="BD238" s="75"/>
      <c r="BE238" s="75"/>
      <c r="BF238" s="75"/>
      <c r="BG238" s="75"/>
      <c r="BH238" s="75"/>
    </row>
    <row r="239" spans="1:60" x14ac:dyDescent="0.3">
      <c r="A239" s="75"/>
      <c r="J239" s="75"/>
      <c r="K239" s="75"/>
      <c r="L239" s="75"/>
      <c r="M239" s="75"/>
      <c r="N239" s="75"/>
      <c r="O239" s="75"/>
      <c r="P239" s="75"/>
      <c r="Q239" s="75"/>
      <c r="R239" s="75"/>
      <c r="S239" s="75"/>
      <c r="T239" s="75"/>
      <c r="U239" s="75"/>
      <c r="V239" s="75"/>
      <c r="W239" s="75"/>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75"/>
      <c r="AW239" s="75"/>
      <c r="AX239" s="75"/>
      <c r="AY239" s="75"/>
      <c r="AZ239" s="75"/>
      <c r="BA239" s="75"/>
      <c r="BB239" s="75"/>
      <c r="BC239" s="75"/>
      <c r="BD239" s="75"/>
      <c r="BE239" s="75"/>
      <c r="BF239" s="75"/>
      <c r="BG239" s="75"/>
      <c r="BH239" s="75"/>
    </row>
    <row r="240" spans="1:60" x14ac:dyDescent="0.3">
      <c r="A240" s="75"/>
      <c r="J240" s="75"/>
      <c r="K240" s="75"/>
      <c r="L240" s="75"/>
      <c r="M240" s="75"/>
      <c r="N240" s="75"/>
      <c r="O240" s="75"/>
      <c r="P240" s="75"/>
      <c r="Q240" s="75"/>
      <c r="R240" s="75"/>
      <c r="S240" s="75"/>
      <c r="T240" s="75"/>
      <c r="U240" s="75"/>
      <c r="V240" s="75"/>
      <c r="W240" s="75"/>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75"/>
      <c r="AW240" s="75"/>
      <c r="AX240" s="75"/>
      <c r="AY240" s="75"/>
      <c r="AZ240" s="75"/>
      <c r="BA240" s="75"/>
      <c r="BB240" s="75"/>
      <c r="BC240" s="75"/>
      <c r="BD240" s="75"/>
      <c r="BE240" s="75"/>
      <c r="BF240" s="75"/>
      <c r="BG240" s="75"/>
      <c r="BH240" s="75"/>
    </row>
    <row r="241" spans="1:60" x14ac:dyDescent="0.3">
      <c r="A241" s="75"/>
      <c r="J241" s="75"/>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c r="AZ241" s="75"/>
      <c r="BA241" s="75"/>
      <c r="BB241" s="75"/>
      <c r="BC241" s="75"/>
      <c r="BD241" s="75"/>
      <c r="BE241" s="75"/>
      <c r="BF241" s="75"/>
      <c r="BG241" s="75"/>
      <c r="BH241" s="75"/>
    </row>
    <row r="242" spans="1:60" x14ac:dyDescent="0.3">
      <c r="A242" s="75"/>
      <c r="J242" s="75"/>
      <c r="K242" s="75"/>
      <c r="L242" s="75"/>
      <c r="M242" s="75"/>
      <c r="N242" s="75"/>
      <c r="O242" s="75"/>
      <c r="P242" s="75"/>
      <c r="Q242" s="75"/>
      <c r="R242" s="75"/>
      <c r="S242" s="75"/>
      <c r="T242" s="75"/>
      <c r="U242" s="75"/>
      <c r="V242" s="75"/>
      <c r="W242" s="75"/>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75"/>
      <c r="AW242" s="75"/>
      <c r="AX242" s="75"/>
      <c r="AY242" s="75"/>
      <c r="AZ242" s="75"/>
      <c r="BA242" s="75"/>
      <c r="BB242" s="75"/>
      <c r="BC242" s="75"/>
      <c r="BD242" s="75"/>
      <c r="BE242" s="75"/>
      <c r="BF242" s="75"/>
      <c r="BG242" s="75"/>
      <c r="BH242" s="75"/>
    </row>
    <row r="243" spans="1:60" x14ac:dyDescent="0.3">
      <c r="A243" s="75"/>
      <c r="J243" s="75"/>
      <c r="K243" s="75"/>
      <c r="L243" s="75"/>
      <c r="M243" s="75"/>
      <c r="N243" s="75"/>
      <c r="O243" s="75"/>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c r="AZ243" s="75"/>
      <c r="BA243" s="75"/>
      <c r="BB243" s="75"/>
      <c r="BC243" s="75"/>
      <c r="BD243" s="75"/>
      <c r="BE243" s="75"/>
      <c r="BF243" s="75"/>
      <c r="BG243" s="75"/>
      <c r="BH243" s="75"/>
    </row>
    <row r="244" spans="1:60" x14ac:dyDescent="0.3">
      <c r="A244" s="75"/>
      <c r="J244" s="75"/>
      <c r="K244" s="75"/>
      <c r="L244" s="75"/>
      <c r="M244" s="75"/>
      <c r="N244" s="75"/>
      <c r="O244" s="75"/>
      <c r="P244" s="75"/>
      <c r="Q244" s="75"/>
      <c r="R244" s="75"/>
      <c r="S244" s="75"/>
      <c r="T244" s="75"/>
      <c r="U244" s="75"/>
      <c r="V244" s="75"/>
      <c r="W244" s="75"/>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75"/>
      <c r="AW244" s="75"/>
      <c r="AX244" s="75"/>
      <c r="AY244" s="75"/>
      <c r="AZ244" s="75"/>
      <c r="BA244" s="75"/>
      <c r="BB244" s="75"/>
      <c r="BC244" s="75"/>
      <c r="BD244" s="75"/>
      <c r="BE244" s="75"/>
      <c r="BF244" s="75"/>
      <c r="BG244" s="75"/>
      <c r="BH244" s="75"/>
    </row>
    <row r="245" spans="1:60" x14ac:dyDescent="0.3">
      <c r="A245" s="75"/>
    </row>
    <row r="246" spans="1:60" x14ac:dyDescent="0.3">
      <c r="A246" s="75"/>
    </row>
    <row r="247" spans="1:60" x14ac:dyDescent="0.3">
      <c r="A247" s="75"/>
    </row>
    <row r="248" spans="1:60" x14ac:dyDescent="0.3">
      <c r="A248" s="7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C8" sqref="C8"/>
    </sheetView>
  </sheetViews>
  <sheetFormatPr baseColWidth="10" defaultColWidth="11.44140625" defaultRowHeight="14.4" x14ac:dyDescent="0.3"/>
  <cols>
    <col min="2" max="2" width="24.109375" customWidth="1"/>
    <col min="3" max="3" width="70.109375" customWidth="1"/>
    <col min="4" max="4" width="29.6640625" customWidth="1"/>
  </cols>
  <sheetData>
    <row r="1" spans="1:37" ht="23.4" x14ac:dyDescent="0.3">
      <c r="A1" s="75"/>
      <c r="B1" s="431" t="s">
        <v>253</v>
      </c>
      <c r="C1" s="431"/>
      <c r="D1" s="431"/>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7" x14ac:dyDescent="0.3">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7" ht="25.2" x14ac:dyDescent="0.3">
      <c r="A3" s="75"/>
      <c r="B3" s="8"/>
      <c r="C3" s="9" t="s">
        <v>254</v>
      </c>
      <c r="D3" s="9" t="s">
        <v>115</v>
      </c>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7" ht="50.4" x14ac:dyDescent="0.3">
      <c r="A4" s="75"/>
      <c r="B4" s="10" t="s">
        <v>255</v>
      </c>
      <c r="C4" s="11" t="s">
        <v>256</v>
      </c>
      <c r="D4" s="12">
        <v>0.2</v>
      </c>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7" ht="50.4" x14ac:dyDescent="0.3">
      <c r="A5" s="75"/>
      <c r="B5" s="13" t="s">
        <v>257</v>
      </c>
      <c r="C5" s="14" t="s">
        <v>258</v>
      </c>
      <c r="D5" s="15">
        <v>0.4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37" ht="50.4" x14ac:dyDescent="0.3">
      <c r="A6" s="75"/>
      <c r="B6" s="16" t="s">
        <v>259</v>
      </c>
      <c r="C6" s="14" t="s">
        <v>260</v>
      </c>
      <c r="D6" s="15">
        <v>0.6</v>
      </c>
      <c r="E6" s="75"/>
      <c r="F6" s="75"/>
      <c r="G6" s="75"/>
      <c r="H6" s="75"/>
      <c r="I6" s="75"/>
      <c r="J6" s="75"/>
      <c r="K6" s="75"/>
      <c r="L6" s="75"/>
      <c r="M6" s="75"/>
      <c r="N6" s="75"/>
      <c r="O6" s="75"/>
      <c r="P6" s="75"/>
      <c r="Q6" s="75"/>
      <c r="R6" s="75"/>
      <c r="S6" s="75"/>
      <c r="T6" s="75"/>
      <c r="U6" s="75"/>
      <c r="V6" s="75"/>
      <c r="W6" s="75"/>
      <c r="X6" s="75"/>
      <c r="Y6" s="75"/>
      <c r="Z6" s="75"/>
      <c r="AA6" s="75"/>
      <c r="AB6" s="75"/>
      <c r="AC6" s="75"/>
      <c r="AD6" s="75"/>
      <c r="AE6" s="75"/>
    </row>
    <row r="7" spans="1:37" ht="75.599999999999994" x14ac:dyDescent="0.3">
      <c r="A7" s="75"/>
      <c r="B7" s="17" t="s">
        <v>261</v>
      </c>
      <c r="C7" s="14" t="s">
        <v>262</v>
      </c>
      <c r="D7" s="15">
        <v>0.8</v>
      </c>
      <c r="E7" s="75"/>
      <c r="F7" s="75"/>
      <c r="G7" s="75"/>
      <c r="H7" s="75"/>
      <c r="I7" s="75"/>
      <c r="J7" s="75"/>
      <c r="K7" s="75"/>
      <c r="L7" s="75"/>
      <c r="M7" s="75"/>
      <c r="N7" s="75"/>
      <c r="O7" s="75"/>
      <c r="P7" s="75"/>
      <c r="Q7" s="75"/>
      <c r="R7" s="75"/>
      <c r="S7" s="75"/>
      <c r="T7" s="75"/>
      <c r="U7" s="75"/>
      <c r="V7" s="75"/>
      <c r="W7" s="75"/>
      <c r="X7" s="75"/>
      <c r="Y7" s="75"/>
      <c r="Z7" s="75"/>
      <c r="AA7" s="75"/>
      <c r="AB7" s="75"/>
      <c r="AC7" s="75"/>
      <c r="AD7" s="75"/>
      <c r="AE7" s="75"/>
    </row>
    <row r="8" spans="1:37" ht="50.4" x14ac:dyDescent="0.3">
      <c r="A8" s="75"/>
      <c r="B8" s="18" t="s">
        <v>263</v>
      </c>
      <c r="C8" s="14" t="s">
        <v>264</v>
      </c>
      <c r="D8" s="15">
        <v>1</v>
      </c>
      <c r="E8" s="75"/>
      <c r="F8" s="75"/>
      <c r="G8" s="75"/>
      <c r="H8" s="75"/>
      <c r="I8" s="75"/>
      <c r="J8" s="75"/>
      <c r="K8" s="75"/>
      <c r="L8" s="75"/>
      <c r="M8" s="75"/>
      <c r="N8" s="75"/>
      <c r="O8" s="75"/>
      <c r="P8" s="75"/>
      <c r="Q8" s="75"/>
      <c r="R8" s="75"/>
      <c r="S8" s="75"/>
      <c r="T8" s="75"/>
      <c r="U8" s="75"/>
      <c r="V8" s="75"/>
      <c r="W8" s="75"/>
      <c r="X8" s="75"/>
      <c r="Y8" s="75"/>
      <c r="Z8" s="75"/>
      <c r="AA8" s="75"/>
      <c r="AB8" s="75"/>
      <c r="AC8" s="75"/>
      <c r="AD8" s="75"/>
      <c r="AE8" s="75"/>
    </row>
    <row r="9" spans="1:37" x14ac:dyDescent="0.3">
      <c r="A9" s="75"/>
      <c r="B9" s="99"/>
      <c r="C9" s="99"/>
      <c r="D9" s="99"/>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row>
    <row r="10" spans="1:37" x14ac:dyDescent="0.3">
      <c r="A10" s="75"/>
      <c r="B10" s="100"/>
      <c r="C10" s="99"/>
      <c r="D10" s="99"/>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row>
    <row r="11" spans="1:37" x14ac:dyDescent="0.3">
      <c r="A11" s="75"/>
      <c r="B11" s="99"/>
      <c r="C11" s="99"/>
      <c r="D11" s="99"/>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row>
    <row r="12" spans="1:37" x14ac:dyDescent="0.3">
      <c r="A12" s="75"/>
      <c r="B12" s="99"/>
      <c r="C12" s="99"/>
      <c r="D12" s="99"/>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row>
    <row r="13" spans="1:37" x14ac:dyDescent="0.3">
      <c r="A13" s="75"/>
      <c r="B13" s="99"/>
      <c r="C13" s="99"/>
      <c r="D13" s="99"/>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row>
    <row r="14" spans="1:37" x14ac:dyDescent="0.3">
      <c r="A14" s="75"/>
      <c r="B14" s="99"/>
      <c r="C14" s="99"/>
      <c r="D14" s="99"/>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row>
    <row r="15" spans="1:37" x14ac:dyDescent="0.3">
      <c r="A15" s="75"/>
      <c r="B15" s="99"/>
      <c r="C15" s="99"/>
      <c r="D15" s="99"/>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row>
    <row r="16" spans="1:37" x14ac:dyDescent="0.3">
      <c r="A16" s="75"/>
      <c r="B16" s="99"/>
      <c r="C16" s="99"/>
      <c r="D16" s="99"/>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row>
    <row r="17" spans="1:37" x14ac:dyDescent="0.3">
      <c r="A17" s="75"/>
      <c r="B17" s="99"/>
      <c r="C17" s="99"/>
      <c r="D17" s="99"/>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row>
    <row r="18" spans="1:37" x14ac:dyDescent="0.3">
      <c r="A18" s="75"/>
      <c r="B18" s="99"/>
      <c r="C18" s="99"/>
      <c r="D18" s="99"/>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row>
    <row r="19" spans="1:37" x14ac:dyDescent="0.3">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row>
    <row r="20" spans="1:37" x14ac:dyDescent="0.3">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row>
    <row r="21" spans="1:37" x14ac:dyDescent="0.3">
      <c r="A21" s="7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row>
    <row r="22" spans="1:37" x14ac:dyDescent="0.3">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row>
    <row r="23" spans="1:37" x14ac:dyDescent="0.3">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row>
    <row r="24" spans="1:37" x14ac:dyDescent="0.3">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row>
    <row r="25" spans="1:37" x14ac:dyDescent="0.3">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row>
    <row r="26" spans="1:37" x14ac:dyDescent="0.3">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row>
    <row r="27" spans="1:37" x14ac:dyDescent="0.3">
      <c r="A27" s="75"/>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row>
    <row r="28" spans="1:37" x14ac:dyDescent="0.3">
      <c r="A28" s="75"/>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row>
    <row r="29" spans="1:37" x14ac:dyDescent="0.3">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row>
    <row r="30" spans="1:37" x14ac:dyDescent="0.3">
      <c r="A30" s="75"/>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row>
    <row r="31" spans="1:37" x14ac:dyDescent="0.3">
      <c r="A31" s="75"/>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1:37" x14ac:dyDescent="0.3">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1:31" x14ac:dyDescent="0.3">
      <c r="A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row>
    <row r="34" spans="1:31" x14ac:dyDescent="0.3">
      <c r="A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row>
    <row r="35" spans="1:31" x14ac:dyDescent="0.3">
      <c r="A35" s="75"/>
    </row>
    <row r="36" spans="1:31" x14ac:dyDescent="0.3">
      <c r="A36" s="75"/>
    </row>
    <row r="37" spans="1:31" x14ac:dyDescent="0.3">
      <c r="A37" s="75"/>
    </row>
    <row r="38" spans="1:31" x14ac:dyDescent="0.3">
      <c r="A38" s="75"/>
    </row>
    <row r="39" spans="1:31" x14ac:dyDescent="0.3">
      <c r="A39" s="75"/>
    </row>
    <row r="40" spans="1:31" x14ac:dyDescent="0.3">
      <c r="A40" s="75"/>
    </row>
    <row r="41" spans="1:31" x14ac:dyDescent="0.3">
      <c r="A41" s="75"/>
    </row>
    <row r="42" spans="1:31" x14ac:dyDescent="0.3">
      <c r="A42" s="75"/>
    </row>
    <row r="43" spans="1:31" x14ac:dyDescent="0.3">
      <c r="A43" s="75"/>
    </row>
    <row r="44" spans="1:31" x14ac:dyDescent="0.3">
      <c r="A44" s="75"/>
    </row>
    <row r="45" spans="1:31" x14ac:dyDescent="0.3">
      <c r="A45" s="75"/>
    </row>
    <row r="46" spans="1:31" x14ac:dyDescent="0.3">
      <c r="A46" s="75"/>
    </row>
    <row r="47" spans="1:31" x14ac:dyDescent="0.3">
      <c r="A47" s="75"/>
    </row>
    <row r="48" spans="1:31" x14ac:dyDescent="0.3">
      <c r="A48" s="75"/>
    </row>
    <row r="49" spans="1:1" x14ac:dyDescent="0.3">
      <c r="A49" s="75"/>
    </row>
    <row r="50" spans="1:1" x14ac:dyDescent="0.3">
      <c r="A50" s="75"/>
    </row>
    <row r="51" spans="1:1" x14ac:dyDescent="0.3">
      <c r="A51" s="75"/>
    </row>
    <row r="52" spans="1:1" x14ac:dyDescent="0.3">
      <c r="A52" s="75"/>
    </row>
    <row r="53" spans="1:1" x14ac:dyDescent="0.3">
      <c r="A53" s="75"/>
    </row>
    <row r="54" spans="1:1" x14ac:dyDescent="0.3">
      <c r="A54" s="75"/>
    </row>
    <row r="55" spans="1:1" x14ac:dyDescent="0.3">
      <c r="A55" s="75"/>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1"/>
  <sheetViews>
    <sheetView showGridLines="0" view="pageBreakPreview" zoomScale="90" zoomScaleNormal="70" zoomScaleSheetLayoutView="90" workbookViewId="0">
      <pane xSplit="4" ySplit="8" topLeftCell="E9" activePane="bottomRight" state="frozen"/>
      <selection pane="topRight" activeCell="B9" sqref="B9"/>
      <selection pane="bottomLeft" activeCell="B9" sqref="B9"/>
      <selection pane="bottomRight" activeCell="G2" sqref="G2:G8"/>
    </sheetView>
  </sheetViews>
  <sheetFormatPr baseColWidth="10" defaultColWidth="14.33203125" defaultRowHeight="11.4" x14ac:dyDescent="0.3"/>
  <cols>
    <col min="1" max="1" width="21.33203125" style="161" hidden="1" customWidth="1"/>
    <col min="2" max="2" width="37.88671875" style="161" hidden="1" customWidth="1"/>
    <col min="3" max="3" width="24.44140625" style="162" hidden="1" customWidth="1"/>
    <col min="4" max="4" width="16.109375" style="162" hidden="1" customWidth="1"/>
    <col min="5" max="5" width="10.33203125" style="161" customWidth="1"/>
    <col min="6" max="7" width="13.5546875" style="163" customWidth="1"/>
    <col min="8" max="24" width="13.5546875" style="161" customWidth="1"/>
    <col min="25" max="253" width="11.44140625" style="161" customWidth="1"/>
    <col min="254" max="254" width="12.6640625" style="161" customWidth="1"/>
    <col min="255" max="255" width="47" style="161" customWidth="1"/>
    <col min="256" max="256" width="35" style="161" customWidth="1"/>
    <col min="257" max="16384" width="14.33203125" style="161"/>
  </cols>
  <sheetData>
    <row r="1" spans="1:24" s="159" customFormat="1" ht="24.6" customHeight="1" x14ac:dyDescent="0.3">
      <c r="A1" s="439"/>
      <c r="B1" s="441" t="str">
        <f>+'[2]2 Contexto e Identificación'!B1</f>
        <v>MAPA DE RIESGOS DE CORRUPCIÓN</v>
      </c>
      <c r="C1" s="157" t="str">
        <f>+'[2]2 Contexto e Identificación'!C1</f>
        <v>Código:</v>
      </c>
      <c r="D1" s="158">
        <f>+'[2]2 Contexto e Identificación'!D1</f>
        <v>0</v>
      </c>
      <c r="F1" s="432" t="s">
        <v>265</v>
      </c>
      <c r="G1" s="432"/>
      <c r="H1" s="432"/>
      <c r="I1" s="432"/>
      <c r="J1" s="432"/>
      <c r="K1" s="432"/>
      <c r="L1" s="432"/>
      <c r="M1" s="432"/>
    </row>
    <row r="2" spans="1:24" s="159" customFormat="1" ht="24.6" customHeight="1" x14ac:dyDescent="0.3">
      <c r="A2" s="440"/>
      <c r="B2" s="442"/>
      <c r="C2" s="157" t="str">
        <f>+'[2]2 Contexto e Identificación'!C2</f>
        <v>Versión:</v>
      </c>
      <c r="D2" s="160">
        <f>+'[2]2 Contexto e Identificación'!D2</f>
        <v>0</v>
      </c>
      <c r="F2" s="433" t="s">
        <v>266</v>
      </c>
      <c r="G2" s="433" t="s">
        <v>267</v>
      </c>
      <c r="H2" s="433" t="s">
        <v>268</v>
      </c>
      <c r="I2" s="433" t="s">
        <v>269</v>
      </c>
      <c r="J2" s="433" t="s">
        <v>270</v>
      </c>
      <c r="K2" s="433" t="s">
        <v>271</v>
      </c>
      <c r="L2" s="433" t="s">
        <v>272</v>
      </c>
      <c r="M2" s="433" t="s">
        <v>273</v>
      </c>
      <c r="N2" s="434" t="s">
        <v>274</v>
      </c>
      <c r="O2" s="433" t="s">
        <v>275</v>
      </c>
      <c r="P2" s="433" t="s">
        <v>276</v>
      </c>
      <c r="Q2" s="433" t="s">
        <v>277</v>
      </c>
      <c r="R2" s="433" t="s">
        <v>278</v>
      </c>
      <c r="S2" s="433" t="s">
        <v>279</v>
      </c>
      <c r="T2" s="433" t="s">
        <v>280</v>
      </c>
      <c r="U2" s="432" t="s">
        <v>281</v>
      </c>
      <c r="V2" s="433" t="s">
        <v>282</v>
      </c>
      <c r="W2" s="433" t="s">
        <v>283</v>
      </c>
      <c r="X2" s="433" t="s">
        <v>284</v>
      </c>
    </row>
    <row r="3" spans="1:24" ht="3.6" customHeight="1" x14ac:dyDescent="0.3">
      <c r="E3" s="163"/>
      <c r="F3" s="433"/>
      <c r="G3" s="433"/>
      <c r="H3" s="433"/>
      <c r="I3" s="433"/>
      <c r="J3" s="433"/>
      <c r="K3" s="433"/>
      <c r="L3" s="433"/>
      <c r="M3" s="433"/>
      <c r="N3" s="434"/>
      <c r="O3" s="433"/>
      <c r="P3" s="433"/>
      <c r="Q3" s="433"/>
      <c r="R3" s="433"/>
      <c r="S3" s="433"/>
      <c r="T3" s="433"/>
      <c r="U3" s="432"/>
      <c r="V3" s="433"/>
      <c r="W3" s="433"/>
      <c r="X3" s="433"/>
    </row>
    <row r="4" spans="1:24" ht="14.4" customHeight="1" x14ac:dyDescent="0.3">
      <c r="A4" s="164" t="s">
        <v>285</v>
      </c>
      <c r="B4" s="165" t="str">
        <f>+IF('[2]2 Contexto e Identificación'!$B$4="","",'[2]2 Contexto e Identificación'!$B$4)</f>
        <v xml:space="preserve">Departamento Nacional de Planeación </v>
      </c>
      <c r="D4" s="161"/>
      <c r="F4" s="433"/>
      <c r="G4" s="433"/>
      <c r="H4" s="433"/>
      <c r="I4" s="433"/>
      <c r="J4" s="433"/>
      <c r="K4" s="433"/>
      <c r="L4" s="433"/>
      <c r="M4" s="433"/>
      <c r="N4" s="434"/>
      <c r="O4" s="433"/>
      <c r="P4" s="433"/>
      <c r="Q4" s="433"/>
      <c r="R4" s="433"/>
      <c r="S4" s="433"/>
      <c r="T4" s="433"/>
      <c r="U4" s="432"/>
      <c r="V4" s="433"/>
      <c r="W4" s="433"/>
      <c r="X4" s="433"/>
    </row>
    <row r="5" spans="1:24" ht="12" x14ac:dyDescent="0.3">
      <c r="A5" s="166"/>
      <c r="D5" s="161"/>
      <c r="F5" s="433"/>
      <c r="G5" s="433"/>
      <c r="H5" s="433"/>
      <c r="I5" s="433"/>
      <c r="J5" s="433"/>
      <c r="K5" s="433"/>
      <c r="L5" s="433"/>
      <c r="M5" s="433"/>
      <c r="N5" s="434"/>
      <c r="O5" s="433"/>
      <c r="P5" s="433"/>
      <c r="Q5" s="433"/>
      <c r="R5" s="433"/>
      <c r="S5" s="433"/>
      <c r="T5" s="433"/>
      <c r="U5" s="432"/>
      <c r="V5" s="433"/>
      <c r="W5" s="433"/>
      <c r="X5" s="433"/>
    </row>
    <row r="6" spans="1:24" ht="25.5" customHeight="1" x14ac:dyDescent="0.3">
      <c r="A6" s="435" t="s">
        <v>286</v>
      </c>
      <c r="B6" s="435"/>
      <c r="C6" s="161"/>
      <c r="D6" s="161"/>
      <c r="F6" s="433"/>
      <c r="G6" s="433"/>
      <c r="H6" s="433"/>
      <c r="I6" s="433"/>
      <c r="J6" s="433"/>
      <c r="K6" s="433"/>
      <c r="L6" s="433"/>
      <c r="M6" s="433"/>
      <c r="N6" s="434"/>
      <c r="O6" s="433"/>
      <c r="P6" s="433"/>
      <c r="Q6" s="433"/>
      <c r="R6" s="433"/>
      <c r="S6" s="433"/>
      <c r="T6" s="433"/>
      <c r="U6" s="432"/>
      <c r="V6" s="433"/>
      <c r="W6" s="433"/>
      <c r="X6" s="433"/>
    </row>
    <row r="7" spans="1:24" ht="6.9" customHeight="1" x14ac:dyDescent="0.3">
      <c r="D7" s="167"/>
      <c r="F7" s="433"/>
      <c r="G7" s="433"/>
      <c r="H7" s="433"/>
      <c r="I7" s="433"/>
      <c r="J7" s="433"/>
      <c r="K7" s="433"/>
      <c r="L7" s="433"/>
      <c r="M7" s="433"/>
      <c r="N7" s="434"/>
      <c r="O7" s="433"/>
      <c r="P7" s="433"/>
      <c r="Q7" s="433"/>
      <c r="R7" s="433"/>
      <c r="S7" s="433"/>
      <c r="T7" s="433"/>
      <c r="U7" s="432"/>
      <c r="V7" s="433"/>
      <c r="W7" s="433"/>
      <c r="X7" s="433"/>
    </row>
    <row r="8" spans="1:24" ht="25.5" customHeight="1" x14ac:dyDescent="0.3">
      <c r="A8" s="168" t="s">
        <v>287</v>
      </c>
      <c r="B8" s="169" t="s">
        <v>21</v>
      </c>
      <c r="C8" s="170" t="s">
        <v>288</v>
      </c>
      <c r="D8" s="170" t="s">
        <v>289</v>
      </c>
      <c r="F8" s="433"/>
      <c r="G8" s="433"/>
      <c r="H8" s="433"/>
      <c r="I8" s="433"/>
      <c r="J8" s="433"/>
      <c r="K8" s="433"/>
      <c r="L8" s="433"/>
      <c r="M8" s="433"/>
      <c r="N8" s="434"/>
      <c r="O8" s="433"/>
      <c r="P8" s="433"/>
      <c r="Q8" s="433"/>
      <c r="R8" s="433"/>
      <c r="S8" s="433"/>
      <c r="T8" s="433"/>
      <c r="U8" s="432"/>
      <c r="V8" s="433"/>
      <c r="W8" s="433"/>
      <c r="X8" s="433"/>
    </row>
    <row r="9" spans="1:24" ht="50.4" customHeight="1" x14ac:dyDescent="0.3">
      <c r="A9" s="171" t="str">
        <f>'[2]2 Contexto e Identificación'!A9</f>
        <v>R1</v>
      </c>
      <c r="B9" s="172" t="str">
        <f>+'[2]2 Contexto e Identificación'!E9</f>
        <v>Posibilidad de recibir o solicitar cualquier dádiva o beneficio a nombre propio o de terceros Para calcular y/o distribuir los recursos del SGR</v>
      </c>
      <c r="C9" s="173" t="str">
        <f t="array" ref="C9">+_xlfn.IFS(D9=0,"",U9='[2]13 Formulas'!$J$3,'[2]13 Formulas'!$L$7,D9&gt;=12,'[2]13 Formulas'!$L$7,D9&gt;=6,'[2]13 Formulas'!$L$6,D9&gt;=1,'[2]13 Formulas'!$L$5)</f>
        <v>Catastrófico</v>
      </c>
      <c r="D9" s="174">
        <f>+COUNTIF(F9:X9,'[2]13 Formulas'!$J$3)</f>
        <v>15</v>
      </c>
      <c r="E9" s="175"/>
      <c r="F9" s="176" t="s">
        <v>290</v>
      </c>
      <c r="G9" s="176" t="s">
        <v>290</v>
      </c>
      <c r="H9" s="176" t="s">
        <v>290</v>
      </c>
      <c r="I9" s="176" t="s">
        <v>290</v>
      </c>
      <c r="J9" s="176" t="s">
        <v>290</v>
      </c>
      <c r="K9" s="176" t="s">
        <v>290</v>
      </c>
      <c r="L9" s="176" t="s">
        <v>290</v>
      </c>
      <c r="M9" s="176" t="s">
        <v>290</v>
      </c>
      <c r="N9" s="176" t="s">
        <v>291</v>
      </c>
      <c r="O9" s="176" t="s">
        <v>290</v>
      </c>
      <c r="P9" s="176" t="s">
        <v>290</v>
      </c>
      <c r="Q9" s="176" t="s">
        <v>290</v>
      </c>
      <c r="R9" s="176" t="s">
        <v>290</v>
      </c>
      <c r="S9" s="176" t="s">
        <v>290</v>
      </c>
      <c r="T9" s="176" t="s">
        <v>290</v>
      </c>
      <c r="U9" s="176" t="s">
        <v>291</v>
      </c>
      <c r="V9" s="176" t="s">
        <v>291</v>
      </c>
      <c r="W9" s="176" t="s">
        <v>290</v>
      </c>
      <c r="X9" s="176" t="s">
        <v>291</v>
      </c>
    </row>
    <row r="10" spans="1:24" ht="50.4" customHeight="1" x14ac:dyDescent="0.3">
      <c r="A10" s="171" t="str">
        <f>'[2]2 Contexto e Identificación'!A10</f>
        <v>R2</v>
      </c>
      <c r="B10" s="172" t="str">
        <f>+'[2]2 Contexto e Identificación'!E10</f>
        <v>Posibilidad de recibir o solicitar cualquier dádiva o beneficio a nombre propio o de terceros Para direccionar el resultado de la evaluación de un PPPP</v>
      </c>
      <c r="C10" s="173" t="str">
        <f t="array" ref="C10">+_xlfn.IFS(D10=0,"",U10='[2]13 Formulas'!$J$3,'[2]13 Formulas'!$L$7,D10&gt;=12,'[2]13 Formulas'!$L$7,D10&gt;=6,'[2]13 Formulas'!$L$6,D10&gt;=1,'[2]13 Formulas'!$L$5)</f>
        <v>Mayor</v>
      </c>
      <c r="D10" s="174">
        <f>+COUNTIF(F10:X10,'[2]13 Formulas'!$J$3)</f>
        <v>7</v>
      </c>
      <c r="E10" s="175"/>
      <c r="F10" s="176" t="s">
        <v>290</v>
      </c>
      <c r="G10" s="176" t="s">
        <v>291</v>
      </c>
      <c r="H10" s="176" t="s">
        <v>290</v>
      </c>
      <c r="I10" s="176" t="s">
        <v>290</v>
      </c>
      <c r="J10" s="176" t="s">
        <v>290</v>
      </c>
      <c r="K10" s="176" t="s">
        <v>291</v>
      </c>
      <c r="L10" s="176" t="s">
        <v>291</v>
      </c>
      <c r="M10" s="176" t="s">
        <v>291</v>
      </c>
      <c r="N10" s="176" t="s">
        <v>290</v>
      </c>
      <c r="O10" s="176" t="s">
        <v>291</v>
      </c>
      <c r="P10" s="176" t="s">
        <v>291</v>
      </c>
      <c r="Q10" s="176" t="s">
        <v>290</v>
      </c>
      <c r="R10" s="176" t="s">
        <v>291</v>
      </c>
      <c r="S10" s="176" t="s">
        <v>291</v>
      </c>
      <c r="T10" s="176" t="s">
        <v>291</v>
      </c>
      <c r="U10" s="176" t="s">
        <v>291</v>
      </c>
      <c r="V10" s="176" t="s">
        <v>291</v>
      </c>
      <c r="W10" s="176" t="s">
        <v>290</v>
      </c>
      <c r="X10" s="176" t="s">
        <v>291</v>
      </c>
    </row>
    <row r="11" spans="1:24" ht="50.4" customHeight="1" x14ac:dyDescent="0.3">
      <c r="A11" s="171" t="str">
        <f>'[2]2 Contexto e Identificación'!A11</f>
        <v>R3</v>
      </c>
      <c r="B11" s="172" t="str">
        <f>+'[2]2 Contexto e Identificación'!E11</f>
        <v>Posibilidad de recibir o solicitar cualquier dádiva o beneficio a nombre propio o de terceros Con el objetivo de direccionar la toma de decisiones a partir de la información consolidada y divulgada sobre los proyectos financiados con recursos del SGR</v>
      </c>
      <c r="C11" s="173" t="str">
        <f t="array" ref="C11">+_xlfn.IFS(D11=0,"",U11='[2]13 Formulas'!$J$3,'[2]13 Formulas'!$L$7,D11&gt;=12,'[2]13 Formulas'!$L$7,D11&gt;=6,'[2]13 Formulas'!$L$6,D11&gt;=1,'[2]13 Formulas'!$L$5)</f>
        <v>Catastrófico</v>
      </c>
      <c r="D11" s="174">
        <f>+COUNTIF(F11:X11,'[2]13 Formulas'!$J$3)</f>
        <v>14</v>
      </c>
      <c r="E11" s="175"/>
      <c r="F11" s="176" t="s">
        <v>290</v>
      </c>
      <c r="G11" s="176" t="s">
        <v>290</v>
      </c>
      <c r="H11" s="176" t="s">
        <v>290</v>
      </c>
      <c r="I11" s="176" t="s">
        <v>290</v>
      </c>
      <c r="J11" s="176" t="s">
        <v>290</v>
      </c>
      <c r="K11" s="176" t="s">
        <v>291</v>
      </c>
      <c r="L11" s="176" t="s">
        <v>290</v>
      </c>
      <c r="M11" s="176" t="s">
        <v>291</v>
      </c>
      <c r="N11" s="176" t="s">
        <v>290</v>
      </c>
      <c r="O11" s="176" t="s">
        <v>290</v>
      </c>
      <c r="P11" s="176" t="s">
        <v>290</v>
      </c>
      <c r="Q11" s="176" t="s">
        <v>290</v>
      </c>
      <c r="R11" s="176" t="s">
        <v>290</v>
      </c>
      <c r="S11" s="176" t="s">
        <v>290</v>
      </c>
      <c r="T11" s="176" t="s">
        <v>290</v>
      </c>
      <c r="U11" s="176" t="s">
        <v>291</v>
      </c>
      <c r="V11" s="176" t="s">
        <v>291</v>
      </c>
      <c r="W11" s="176" t="s">
        <v>290</v>
      </c>
      <c r="X11" s="176" t="s">
        <v>291</v>
      </c>
    </row>
    <row r="12" spans="1:24" ht="50.4" customHeight="1" x14ac:dyDescent="0.3">
      <c r="A12" s="171" t="str">
        <f>'[2]2 Contexto e Identificación'!A12</f>
        <v>R4</v>
      </c>
      <c r="B12" s="172" t="str">
        <f>+'[2]2 Contexto e Identificación'!E12</f>
        <v>Posibilidad de recibir o solicitar cualquier dádiva o beneficio a nombre propio o de terceros Para emitir un Concepto Técnico Único Sectorial sobre un proyecto a ser financiado con recursos del SGR</v>
      </c>
      <c r="C12" s="173" t="str">
        <f t="array" ref="C12">+_xlfn.IFS(D12=0,"",U12='[2]13 Formulas'!$J$3,'[2]13 Formulas'!$L$7,D12&gt;=12,'[2]13 Formulas'!$L$7,D12&gt;=6,'[2]13 Formulas'!$L$6,D12&gt;=1,'[2]13 Formulas'!$L$5)</f>
        <v>Mayor</v>
      </c>
      <c r="D12" s="174">
        <f>+COUNTIF(F12:X12,'[2]13 Formulas'!$J$3)</f>
        <v>9</v>
      </c>
      <c r="E12" s="175"/>
      <c r="F12" s="176" t="s">
        <v>290</v>
      </c>
      <c r="G12" s="176" t="s">
        <v>291</v>
      </c>
      <c r="H12" s="176" t="s">
        <v>291</v>
      </c>
      <c r="I12" s="176" t="s">
        <v>290</v>
      </c>
      <c r="J12" s="176" t="s">
        <v>290</v>
      </c>
      <c r="K12" s="176" t="s">
        <v>291</v>
      </c>
      <c r="L12" s="176" t="s">
        <v>290</v>
      </c>
      <c r="M12" s="176" t="s">
        <v>291</v>
      </c>
      <c r="N12" s="176" t="s">
        <v>291</v>
      </c>
      <c r="O12" s="176" t="s">
        <v>290</v>
      </c>
      <c r="P12" s="176" t="s">
        <v>290</v>
      </c>
      <c r="Q12" s="176" t="s">
        <v>290</v>
      </c>
      <c r="R12" s="176" t="s">
        <v>291</v>
      </c>
      <c r="S12" s="176" t="s">
        <v>291</v>
      </c>
      <c r="T12" s="176" t="s">
        <v>290</v>
      </c>
      <c r="U12" s="176" t="s">
        <v>291</v>
      </c>
      <c r="V12" s="176" t="s">
        <v>291</v>
      </c>
      <c r="W12" s="176" t="s">
        <v>290</v>
      </c>
      <c r="X12" s="176" t="s">
        <v>291</v>
      </c>
    </row>
    <row r="13" spans="1:24" ht="50.4" customHeight="1" x14ac:dyDescent="0.3">
      <c r="A13" s="171" t="str">
        <f>'[2]2 Contexto e Identificación'!A13</f>
        <v>R5</v>
      </c>
      <c r="B13" s="172" t="str">
        <f>+'[2]2 Contexto e Identificación'!E13</f>
        <v>Posibilidad de recibir o solicitar cualquier dádiva o beneficio a nombre propio o de terceros Para agilizar la emisión de la ficha de verificación de requisitos de los proyectos a ser financiados con recursos de Asignación Paz del SGR</v>
      </c>
      <c r="C13" s="173" t="str">
        <f t="array" ref="C13">+_xlfn.IFS(D13=0,"",U13='[2]13 Formulas'!$J$3,'[2]13 Formulas'!$L$7,D13&gt;=12,'[2]13 Formulas'!$L$7,D13&gt;=6,'[2]13 Formulas'!$L$6,D13&gt;=1,'[2]13 Formulas'!$L$5)</f>
        <v>Mayor</v>
      </c>
      <c r="D13" s="174">
        <f>+COUNTIF(F13:X13,'[2]13 Formulas'!$J$3)</f>
        <v>9</v>
      </c>
      <c r="E13" s="175"/>
      <c r="F13" s="176" t="s">
        <v>290</v>
      </c>
      <c r="G13" s="176" t="s">
        <v>291</v>
      </c>
      <c r="H13" s="176" t="s">
        <v>291</v>
      </c>
      <c r="I13" s="176" t="s">
        <v>290</v>
      </c>
      <c r="J13" s="176" t="s">
        <v>290</v>
      </c>
      <c r="K13" s="176" t="s">
        <v>291</v>
      </c>
      <c r="L13" s="176" t="s">
        <v>290</v>
      </c>
      <c r="M13" s="176" t="s">
        <v>291</v>
      </c>
      <c r="N13" s="176" t="s">
        <v>291</v>
      </c>
      <c r="O13" s="176" t="s">
        <v>290</v>
      </c>
      <c r="P13" s="176" t="s">
        <v>290</v>
      </c>
      <c r="Q13" s="176" t="s">
        <v>290</v>
      </c>
      <c r="R13" s="176" t="s">
        <v>291</v>
      </c>
      <c r="S13" s="176" t="s">
        <v>291</v>
      </c>
      <c r="T13" s="176" t="s">
        <v>290</v>
      </c>
      <c r="U13" s="176" t="s">
        <v>291</v>
      </c>
      <c r="V13" s="176" t="s">
        <v>291</v>
      </c>
      <c r="W13" s="176" t="s">
        <v>290</v>
      </c>
      <c r="X13" s="176" t="s">
        <v>291</v>
      </c>
    </row>
    <row r="14" spans="1:24" ht="50.4" customHeight="1" x14ac:dyDescent="0.3">
      <c r="A14" s="171" t="str">
        <f>'[2]2 Contexto e Identificación'!A14</f>
        <v>R6</v>
      </c>
      <c r="B14" s="172" t="str">
        <f>+'[2]2 Contexto e Identificación'!E14</f>
        <v>Posibilidad de recibir o solicitar cualquier dádiva o beneficio a nombre propio o de terceros Para validar el cumplimiento de requisitos normativos de un proyecto a  ser financiado con recursos del SGR</v>
      </c>
      <c r="C14" s="173" t="str">
        <f t="array" ref="C14">+_xlfn.IFS(D14=0,"",U14='[2]13 Formulas'!$J$3,'[2]13 Formulas'!$L$7,D14&gt;=12,'[2]13 Formulas'!$L$7,D14&gt;=6,'[2]13 Formulas'!$L$6,D14&gt;=1,'[2]13 Formulas'!$L$5)</f>
        <v>Mayor</v>
      </c>
      <c r="D14" s="174">
        <f>+COUNTIF(F14:X14,'[2]13 Formulas'!$J$3)</f>
        <v>9</v>
      </c>
      <c r="E14" s="175"/>
      <c r="F14" s="176" t="s">
        <v>290</v>
      </c>
      <c r="G14" s="176" t="s">
        <v>291</v>
      </c>
      <c r="H14" s="176" t="s">
        <v>291</v>
      </c>
      <c r="I14" s="176" t="s">
        <v>290</v>
      </c>
      <c r="J14" s="176" t="s">
        <v>290</v>
      </c>
      <c r="K14" s="176" t="s">
        <v>291</v>
      </c>
      <c r="L14" s="176" t="s">
        <v>290</v>
      </c>
      <c r="M14" s="176" t="s">
        <v>291</v>
      </c>
      <c r="N14" s="176" t="s">
        <v>291</v>
      </c>
      <c r="O14" s="176" t="s">
        <v>290</v>
      </c>
      <c r="P14" s="176" t="s">
        <v>290</v>
      </c>
      <c r="Q14" s="176" t="s">
        <v>290</v>
      </c>
      <c r="R14" s="176" t="s">
        <v>291</v>
      </c>
      <c r="S14" s="176" t="s">
        <v>291</v>
      </c>
      <c r="T14" s="176" t="s">
        <v>290</v>
      </c>
      <c r="U14" s="176" t="s">
        <v>291</v>
      </c>
      <c r="V14" s="176" t="s">
        <v>291</v>
      </c>
      <c r="W14" s="176" t="s">
        <v>290</v>
      </c>
      <c r="X14" s="176" t="s">
        <v>291</v>
      </c>
    </row>
    <row r="15" spans="1:24" ht="50.4" customHeight="1" x14ac:dyDescent="0.3">
      <c r="A15" s="171" t="str">
        <f>'[2]2 Contexto e Identificación'!A15</f>
        <v>R7</v>
      </c>
      <c r="B15" s="172" t="str">
        <f>+'[2]2 Contexto e Identificación'!E15</f>
        <v>Posibilidad de recibir o solicitar cualquier dádiva o beneficio a nombre propio o de terceros Para formular un proyecto a ser financiado con recursos del SGR por parte del profesional que brinda asistencia técnica o un tercero</v>
      </c>
      <c r="C15" s="173" t="str">
        <f t="array" ref="C15">+_xlfn.IFS(D15=0,"",U15='[2]13 Formulas'!$J$3,'[2]13 Formulas'!$L$7,D15&gt;=12,'[2]13 Formulas'!$L$7,D15&gt;=6,'[2]13 Formulas'!$L$6,D15&gt;=1,'[2]13 Formulas'!$L$5)</f>
        <v>Mayor</v>
      </c>
      <c r="D15" s="174">
        <f>+COUNTIF(F15:X15,'[2]13 Formulas'!$J$3)</f>
        <v>6</v>
      </c>
      <c r="E15" s="175"/>
      <c r="F15" s="176" t="s">
        <v>290</v>
      </c>
      <c r="G15" s="176" t="s">
        <v>291</v>
      </c>
      <c r="H15" s="176" t="s">
        <v>291</v>
      </c>
      <c r="I15" s="176" t="s">
        <v>291</v>
      </c>
      <c r="J15" s="176" t="s">
        <v>290</v>
      </c>
      <c r="K15" s="176" t="s">
        <v>291</v>
      </c>
      <c r="L15" s="176" t="s">
        <v>291</v>
      </c>
      <c r="M15" s="176" t="s">
        <v>291</v>
      </c>
      <c r="N15" s="176" t="s">
        <v>291</v>
      </c>
      <c r="O15" s="176" t="s">
        <v>291</v>
      </c>
      <c r="P15" s="176" t="s">
        <v>290</v>
      </c>
      <c r="Q15" s="176" t="s">
        <v>290</v>
      </c>
      <c r="R15" s="176" t="s">
        <v>291</v>
      </c>
      <c r="S15" s="176" t="s">
        <v>291</v>
      </c>
      <c r="T15" s="176" t="s">
        <v>290</v>
      </c>
      <c r="U15" s="176" t="s">
        <v>291</v>
      </c>
      <c r="V15" s="176" t="s">
        <v>290</v>
      </c>
      <c r="W15" s="176" t="s">
        <v>291</v>
      </c>
      <c r="X15" s="176" t="s">
        <v>291</v>
      </c>
    </row>
    <row r="16" spans="1:24" ht="50.4" customHeight="1" x14ac:dyDescent="0.3">
      <c r="A16" s="171" t="str">
        <f>'[2]2 Contexto e Identificación'!A16</f>
        <v>R8</v>
      </c>
      <c r="B16" s="172" t="str">
        <f>+'[2]2 Contexto e Identificación'!E16</f>
        <v>Posibilidad de recibir o solicitar cualquier dádiva o beneficio a nombre propio o de terceros Con el fin de  direccionar el resultado del informe de seguimiento de los proyectos de inversión financiados con recursos del SGR que son objeto de las visitas de verificación de avances y resultados.</v>
      </c>
      <c r="C16" s="173" t="str">
        <f t="array" ref="C16">+_xlfn.IFS(D16=0,"",U16='[2]13 Formulas'!$J$3,'[2]13 Formulas'!$L$7,D16&gt;=12,'[2]13 Formulas'!$L$7,D16&gt;=6,'[2]13 Formulas'!$L$6,D16&gt;=1,'[2]13 Formulas'!$L$5)</f>
        <v>Catastrófico</v>
      </c>
      <c r="D16" s="174">
        <f>+COUNTIF(F16:X16,'[2]13 Formulas'!$J$3)</f>
        <v>15</v>
      </c>
      <c r="E16" s="175"/>
      <c r="F16" s="176" t="s">
        <v>290</v>
      </c>
      <c r="G16" s="176" t="s">
        <v>291</v>
      </c>
      <c r="H16" s="176" t="s">
        <v>290</v>
      </c>
      <c r="I16" s="176" t="s">
        <v>290</v>
      </c>
      <c r="J16" s="176" t="s">
        <v>290</v>
      </c>
      <c r="K16" s="176" t="s">
        <v>290</v>
      </c>
      <c r="L16" s="176" t="s">
        <v>290</v>
      </c>
      <c r="M16" s="176" t="s">
        <v>290</v>
      </c>
      <c r="N16" s="176" t="s">
        <v>290</v>
      </c>
      <c r="O16" s="176" t="s">
        <v>291</v>
      </c>
      <c r="P16" s="176" t="s">
        <v>290</v>
      </c>
      <c r="Q16" s="176" t="s">
        <v>290</v>
      </c>
      <c r="R16" s="176" t="s">
        <v>290</v>
      </c>
      <c r="S16" s="176" t="s">
        <v>290</v>
      </c>
      <c r="T16" s="176" t="s">
        <v>290</v>
      </c>
      <c r="U16" s="176" t="s">
        <v>291</v>
      </c>
      <c r="V16" s="176" t="s">
        <v>290</v>
      </c>
      <c r="W16" s="176" t="s">
        <v>290</v>
      </c>
      <c r="X16" s="176" t="s">
        <v>291</v>
      </c>
    </row>
    <row r="17" spans="1:24" ht="50.4" customHeight="1" x14ac:dyDescent="0.3">
      <c r="A17" s="171" t="str">
        <f>'[2]2 Contexto e Identificación'!A17</f>
        <v>R9</v>
      </c>
      <c r="B17" s="172" t="str">
        <f>+'[2]2 Contexto e Identificación'!E17</f>
        <v>Posibilidad de recibir o solicitar cualquier dádiva o beneficio a nombre propio o de terceros Para dilatar o evitar la decisión sobre la imposición de medidas administrativas en el procedimiento de control sobre los proyectos del Sistema General de Regalías</v>
      </c>
      <c r="C17" s="173" t="str">
        <f t="array" ref="C17">+_xlfn.IFS(D17=0,"",U17='[2]13 Formulas'!$J$3,'[2]13 Formulas'!$L$7,D17&gt;=12,'[2]13 Formulas'!$L$7,D17&gt;=6,'[2]13 Formulas'!$L$6,D17&gt;=1,'[2]13 Formulas'!$L$5)</f>
        <v>Catastrófico</v>
      </c>
      <c r="D17" s="174">
        <f>+COUNTIF(F17:X17,'[2]13 Formulas'!$J$3)</f>
        <v>13</v>
      </c>
      <c r="E17" s="175"/>
      <c r="F17" s="176" t="s">
        <v>290</v>
      </c>
      <c r="G17" s="176" t="s">
        <v>291</v>
      </c>
      <c r="H17" s="176" t="s">
        <v>290</v>
      </c>
      <c r="I17" s="176" t="s">
        <v>291</v>
      </c>
      <c r="J17" s="176" t="s">
        <v>290</v>
      </c>
      <c r="K17" s="176" t="s">
        <v>290</v>
      </c>
      <c r="L17" s="176" t="s">
        <v>291</v>
      </c>
      <c r="M17" s="176" t="s">
        <v>290</v>
      </c>
      <c r="N17" s="176" t="s">
        <v>291</v>
      </c>
      <c r="O17" s="176" t="s">
        <v>290</v>
      </c>
      <c r="P17" s="176" t="s">
        <v>290</v>
      </c>
      <c r="Q17" s="176" t="s">
        <v>290</v>
      </c>
      <c r="R17" s="176" t="s">
        <v>290</v>
      </c>
      <c r="S17" s="176" t="s">
        <v>290</v>
      </c>
      <c r="T17" s="176" t="s">
        <v>290</v>
      </c>
      <c r="U17" s="176" t="s">
        <v>291</v>
      </c>
      <c r="V17" s="176" t="s">
        <v>290</v>
      </c>
      <c r="W17" s="176" t="s">
        <v>290</v>
      </c>
      <c r="X17" s="176" t="s">
        <v>291</v>
      </c>
    </row>
    <row r="18" spans="1:24" ht="50.4" customHeight="1" x14ac:dyDescent="0.3">
      <c r="A18" s="171" t="str">
        <f>'[2]2 Contexto e Identificación'!A18</f>
        <v>R10</v>
      </c>
      <c r="B18" s="172" t="str">
        <f>+'[2]2 Contexto e Identificación'!E18</f>
        <v xml:space="preserve">  </v>
      </c>
      <c r="C18" s="173" t="str">
        <f t="array" ref="C18">+_xlfn.IFS(D18=0,"",U18='[2]13 Formulas'!$J$3,'[2]13 Formulas'!$L$7,D18&gt;=12,'[2]13 Formulas'!$L$7,D18&gt;=6,'[2]13 Formulas'!$L$6,D18&gt;=1,'[2]13 Formulas'!$L$5)</f>
        <v/>
      </c>
      <c r="D18" s="174">
        <f>+COUNTIF(F18:X18,'[2]13 Formulas'!$J$3)</f>
        <v>0</v>
      </c>
      <c r="E18" s="175"/>
      <c r="F18" s="176"/>
      <c r="G18" s="176"/>
      <c r="H18" s="176"/>
      <c r="I18" s="176"/>
      <c r="J18" s="176"/>
      <c r="K18" s="176"/>
      <c r="L18" s="176"/>
      <c r="M18" s="176"/>
      <c r="N18" s="176"/>
      <c r="O18" s="176"/>
      <c r="P18" s="176"/>
      <c r="Q18" s="176"/>
      <c r="R18" s="176"/>
      <c r="S18" s="176"/>
      <c r="T18" s="176"/>
      <c r="U18" s="176"/>
      <c r="V18" s="176"/>
      <c r="W18" s="176"/>
      <c r="X18" s="176"/>
    </row>
    <row r="19" spans="1:24" ht="50.4" customHeight="1" x14ac:dyDescent="0.3">
      <c r="A19" s="171" t="str">
        <f>'[2]2 Contexto e Identificación'!A19</f>
        <v>R11</v>
      </c>
      <c r="B19" s="172" t="str">
        <f>+'[2]2 Contexto e Identificación'!E19</f>
        <v xml:space="preserve">  </v>
      </c>
      <c r="C19" s="173" t="str">
        <f t="array" ref="C19">+_xlfn.IFS(D19=0,"",U19='[2]13 Formulas'!$J$3,'[2]13 Formulas'!$L$7,D19&gt;=12,'[2]13 Formulas'!$L$7,D19&gt;=6,'[2]13 Formulas'!$L$6,D19&gt;=1,'[2]13 Formulas'!$L$5)</f>
        <v/>
      </c>
      <c r="D19" s="174">
        <f>+COUNTIF(F19:X19,'[2]13 Formulas'!$J$3)</f>
        <v>0</v>
      </c>
      <c r="E19" s="175"/>
      <c r="F19" s="176"/>
      <c r="G19" s="176"/>
      <c r="H19" s="176"/>
      <c r="I19" s="176"/>
      <c r="J19" s="176"/>
      <c r="K19" s="176"/>
      <c r="L19" s="176"/>
      <c r="M19" s="176"/>
      <c r="N19" s="176"/>
      <c r="O19" s="176"/>
      <c r="P19" s="176"/>
      <c r="Q19" s="176"/>
      <c r="R19" s="176"/>
      <c r="S19" s="176"/>
      <c r="T19" s="176"/>
      <c r="U19" s="176"/>
      <c r="V19" s="176"/>
      <c r="W19" s="176"/>
      <c r="X19" s="176"/>
    </row>
    <row r="20" spans="1:24" ht="50.4" customHeight="1" x14ac:dyDescent="0.3">
      <c r="A20" s="171" t="str">
        <f>'[2]2 Contexto e Identificación'!A20</f>
        <v>R12</v>
      </c>
      <c r="B20" s="172" t="str">
        <f>+'[2]2 Contexto e Identificación'!E20</f>
        <v xml:space="preserve">  </v>
      </c>
      <c r="C20" s="173" t="str">
        <f t="array" ref="C20">+_xlfn.IFS(D20=0,"",U20='[2]13 Formulas'!$J$3,'[2]13 Formulas'!$L$7,D20&gt;=12,'[2]13 Formulas'!$L$7,D20&gt;=6,'[2]13 Formulas'!$L$6,D20&gt;=1,'[2]13 Formulas'!$L$5)</f>
        <v/>
      </c>
      <c r="D20" s="174">
        <f>+COUNTIF(F20:X20,'[2]13 Formulas'!$J$3)</f>
        <v>0</v>
      </c>
      <c r="E20" s="175"/>
      <c r="F20" s="176"/>
      <c r="G20" s="176"/>
      <c r="H20" s="176"/>
      <c r="I20" s="176"/>
      <c r="J20" s="176"/>
      <c r="K20" s="176"/>
      <c r="L20" s="176"/>
      <c r="M20" s="176"/>
      <c r="N20" s="176"/>
      <c r="O20" s="176"/>
      <c r="P20" s="176"/>
      <c r="Q20" s="176"/>
      <c r="R20" s="176"/>
      <c r="S20" s="176"/>
      <c r="T20" s="176"/>
      <c r="U20" s="176"/>
      <c r="V20" s="176"/>
      <c r="W20" s="176"/>
      <c r="X20" s="176"/>
    </row>
    <row r="21" spans="1:24" ht="50.4" customHeight="1" x14ac:dyDescent="0.3">
      <c r="A21" s="171" t="str">
        <f>'[2]2 Contexto e Identificación'!A21</f>
        <v>R13</v>
      </c>
      <c r="B21" s="172" t="str">
        <f>+'[2]2 Contexto e Identificación'!E21</f>
        <v xml:space="preserve">  </v>
      </c>
      <c r="C21" s="173" t="str">
        <f t="array" ref="C21">+_xlfn.IFS(D21=0,"",U21='[2]13 Formulas'!$J$3,'[2]13 Formulas'!$L$7,D21&gt;=12,'[2]13 Formulas'!$L$7,D21&gt;=6,'[2]13 Formulas'!$L$6,D21&gt;=1,'[2]13 Formulas'!$L$5)</f>
        <v/>
      </c>
      <c r="D21" s="174">
        <f>+COUNTIF(F21:X21,'[2]13 Formulas'!$J$3)</f>
        <v>0</v>
      </c>
      <c r="E21" s="175"/>
      <c r="F21" s="176"/>
      <c r="G21" s="176"/>
      <c r="H21" s="176"/>
      <c r="I21" s="176"/>
      <c r="J21" s="176"/>
      <c r="K21" s="176"/>
      <c r="L21" s="176"/>
      <c r="M21" s="176"/>
      <c r="N21" s="176"/>
      <c r="O21" s="176"/>
      <c r="P21" s="176"/>
      <c r="Q21" s="176"/>
      <c r="R21" s="176"/>
      <c r="S21" s="176"/>
      <c r="T21" s="176"/>
      <c r="U21" s="176"/>
      <c r="V21" s="176"/>
      <c r="W21" s="176"/>
      <c r="X21" s="176"/>
    </row>
    <row r="22" spans="1:24" ht="50.4" customHeight="1" x14ac:dyDescent="0.3">
      <c r="A22" s="171" t="str">
        <f>'[2]2 Contexto e Identificación'!A22</f>
        <v>R14</v>
      </c>
      <c r="B22" s="172" t="str">
        <f>+'[2]2 Contexto e Identificación'!E22</f>
        <v xml:space="preserve">  </v>
      </c>
      <c r="C22" s="173" t="str">
        <f t="array" ref="C22">+_xlfn.IFS(D22=0,"",U22='[2]13 Formulas'!$J$3,'[2]13 Formulas'!$L$7,D22&gt;=12,'[2]13 Formulas'!$L$7,D22&gt;=6,'[2]13 Formulas'!$L$6,D22&gt;=1,'[2]13 Formulas'!$L$5)</f>
        <v/>
      </c>
      <c r="D22" s="174">
        <f>+COUNTIF(F22:X22,'[2]13 Formulas'!$J$3)</f>
        <v>0</v>
      </c>
      <c r="E22" s="175"/>
      <c r="F22" s="176"/>
      <c r="G22" s="176"/>
      <c r="H22" s="176"/>
      <c r="I22" s="176"/>
      <c r="J22" s="176"/>
      <c r="K22" s="176"/>
      <c r="L22" s="176"/>
      <c r="M22" s="176"/>
      <c r="N22" s="176"/>
      <c r="O22" s="176"/>
      <c r="P22" s="176"/>
      <c r="Q22" s="176"/>
      <c r="R22" s="176"/>
      <c r="S22" s="176"/>
      <c r="T22" s="176"/>
      <c r="U22" s="176"/>
      <c r="V22" s="176"/>
      <c r="W22" s="176"/>
      <c r="X22" s="176"/>
    </row>
    <row r="23" spans="1:24" ht="50.4" customHeight="1" x14ac:dyDescent="0.3">
      <c r="A23" s="171" t="str">
        <f>'[2]2 Contexto e Identificación'!A23</f>
        <v>R15</v>
      </c>
      <c r="B23" s="172" t="str">
        <f>+'[2]2 Contexto e Identificación'!E23</f>
        <v xml:space="preserve">  </v>
      </c>
      <c r="C23" s="173" t="str">
        <f t="array" ref="C23">+_xlfn.IFS(D23=0,"",U23='[2]13 Formulas'!$J$3,'[2]13 Formulas'!$L$7,D23&gt;=12,'[2]13 Formulas'!$L$7,D23&gt;=6,'[2]13 Formulas'!$L$6,D23&gt;=1,'[2]13 Formulas'!$L$5)</f>
        <v/>
      </c>
      <c r="D23" s="174">
        <f>+COUNTIF(F23:X23,'[2]13 Formulas'!$J$3)</f>
        <v>0</v>
      </c>
      <c r="E23" s="175"/>
      <c r="F23" s="176"/>
      <c r="G23" s="176"/>
      <c r="H23" s="176"/>
      <c r="I23" s="176"/>
      <c r="J23" s="176"/>
      <c r="K23" s="176"/>
      <c r="L23" s="176"/>
      <c r="M23" s="176"/>
      <c r="N23" s="176"/>
      <c r="O23" s="176"/>
      <c r="P23" s="176"/>
      <c r="Q23" s="176"/>
      <c r="R23" s="176"/>
      <c r="S23" s="176"/>
      <c r="T23" s="176"/>
      <c r="U23" s="176"/>
      <c r="V23" s="176"/>
      <c r="W23" s="176"/>
      <c r="X23" s="176"/>
    </row>
    <row r="24" spans="1:24" ht="50.4" customHeight="1" x14ac:dyDescent="0.3">
      <c r="A24" s="171" t="str">
        <f>'[2]2 Contexto e Identificación'!A24</f>
        <v>R16</v>
      </c>
      <c r="B24" s="172" t="str">
        <f>+'[2]2 Contexto e Identificación'!E24</f>
        <v xml:space="preserve">  </v>
      </c>
      <c r="C24" s="173" t="str">
        <f t="array" ref="C24">+_xlfn.IFS(D24=0,"",U24='[2]13 Formulas'!$J$3,'[2]13 Formulas'!$L$7,D24&gt;=12,'[2]13 Formulas'!$L$7,D24&gt;=6,'[2]13 Formulas'!$L$6,D24&gt;=1,'[2]13 Formulas'!$L$5)</f>
        <v/>
      </c>
      <c r="D24" s="174">
        <f>+COUNTIF(F24:X24,'[2]13 Formulas'!$J$3)</f>
        <v>0</v>
      </c>
      <c r="E24" s="175"/>
      <c r="F24" s="176"/>
      <c r="G24" s="176"/>
      <c r="H24" s="176"/>
      <c r="I24" s="176"/>
      <c r="J24" s="176"/>
      <c r="K24" s="176"/>
      <c r="L24" s="176"/>
      <c r="M24" s="176"/>
      <c r="N24" s="176"/>
      <c r="O24" s="176"/>
      <c r="P24" s="176"/>
      <c r="Q24" s="176"/>
      <c r="R24" s="176"/>
      <c r="S24" s="176"/>
      <c r="T24" s="176"/>
      <c r="U24" s="176"/>
      <c r="V24" s="176"/>
      <c r="W24" s="176"/>
      <c r="X24" s="176"/>
    </row>
    <row r="25" spans="1:24" ht="50.4" customHeight="1" x14ac:dyDescent="0.3">
      <c r="A25" s="171" t="str">
        <f>'[2]2 Contexto e Identificación'!A25</f>
        <v>R17</v>
      </c>
      <c r="B25" s="172" t="str">
        <f>+'[2]2 Contexto e Identificación'!E25</f>
        <v xml:space="preserve">  </v>
      </c>
      <c r="C25" s="173" t="str">
        <f t="array" ref="C25">+_xlfn.IFS(D25=0,"",U25='[2]13 Formulas'!$J$3,'[2]13 Formulas'!$L$7,D25&gt;=12,'[2]13 Formulas'!$L$7,D25&gt;=6,'[2]13 Formulas'!$L$6,D25&gt;=1,'[2]13 Formulas'!$L$5)</f>
        <v/>
      </c>
      <c r="D25" s="174">
        <f>+COUNTIF(F25:X25,'[2]13 Formulas'!$J$3)</f>
        <v>0</v>
      </c>
      <c r="E25" s="175"/>
      <c r="F25" s="176"/>
      <c r="G25" s="176"/>
      <c r="H25" s="176"/>
      <c r="I25" s="176"/>
      <c r="J25" s="176"/>
      <c r="K25" s="176"/>
      <c r="L25" s="176"/>
      <c r="M25" s="176"/>
      <c r="N25" s="176"/>
      <c r="O25" s="176"/>
      <c r="P25" s="176"/>
      <c r="Q25" s="176"/>
      <c r="R25" s="176"/>
      <c r="S25" s="176"/>
      <c r="T25" s="176"/>
      <c r="U25" s="176"/>
      <c r="V25" s="176"/>
      <c r="W25" s="176"/>
      <c r="X25" s="176"/>
    </row>
    <row r="26" spans="1:24" ht="50.4" customHeight="1" x14ac:dyDescent="0.3">
      <c r="A26" s="171" t="str">
        <f>'[2]2 Contexto e Identificación'!A26</f>
        <v>R18</v>
      </c>
      <c r="B26" s="172" t="str">
        <f>+'[2]2 Contexto e Identificación'!E26</f>
        <v xml:space="preserve">  </v>
      </c>
      <c r="C26" s="173" t="str">
        <f t="array" ref="C26">+_xlfn.IFS(D26=0,"",U26='[2]13 Formulas'!$J$3,'[2]13 Formulas'!$L$7,D26&gt;=12,'[2]13 Formulas'!$L$7,D26&gt;=6,'[2]13 Formulas'!$L$6,D26&gt;=1,'[2]13 Formulas'!$L$5)</f>
        <v/>
      </c>
      <c r="D26" s="174">
        <f>+COUNTIF(F26:X26,'[2]13 Formulas'!$J$3)</f>
        <v>0</v>
      </c>
      <c r="E26" s="175"/>
      <c r="F26" s="176"/>
      <c r="G26" s="176"/>
      <c r="H26" s="176"/>
      <c r="I26" s="176"/>
      <c r="J26" s="176"/>
      <c r="K26" s="176"/>
      <c r="L26" s="176"/>
      <c r="M26" s="176"/>
      <c r="N26" s="176"/>
      <c r="O26" s="176"/>
      <c r="P26" s="176"/>
      <c r="Q26" s="176"/>
      <c r="R26" s="176"/>
      <c r="S26" s="176"/>
      <c r="T26" s="176"/>
      <c r="U26" s="176"/>
      <c r="V26" s="176"/>
      <c r="W26" s="176"/>
      <c r="X26" s="176"/>
    </row>
    <row r="27" spans="1:24" ht="50.4" customHeight="1" x14ac:dyDescent="0.3">
      <c r="A27" s="171" t="str">
        <f>'[2]2 Contexto e Identificación'!A27</f>
        <v>R19</v>
      </c>
      <c r="B27" s="172" t="str">
        <f>+'[2]2 Contexto e Identificación'!E27</f>
        <v xml:space="preserve">  </v>
      </c>
      <c r="C27" s="173" t="str">
        <f t="array" ref="C27">+_xlfn.IFS(D27=0,"",U27='[2]13 Formulas'!$J$3,'[2]13 Formulas'!$L$7,D27&gt;=12,'[2]13 Formulas'!$L$7,D27&gt;=6,'[2]13 Formulas'!$L$6,D27&gt;=1,'[2]13 Formulas'!$L$5)</f>
        <v/>
      </c>
      <c r="D27" s="174">
        <f>+COUNTIF(F27:X27,'[2]13 Formulas'!$J$3)</f>
        <v>0</v>
      </c>
      <c r="E27" s="175"/>
      <c r="F27" s="176"/>
      <c r="G27" s="176"/>
      <c r="H27" s="176"/>
      <c r="I27" s="176"/>
      <c r="J27" s="176"/>
      <c r="K27" s="176"/>
      <c r="L27" s="176"/>
      <c r="M27" s="176"/>
      <c r="N27" s="176"/>
      <c r="O27" s="176"/>
      <c r="P27" s="176"/>
      <c r="Q27" s="176"/>
      <c r="R27" s="176"/>
      <c r="S27" s="176"/>
      <c r="T27" s="176"/>
      <c r="U27" s="176"/>
      <c r="V27" s="176"/>
      <c r="W27" s="176"/>
      <c r="X27" s="176"/>
    </row>
    <row r="28" spans="1:24" ht="50.4" customHeight="1" x14ac:dyDescent="0.3">
      <c r="A28" s="171" t="str">
        <f>'[2]2 Contexto e Identificación'!A28</f>
        <v>R20</v>
      </c>
      <c r="B28" s="172" t="str">
        <f>+'[2]2 Contexto e Identificación'!E28</f>
        <v xml:space="preserve">  </v>
      </c>
      <c r="C28" s="173" t="str">
        <f t="array" ref="C28">+_xlfn.IFS(D28=0,"",U28='[2]13 Formulas'!$J$3,'[2]13 Formulas'!$L$7,D28&gt;=12,'[2]13 Formulas'!$L$7,D28&gt;=6,'[2]13 Formulas'!$L$6,D28&gt;=1,'[2]13 Formulas'!$L$5)</f>
        <v/>
      </c>
      <c r="D28" s="174">
        <f>+COUNTIF(F28:X28,'[2]13 Formulas'!$J$3)</f>
        <v>0</v>
      </c>
      <c r="E28" s="175"/>
      <c r="F28" s="176"/>
      <c r="G28" s="176"/>
      <c r="H28" s="176"/>
      <c r="I28" s="176"/>
      <c r="J28" s="176"/>
      <c r="K28" s="176"/>
      <c r="L28" s="176"/>
      <c r="M28" s="176"/>
      <c r="N28" s="176"/>
      <c r="O28" s="176"/>
      <c r="P28" s="176"/>
      <c r="Q28" s="176"/>
      <c r="R28" s="176"/>
      <c r="S28" s="176"/>
      <c r="T28" s="176"/>
      <c r="U28" s="176"/>
      <c r="V28" s="176"/>
      <c r="W28" s="176"/>
      <c r="X28" s="176"/>
    </row>
    <row r="29" spans="1:24" ht="18.899999999999999" customHeight="1" thickBot="1" x14ac:dyDescent="0.35">
      <c r="E29" s="436"/>
      <c r="F29" s="437"/>
      <c r="G29" s="177"/>
      <c r="H29" s="178"/>
      <c r="I29" s="179"/>
      <c r="J29" s="180"/>
      <c r="K29" s="181"/>
      <c r="L29" s="181"/>
      <c r="N29" s="182"/>
      <c r="O29" s="183"/>
      <c r="S29" s="182"/>
      <c r="T29" s="183"/>
    </row>
    <row r="30" spans="1:24" ht="24.9" customHeight="1" x14ac:dyDescent="0.3">
      <c r="A30" s="173" t="s">
        <v>141</v>
      </c>
      <c r="B30" s="184" t="s">
        <v>292</v>
      </c>
      <c r="C30" s="185" t="s">
        <v>293</v>
      </c>
      <c r="E30" s="162"/>
      <c r="G30" s="186"/>
      <c r="H30" s="186"/>
      <c r="I30" s="186"/>
      <c r="J30" s="186"/>
      <c r="K30" s="187"/>
    </row>
    <row r="31" spans="1:24" ht="36" customHeight="1" x14ac:dyDescent="0.3">
      <c r="A31" s="173" t="s">
        <v>294</v>
      </c>
      <c r="B31" s="184" t="s">
        <v>295</v>
      </c>
      <c r="C31" s="185" t="s">
        <v>296</v>
      </c>
      <c r="E31" s="162"/>
      <c r="G31" s="186"/>
      <c r="H31" s="186"/>
      <c r="I31" s="186"/>
      <c r="J31" s="186"/>
      <c r="K31" s="187"/>
    </row>
    <row r="32" spans="1:24" ht="56.1" customHeight="1" x14ac:dyDescent="0.3">
      <c r="A32" s="173" t="s">
        <v>297</v>
      </c>
      <c r="B32" s="184" t="s">
        <v>298</v>
      </c>
      <c r="C32" s="185" t="s">
        <v>299</v>
      </c>
      <c r="E32" s="162"/>
      <c r="G32" s="186"/>
      <c r="H32" s="186"/>
      <c r="I32" s="186"/>
      <c r="J32" s="186"/>
      <c r="K32" s="187"/>
    </row>
    <row r="33" spans="1:7" x14ac:dyDescent="0.3">
      <c r="E33" s="163"/>
      <c r="G33" s="161"/>
    </row>
    <row r="34" spans="1:7" x14ac:dyDescent="0.3">
      <c r="A34" s="438" t="s">
        <v>300</v>
      </c>
      <c r="B34" s="438"/>
      <c r="C34" s="438"/>
      <c r="D34" s="438"/>
      <c r="E34" s="163"/>
      <c r="G34" s="161"/>
    </row>
    <row r="35" spans="1:7" x14ac:dyDescent="0.3">
      <c r="E35" s="163"/>
      <c r="G35" s="161"/>
    </row>
    <row r="36" spans="1:7" x14ac:dyDescent="0.3">
      <c r="E36" s="163"/>
      <c r="G36" s="161"/>
    </row>
    <row r="37" spans="1:7" x14ac:dyDescent="0.3">
      <c r="E37" s="163"/>
      <c r="G37" s="161"/>
    </row>
    <row r="38" spans="1:7" x14ac:dyDescent="0.3">
      <c r="E38" s="163"/>
      <c r="G38" s="161"/>
    </row>
    <row r="39" spans="1:7" x14ac:dyDescent="0.3">
      <c r="E39" s="163"/>
      <c r="G39" s="161"/>
    </row>
    <row r="40" spans="1:7" x14ac:dyDescent="0.3">
      <c r="E40" s="163"/>
      <c r="G40" s="161"/>
    </row>
    <row r="41" spans="1:7" x14ac:dyDescent="0.3">
      <c r="E41" s="163"/>
      <c r="G41" s="161"/>
    </row>
  </sheetData>
  <sheetProtection sheet="1" formatColumns="0" formatRows="0" sort="0" autoFilter="0" pivotTables="0"/>
  <autoFilter ref="A8:X28" xr:uid="{00000000-0009-0000-0000-000006000000}"/>
  <dataConsolidate/>
  <mergeCells count="25">
    <mergeCell ref="A6:B6"/>
    <mergeCell ref="E29:F29"/>
    <mergeCell ref="A34:D34"/>
    <mergeCell ref="S2:S8"/>
    <mergeCell ref="T2:T8"/>
    <mergeCell ref="A1:A2"/>
    <mergeCell ref="B1:B2"/>
    <mergeCell ref="F1:M1"/>
    <mergeCell ref="F2:F8"/>
    <mergeCell ref="G2:G8"/>
    <mergeCell ref="H2:H8"/>
    <mergeCell ref="I2:I8"/>
    <mergeCell ref="J2:J8"/>
    <mergeCell ref="K2:K8"/>
    <mergeCell ref="L2:L8"/>
    <mergeCell ref="U2:U8"/>
    <mergeCell ref="V2:V8"/>
    <mergeCell ref="W2:W8"/>
    <mergeCell ref="X2:X8"/>
    <mergeCell ref="M2:M8"/>
    <mergeCell ref="N2:N8"/>
    <mergeCell ref="O2:O8"/>
    <mergeCell ref="P2:P8"/>
    <mergeCell ref="Q2:Q8"/>
    <mergeCell ref="R2:R8"/>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E18E969F-E34E-442A-B531-9994DA71CDC1}">
            <xm:f>'https://itceduco-my.sharepoint.com/Users/calidad/AppData/Local/Microsoft/Windows/INetCache/Content.Outlook/SL0QA57X/[MRC - SGR consolidada.xlsx]13 Formulas'!#REF!</xm:f>
            <x14:dxf>
              <fill>
                <patternFill>
                  <bgColor rgb="FFFFFF00"/>
                </patternFill>
              </fill>
            </x14:dxf>
          </x14:cfRule>
          <x14:cfRule type="cellIs" priority="5" operator="equal" id="{7F31DEE1-8A9F-42FD-8F6C-DC37D1E9F293}">
            <xm:f>'https://itceduco-my.sharepoint.com/Users/calidad/AppData/Local/Microsoft/Windows/INetCache/Content.Outlook/SL0QA57X/[MRC - SGR consolidada.xlsx]13 Formulas'!#REF!</xm:f>
            <x14:dxf>
              <fill>
                <patternFill>
                  <bgColor rgb="FFFFC000"/>
                </patternFill>
              </fill>
            </x14:dxf>
          </x14:cfRule>
          <x14:cfRule type="cellIs" priority="6" operator="equal" id="{6F31B1A5-55A3-4633-B8B2-370A78F84A05}">
            <xm:f>'https://itceduco-my.sharepoint.com/Users/calidad/AppData/Local/Microsoft/Windows/INetCache/Content.Outlook/SL0QA57X/[MRC - SGR consolidada.xlsx]13 Formulas'!#REF!</xm:f>
            <x14:dxf>
              <fill>
                <patternFill>
                  <bgColor rgb="FFFF0000"/>
                </patternFill>
              </fill>
            </x14:dxf>
          </x14:cfRule>
          <xm:sqref>C9:C28</xm:sqref>
        </x14:conditionalFormatting>
        <x14:conditionalFormatting xmlns:xm="http://schemas.microsoft.com/office/excel/2006/main">
          <x14:cfRule type="cellIs" priority="1" operator="equal" id="{A9863CB0-617E-49A2-9B05-C342F4BA535C}">
            <xm:f>'https://itceduco-my.sharepoint.com/Users/calidad/AppData/Local/Microsoft/Windows/INetCache/Content.Outlook/SL0QA57X/[MRC - SGR consolidada.xlsx]13 Formulas'!#REF!</xm:f>
            <x14:dxf>
              <fill>
                <patternFill>
                  <bgColor rgb="FFFFFF00"/>
                </patternFill>
              </fill>
            </x14:dxf>
          </x14:cfRule>
          <x14:cfRule type="cellIs" priority="2" operator="equal" id="{463D30E2-5EF1-40A0-8426-336D78656037}">
            <xm:f>'https://itceduco-my.sharepoint.com/Users/calidad/AppData/Local/Microsoft/Windows/INetCache/Content.Outlook/SL0QA57X/[MRC - SGR consolidada.xlsx]13 Formulas'!#REF!</xm:f>
            <x14:dxf>
              <fill>
                <patternFill>
                  <bgColor rgb="FFFFC000"/>
                </patternFill>
              </fill>
            </x14:dxf>
          </x14:cfRule>
          <x14:cfRule type="cellIs" priority="3" operator="equal" id="{95842CEC-9B1B-4582-ADAF-9BB77B37F57A}">
            <xm:f>'https://itceduco-my.sharepoint.com/Users/calidad/AppData/Local/Microsoft/Windows/INetCache/Content.Outlook/SL0QA57X/[MRC - SGR consolidada.xlsx]13 Formulas'!#REF!</xm:f>
            <x14:dxf>
              <fill>
                <patternFill>
                  <bgColor rgb="FFFF0000"/>
                </patternFill>
              </fill>
            </x14:dxf>
          </x14:cfRule>
          <xm:sqref>A30:B32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'C:\Users\calidad\AppData\Local\Microsoft\Windows\INetCache\Content.Outlook\SL0QA57X\[MRC - SGR consolidada.xlsx]13 Formulas'!#REF!</xm:f>
          </x14:formula1>
          <xm:sqref>F9:X28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55" zoomScaleNormal="55" workbookViewId="0">
      <selection activeCell="D7" sqref="D7"/>
    </sheetView>
  </sheetViews>
  <sheetFormatPr baseColWidth="10" defaultColWidth="11.44140625" defaultRowHeight="14.4" x14ac:dyDescent="0.3"/>
  <cols>
    <col min="2" max="2" width="40.44140625" customWidth="1"/>
    <col min="3" max="3" width="74.6640625" customWidth="1"/>
    <col min="4" max="4" width="135" bestFit="1" customWidth="1"/>
    <col min="5" max="5" width="144.6640625" bestFit="1" customWidth="1"/>
  </cols>
  <sheetData>
    <row r="1" spans="1:21" ht="32.4" x14ac:dyDescent="0.3">
      <c r="A1" s="75"/>
      <c r="B1" s="443" t="s">
        <v>301</v>
      </c>
      <c r="C1" s="443"/>
      <c r="D1" s="443"/>
      <c r="E1" s="75"/>
      <c r="F1" s="75"/>
      <c r="G1" s="75"/>
      <c r="H1" s="75"/>
      <c r="I1" s="75"/>
      <c r="J1" s="75"/>
      <c r="K1" s="75"/>
      <c r="L1" s="75"/>
      <c r="M1" s="75"/>
      <c r="N1" s="75"/>
      <c r="O1" s="75"/>
      <c r="P1" s="75"/>
      <c r="Q1" s="75"/>
      <c r="R1" s="75"/>
      <c r="S1" s="75"/>
      <c r="T1" s="75"/>
      <c r="U1" s="75"/>
    </row>
    <row r="2" spans="1:21" x14ac:dyDescent="0.3">
      <c r="A2" s="75"/>
      <c r="B2" s="75"/>
      <c r="C2" s="75"/>
      <c r="D2" s="75"/>
      <c r="E2" s="75"/>
      <c r="F2" s="75"/>
      <c r="G2" s="75"/>
      <c r="H2" s="75"/>
      <c r="I2" s="75"/>
      <c r="J2" s="75"/>
      <c r="K2" s="75"/>
      <c r="L2" s="75"/>
      <c r="M2" s="75"/>
      <c r="N2" s="75"/>
      <c r="O2" s="75"/>
      <c r="P2" s="75"/>
      <c r="Q2" s="75"/>
      <c r="R2" s="75"/>
      <c r="S2" s="75"/>
      <c r="T2" s="75"/>
      <c r="U2" s="75"/>
    </row>
    <row r="3" spans="1:21" ht="30" x14ac:dyDescent="0.3">
      <c r="A3" s="75"/>
      <c r="B3" s="96"/>
      <c r="C3" s="28" t="s">
        <v>302</v>
      </c>
      <c r="D3" s="28" t="s">
        <v>303</v>
      </c>
      <c r="E3" s="75"/>
      <c r="F3" s="75"/>
      <c r="G3" s="75"/>
      <c r="H3" s="75"/>
      <c r="I3" s="75"/>
      <c r="J3" s="75"/>
      <c r="K3" s="75"/>
      <c r="L3" s="75"/>
      <c r="M3" s="75"/>
      <c r="N3" s="75"/>
      <c r="O3" s="75"/>
      <c r="P3" s="75"/>
      <c r="Q3" s="75"/>
      <c r="R3" s="75"/>
      <c r="S3" s="75"/>
      <c r="T3" s="75"/>
      <c r="U3" s="75"/>
    </row>
    <row r="4" spans="1:21" ht="32.4" x14ac:dyDescent="0.3">
      <c r="A4" s="95" t="s">
        <v>304</v>
      </c>
      <c r="B4" s="31" t="s">
        <v>305</v>
      </c>
      <c r="C4" s="36" t="s">
        <v>306</v>
      </c>
      <c r="D4" s="29" t="s">
        <v>307</v>
      </c>
      <c r="E4" s="75"/>
      <c r="F4" s="75"/>
      <c r="G4" s="75"/>
      <c r="H4" s="75"/>
      <c r="I4" s="75"/>
      <c r="J4" s="75"/>
      <c r="K4" s="75"/>
      <c r="L4" s="75"/>
      <c r="M4" s="75"/>
      <c r="N4" s="75"/>
      <c r="O4" s="75"/>
      <c r="P4" s="75"/>
      <c r="Q4" s="75"/>
      <c r="R4" s="75"/>
      <c r="S4" s="75"/>
      <c r="T4" s="75"/>
      <c r="U4" s="75"/>
    </row>
    <row r="5" spans="1:21" ht="64.8" x14ac:dyDescent="0.3">
      <c r="A5" s="95" t="s">
        <v>308</v>
      </c>
      <c r="B5" s="32" t="s">
        <v>309</v>
      </c>
      <c r="C5" s="37" t="s">
        <v>310</v>
      </c>
      <c r="D5" s="30" t="s">
        <v>311</v>
      </c>
      <c r="E5" s="75"/>
      <c r="F5" s="75"/>
      <c r="G5" s="75"/>
      <c r="H5" s="75"/>
      <c r="I5" s="75"/>
      <c r="J5" s="75"/>
      <c r="K5" s="75"/>
      <c r="L5" s="75"/>
      <c r="M5" s="75"/>
      <c r="N5" s="75"/>
      <c r="O5" s="75"/>
      <c r="P5" s="75"/>
      <c r="Q5" s="75"/>
      <c r="R5" s="75"/>
      <c r="S5" s="75"/>
      <c r="T5" s="75"/>
      <c r="U5" s="75"/>
    </row>
    <row r="6" spans="1:21" ht="64.8" x14ac:dyDescent="0.3">
      <c r="A6" s="95" t="s">
        <v>141</v>
      </c>
      <c r="B6" s="33" t="s">
        <v>312</v>
      </c>
      <c r="C6" s="37" t="s">
        <v>313</v>
      </c>
      <c r="D6" s="30" t="s">
        <v>314</v>
      </c>
      <c r="E6" s="75"/>
      <c r="F6" s="75"/>
      <c r="G6" s="75"/>
      <c r="H6" s="75"/>
      <c r="I6" s="75"/>
      <c r="J6" s="75"/>
      <c r="K6" s="75"/>
      <c r="L6" s="75"/>
      <c r="M6" s="75"/>
      <c r="N6" s="75"/>
      <c r="O6" s="75"/>
      <c r="P6" s="75"/>
      <c r="Q6" s="75"/>
      <c r="R6" s="75"/>
      <c r="S6" s="75"/>
      <c r="T6" s="75"/>
      <c r="U6" s="75"/>
    </row>
    <row r="7" spans="1:21" ht="64.8" x14ac:dyDescent="0.3">
      <c r="A7" s="95" t="s">
        <v>294</v>
      </c>
      <c r="B7" s="34" t="s">
        <v>315</v>
      </c>
      <c r="C7" s="37" t="s">
        <v>316</v>
      </c>
      <c r="D7" s="30" t="s">
        <v>317</v>
      </c>
      <c r="E7" s="75"/>
      <c r="F7" s="75"/>
      <c r="G7" s="75"/>
      <c r="H7" s="75"/>
      <c r="I7" s="75"/>
      <c r="J7" s="75"/>
      <c r="K7" s="75"/>
      <c r="L7" s="75"/>
      <c r="M7" s="75"/>
      <c r="N7" s="75"/>
      <c r="O7" s="75"/>
      <c r="P7" s="75"/>
      <c r="Q7" s="75"/>
      <c r="R7" s="75"/>
      <c r="S7" s="75"/>
      <c r="T7" s="75"/>
      <c r="U7" s="75"/>
    </row>
    <row r="8" spans="1:21" ht="64.8" x14ac:dyDescent="0.3">
      <c r="A8" s="95" t="s">
        <v>297</v>
      </c>
      <c r="B8" s="35" t="s">
        <v>318</v>
      </c>
      <c r="C8" s="37" t="s">
        <v>319</v>
      </c>
      <c r="D8" s="30" t="s">
        <v>320</v>
      </c>
      <c r="E8" s="75"/>
      <c r="F8" s="75"/>
      <c r="G8" s="75"/>
      <c r="H8" s="75"/>
      <c r="I8" s="75"/>
      <c r="J8" s="75"/>
      <c r="K8" s="75"/>
      <c r="L8" s="75"/>
      <c r="M8" s="75"/>
      <c r="N8" s="75"/>
      <c r="O8" s="75"/>
      <c r="P8" s="75"/>
      <c r="Q8" s="75"/>
      <c r="R8" s="75"/>
      <c r="S8" s="75"/>
      <c r="T8" s="75"/>
      <c r="U8" s="75"/>
    </row>
    <row r="9" spans="1:21" ht="20.399999999999999" x14ac:dyDescent="0.3">
      <c r="A9" s="95"/>
      <c r="B9" s="95"/>
      <c r="C9" s="97"/>
      <c r="D9" s="97"/>
      <c r="E9" s="75"/>
      <c r="F9" s="75"/>
      <c r="G9" s="75"/>
      <c r="H9" s="75"/>
      <c r="I9" s="75"/>
      <c r="J9" s="75"/>
      <c r="K9" s="75"/>
      <c r="L9" s="75"/>
      <c r="M9" s="75"/>
      <c r="N9" s="75"/>
      <c r="O9" s="75"/>
      <c r="P9" s="75"/>
      <c r="Q9" s="75"/>
      <c r="R9" s="75"/>
      <c r="S9" s="75"/>
      <c r="T9" s="75"/>
      <c r="U9" s="75"/>
    </row>
    <row r="10" spans="1:21" x14ac:dyDescent="0.3">
      <c r="A10" s="95"/>
      <c r="B10" s="98"/>
      <c r="C10" s="98"/>
      <c r="D10" s="98"/>
      <c r="E10" s="75"/>
      <c r="F10" s="75"/>
      <c r="G10" s="75"/>
      <c r="H10" s="75"/>
      <c r="I10" s="75"/>
      <c r="J10" s="75"/>
      <c r="K10" s="75"/>
      <c r="L10" s="75"/>
      <c r="M10" s="75"/>
      <c r="N10" s="75"/>
      <c r="O10" s="75"/>
      <c r="P10" s="75"/>
      <c r="Q10" s="75"/>
      <c r="R10" s="75"/>
      <c r="S10" s="75"/>
      <c r="T10" s="75"/>
      <c r="U10" s="75"/>
    </row>
    <row r="11" spans="1:21" x14ac:dyDescent="0.3">
      <c r="A11" s="95"/>
      <c r="B11" s="95" t="s">
        <v>321</v>
      </c>
      <c r="C11" s="95" t="s">
        <v>322</v>
      </c>
      <c r="D11" s="95" t="s">
        <v>323</v>
      </c>
      <c r="E11" s="75"/>
      <c r="F11" s="75"/>
      <c r="G11" s="75"/>
      <c r="H11" s="75"/>
      <c r="I11" s="75"/>
      <c r="J11" s="75"/>
      <c r="K11" s="75"/>
      <c r="L11" s="75"/>
      <c r="M11" s="75"/>
      <c r="N11" s="75"/>
      <c r="O11" s="75"/>
      <c r="P11" s="75"/>
      <c r="Q11" s="75"/>
      <c r="R11" s="75"/>
      <c r="S11" s="75"/>
      <c r="T11" s="75"/>
      <c r="U11" s="75"/>
    </row>
    <row r="12" spans="1:21" x14ac:dyDescent="0.3">
      <c r="A12" s="95"/>
      <c r="B12" s="95" t="s">
        <v>324</v>
      </c>
      <c r="C12" s="95" t="s">
        <v>325</v>
      </c>
      <c r="D12" s="95" t="s">
        <v>326</v>
      </c>
      <c r="E12" s="75"/>
      <c r="F12" s="75"/>
      <c r="G12" s="75"/>
      <c r="H12" s="75"/>
      <c r="I12" s="75"/>
      <c r="J12" s="75"/>
      <c r="K12" s="75"/>
      <c r="L12" s="75"/>
      <c r="M12" s="75"/>
      <c r="N12" s="75"/>
      <c r="O12" s="75"/>
      <c r="P12" s="75"/>
      <c r="Q12" s="75"/>
      <c r="R12" s="75"/>
      <c r="S12" s="75"/>
      <c r="T12" s="75"/>
      <c r="U12" s="75"/>
    </row>
    <row r="13" spans="1:21" x14ac:dyDescent="0.3">
      <c r="A13" s="95"/>
      <c r="B13" s="95"/>
      <c r="C13" s="95" t="s">
        <v>327</v>
      </c>
      <c r="D13" s="95" t="s">
        <v>112</v>
      </c>
      <c r="E13" s="75"/>
      <c r="F13" s="75"/>
      <c r="G13" s="75"/>
      <c r="H13" s="75"/>
      <c r="I13" s="75"/>
      <c r="J13" s="75"/>
      <c r="K13" s="75"/>
      <c r="L13" s="75"/>
      <c r="M13" s="75"/>
      <c r="N13" s="75"/>
      <c r="O13" s="75"/>
      <c r="P13" s="75"/>
      <c r="Q13" s="75"/>
      <c r="R13" s="75"/>
      <c r="S13" s="75"/>
      <c r="T13" s="75"/>
      <c r="U13" s="75"/>
    </row>
    <row r="14" spans="1:21" x14ac:dyDescent="0.3">
      <c r="A14" s="95"/>
      <c r="B14" s="95"/>
      <c r="C14" s="95" t="s">
        <v>328</v>
      </c>
      <c r="D14" s="95" t="s">
        <v>129</v>
      </c>
      <c r="E14" s="75"/>
      <c r="F14" s="75"/>
      <c r="G14" s="75"/>
      <c r="H14" s="75"/>
      <c r="I14" s="75"/>
      <c r="J14" s="75"/>
      <c r="K14" s="75"/>
      <c r="L14" s="75"/>
      <c r="M14" s="75"/>
      <c r="N14" s="75"/>
      <c r="O14" s="75"/>
      <c r="P14" s="75"/>
      <c r="Q14" s="75"/>
      <c r="R14" s="75"/>
      <c r="S14" s="75"/>
      <c r="T14" s="75"/>
      <c r="U14" s="75"/>
    </row>
    <row r="15" spans="1:21" x14ac:dyDescent="0.3">
      <c r="A15" s="95"/>
      <c r="B15" s="95"/>
      <c r="C15" s="95" t="s">
        <v>188</v>
      </c>
      <c r="D15" s="95" t="s">
        <v>140</v>
      </c>
      <c r="E15" s="75"/>
      <c r="F15" s="75"/>
      <c r="G15" s="75"/>
      <c r="H15" s="75"/>
      <c r="I15" s="75"/>
      <c r="J15" s="75"/>
      <c r="K15" s="75"/>
      <c r="L15" s="75"/>
      <c r="M15" s="75"/>
      <c r="N15" s="75"/>
      <c r="O15" s="75"/>
      <c r="P15" s="75"/>
      <c r="Q15" s="75"/>
      <c r="R15" s="75"/>
      <c r="S15" s="75"/>
      <c r="T15" s="75"/>
      <c r="U15" s="75"/>
    </row>
    <row r="16" spans="1:21" x14ac:dyDescent="0.3">
      <c r="A16" s="95"/>
      <c r="B16" s="95"/>
      <c r="C16" s="95"/>
      <c r="D16" s="95"/>
      <c r="E16" s="75"/>
      <c r="F16" s="75"/>
      <c r="G16" s="75"/>
      <c r="H16" s="75"/>
      <c r="I16" s="75"/>
      <c r="J16" s="75"/>
      <c r="K16" s="75"/>
      <c r="L16" s="75"/>
      <c r="M16" s="75"/>
      <c r="N16" s="75"/>
      <c r="O16" s="75"/>
    </row>
    <row r="17" spans="1:15" x14ac:dyDescent="0.3">
      <c r="A17" s="95"/>
      <c r="B17" s="95"/>
      <c r="C17" s="95"/>
      <c r="D17" s="95"/>
      <c r="E17" s="75"/>
      <c r="F17" s="75"/>
      <c r="G17" s="75"/>
      <c r="H17" s="75"/>
      <c r="I17" s="75"/>
      <c r="J17" s="75"/>
      <c r="K17" s="75"/>
      <c r="L17" s="75"/>
      <c r="M17" s="75"/>
      <c r="N17" s="75"/>
      <c r="O17" s="75"/>
    </row>
    <row r="18" spans="1:15" x14ac:dyDescent="0.3">
      <c r="A18" s="95"/>
      <c r="B18" s="99"/>
      <c r="C18" s="99"/>
      <c r="D18" s="99"/>
      <c r="E18" s="75"/>
      <c r="F18" s="75"/>
      <c r="G18" s="75"/>
      <c r="H18" s="75"/>
      <c r="I18" s="75"/>
      <c r="J18" s="75"/>
      <c r="K18" s="75"/>
      <c r="L18" s="75"/>
      <c r="M18" s="75"/>
      <c r="N18" s="75"/>
      <c r="O18" s="75"/>
    </row>
    <row r="19" spans="1:15" x14ac:dyDescent="0.3">
      <c r="A19" s="95"/>
      <c r="B19" s="99"/>
      <c r="C19" s="99"/>
      <c r="D19" s="99"/>
      <c r="E19" s="75"/>
      <c r="F19" s="75"/>
      <c r="G19" s="75"/>
      <c r="H19" s="75"/>
      <c r="I19" s="75"/>
      <c r="J19" s="75"/>
      <c r="K19" s="75"/>
      <c r="L19" s="75"/>
      <c r="M19" s="75"/>
      <c r="N19" s="75"/>
      <c r="O19" s="75"/>
    </row>
    <row r="20" spans="1:15" x14ac:dyDescent="0.3">
      <c r="A20" s="95"/>
      <c r="B20" s="99"/>
      <c r="C20" s="99"/>
      <c r="D20" s="99"/>
      <c r="E20" s="75"/>
      <c r="F20" s="75"/>
      <c r="G20" s="75"/>
      <c r="H20" s="75"/>
      <c r="I20" s="75"/>
      <c r="J20" s="75"/>
      <c r="K20" s="75"/>
      <c r="L20" s="75"/>
      <c r="M20" s="75"/>
      <c r="N20" s="75"/>
      <c r="O20" s="75"/>
    </row>
    <row r="21" spans="1:15" x14ac:dyDescent="0.3">
      <c r="A21" s="95"/>
      <c r="B21" s="99"/>
      <c r="C21" s="99"/>
      <c r="D21" s="99"/>
      <c r="E21" s="75"/>
      <c r="F21" s="75"/>
      <c r="G21" s="75"/>
      <c r="H21" s="75"/>
      <c r="I21" s="75"/>
      <c r="J21" s="75"/>
      <c r="K21" s="75"/>
      <c r="L21" s="75"/>
      <c r="M21" s="75"/>
      <c r="N21" s="75"/>
      <c r="O21" s="75"/>
    </row>
    <row r="22" spans="1:15" ht="20.399999999999999" x14ac:dyDescent="0.3">
      <c r="A22" s="95"/>
      <c r="B22" s="95"/>
      <c r="C22" s="97"/>
      <c r="D22" s="97"/>
      <c r="E22" s="75"/>
      <c r="F22" s="75"/>
      <c r="G22" s="75"/>
      <c r="H22" s="75"/>
      <c r="I22" s="75"/>
      <c r="J22" s="75"/>
      <c r="K22" s="75"/>
      <c r="L22" s="75"/>
      <c r="M22" s="75"/>
      <c r="N22" s="75"/>
      <c r="O22" s="75"/>
    </row>
    <row r="23" spans="1:15" ht="20.399999999999999" x14ac:dyDescent="0.3">
      <c r="A23" s="95"/>
      <c r="B23" s="95"/>
      <c r="C23" s="97"/>
      <c r="D23" s="97"/>
      <c r="E23" s="75"/>
      <c r="F23" s="75"/>
      <c r="G23" s="75"/>
      <c r="H23" s="75"/>
      <c r="I23" s="75"/>
      <c r="J23" s="75"/>
      <c r="K23" s="75"/>
      <c r="L23" s="75"/>
      <c r="M23" s="75"/>
      <c r="N23" s="75"/>
      <c r="O23" s="75"/>
    </row>
    <row r="24" spans="1:15" ht="20.399999999999999" x14ac:dyDescent="0.3">
      <c r="A24" s="95"/>
      <c r="B24" s="95"/>
      <c r="C24" s="97"/>
      <c r="D24" s="97"/>
      <c r="E24" s="75"/>
      <c r="F24" s="75"/>
      <c r="G24" s="75"/>
      <c r="H24" s="75"/>
      <c r="I24" s="75"/>
      <c r="J24" s="75"/>
      <c r="K24" s="75"/>
      <c r="L24" s="75"/>
      <c r="M24" s="75"/>
      <c r="N24" s="75"/>
      <c r="O24" s="75"/>
    </row>
    <row r="25" spans="1:15" ht="20.399999999999999" x14ac:dyDescent="0.3">
      <c r="A25" s="95"/>
      <c r="B25" s="95"/>
      <c r="C25" s="97"/>
      <c r="D25" s="97"/>
      <c r="E25" s="75"/>
      <c r="F25" s="75"/>
      <c r="G25" s="75"/>
      <c r="H25" s="75"/>
      <c r="I25" s="75"/>
      <c r="J25" s="75"/>
      <c r="K25" s="75"/>
      <c r="L25" s="75"/>
      <c r="M25" s="75"/>
      <c r="N25" s="75"/>
      <c r="O25" s="75"/>
    </row>
    <row r="26" spans="1:15" ht="20.399999999999999" x14ac:dyDescent="0.3">
      <c r="A26" s="95"/>
      <c r="B26" s="95"/>
      <c r="C26" s="97"/>
      <c r="D26" s="97"/>
      <c r="E26" s="75"/>
      <c r="F26" s="75"/>
      <c r="G26" s="75"/>
      <c r="H26" s="75"/>
      <c r="I26" s="75"/>
      <c r="J26" s="75"/>
      <c r="K26" s="75"/>
      <c r="L26" s="75"/>
      <c r="M26" s="75"/>
      <c r="N26" s="75"/>
      <c r="O26" s="75"/>
    </row>
    <row r="27" spans="1:15" ht="20.399999999999999" x14ac:dyDescent="0.3">
      <c r="A27" s="95"/>
      <c r="B27" s="95"/>
      <c r="C27" s="97"/>
      <c r="D27" s="97"/>
      <c r="E27" s="75"/>
      <c r="F27" s="75"/>
      <c r="G27" s="75"/>
      <c r="H27" s="75"/>
      <c r="I27" s="75"/>
      <c r="J27" s="75"/>
      <c r="K27" s="75"/>
      <c r="L27" s="75"/>
      <c r="M27" s="75"/>
      <c r="N27" s="75"/>
      <c r="O27" s="75"/>
    </row>
    <row r="28" spans="1:15" ht="20.399999999999999" x14ac:dyDescent="0.3">
      <c r="A28" s="95"/>
      <c r="B28" s="95"/>
      <c r="C28" s="97"/>
      <c r="D28" s="97"/>
      <c r="E28" s="75"/>
      <c r="F28" s="75"/>
      <c r="G28" s="75"/>
      <c r="H28" s="75"/>
      <c r="I28" s="75"/>
      <c r="J28" s="75"/>
      <c r="K28" s="75"/>
      <c r="L28" s="75"/>
      <c r="M28" s="75"/>
      <c r="N28" s="75"/>
      <c r="O28" s="75"/>
    </row>
    <row r="29" spans="1:15" ht="20.399999999999999" x14ac:dyDescent="0.3">
      <c r="A29" s="95"/>
      <c r="B29" s="95"/>
      <c r="C29" s="97"/>
      <c r="D29" s="97"/>
      <c r="E29" s="75"/>
      <c r="F29" s="75"/>
      <c r="G29" s="75"/>
      <c r="H29" s="75"/>
      <c r="I29" s="75"/>
      <c r="J29" s="75"/>
      <c r="K29" s="75"/>
      <c r="L29" s="75"/>
      <c r="M29" s="75"/>
      <c r="N29" s="75"/>
      <c r="O29" s="75"/>
    </row>
    <row r="30" spans="1:15" ht="20.399999999999999" x14ac:dyDescent="0.3">
      <c r="A30" s="95"/>
      <c r="B30" s="95"/>
      <c r="C30" s="97"/>
      <c r="D30" s="97"/>
      <c r="E30" s="75"/>
      <c r="F30" s="75"/>
      <c r="G30" s="75"/>
      <c r="H30" s="75"/>
      <c r="I30" s="75"/>
      <c r="J30" s="75"/>
      <c r="K30" s="75"/>
      <c r="L30" s="75"/>
      <c r="M30" s="75"/>
      <c r="N30" s="75"/>
      <c r="O30" s="75"/>
    </row>
    <row r="31" spans="1:15" ht="20.399999999999999" x14ac:dyDescent="0.3">
      <c r="A31" s="95"/>
      <c r="B31" s="95"/>
      <c r="C31" s="97"/>
      <c r="D31" s="97"/>
      <c r="E31" s="75"/>
      <c r="F31" s="75"/>
      <c r="G31" s="75"/>
      <c r="H31" s="75"/>
      <c r="I31" s="75"/>
      <c r="J31" s="75"/>
      <c r="K31" s="75"/>
      <c r="L31" s="75"/>
      <c r="M31" s="75"/>
      <c r="N31" s="75"/>
      <c r="O31" s="75"/>
    </row>
    <row r="32" spans="1:15" ht="20.399999999999999" x14ac:dyDescent="0.3">
      <c r="A32" s="95"/>
      <c r="B32" s="95"/>
      <c r="C32" s="97"/>
      <c r="D32" s="97"/>
      <c r="E32" s="75"/>
      <c r="F32" s="75"/>
      <c r="G32" s="75"/>
      <c r="H32" s="75"/>
      <c r="I32" s="75"/>
      <c r="J32" s="75"/>
      <c r="K32" s="75"/>
      <c r="L32" s="75"/>
      <c r="M32" s="75"/>
      <c r="N32" s="75"/>
      <c r="O32" s="75"/>
    </row>
    <row r="33" spans="1:15" ht="20.399999999999999" x14ac:dyDescent="0.3">
      <c r="A33" s="95"/>
      <c r="B33" s="95"/>
      <c r="C33" s="97"/>
      <c r="D33" s="97"/>
      <c r="E33" s="75"/>
      <c r="F33" s="75"/>
      <c r="G33" s="75"/>
      <c r="H33" s="75"/>
      <c r="I33" s="75"/>
      <c r="J33" s="75"/>
      <c r="K33" s="75"/>
      <c r="L33" s="75"/>
      <c r="M33" s="75"/>
      <c r="N33" s="75"/>
      <c r="O33" s="75"/>
    </row>
    <row r="34" spans="1:15" ht="20.399999999999999" x14ac:dyDescent="0.3">
      <c r="A34" s="95"/>
      <c r="B34" s="95"/>
      <c r="C34" s="97"/>
      <c r="D34" s="97"/>
      <c r="E34" s="75"/>
      <c r="F34" s="75"/>
      <c r="G34" s="75"/>
      <c r="H34" s="75"/>
      <c r="I34" s="75"/>
      <c r="J34" s="75"/>
      <c r="K34" s="75"/>
      <c r="L34" s="75"/>
      <c r="M34" s="75"/>
      <c r="N34" s="75"/>
      <c r="O34" s="75"/>
    </row>
    <row r="35" spans="1:15" ht="20.399999999999999" x14ac:dyDescent="0.3">
      <c r="A35" s="95"/>
      <c r="B35" s="95"/>
      <c r="C35" s="97"/>
      <c r="D35" s="97"/>
      <c r="E35" s="75"/>
      <c r="F35" s="75"/>
      <c r="G35" s="75"/>
      <c r="H35" s="75"/>
      <c r="I35" s="75"/>
      <c r="J35" s="75"/>
      <c r="K35" s="75"/>
      <c r="L35" s="75"/>
      <c r="M35" s="75"/>
      <c r="N35" s="75"/>
      <c r="O35" s="75"/>
    </row>
    <row r="36" spans="1:15" ht="20.399999999999999" x14ac:dyDescent="0.3">
      <c r="A36" s="95"/>
      <c r="B36" s="95"/>
      <c r="C36" s="97"/>
      <c r="D36" s="97"/>
      <c r="E36" s="75"/>
      <c r="F36" s="75"/>
      <c r="G36" s="75"/>
      <c r="H36" s="75"/>
      <c r="I36" s="75"/>
      <c r="J36" s="75"/>
      <c r="K36" s="75"/>
      <c r="L36" s="75"/>
      <c r="M36" s="75"/>
      <c r="N36" s="75"/>
      <c r="O36" s="75"/>
    </row>
    <row r="37" spans="1:15" ht="20.399999999999999" x14ac:dyDescent="0.3">
      <c r="A37" s="95"/>
      <c r="B37" s="95"/>
      <c r="C37" s="97"/>
      <c r="D37" s="97"/>
      <c r="E37" s="75"/>
      <c r="F37" s="75"/>
      <c r="G37" s="75"/>
      <c r="H37" s="75"/>
      <c r="I37" s="75"/>
      <c r="J37" s="75"/>
      <c r="K37" s="75"/>
      <c r="L37" s="75"/>
      <c r="M37" s="75"/>
      <c r="N37" s="75"/>
      <c r="O37" s="75"/>
    </row>
    <row r="38" spans="1:15" ht="20.399999999999999" x14ac:dyDescent="0.3">
      <c r="A38" s="95"/>
      <c r="B38" s="95"/>
      <c r="C38" s="97"/>
      <c r="D38" s="97"/>
      <c r="E38" s="75"/>
      <c r="F38" s="75"/>
      <c r="G38" s="75"/>
      <c r="H38" s="75"/>
      <c r="I38" s="75"/>
      <c r="J38" s="75"/>
      <c r="K38" s="75"/>
      <c r="L38" s="75"/>
      <c r="M38" s="75"/>
      <c r="N38" s="75"/>
      <c r="O38" s="75"/>
    </row>
    <row r="39" spans="1:15" ht="20.399999999999999" x14ac:dyDescent="0.3">
      <c r="A39" s="95"/>
      <c r="B39" s="95"/>
      <c r="C39" s="97"/>
      <c r="D39" s="97"/>
      <c r="E39" s="75"/>
      <c r="F39" s="75"/>
      <c r="G39" s="75"/>
      <c r="H39" s="75"/>
      <c r="I39" s="75"/>
      <c r="J39" s="75"/>
      <c r="K39" s="75"/>
      <c r="L39" s="75"/>
      <c r="M39" s="75"/>
      <c r="N39" s="75"/>
      <c r="O39" s="75"/>
    </row>
    <row r="40" spans="1:15" ht="20.399999999999999" x14ac:dyDescent="0.3">
      <c r="A40" s="95"/>
      <c r="B40" s="95"/>
      <c r="C40" s="97"/>
      <c r="D40" s="97"/>
      <c r="E40" s="75"/>
      <c r="F40" s="75"/>
      <c r="G40" s="75"/>
      <c r="H40" s="75"/>
      <c r="I40" s="75"/>
      <c r="J40" s="75"/>
      <c r="K40" s="75"/>
      <c r="L40" s="75"/>
      <c r="M40" s="75"/>
      <c r="N40" s="75"/>
      <c r="O40" s="75"/>
    </row>
    <row r="41" spans="1:15" ht="20.399999999999999" x14ac:dyDescent="0.3">
      <c r="A41" s="95"/>
      <c r="B41" s="95"/>
      <c r="C41" s="97"/>
      <c r="D41" s="97"/>
      <c r="E41" s="75"/>
      <c r="F41" s="75"/>
      <c r="G41" s="75"/>
      <c r="H41" s="75"/>
      <c r="I41" s="75"/>
      <c r="J41" s="75"/>
      <c r="K41" s="75"/>
      <c r="L41" s="75"/>
      <c r="M41" s="75"/>
      <c r="N41" s="75"/>
      <c r="O41" s="75"/>
    </row>
    <row r="42" spans="1:15" ht="20.399999999999999" x14ac:dyDescent="0.3">
      <c r="A42" s="95"/>
      <c r="B42" s="95"/>
      <c r="C42" s="97"/>
      <c r="D42" s="97"/>
      <c r="E42" s="75"/>
      <c r="F42" s="75"/>
      <c r="G42" s="75"/>
      <c r="H42" s="75"/>
      <c r="I42" s="75"/>
      <c r="J42" s="75"/>
      <c r="K42" s="75"/>
      <c r="L42" s="75"/>
      <c r="M42" s="75"/>
      <c r="N42" s="75"/>
      <c r="O42" s="75"/>
    </row>
    <row r="43" spans="1:15" ht="20.399999999999999" x14ac:dyDescent="0.3">
      <c r="A43" s="95"/>
      <c r="B43" s="95"/>
      <c r="C43" s="97"/>
      <c r="D43" s="97"/>
      <c r="E43" s="75"/>
      <c r="F43" s="75"/>
      <c r="G43" s="75"/>
      <c r="H43" s="75"/>
      <c r="I43" s="75"/>
      <c r="J43" s="75"/>
      <c r="K43" s="75"/>
      <c r="L43" s="75"/>
      <c r="M43" s="75"/>
      <c r="N43" s="75"/>
      <c r="O43" s="75"/>
    </row>
    <row r="44" spans="1:15" ht="20.399999999999999" x14ac:dyDescent="0.3">
      <c r="A44" s="95"/>
      <c r="B44" s="95"/>
      <c r="C44" s="97"/>
      <c r="D44" s="97"/>
      <c r="E44" s="75"/>
      <c r="F44" s="75"/>
      <c r="G44" s="75"/>
      <c r="H44" s="75"/>
      <c r="I44" s="75"/>
      <c r="J44" s="75"/>
      <c r="K44" s="75"/>
      <c r="L44" s="75"/>
      <c r="M44" s="75"/>
      <c r="N44" s="75"/>
      <c r="O44" s="75"/>
    </row>
    <row r="45" spans="1:15" ht="20.399999999999999" x14ac:dyDescent="0.3">
      <c r="A45" s="95"/>
      <c r="B45" s="95"/>
      <c r="C45" s="97"/>
      <c r="D45" s="97"/>
      <c r="E45" s="75"/>
      <c r="F45" s="75"/>
      <c r="G45" s="75"/>
      <c r="H45" s="75"/>
      <c r="I45" s="75"/>
      <c r="J45" s="75"/>
      <c r="K45" s="75"/>
      <c r="L45" s="75"/>
      <c r="M45" s="75"/>
      <c r="N45" s="75"/>
      <c r="O45" s="75"/>
    </row>
    <row r="46" spans="1:15" ht="20.399999999999999" x14ac:dyDescent="0.3">
      <c r="A46" s="95"/>
      <c r="B46" s="95"/>
      <c r="C46" s="97"/>
      <c r="D46" s="97"/>
      <c r="E46" s="75"/>
      <c r="F46" s="75"/>
      <c r="G46" s="75"/>
      <c r="H46" s="75"/>
      <c r="I46" s="75"/>
      <c r="J46" s="75"/>
      <c r="K46" s="75"/>
      <c r="L46" s="75"/>
      <c r="M46" s="75"/>
      <c r="N46" s="75"/>
      <c r="O46" s="75"/>
    </row>
    <row r="47" spans="1:15" ht="20.399999999999999" x14ac:dyDescent="0.3">
      <c r="A47" s="95"/>
      <c r="B47" s="95"/>
      <c r="C47" s="97"/>
      <c r="D47" s="97"/>
      <c r="E47" s="75"/>
      <c r="F47" s="75"/>
      <c r="G47" s="75"/>
      <c r="H47" s="75"/>
      <c r="I47" s="75"/>
      <c r="J47" s="75"/>
      <c r="K47" s="75"/>
      <c r="L47" s="75"/>
      <c r="M47" s="75"/>
      <c r="N47" s="75"/>
      <c r="O47" s="75"/>
    </row>
    <row r="48" spans="1:15" ht="20.399999999999999" x14ac:dyDescent="0.3">
      <c r="A48" s="95"/>
      <c r="B48" s="95"/>
      <c r="C48" s="97"/>
      <c r="D48" s="97"/>
      <c r="E48" s="75"/>
      <c r="F48" s="75"/>
      <c r="G48" s="75"/>
      <c r="H48" s="75"/>
      <c r="I48" s="75"/>
      <c r="J48" s="75"/>
      <c r="K48" s="75"/>
      <c r="L48" s="75"/>
      <c r="M48" s="75"/>
      <c r="N48" s="75"/>
      <c r="O48" s="75"/>
    </row>
    <row r="49" spans="1:15" ht="20.399999999999999" x14ac:dyDescent="0.3">
      <c r="A49" s="95"/>
      <c r="B49" s="95"/>
      <c r="C49" s="97"/>
      <c r="D49" s="97"/>
      <c r="E49" s="75"/>
      <c r="F49" s="75"/>
      <c r="G49" s="75"/>
      <c r="H49" s="75"/>
      <c r="I49" s="75"/>
      <c r="J49" s="75"/>
      <c r="K49" s="75"/>
      <c r="L49" s="75"/>
      <c r="M49" s="75"/>
      <c r="N49" s="75"/>
      <c r="O49" s="75"/>
    </row>
    <row r="50" spans="1:15" ht="20.399999999999999" x14ac:dyDescent="0.3">
      <c r="A50" s="95"/>
      <c r="B50" s="95"/>
      <c r="C50" s="97"/>
      <c r="D50" s="97"/>
      <c r="E50" s="75"/>
      <c r="F50" s="75"/>
      <c r="G50" s="75"/>
      <c r="H50" s="75"/>
      <c r="I50" s="75"/>
      <c r="J50" s="75"/>
      <c r="K50" s="75"/>
      <c r="L50" s="75"/>
      <c r="M50" s="75"/>
      <c r="N50" s="75"/>
      <c r="O50" s="75"/>
    </row>
    <row r="51" spans="1:15" ht="20.399999999999999" x14ac:dyDescent="0.3">
      <c r="A51" s="95"/>
      <c r="B51" s="95"/>
      <c r="C51" s="97"/>
      <c r="D51" s="97"/>
      <c r="E51" s="75"/>
      <c r="F51" s="75"/>
      <c r="G51" s="75"/>
      <c r="H51" s="75"/>
      <c r="I51" s="75"/>
      <c r="J51" s="75"/>
      <c r="K51" s="75"/>
      <c r="L51" s="75"/>
      <c r="M51" s="75"/>
      <c r="N51" s="75"/>
      <c r="O51" s="75"/>
    </row>
    <row r="52" spans="1:15" ht="20.399999999999999" x14ac:dyDescent="0.3">
      <c r="A52" s="95"/>
      <c r="B52" s="20"/>
      <c r="C52" s="26"/>
      <c r="D52" s="26"/>
    </row>
    <row r="53" spans="1:15" ht="20.399999999999999" x14ac:dyDescent="0.3">
      <c r="A53" s="95"/>
      <c r="B53" s="20"/>
      <c r="C53" s="26"/>
      <c r="D53" s="26"/>
    </row>
    <row r="54" spans="1:15" ht="20.399999999999999" x14ac:dyDescent="0.3">
      <c r="A54" s="95"/>
      <c r="B54" s="20"/>
      <c r="C54" s="26"/>
      <c r="D54" s="26"/>
    </row>
    <row r="55" spans="1:15" ht="20.399999999999999" x14ac:dyDescent="0.3">
      <c r="A55" s="95"/>
      <c r="B55" s="20"/>
      <c r="C55" s="26"/>
      <c r="D55" s="26"/>
    </row>
    <row r="56" spans="1:15" ht="20.399999999999999" x14ac:dyDescent="0.3">
      <c r="A56" s="95"/>
      <c r="B56" s="20"/>
      <c r="C56" s="26"/>
      <c r="D56" s="26"/>
    </row>
    <row r="57" spans="1:15" ht="20.399999999999999" x14ac:dyDescent="0.3">
      <c r="A57" s="95"/>
      <c r="B57" s="20"/>
      <c r="C57" s="26"/>
      <c r="D57" s="26"/>
    </row>
    <row r="58" spans="1:15" ht="20.399999999999999" x14ac:dyDescent="0.3">
      <c r="A58" s="95"/>
      <c r="B58" s="20"/>
      <c r="C58" s="26"/>
      <c r="D58" s="26"/>
    </row>
    <row r="59" spans="1:15" ht="20.399999999999999" x14ac:dyDescent="0.3">
      <c r="A59" s="95"/>
      <c r="B59" s="20"/>
      <c r="C59" s="26"/>
      <c r="D59" s="26"/>
    </row>
    <row r="60" spans="1:15" ht="20.399999999999999" x14ac:dyDescent="0.3">
      <c r="A60" s="95"/>
      <c r="B60" s="20"/>
      <c r="C60" s="26"/>
      <c r="D60" s="26"/>
    </row>
    <row r="61" spans="1:15" ht="20.399999999999999" x14ac:dyDescent="0.3">
      <c r="A61" s="95"/>
      <c r="B61" s="20"/>
      <c r="C61" s="26"/>
      <c r="D61" s="26"/>
    </row>
    <row r="62" spans="1:15" ht="20.399999999999999" x14ac:dyDescent="0.3">
      <c r="A62" s="95"/>
      <c r="B62" s="20"/>
      <c r="C62" s="26"/>
      <c r="D62" s="26"/>
    </row>
    <row r="63" spans="1:15" ht="20.399999999999999" x14ac:dyDescent="0.3">
      <c r="A63" s="95"/>
      <c r="B63" s="20"/>
      <c r="C63" s="26"/>
      <c r="D63" s="26"/>
    </row>
    <row r="64" spans="1:15" ht="20.399999999999999" x14ac:dyDescent="0.3">
      <c r="A64" s="95"/>
      <c r="B64" s="20"/>
      <c r="C64" s="26"/>
      <c r="D64" s="26"/>
    </row>
    <row r="65" spans="1:4" ht="20.399999999999999" x14ac:dyDescent="0.3">
      <c r="A65" s="95"/>
      <c r="B65" s="20"/>
      <c r="C65" s="26"/>
      <c r="D65" s="26"/>
    </row>
    <row r="66" spans="1:4" ht="20.399999999999999" x14ac:dyDescent="0.3">
      <c r="A66" s="95"/>
      <c r="B66" s="20"/>
      <c r="C66" s="26"/>
      <c r="D66" s="26"/>
    </row>
    <row r="67" spans="1:4" ht="20.399999999999999" x14ac:dyDescent="0.3">
      <c r="A67" s="95"/>
      <c r="B67" s="20"/>
      <c r="C67" s="26"/>
      <c r="D67" s="26"/>
    </row>
    <row r="68" spans="1:4" ht="20.399999999999999" x14ac:dyDescent="0.3">
      <c r="A68" s="95"/>
      <c r="B68" s="20"/>
      <c r="C68" s="26"/>
      <c r="D68" s="26"/>
    </row>
    <row r="69" spans="1:4" ht="20.399999999999999" x14ac:dyDescent="0.3">
      <c r="A69" s="95"/>
      <c r="B69" s="20"/>
      <c r="C69" s="26"/>
      <c r="D69" s="26"/>
    </row>
    <row r="70" spans="1:4" ht="20.399999999999999" x14ac:dyDescent="0.3">
      <c r="A70" s="95"/>
      <c r="B70" s="20"/>
      <c r="C70" s="26"/>
      <c r="D70" s="26"/>
    </row>
    <row r="71" spans="1:4" ht="20.399999999999999" x14ac:dyDescent="0.3">
      <c r="A71" s="95"/>
      <c r="B71" s="20"/>
      <c r="C71" s="26"/>
      <c r="D71" s="26"/>
    </row>
    <row r="72" spans="1:4" ht="20.399999999999999" x14ac:dyDescent="0.3">
      <c r="A72" s="95"/>
      <c r="B72" s="20"/>
      <c r="C72" s="26"/>
      <c r="D72" s="26"/>
    </row>
    <row r="73" spans="1:4" ht="20.399999999999999" x14ac:dyDescent="0.3">
      <c r="A73" s="95"/>
      <c r="B73" s="20"/>
      <c r="C73" s="26"/>
      <c r="D73" s="26"/>
    </row>
    <row r="74" spans="1:4" ht="20.399999999999999" x14ac:dyDescent="0.3">
      <c r="A74" s="95"/>
      <c r="B74" s="20"/>
      <c r="C74" s="26"/>
      <c r="D74" s="26"/>
    </row>
    <row r="75" spans="1:4" ht="20.399999999999999" x14ac:dyDescent="0.3">
      <c r="A75" s="95"/>
      <c r="B75" s="20"/>
      <c r="C75" s="26"/>
      <c r="D75" s="26"/>
    </row>
    <row r="76" spans="1:4" ht="20.399999999999999" x14ac:dyDescent="0.3">
      <c r="A76" s="95"/>
      <c r="B76" s="20"/>
      <c r="C76" s="26"/>
      <c r="D76" s="26"/>
    </row>
    <row r="77" spans="1:4" ht="20.399999999999999" x14ac:dyDescent="0.3">
      <c r="A77" s="95"/>
      <c r="B77" s="20"/>
      <c r="C77" s="26"/>
      <c r="D77" s="26"/>
    </row>
    <row r="78" spans="1:4" ht="20.399999999999999" x14ac:dyDescent="0.3">
      <c r="A78" s="95"/>
      <c r="B78" s="20"/>
      <c r="C78" s="26"/>
      <c r="D78" s="26"/>
    </row>
    <row r="79" spans="1:4" ht="20.399999999999999" x14ac:dyDescent="0.3">
      <c r="A79" s="95"/>
      <c r="B79" s="20"/>
      <c r="C79" s="26"/>
      <c r="D79" s="26"/>
    </row>
    <row r="80" spans="1:4" ht="20.399999999999999" x14ac:dyDescent="0.3">
      <c r="A80" s="95"/>
      <c r="B80" s="20"/>
      <c r="C80" s="26"/>
      <c r="D80" s="26"/>
    </row>
    <row r="81" spans="1:4" ht="20.399999999999999" x14ac:dyDescent="0.3">
      <c r="A81" s="95"/>
      <c r="B81" s="20"/>
      <c r="C81" s="26"/>
      <c r="D81" s="26"/>
    </row>
    <row r="82" spans="1:4" ht="20.399999999999999" x14ac:dyDescent="0.3">
      <c r="A82" s="95"/>
      <c r="B82" s="20"/>
      <c r="C82" s="26"/>
      <c r="D82" s="26"/>
    </row>
    <row r="83" spans="1:4" ht="20.399999999999999" x14ac:dyDescent="0.3">
      <c r="A83" s="95"/>
      <c r="B83" s="20"/>
      <c r="C83" s="26"/>
      <c r="D83" s="26"/>
    </row>
    <row r="84" spans="1:4" ht="20.399999999999999" x14ac:dyDescent="0.3">
      <c r="A84" s="95"/>
      <c r="B84" s="20"/>
      <c r="C84" s="26"/>
      <c r="D84" s="26"/>
    </row>
    <row r="85" spans="1:4" ht="20.399999999999999" x14ac:dyDescent="0.3">
      <c r="A85" s="95"/>
      <c r="B85" s="20"/>
      <c r="C85" s="26"/>
      <c r="D85" s="26"/>
    </row>
    <row r="86" spans="1:4" ht="20.399999999999999" x14ac:dyDescent="0.3">
      <c r="A86" s="95"/>
      <c r="B86" s="20"/>
      <c r="C86" s="26"/>
      <c r="D86" s="26"/>
    </row>
    <row r="87" spans="1:4" ht="20.399999999999999" x14ac:dyDescent="0.3">
      <c r="A87" s="95"/>
      <c r="B87" s="20"/>
      <c r="C87" s="26"/>
      <c r="D87" s="26"/>
    </row>
    <row r="88" spans="1:4" ht="20.399999999999999" x14ac:dyDescent="0.3">
      <c r="A88" s="95"/>
      <c r="B88" s="20"/>
      <c r="C88" s="26"/>
      <c r="D88" s="26"/>
    </row>
    <row r="89" spans="1:4" ht="20.399999999999999" x14ac:dyDescent="0.3">
      <c r="A89" s="95"/>
      <c r="B89" s="20"/>
      <c r="C89" s="26"/>
      <c r="D89" s="26"/>
    </row>
    <row r="90" spans="1:4" ht="20.399999999999999" x14ac:dyDescent="0.3">
      <c r="A90" s="95"/>
      <c r="B90" s="20"/>
      <c r="C90" s="26"/>
      <c r="D90" s="26"/>
    </row>
    <row r="91" spans="1:4" ht="20.399999999999999" x14ac:dyDescent="0.3">
      <c r="A91" s="95"/>
      <c r="B91" s="20"/>
      <c r="C91" s="26"/>
      <c r="D91" s="26"/>
    </row>
    <row r="92" spans="1:4" ht="20.399999999999999" x14ac:dyDescent="0.3">
      <c r="A92" s="95"/>
      <c r="B92" s="20"/>
      <c r="C92" s="26"/>
      <c r="D92" s="26"/>
    </row>
    <row r="93" spans="1:4" ht="20.399999999999999" x14ac:dyDescent="0.3">
      <c r="A93" s="95"/>
      <c r="B93" s="20"/>
      <c r="C93" s="26"/>
      <c r="D93" s="26"/>
    </row>
    <row r="94" spans="1:4" ht="20.399999999999999" x14ac:dyDescent="0.3">
      <c r="A94" s="95"/>
      <c r="B94" s="20"/>
      <c r="C94" s="26"/>
      <c r="D94" s="26"/>
    </row>
    <row r="95" spans="1:4" ht="20.399999999999999" x14ac:dyDescent="0.3">
      <c r="A95" s="95"/>
      <c r="B95" s="20"/>
      <c r="C95" s="26"/>
      <c r="D95" s="26"/>
    </row>
    <row r="96" spans="1:4" ht="20.399999999999999" x14ac:dyDescent="0.3">
      <c r="A96" s="95"/>
      <c r="B96" s="20"/>
      <c r="C96" s="26"/>
      <c r="D96" s="26"/>
    </row>
    <row r="97" spans="1:4" ht="20.399999999999999" x14ac:dyDescent="0.3">
      <c r="A97" s="95"/>
      <c r="B97" s="20"/>
      <c r="C97" s="26"/>
      <c r="D97" s="26"/>
    </row>
    <row r="98" spans="1:4" ht="20.399999999999999" x14ac:dyDescent="0.3">
      <c r="A98" s="95"/>
      <c r="B98" s="20"/>
      <c r="C98" s="26"/>
      <c r="D98" s="26"/>
    </row>
    <row r="99" spans="1:4" ht="20.399999999999999" x14ac:dyDescent="0.3">
      <c r="A99" s="95"/>
      <c r="B99" s="20"/>
      <c r="C99" s="26"/>
      <c r="D99" s="26"/>
    </row>
    <row r="100" spans="1:4" ht="20.399999999999999" x14ac:dyDescent="0.3">
      <c r="A100" s="95"/>
      <c r="B100" s="20"/>
      <c r="C100" s="26"/>
      <c r="D100" s="26"/>
    </row>
    <row r="101" spans="1:4" ht="20.399999999999999" x14ac:dyDescent="0.3">
      <c r="A101" s="95"/>
      <c r="B101" s="20"/>
      <c r="C101" s="26"/>
      <c r="D101" s="26"/>
    </row>
    <row r="102" spans="1:4" ht="20.399999999999999" x14ac:dyDescent="0.3">
      <c r="A102" s="95"/>
      <c r="B102" s="20"/>
      <c r="C102" s="26"/>
      <c r="D102" s="26"/>
    </row>
    <row r="103" spans="1:4" ht="20.399999999999999" x14ac:dyDescent="0.3">
      <c r="A103" s="95"/>
      <c r="B103" s="20"/>
      <c r="C103" s="26"/>
      <c r="D103" s="26"/>
    </row>
    <row r="104" spans="1:4" ht="20.399999999999999" x14ac:dyDescent="0.3">
      <c r="A104" s="95"/>
      <c r="B104" s="20"/>
      <c r="C104" s="26"/>
      <c r="D104" s="26"/>
    </row>
    <row r="105" spans="1:4" ht="20.399999999999999" x14ac:dyDescent="0.3">
      <c r="A105" s="95"/>
      <c r="B105" s="20"/>
      <c r="C105" s="26"/>
      <c r="D105" s="26"/>
    </row>
    <row r="106" spans="1:4" ht="20.399999999999999" x14ac:dyDescent="0.3">
      <c r="A106" s="95"/>
      <c r="B106" s="20"/>
      <c r="C106" s="26"/>
      <c r="D106" s="26"/>
    </row>
    <row r="107" spans="1:4" ht="20.399999999999999" x14ac:dyDescent="0.3">
      <c r="A107" s="95"/>
      <c r="B107" s="20"/>
      <c r="C107" s="26"/>
      <c r="D107" s="26"/>
    </row>
    <row r="108" spans="1:4" ht="20.399999999999999" x14ac:dyDescent="0.3">
      <c r="A108" s="95"/>
      <c r="B108" s="20"/>
      <c r="C108" s="26"/>
      <c r="D108" s="26"/>
    </row>
    <row r="109" spans="1:4" ht="20.399999999999999" x14ac:dyDescent="0.3">
      <c r="A109" s="95"/>
      <c r="B109" s="20"/>
      <c r="C109" s="26"/>
      <c r="D109" s="26"/>
    </row>
    <row r="110" spans="1:4" ht="20.399999999999999" x14ac:dyDescent="0.3">
      <c r="A110" s="95"/>
      <c r="B110" s="20"/>
      <c r="C110" s="26"/>
      <c r="D110" s="26"/>
    </row>
    <row r="111" spans="1:4" ht="20.399999999999999" x14ac:dyDescent="0.3">
      <c r="A111" s="95"/>
      <c r="B111" s="20"/>
      <c r="C111" s="26"/>
      <c r="D111" s="26"/>
    </row>
    <row r="112" spans="1:4" ht="20.399999999999999" x14ac:dyDescent="0.3">
      <c r="A112" s="95"/>
      <c r="B112" s="20"/>
      <c r="C112" s="26"/>
      <c r="D112" s="26"/>
    </row>
    <row r="113" spans="1:4" ht="20.399999999999999" x14ac:dyDescent="0.3">
      <c r="A113" s="95"/>
      <c r="B113" s="20"/>
      <c r="C113" s="26"/>
      <c r="D113" s="26"/>
    </row>
    <row r="114" spans="1:4" ht="20.399999999999999" x14ac:dyDescent="0.3">
      <c r="A114" s="95"/>
      <c r="B114" s="20"/>
      <c r="C114" s="26"/>
      <c r="D114" s="26"/>
    </row>
    <row r="115" spans="1:4" ht="20.399999999999999" x14ac:dyDescent="0.3">
      <c r="A115" s="95"/>
      <c r="B115" s="20"/>
      <c r="C115" s="26"/>
      <c r="D115" s="26"/>
    </row>
    <row r="116" spans="1:4" ht="20.399999999999999" x14ac:dyDescent="0.3">
      <c r="A116" s="95"/>
      <c r="B116" s="20"/>
      <c r="C116" s="26"/>
      <c r="D116" s="26"/>
    </row>
    <row r="117" spans="1:4" ht="20.399999999999999" x14ac:dyDescent="0.3">
      <c r="A117" s="95"/>
      <c r="B117" s="20"/>
      <c r="C117" s="26"/>
      <c r="D117" s="26"/>
    </row>
    <row r="118" spans="1:4" ht="20.399999999999999" x14ac:dyDescent="0.3">
      <c r="A118" s="95"/>
      <c r="B118" s="20"/>
      <c r="C118" s="26"/>
      <c r="D118" s="26"/>
    </row>
    <row r="119" spans="1:4" ht="20.399999999999999" x14ac:dyDescent="0.3">
      <c r="A119" s="95"/>
      <c r="B119" s="20"/>
      <c r="C119" s="26"/>
      <c r="D119" s="26"/>
    </row>
    <row r="120" spans="1:4" ht="20.399999999999999" x14ac:dyDescent="0.3">
      <c r="A120" s="95"/>
      <c r="B120" s="20"/>
      <c r="C120" s="26"/>
      <c r="D120" s="26"/>
    </row>
    <row r="121" spans="1:4" ht="20.399999999999999" x14ac:dyDescent="0.3">
      <c r="A121" s="95"/>
      <c r="B121" s="20"/>
      <c r="C121" s="26"/>
      <c r="D121" s="26"/>
    </row>
    <row r="122" spans="1:4" ht="20.399999999999999" x14ac:dyDescent="0.3">
      <c r="A122" s="95"/>
      <c r="B122" s="20"/>
      <c r="C122" s="26"/>
      <c r="D122" s="26"/>
    </row>
    <row r="123" spans="1:4" ht="20.399999999999999" x14ac:dyDescent="0.3">
      <c r="A123" s="95"/>
      <c r="B123" s="20"/>
      <c r="C123" s="26"/>
      <c r="D123" s="26"/>
    </row>
    <row r="124" spans="1:4" ht="20.399999999999999" x14ac:dyDescent="0.3">
      <c r="A124" s="95"/>
      <c r="B124" s="20"/>
      <c r="C124" s="26"/>
      <c r="D124" s="26"/>
    </row>
    <row r="125" spans="1:4" ht="20.399999999999999" x14ac:dyDescent="0.3">
      <c r="A125" s="95"/>
      <c r="B125" s="20"/>
      <c r="C125" s="26"/>
      <c r="D125" s="26"/>
    </row>
    <row r="126" spans="1:4" ht="20.399999999999999" x14ac:dyDescent="0.3">
      <c r="A126" s="95"/>
      <c r="B126" s="20"/>
      <c r="C126" s="26"/>
      <c r="D126" s="26"/>
    </row>
    <row r="127" spans="1:4" ht="20.399999999999999" x14ac:dyDescent="0.3">
      <c r="A127" s="95"/>
      <c r="B127" s="20"/>
      <c r="C127" s="26"/>
      <c r="D127" s="26"/>
    </row>
    <row r="128" spans="1:4" ht="20.399999999999999" x14ac:dyDescent="0.3">
      <c r="A128" s="95"/>
      <c r="B128" s="20"/>
      <c r="C128" s="26"/>
      <c r="D128" s="26"/>
    </row>
    <row r="129" spans="1:4" ht="20.399999999999999" x14ac:dyDescent="0.3">
      <c r="A129" s="95"/>
      <c r="B129" s="20"/>
      <c r="C129" s="26"/>
      <c r="D129" s="26"/>
    </row>
    <row r="130" spans="1:4" ht="20.399999999999999" x14ac:dyDescent="0.3">
      <c r="A130" s="95"/>
      <c r="B130" s="20"/>
      <c r="C130" s="26"/>
      <c r="D130" s="26"/>
    </row>
    <row r="131" spans="1:4" ht="20.399999999999999" x14ac:dyDescent="0.3">
      <c r="A131" s="95"/>
      <c r="B131" s="20"/>
      <c r="C131" s="26"/>
      <c r="D131" s="26"/>
    </row>
    <row r="132" spans="1:4" ht="20.399999999999999" x14ac:dyDescent="0.3">
      <c r="A132" s="95"/>
      <c r="B132" s="20"/>
      <c r="C132" s="26"/>
      <c r="D132" s="26"/>
    </row>
    <row r="133" spans="1:4" ht="20.399999999999999" x14ac:dyDescent="0.3">
      <c r="A133" s="95"/>
      <c r="B133" s="20"/>
      <c r="C133" s="26"/>
      <c r="D133" s="26"/>
    </row>
    <row r="134" spans="1:4" ht="20.399999999999999" x14ac:dyDescent="0.3">
      <c r="A134" s="95"/>
      <c r="B134" s="20"/>
      <c r="C134" s="26"/>
      <c r="D134" s="26"/>
    </row>
    <row r="135" spans="1:4" ht="20.399999999999999" x14ac:dyDescent="0.3">
      <c r="A135" s="95"/>
      <c r="B135" s="20"/>
      <c r="C135" s="26"/>
      <c r="D135" s="26"/>
    </row>
    <row r="136" spans="1:4" ht="20.399999999999999" x14ac:dyDescent="0.3">
      <c r="A136" s="95"/>
      <c r="B136" s="20"/>
      <c r="C136" s="26"/>
      <c r="D136" s="26"/>
    </row>
    <row r="137" spans="1:4" ht="20.399999999999999" x14ac:dyDescent="0.3">
      <c r="A137" s="95"/>
      <c r="B137" s="20"/>
      <c r="C137" s="26"/>
      <c r="D137" s="26"/>
    </row>
    <row r="138" spans="1:4" ht="20.399999999999999" x14ac:dyDescent="0.3">
      <c r="A138" s="95"/>
      <c r="B138" s="20"/>
      <c r="C138" s="26"/>
      <c r="D138" s="26"/>
    </row>
    <row r="139" spans="1:4" ht="20.399999999999999" x14ac:dyDescent="0.3">
      <c r="A139" s="95"/>
      <c r="B139" s="20"/>
      <c r="C139" s="26"/>
      <c r="D139" s="26"/>
    </row>
    <row r="140" spans="1:4" ht="20.399999999999999" x14ac:dyDescent="0.3">
      <c r="A140" s="95"/>
      <c r="B140" s="20"/>
      <c r="C140" s="26"/>
      <c r="D140" s="26"/>
    </row>
    <row r="141" spans="1:4" ht="20.399999999999999" x14ac:dyDescent="0.3">
      <c r="A141" s="95"/>
      <c r="B141" s="20"/>
      <c r="C141" s="26"/>
      <c r="D141" s="26"/>
    </row>
    <row r="142" spans="1:4" ht="20.399999999999999" x14ac:dyDescent="0.3">
      <c r="A142" s="95"/>
      <c r="B142" s="20"/>
      <c r="C142" s="26"/>
      <c r="D142" s="26"/>
    </row>
    <row r="143" spans="1:4" ht="20.399999999999999" x14ac:dyDescent="0.3">
      <c r="A143" s="95"/>
      <c r="B143" s="20"/>
      <c r="C143" s="26"/>
      <c r="D143" s="26"/>
    </row>
    <row r="144" spans="1:4" ht="20.399999999999999" x14ac:dyDescent="0.3">
      <c r="A144" s="95"/>
      <c r="B144" s="20"/>
      <c r="C144" s="26"/>
      <c r="D144" s="26"/>
    </row>
    <row r="145" spans="1:4" ht="20.399999999999999" x14ac:dyDescent="0.3">
      <c r="A145" s="95"/>
      <c r="B145" s="20"/>
      <c r="C145" s="26"/>
      <c r="D145" s="26"/>
    </row>
    <row r="146" spans="1:4" ht="20.399999999999999" x14ac:dyDescent="0.3">
      <c r="A146" s="95"/>
      <c r="B146" s="20"/>
      <c r="C146" s="26"/>
      <c r="D146" s="26"/>
    </row>
    <row r="147" spans="1:4" ht="20.399999999999999" x14ac:dyDescent="0.3">
      <c r="A147" s="95"/>
      <c r="B147" s="20"/>
      <c r="C147" s="26"/>
      <c r="D147" s="26"/>
    </row>
    <row r="148" spans="1:4" ht="20.399999999999999" x14ac:dyDescent="0.3">
      <c r="A148" s="95"/>
      <c r="B148" s="20"/>
      <c r="C148" s="26"/>
      <c r="D148" s="26"/>
    </row>
    <row r="149" spans="1:4" ht="20.399999999999999" x14ac:dyDescent="0.3">
      <c r="A149" s="95"/>
      <c r="B149" s="20"/>
      <c r="C149" s="26"/>
      <c r="D149" s="26"/>
    </row>
    <row r="150" spans="1:4" ht="20.399999999999999" x14ac:dyDescent="0.3">
      <c r="A150" s="95"/>
      <c r="B150" s="20"/>
      <c r="C150" s="26"/>
      <c r="D150" s="26"/>
    </row>
    <row r="151" spans="1:4" ht="20.399999999999999" x14ac:dyDescent="0.3">
      <c r="A151" s="95"/>
      <c r="B151" s="20"/>
      <c r="C151" s="26"/>
      <c r="D151" s="26"/>
    </row>
    <row r="152" spans="1:4" ht="20.399999999999999" x14ac:dyDescent="0.3">
      <c r="A152" s="95"/>
      <c r="B152" s="20"/>
      <c r="C152" s="26"/>
      <c r="D152" s="26"/>
    </row>
    <row r="153" spans="1:4" ht="20.399999999999999" x14ac:dyDescent="0.3">
      <c r="A153" s="95"/>
      <c r="B153" s="20"/>
      <c r="C153" s="26"/>
      <c r="D153" s="26"/>
    </row>
    <row r="154" spans="1:4" ht="20.399999999999999" x14ac:dyDescent="0.3">
      <c r="A154" s="95"/>
      <c r="B154" s="20"/>
      <c r="C154" s="26"/>
      <c r="D154" s="26"/>
    </row>
    <row r="155" spans="1:4" ht="20.399999999999999" x14ac:dyDescent="0.3">
      <c r="A155" s="95"/>
      <c r="B155" s="20"/>
      <c r="C155" s="26"/>
      <c r="D155" s="26"/>
    </row>
    <row r="156" spans="1:4" ht="20.399999999999999" x14ac:dyDescent="0.3">
      <c r="A156" s="95"/>
      <c r="B156" s="20"/>
      <c r="C156" s="26"/>
      <c r="D156" s="26"/>
    </row>
    <row r="157" spans="1:4" ht="20.399999999999999" x14ac:dyDescent="0.3">
      <c r="A157" s="95"/>
      <c r="B157" s="20"/>
      <c r="C157" s="26"/>
      <c r="D157" s="26"/>
    </row>
    <row r="158" spans="1:4" ht="20.399999999999999" x14ac:dyDescent="0.3">
      <c r="A158" s="95"/>
      <c r="B158" s="20"/>
      <c r="C158" s="26"/>
      <c r="D158" s="26"/>
    </row>
    <row r="159" spans="1:4" ht="20.399999999999999" x14ac:dyDescent="0.3">
      <c r="A159" s="95"/>
      <c r="B159" s="20"/>
      <c r="C159" s="26"/>
      <c r="D159" s="26"/>
    </row>
    <row r="160" spans="1:4" ht="20.399999999999999" x14ac:dyDescent="0.3">
      <c r="A160" s="95"/>
      <c r="B160" s="20"/>
      <c r="C160" s="26"/>
      <c r="D160" s="26"/>
    </row>
    <row r="161" spans="1:4" ht="20.399999999999999" x14ac:dyDescent="0.3">
      <c r="A161" s="95"/>
      <c r="B161" s="20"/>
      <c r="C161" s="26"/>
      <c r="D161" s="26"/>
    </row>
    <row r="162" spans="1:4" ht="20.399999999999999" x14ac:dyDescent="0.3">
      <c r="A162" s="95"/>
      <c r="B162" s="20"/>
      <c r="C162" s="26"/>
      <c r="D162" s="26"/>
    </row>
    <row r="163" spans="1:4" ht="20.399999999999999" x14ac:dyDescent="0.3">
      <c r="A163" s="95"/>
      <c r="B163" s="20"/>
      <c r="C163" s="26"/>
      <c r="D163" s="26"/>
    </row>
    <row r="164" spans="1:4" ht="20.399999999999999" x14ac:dyDescent="0.3">
      <c r="A164" s="95"/>
      <c r="B164" s="20"/>
      <c r="C164" s="26"/>
      <c r="D164" s="26"/>
    </row>
    <row r="165" spans="1:4" ht="20.399999999999999" x14ac:dyDescent="0.3">
      <c r="A165" s="95"/>
      <c r="B165" s="20"/>
      <c r="C165" s="26"/>
      <c r="D165" s="26"/>
    </row>
    <row r="166" spans="1:4" ht="20.399999999999999" x14ac:dyDescent="0.3">
      <c r="A166" s="95"/>
      <c r="B166" s="20"/>
      <c r="C166" s="26"/>
      <c r="D166" s="26"/>
    </row>
    <row r="167" spans="1:4" ht="20.399999999999999" x14ac:dyDescent="0.3">
      <c r="A167" s="95"/>
      <c r="B167" s="20"/>
      <c r="C167" s="26"/>
      <c r="D167" s="26"/>
    </row>
    <row r="168" spans="1:4" ht="20.399999999999999" x14ac:dyDescent="0.3">
      <c r="A168" s="95"/>
      <c r="B168" s="20"/>
      <c r="C168" s="26"/>
      <c r="D168" s="26"/>
    </row>
    <row r="169" spans="1:4" ht="20.399999999999999" x14ac:dyDescent="0.3">
      <c r="A169" s="95"/>
      <c r="B169" s="20"/>
      <c r="C169" s="26"/>
      <c r="D169" s="26"/>
    </row>
    <row r="170" spans="1:4" ht="20.399999999999999" x14ac:dyDescent="0.3">
      <c r="A170" s="95"/>
      <c r="B170" s="20"/>
      <c r="C170" s="26"/>
      <c r="D170" s="26"/>
    </row>
    <row r="171" spans="1:4" ht="20.399999999999999" x14ac:dyDescent="0.3">
      <c r="A171" s="95"/>
      <c r="B171" s="20"/>
      <c r="C171" s="26"/>
      <c r="D171" s="26"/>
    </row>
    <row r="172" spans="1:4" ht="20.399999999999999" x14ac:dyDescent="0.3">
      <c r="A172" s="95"/>
      <c r="B172" s="20"/>
      <c r="C172" s="26"/>
      <c r="D172" s="26"/>
    </row>
    <row r="173" spans="1:4" ht="20.399999999999999" x14ac:dyDescent="0.3">
      <c r="A173" s="95"/>
      <c r="B173" s="20"/>
      <c r="C173" s="26"/>
      <c r="D173" s="26"/>
    </row>
    <row r="174" spans="1:4" ht="20.399999999999999" x14ac:dyDescent="0.3">
      <c r="A174" s="95"/>
      <c r="B174" s="20"/>
      <c r="C174" s="26"/>
      <c r="D174" s="26"/>
    </row>
    <row r="175" spans="1:4" ht="20.399999999999999" x14ac:dyDescent="0.3">
      <c r="A175" s="95"/>
      <c r="B175" s="20"/>
      <c r="C175" s="26"/>
      <c r="D175" s="26"/>
    </row>
    <row r="176" spans="1:4" ht="20.399999999999999" x14ac:dyDescent="0.3">
      <c r="A176" s="95"/>
      <c r="B176" s="20"/>
      <c r="C176" s="26"/>
      <c r="D176" s="26"/>
    </row>
    <row r="177" spans="1:4" ht="20.399999999999999" x14ac:dyDescent="0.3">
      <c r="A177" s="95"/>
      <c r="B177" s="20"/>
      <c r="C177" s="26"/>
      <c r="D177" s="26"/>
    </row>
    <row r="178" spans="1:4" ht="20.399999999999999" x14ac:dyDescent="0.3">
      <c r="A178" s="95"/>
      <c r="B178" s="20"/>
      <c r="C178" s="26"/>
      <c r="D178" s="26"/>
    </row>
    <row r="179" spans="1:4" ht="20.399999999999999" x14ac:dyDescent="0.3">
      <c r="A179" s="95"/>
      <c r="B179" s="20"/>
      <c r="C179" s="26"/>
      <c r="D179" s="26"/>
    </row>
    <row r="180" spans="1:4" ht="20.399999999999999" x14ac:dyDescent="0.3">
      <c r="A180" s="95"/>
      <c r="B180" s="20"/>
      <c r="C180" s="26"/>
      <c r="D180" s="26"/>
    </row>
    <row r="181" spans="1:4" ht="20.399999999999999" x14ac:dyDescent="0.3">
      <c r="A181" s="95"/>
      <c r="B181" s="20"/>
      <c r="C181" s="26"/>
      <c r="D181" s="26"/>
    </row>
    <row r="182" spans="1:4" ht="20.399999999999999" x14ac:dyDescent="0.3">
      <c r="A182" s="95"/>
      <c r="B182" s="20"/>
      <c r="C182" s="26"/>
      <c r="D182" s="26"/>
    </row>
    <row r="183" spans="1:4" ht="20.399999999999999" x14ac:dyDescent="0.3">
      <c r="A183" s="95"/>
      <c r="B183" s="20"/>
      <c r="C183" s="26"/>
      <c r="D183" s="26"/>
    </row>
    <row r="184" spans="1:4" ht="20.399999999999999" x14ac:dyDescent="0.3">
      <c r="A184" s="95"/>
      <c r="B184" s="20"/>
      <c r="C184" s="26"/>
      <c r="D184" s="26"/>
    </row>
    <row r="185" spans="1:4" ht="20.399999999999999" x14ac:dyDescent="0.3">
      <c r="A185" s="95"/>
      <c r="B185" s="20"/>
      <c r="C185" s="26"/>
      <c r="D185" s="26"/>
    </row>
    <row r="186" spans="1:4" ht="20.399999999999999" x14ac:dyDescent="0.3">
      <c r="A186" s="95"/>
      <c r="B186" s="20"/>
      <c r="C186" s="26"/>
      <c r="D186" s="26"/>
    </row>
    <row r="187" spans="1:4" ht="20.399999999999999" x14ac:dyDescent="0.3">
      <c r="A187" s="95"/>
      <c r="B187" s="20"/>
      <c r="C187" s="26"/>
      <c r="D187" s="26"/>
    </row>
    <row r="188" spans="1:4" ht="20.399999999999999" x14ac:dyDescent="0.3">
      <c r="A188" s="95"/>
      <c r="B188" s="20"/>
      <c r="C188" s="26"/>
      <c r="D188" s="26"/>
    </row>
    <row r="189" spans="1:4" ht="20.399999999999999" x14ac:dyDescent="0.3">
      <c r="A189" s="95"/>
      <c r="B189" s="20"/>
      <c r="C189" s="26"/>
      <c r="D189" s="26"/>
    </row>
    <row r="190" spans="1:4" ht="20.399999999999999" x14ac:dyDescent="0.3">
      <c r="A190" s="95"/>
      <c r="B190" s="20"/>
      <c r="C190" s="26"/>
      <c r="D190" s="26"/>
    </row>
    <row r="191" spans="1:4" ht="20.399999999999999" x14ac:dyDescent="0.3">
      <c r="A191" s="95"/>
      <c r="B191" s="20"/>
      <c r="C191" s="26"/>
      <c r="D191" s="26"/>
    </row>
    <row r="192" spans="1:4" ht="20.399999999999999" x14ac:dyDescent="0.3">
      <c r="A192" s="95"/>
      <c r="B192" s="20"/>
      <c r="C192" s="26"/>
      <c r="D192" s="26"/>
    </row>
    <row r="193" spans="1:4" ht="20.399999999999999" x14ac:dyDescent="0.3">
      <c r="A193" s="95"/>
      <c r="B193" s="20"/>
      <c r="C193" s="26"/>
      <c r="D193" s="26"/>
    </row>
    <row r="194" spans="1:4" ht="20.399999999999999" x14ac:dyDescent="0.3">
      <c r="A194" s="95"/>
      <c r="B194" s="20"/>
      <c r="C194" s="26"/>
      <c r="D194" s="26"/>
    </row>
    <row r="195" spans="1:4" ht="20.399999999999999" x14ac:dyDescent="0.3">
      <c r="A195" s="95"/>
      <c r="B195" s="20"/>
      <c r="C195" s="26"/>
      <c r="D195" s="26"/>
    </row>
    <row r="196" spans="1:4" ht="20.399999999999999" x14ac:dyDescent="0.3">
      <c r="A196" s="95"/>
      <c r="B196" s="20"/>
      <c r="C196" s="26"/>
      <c r="D196" s="26"/>
    </row>
    <row r="197" spans="1:4" ht="20.399999999999999" x14ac:dyDescent="0.3">
      <c r="A197" s="95"/>
      <c r="B197" s="20"/>
      <c r="C197" s="26"/>
      <c r="D197" s="26"/>
    </row>
    <row r="198" spans="1:4" ht="20.399999999999999" x14ac:dyDescent="0.3">
      <c r="A198" s="95"/>
      <c r="B198" s="20"/>
      <c r="C198" s="26"/>
      <c r="D198" s="26"/>
    </row>
    <row r="199" spans="1:4" ht="20.399999999999999" x14ac:dyDescent="0.3">
      <c r="A199" s="95"/>
      <c r="B199" s="20"/>
      <c r="C199" s="26"/>
      <c r="D199" s="26"/>
    </row>
    <row r="200" spans="1:4" ht="20.399999999999999" x14ac:dyDescent="0.3">
      <c r="A200" s="95"/>
      <c r="B200" s="20"/>
      <c r="C200" s="26"/>
      <c r="D200" s="26"/>
    </row>
    <row r="201" spans="1:4" ht="20.399999999999999" x14ac:dyDescent="0.3">
      <c r="A201" s="95"/>
      <c r="B201" s="20"/>
      <c r="C201" s="26"/>
      <c r="D201" s="26"/>
    </row>
    <row r="202" spans="1:4" ht="20.399999999999999" x14ac:dyDescent="0.3">
      <c r="A202" s="95"/>
      <c r="B202" s="20"/>
      <c r="C202" s="26"/>
      <c r="D202" s="26"/>
    </row>
    <row r="203" spans="1:4" ht="20.399999999999999" x14ac:dyDescent="0.3">
      <c r="A203" s="95"/>
      <c r="B203" s="20"/>
      <c r="C203" s="26"/>
      <c r="D203" s="26"/>
    </row>
    <row r="204" spans="1:4" ht="20.399999999999999" x14ac:dyDescent="0.3">
      <c r="A204" s="95"/>
      <c r="B204" s="20"/>
      <c r="C204" s="26"/>
      <c r="D204" s="26"/>
    </row>
    <row r="205" spans="1:4" ht="20.399999999999999" x14ac:dyDescent="0.3">
      <c r="A205" s="95"/>
      <c r="B205" s="20"/>
      <c r="C205" s="26"/>
      <c r="D205" s="26"/>
    </row>
    <row r="206" spans="1:4" ht="20.399999999999999" x14ac:dyDescent="0.3">
      <c r="A206" s="95"/>
      <c r="B206" s="20"/>
      <c r="C206" s="26"/>
      <c r="D206" s="26"/>
    </row>
    <row r="207" spans="1:4" ht="20.399999999999999" x14ac:dyDescent="0.3">
      <c r="A207" s="95"/>
      <c r="B207" s="20"/>
      <c r="C207" s="26"/>
      <c r="D207" s="26"/>
    </row>
    <row r="208" spans="1:4" x14ac:dyDescent="0.3">
      <c r="A208" s="75"/>
      <c r="B208" s="20"/>
      <c r="C208" s="20"/>
      <c r="D208" s="20"/>
    </row>
    <row r="209" spans="1:8" ht="20.399999999999999" x14ac:dyDescent="0.3">
      <c r="A209" s="75"/>
      <c r="B209" s="22" t="s">
        <v>329</v>
      </c>
      <c r="C209" s="22" t="s">
        <v>330</v>
      </c>
      <c r="D209" s="25" t="s">
        <v>329</v>
      </c>
      <c r="E209" s="25" t="s">
        <v>330</v>
      </c>
    </row>
    <row r="210" spans="1:8" ht="21" x14ac:dyDescent="0.4">
      <c r="A210" s="75"/>
      <c r="B210" s="23" t="s">
        <v>158</v>
      </c>
      <c r="C210" s="23" t="s">
        <v>331</v>
      </c>
      <c r="D210" t="s">
        <v>158</v>
      </c>
      <c r="F210" t="str">
        <f>IF(NOT(ISBLANK(D210)),D210,IF(NOT(ISBLANK(E210)),"     "&amp;E210,FALSE))</f>
        <v>Afectación Económica o presupuestal</v>
      </c>
      <c r="G210" t="s">
        <v>158</v>
      </c>
      <c r="H210" t="str">
        <f>IF(NOT(ISERROR(MATCH(G210,_xlfn.ANCHORARRAY(B221),0))),F223&amp;"Por favor no seleccionar los criterios de impacto",G210)</f>
        <v>❌Por favor no seleccionar los criterios de impacto</v>
      </c>
    </row>
    <row r="211" spans="1:8" ht="21" x14ac:dyDescent="0.4">
      <c r="A211" s="75"/>
      <c r="B211" s="23" t="s">
        <v>158</v>
      </c>
      <c r="C211" s="23" t="s">
        <v>310</v>
      </c>
      <c r="E211" t="s">
        <v>331</v>
      </c>
      <c r="F211" t="str">
        <f t="shared" ref="F211:F221" si="0">IF(NOT(ISBLANK(D211)),D211,IF(NOT(ISBLANK(E211)),"     "&amp;E211,FALSE))</f>
        <v xml:space="preserve">     Afectación menor a 10 SMLMV .</v>
      </c>
    </row>
    <row r="212" spans="1:8" ht="21" x14ac:dyDescent="0.4">
      <c r="A212" s="75"/>
      <c r="B212" s="23" t="s">
        <v>158</v>
      </c>
      <c r="C212" s="23" t="s">
        <v>313</v>
      </c>
      <c r="E212" t="s">
        <v>310</v>
      </c>
      <c r="F212" t="str">
        <f t="shared" si="0"/>
        <v xml:space="preserve">     Entre 10 y 50 SMLMV </v>
      </c>
    </row>
    <row r="213" spans="1:8" ht="21" x14ac:dyDescent="0.4">
      <c r="A213" s="75"/>
      <c r="B213" s="23" t="s">
        <v>158</v>
      </c>
      <c r="C213" s="23" t="s">
        <v>316</v>
      </c>
      <c r="E213" t="s">
        <v>313</v>
      </c>
      <c r="F213" t="str">
        <f t="shared" si="0"/>
        <v xml:space="preserve">     Entre 50 y 100 SMLMV </v>
      </c>
    </row>
    <row r="214" spans="1:8" ht="21" x14ac:dyDescent="0.4">
      <c r="A214" s="75"/>
      <c r="B214" s="23" t="s">
        <v>158</v>
      </c>
      <c r="C214" s="23" t="s">
        <v>319</v>
      </c>
      <c r="E214" t="s">
        <v>316</v>
      </c>
      <c r="F214" t="str">
        <f t="shared" si="0"/>
        <v xml:space="preserve">     Entre 100 y 500 SMLMV </v>
      </c>
    </row>
    <row r="215" spans="1:8" ht="21" x14ac:dyDescent="0.4">
      <c r="A215" s="75"/>
      <c r="B215" s="23" t="s">
        <v>303</v>
      </c>
      <c r="C215" s="23" t="s">
        <v>307</v>
      </c>
      <c r="E215" t="s">
        <v>319</v>
      </c>
      <c r="F215" t="str">
        <f t="shared" si="0"/>
        <v xml:space="preserve">     Mayor a 500 SMLMV </v>
      </c>
    </row>
    <row r="216" spans="1:8" ht="21" x14ac:dyDescent="0.4">
      <c r="A216" s="75"/>
      <c r="B216" s="23" t="s">
        <v>303</v>
      </c>
      <c r="C216" s="23" t="s">
        <v>311</v>
      </c>
      <c r="D216" t="s">
        <v>303</v>
      </c>
      <c r="F216" t="str">
        <f t="shared" si="0"/>
        <v>Pérdida Reputacional</v>
      </c>
    </row>
    <row r="217" spans="1:8" ht="21" x14ac:dyDescent="0.4">
      <c r="A217" s="75"/>
      <c r="B217" s="23" t="s">
        <v>303</v>
      </c>
      <c r="C217" s="23" t="s">
        <v>314</v>
      </c>
      <c r="E217" t="s">
        <v>307</v>
      </c>
      <c r="F217" t="str">
        <f t="shared" si="0"/>
        <v xml:space="preserve">     El riesgo afecta la imagen de alguna área de la organización</v>
      </c>
    </row>
    <row r="218" spans="1:8" ht="21" x14ac:dyDescent="0.4">
      <c r="A218" s="75"/>
      <c r="B218" s="23" t="s">
        <v>303</v>
      </c>
      <c r="C218" s="23" t="s">
        <v>332</v>
      </c>
      <c r="E218" t="s">
        <v>311</v>
      </c>
      <c r="F218" t="str">
        <f t="shared" si="0"/>
        <v xml:space="preserve">     El riesgo afecta la imagen de la entidad internamente, de conocimiento general, nivel interno, de junta dircetiva y accionistas y/o de provedores</v>
      </c>
    </row>
    <row r="219" spans="1:8" ht="21" x14ac:dyDescent="0.4">
      <c r="A219" s="75"/>
      <c r="B219" s="23" t="s">
        <v>303</v>
      </c>
      <c r="C219" s="23" t="s">
        <v>320</v>
      </c>
      <c r="E219" t="s">
        <v>314</v>
      </c>
      <c r="F219" t="str">
        <f t="shared" si="0"/>
        <v xml:space="preserve">     El riesgo afecta la imagen de la entidad con algunos usuarios de relevancia frente al logro de los objetivos</v>
      </c>
    </row>
    <row r="220" spans="1:8" x14ac:dyDescent="0.3">
      <c r="A220" s="75"/>
      <c r="B220" s="24"/>
      <c r="C220" s="24"/>
      <c r="E220" t="s">
        <v>332</v>
      </c>
      <c r="F220" t="str">
        <f t="shared" si="0"/>
        <v xml:space="preserve">     El riesgo afecta la imagen de de la entidad con efecto publicitario sostenido a nivel de sector administrativo, nivel departamental o municipal</v>
      </c>
    </row>
    <row r="221" spans="1:8" x14ac:dyDescent="0.3">
      <c r="A221" s="75"/>
      <c r="B221" s="24" t="str" cm="1">
        <f t="array" ref="B221:B223">_xlfn.UNIQUE(Tabla1[[#All],[Criterios]])</f>
        <v>Criterios</v>
      </c>
      <c r="C221" s="24"/>
      <c r="E221" t="s">
        <v>320</v>
      </c>
      <c r="F221" t="str">
        <f t="shared" si="0"/>
        <v xml:space="preserve">     El riesgo afecta la imagen de la entidad a nivel nacional, con efecto publicitarios sostenible a nivel país</v>
      </c>
    </row>
    <row r="222" spans="1:8" x14ac:dyDescent="0.3">
      <c r="A222" s="75"/>
      <c r="B222" s="24" t="str">
        <v>Afectación Económica o presupuestal</v>
      </c>
      <c r="C222" s="24"/>
    </row>
    <row r="223" spans="1:8" x14ac:dyDescent="0.3">
      <c r="B223" s="24" t="str">
        <v>Pérdida Reputacional</v>
      </c>
      <c r="C223" s="24"/>
      <c r="F223" s="27" t="s">
        <v>333</v>
      </c>
    </row>
    <row r="224" spans="1:8" x14ac:dyDescent="0.3">
      <c r="B224" s="19"/>
      <c r="C224" s="19"/>
      <c r="F224" s="27" t="s">
        <v>334</v>
      </c>
    </row>
    <row r="225" spans="2:4" x14ac:dyDescent="0.3">
      <c r="B225" s="19"/>
      <c r="C225" s="19"/>
    </row>
    <row r="226" spans="2:4" x14ac:dyDescent="0.3">
      <c r="B226" s="19"/>
      <c r="C226" s="19"/>
    </row>
    <row r="227" spans="2:4" x14ac:dyDescent="0.3">
      <c r="B227" s="19"/>
      <c r="C227" s="19"/>
      <c r="D227" s="19"/>
    </row>
    <row r="228" spans="2:4" x14ac:dyDescent="0.3">
      <c r="B228" s="19"/>
      <c r="C228" s="19"/>
      <c r="D228" s="19"/>
    </row>
    <row r="229" spans="2:4" x14ac:dyDescent="0.3">
      <c r="B229" s="19"/>
      <c r="C229" s="19"/>
      <c r="D229" s="19"/>
    </row>
    <row r="230" spans="2:4" x14ac:dyDescent="0.3">
      <c r="B230" s="19"/>
      <c r="C230" s="19"/>
      <c r="D230" s="19"/>
    </row>
    <row r="231" spans="2:4" x14ac:dyDescent="0.3">
      <c r="B231" s="19"/>
      <c r="C231" s="19"/>
      <c r="D231" s="19"/>
    </row>
    <row r="232" spans="2:4" x14ac:dyDescent="0.3">
      <c r="B232" s="19"/>
      <c r="C232" s="19"/>
      <c r="D232" s="19"/>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33203125" defaultRowHeight="13.8" x14ac:dyDescent="0.3"/>
  <cols>
    <col min="1" max="2" width="14.33203125" style="80"/>
    <col min="3" max="3" width="17" style="80" customWidth="1"/>
    <col min="4" max="4" width="14.33203125" style="80"/>
    <col min="5" max="5" width="46" style="80" customWidth="1"/>
    <col min="6" max="16384" width="14.33203125" style="80"/>
  </cols>
  <sheetData>
    <row r="1" spans="2:6" ht="24" customHeight="1" thickBot="1" x14ac:dyDescent="0.35">
      <c r="B1" s="444" t="s">
        <v>335</v>
      </c>
      <c r="C1" s="445"/>
      <c r="D1" s="445"/>
      <c r="E1" s="445"/>
      <c r="F1" s="446"/>
    </row>
    <row r="2" spans="2:6" ht="16.2" thickBot="1" x14ac:dyDescent="0.35">
      <c r="B2" s="81"/>
      <c r="C2" s="81"/>
      <c r="D2" s="81"/>
      <c r="E2" s="81"/>
      <c r="F2" s="81"/>
    </row>
    <row r="3" spans="2:6" ht="16.2" thickBot="1" x14ac:dyDescent="0.35">
      <c r="B3" s="448" t="s">
        <v>336</v>
      </c>
      <c r="C3" s="449"/>
      <c r="D3" s="449"/>
      <c r="E3" s="93" t="s">
        <v>337</v>
      </c>
      <c r="F3" s="94" t="s">
        <v>338</v>
      </c>
    </row>
    <row r="4" spans="2:6" ht="31.2" x14ac:dyDescent="0.3">
      <c r="B4" s="450" t="s">
        <v>339</v>
      </c>
      <c r="C4" s="452" t="s">
        <v>73</v>
      </c>
      <c r="D4" s="82" t="s">
        <v>132</v>
      </c>
      <c r="E4" s="83" t="s">
        <v>340</v>
      </c>
      <c r="F4" s="84">
        <v>0.25</v>
      </c>
    </row>
    <row r="5" spans="2:6" ht="46.8" x14ac:dyDescent="0.3">
      <c r="B5" s="451"/>
      <c r="C5" s="453"/>
      <c r="D5" s="85" t="s">
        <v>116</v>
      </c>
      <c r="E5" s="86" t="s">
        <v>341</v>
      </c>
      <c r="F5" s="87">
        <v>0.15</v>
      </c>
    </row>
    <row r="6" spans="2:6" ht="46.8" x14ac:dyDescent="0.3">
      <c r="B6" s="451"/>
      <c r="C6" s="453"/>
      <c r="D6" s="85" t="s">
        <v>342</v>
      </c>
      <c r="E6" s="86" t="s">
        <v>343</v>
      </c>
      <c r="F6" s="87">
        <v>0.1</v>
      </c>
    </row>
    <row r="7" spans="2:6" ht="62.4" x14ac:dyDescent="0.3">
      <c r="B7" s="451"/>
      <c r="C7" s="453" t="s">
        <v>96</v>
      </c>
      <c r="D7" s="85" t="s">
        <v>207</v>
      </c>
      <c r="E7" s="86" t="s">
        <v>344</v>
      </c>
      <c r="F7" s="87">
        <v>0.25</v>
      </c>
    </row>
    <row r="8" spans="2:6" ht="31.2" x14ac:dyDescent="0.3">
      <c r="B8" s="451"/>
      <c r="C8" s="453"/>
      <c r="D8" s="85" t="s">
        <v>117</v>
      </c>
      <c r="E8" s="86" t="s">
        <v>345</v>
      </c>
      <c r="F8" s="87">
        <v>0.15</v>
      </c>
    </row>
    <row r="9" spans="2:6" ht="46.8" x14ac:dyDescent="0.3">
      <c r="B9" s="451" t="s">
        <v>346</v>
      </c>
      <c r="C9" s="453" t="s">
        <v>98</v>
      </c>
      <c r="D9" s="85" t="s">
        <v>118</v>
      </c>
      <c r="E9" s="86" t="s">
        <v>347</v>
      </c>
      <c r="F9" s="88" t="s">
        <v>348</v>
      </c>
    </row>
    <row r="10" spans="2:6" ht="46.8" x14ac:dyDescent="0.3">
      <c r="B10" s="451"/>
      <c r="C10" s="453"/>
      <c r="D10" s="85" t="s">
        <v>146</v>
      </c>
      <c r="E10" s="86" t="s">
        <v>349</v>
      </c>
      <c r="F10" s="88" t="s">
        <v>348</v>
      </c>
    </row>
    <row r="11" spans="2:6" ht="46.8" x14ac:dyDescent="0.3">
      <c r="B11" s="451"/>
      <c r="C11" s="453" t="s">
        <v>99</v>
      </c>
      <c r="D11" s="85" t="s">
        <v>119</v>
      </c>
      <c r="E11" s="86" t="s">
        <v>350</v>
      </c>
      <c r="F11" s="88" t="s">
        <v>348</v>
      </c>
    </row>
    <row r="12" spans="2:6" ht="46.8" x14ac:dyDescent="0.3">
      <c r="B12" s="451"/>
      <c r="C12" s="453"/>
      <c r="D12" s="85" t="s">
        <v>147</v>
      </c>
      <c r="E12" s="86" t="s">
        <v>351</v>
      </c>
      <c r="F12" s="88" t="s">
        <v>348</v>
      </c>
    </row>
    <row r="13" spans="2:6" ht="31.2" x14ac:dyDescent="0.3">
      <c r="B13" s="451"/>
      <c r="C13" s="453" t="s">
        <v>100</v>
      </c>
      <c r="D13" s="85" t="s">
        <v>120</v>
      </c>
      <c r="E13" s="86" t="s">
        <v>352</v>
      </c>
      <c r="F13" s="88" t="s">
        <v>348</v>
      </c>
    </row>
    <row r="14" spans="2:6" ht="16.2" thickBot="1" x14ac:dyDescent="0.35">
      <c r="B14" s="454"/>
      <c r="C14" s="455"/>
      <c r="D14" s="89" t="s">
        <v>148</v>
      </c>
      <c r="E14" s="90" t="s">
        <v>353</v>
      </c>
      <c r="F14" s="91" t="s">
        <v>348</v>
      </c>
    </row>
    <row r="15" spans="2:6" ht="49.5" customHeight="1" x14ac:dyDescent="0.3">
      <c r="B15" s="447" t="s">
        <v>354</v>
      </c>
      <c r="C15" s="447"/>
      <c r="D15" s="447"/>
      <c r="E15" s="447"/>
      <c r="F15" s="447"/>
    </row>
    <row r="16" spans="2:6" ht="27" customHeight="1" x14ac:dyDescent="0.3">
      <c r="B16" s="92"/>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ColWidth="11.44140625" defaultRowHeight="14.4" x14ac:dyDescent="0.3"/>
  <sheetData>
    <row r="2" spans="2:5" x14ac:dyDescent="0.3">
      <c r="B2" t="s">
        <v>355</v>
      </c>
      <c r="E2" t="s">
        <v>356</v>
      </c>
    </row>
    <row r="3" spans="2:5" x14ac:dyDescent="0.3">
      <c r="B3" t="s">
        <v>121</v>
      </c>
      <c r="E3" t="s">
        <v>105</v>
      </c>
    </row>
    <row r="4" spans="2:5" x14ac:dyDescent="0.3">
      <c r="B4" t="s">
        <v>357</v>
      </c>
      <c r="E4" t="s">
        <v>358</v>
      </c>
    </row>
    <row r="5" spans="2:5" x14ac:dyDescent="0.3">
      <c r="B5" t="s">
        <v>359</v>
      </c>
    </row>
    <row r="8" spans="2:5" x14ac:dyDescent="0.3">
      <c r="B8" t="s">
        <v>360</v>
      </c>
    </row>
    <row r="9" spans="2:5" x14ac:dyDescent="0.3">
      <c r="B9" t="s">
        <v>361</v>
      </c>
    </row>
    <row r="10" spans="2:5" x14ac:dyDescent="0.3">
      <c r="B10" t="s">
        <v>362</v>
      </c>
    </row>
    <row r="13" spans="2:5" x14ac:dyDescent="0.3">
      <c r="B13" t="s">
        <v>363</v>
      </c>
    </row>
    <row r="14" spans="2:5" x14ac:dyDescent="0.3">
      <c r="B14" t="s">
        <v>139</v>
      </c>
    </row>
    <row r="15" spans="2:5" x14ac:dyDescent="0.3">
      <c r="B15" t="s">
        <v>364</v>
      </c>
    </row>
    <row r="16" spans="2:5" x14ac:dyDescent="0.3">
      <c r="B16" t="s">
        <v>365</v>
      </c>
    </row>
    <row r="17" spans="2:2" x14ac:dyDescent="0.3">
      <c r="B17" t="s">
        <v>127</v>
      </c>
    </row>
    <row r="18" spans="2:2" x14ac:dyDescent="0.3">
      <c r="B18" t="s">
        <v>366</v>
      </c>
    </row>
    <row r="19" spans="2:2" x14ac:dyDescent="0.3">
      <c r="B19" t="s">
        <v>109</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4140625" defaultRowHeight="13.8" x14ac:dyDescent="0.3"/>
  <cols>
    <col min="1" max="1" width="32.6640625" style="6" customWidth="1"/>
    <col min="2" max="16384" width="11.44140625" style="6"/>
  </cols>
  <sheetData>
    <row r="3" spans="1:1" x14ac:dyDescent="0.3">
      <c r="A3" s="7" t="s">
        <v>132</v>
      </c>
    </row>
    <row r="4" spans="1:1" x14ac:dyDescent="0.3">
      <c r="A4" s="7" t="s">
        <v>116</v>
      </c>
    </row>
    <row r="5" spans="1:1" x14ac:dyDescent="0.3">
      <c r="A5" s="7" t="s">
        <v>342</v>
      </c>
    </row>
    <row r="6" spans="1:1" x14ac:dyDescent="0.3">
      <c r="A6" s="7" t="s">
        <v>207</v>
      </c>
    </row>
    <row r="7" spans="1:1" x14ac:dyDescent="0.3">
      <c r="A7" s="7" t="s">
        <v>117</v>
      </c>
    </row>
    <row r="8" spans="1:1" x14ac:dyDescent="0.3">
      <c r="A8" s="7" t="s">
        <v>118</v>
      </c>
    </row>
    <row r="9" spans="1:1" x14ac:dyDescent="0.3">
      <c r="A9" s="7" t="s">
        <v>146</v>
      </c>
    </row>
    <row r="10" spans="1:1" x14ac:dyDescent="0.3">
      <c r="A10" s="7" t="s">
        <v>119</v>
      </c>
    </row>
    <row r="11" spans="1:1" x14ac:dyDescent="0.3">
      <c r="A11" s="7" t="s">
        <v>147</v>
      </c>
    </row>
    <row r="12" spans="1:1" x14ac:dyDescent="0.3">
      <c r="A12" s="7" t="s">
        <v>367</v>
      </c>
    </row>
    <row r="13" spans="1:1" x14ac:dyDescent="0.3">
      <c r="A13" s="7" t="s">
        <v>368</v>
      </c>
    </row>
    <row r="14" spans="1:1" x14ac:dyDescent="0.3">
      <c r="A14" s="7" t="s">
        <v>369</v>
      </c>
    </row>
    <row r="16" spans="1:1" x14ac:dyDescent="0.3">
      <c r="A16" s="7" t="s">
        <v>370</v>
      </c>
    </row>
    <row r="17" spans="1:1" x14ac:dyDescent="0.3">
      <c r="A17" s="7" t="s">
        <v>355</v>
      </c>
    </row>
    <row r="18" spans="1:1" x14ac:dyDescent="0.3">
      <c r="A18" s="7" t="s">
        <v>121</v>
      </c>
    </row>
    <row r="20" spans="1:1" x14ac:dyDescent="0.3">
      <c r="A20" s="7" t="s">
        <v>361</v>
      </c>
    </row>
    <row r="21" spans="1:1" x14ac:dyDescent="0.3">
      <c r="A21" s="7" t="s">
        <v>362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1F21C6993B14A8B53F261172598CF" ma:contentTypeVersion="12" ma:contentTypeDescription="Create a new document." ma:contentTypeScope="" ma:versionID="2283c9a22e7d51dcc4ce9ce11d898f9f">
  <xsd:schema xmlns:xsd="http://www.w3.org/2001/XMLSchema" xmlns:xs="http://www.w3.org/2001/XMLSchema" xmlns:p="http://schemas.microsoft.com/office/2006/metadata/properties" xmlns:ns3="1127acbe-e978-470f-969f-333cb0dcd145" xmlns:ns4="b55ffc4c-b392-4610-b856-514911c59727" targetNamespace="http://schemas.microsoft.com/office/2006/metadata/properties" ma:root="true" ma:fieldsID="67ee3f37c04cf7cd8c2ba8a105d54741" ns3:_="" ns4:_="">
    <xsd:import namespace="1127acbe-e978-470f-969f-333cb0dcd145"/>
    <xsd:import namespace="b55ffc4c-b392-4610-b856-514911c597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27acbe-e978-470f-969f-333cb0dcd14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ffc4c-b392-4610-b856-514911c5972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FB91BA-711E-482A-A7AD-13CF465B953C}">
  <ds:schemaRefs>
    <ds:schemaRef ds:uri="http://schemas.microsoft.com/sharepoint/v3/contenttype/forms"/>
  </ds:schemaRefs>
</ds:datastoreItem>
</file>

<file path=customXml/itemProps2.xml><?xml version="1.0" encoding="utf-8"?>
<ds:datastoreItem xmlns:ds="http://schemas.openxmlformats.org/officeDocument/2006/customXml" ds:itemID="{2B4FF7AF-A18F-42CE-BC80-CC175964C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27acbe-e978-470f-969f-333cb0dcd145"/>
    <ds:schemaRef ds:uri="b55ffc4c-b392-4610-b856-514911c59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E15AEB-009A-4B38-BAB3-79F7B460A69B}">
  <ds:schemaRefs>
    <ds:schemaRef ds:uri="http://schemas.microsoft.com/office/infopath/2007/PartnerControls"/>
    <ds:schemaRef ds:uri="http://purl.org/dc/terms/"/>
    <ds:schemaRef ds:uri="1127acbe-e978-470f-969f-333cb0dcd145"/>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b55ffc4c-b392-4610-b856-514911c5972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Intructivo</vt:lpstr>
      <vt:lpstr>Mapa final</vt:lpstr>
      <vt:lpstr>Listas</vt:lpstr>
      <vt:lpstr>Matriz Calor Inherente</vt:lpstr>
      <vt:lpstr>Matriz Calor Residual</vt:lpstr>
      <vt:lpstr>Tabla probabilidad</vt:lpstr>
      <vt:lpstr>Impacto C.</vt:lpstr>
      <vt:lpstr>Tabla Impacto</vt:lpstr>
      <vt:lpstr>Tabla Valoración controles</vt:lpstr>
      <vt:lpstr>Opciones Tratamiento</vt:lpstr>
      <vt:lpstr>Hoja1</vt:lpstr>
      <vt:lpstr>'Impacto C.'!Títulos_a_imprimir</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David Pinzon</cp:lastModifiedBy>
  <cp:revision/>
  <dcterms:created xsi:type="dcterms:W3CDTF">2020-03-24T23:12:47Z</dcterms:created>
  <dcterms:modified xsi:type="dcterms:W3CDTF">2023-02-10T17:17:49Z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0x01010013C1F21C6993B14A8B53F261172598CF</vt:lpwstr>
  </property>
</Properties>
</file>