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hidePivotFieldList="1" defaultThemeVersion="124226"/>
  <mc:AlternateContent xmlns:mc="http://schemas.openxmlformats.org/markup-compatibility/2006">
    <mc:Choice Requires="x15">
      <x15ac:absPath xmlns:x15ac="http://schemas.microsoft.com/office/spreadsheetml/2010/11/ac" url="https://itceduco-my.sharepoint.com/personal/calidad_itc_edu_co/Documents/CALIDAD/MAPA DE RIESGOS/RIESGOS DE CORRUPCIÓN/MONITOREO LINEA 2/"/>
    </mc:Choice>
  </mc:AlternateContent>
  <xr:revisionPtr revIDLastSave="0" documentId="8_{66A80E7D-345A-48D4-BA78-9B7E80B1C26D}" xr6:coauthVersionLast="47" xr6:coauthVersionMax="47" xr10:uidLastSave="{00000000-0000-0000-0000-000000000000}"/>
  <bookViews>
    <workbookView xWindow="-120" yWindow="-120" windowWidth="20730" windowHeight="11040" tabRatio="882" firstSheet="1"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Impacto C." sheetId="22" r:id="rId7"/>
    <sheet name="Tabla Impacto" sheetId="13" r:id="rId8"/>
    <sheet name="Tabla Valoración controles" sheetId="15" r:id="rId9"/>
    <sheet name="Opciones Tratamiento" sheetId="16" state="hidden" r:id="rId10"/>
    <sheet name="Hoja1" sheetId="11" state="hidden" r:id="rId11"/>
  </sheets>
  <externalReferences>
    <externalReference r:id="rId12"/>
    <externalReference r:id="rId13"/>
    <externalReference r:id="rId14"/>
    <externalReference r:id="rId15"/>
    <externalReference r:id="rId16"/>
    <externalReference r:id="rId17"/>
  </externalReferences>
  <definedNames>
    <definedName name="_xlnm._FilterDatabase" localSheetId="6" hidden="1">'Impacto C.'!$A$8:$X$28</definedName>
    <definedName name="Afectación_Económica">#REF!</definedName>
    <definedName name="CONTEXTO">'[1]CONTEXTO E IDENTIFICACIÓN'!$C$6</definedName>
    <definedName name="Corrupción">#REF!</definedName>
    <definedName name="Definicion_tratamiento">'[2]13 Formulas'!#REF!</definedName>
    <definedName name="E_Relaciones_Laborales">'[2]13 Formulas'!#REF!</definedName>
    <definedName name="Externo">#REF!</definedName>
    <definedName name="F_Usuarios_Productos_y_Prácticas_Organizacionales">'[2]13 Formulas'!#REF!</definedName>
    <definedName name="G_Daños_Activos_Físicos">'[2]13 Formulas'!#REF!</definedName>
    <definedName name="IMPACTO_PROCESOS">'[3]LISTAS FORMULAS'!$C$3:$C$7</definedName>
    <definedName name="Interno">#REF!</definedName>
    <definedName name="opciones">'[3]LISTAS FORMULAS'!$F$3:$F$4</definedName>
    <definedName name="opciones2">'[3]LISTAS FORMULAS'!$G$3:$G$5</definedName>
    <definedName name="Plan_accion">'[2]13 Formulas'!#REF!</definedName>
    <definedName name="Plan_acción">'[2]13 Formulas'!#REF!</definedName>
    <definedName name="Plan_de_acción">'[2]13 Formulas'!#REF!</definedName>
    <definedName name="Proceso">#REF!</definedName>
    <definedName name="Quince_Cero">'[3]LISTAS FORMULAS'!$F$14:$F$15</definedName>
    <definedName name="Quince_diez_cero">'[3]LISTAS FORMULAS'!$I$14:$I$16</definedName>
    <definedName name="Rango_Calificacion_Ejecucion">'[3]LISTAS FORMULAS'!$H$3:$H$5</definedName>
    <definedName name="Reducir_mitigar_Transferir_Evitar">'[2]9 Mapa Riesgo, Plan Acción'!#REF!</definedName>
    <definedName name="Reputacional">#REF!</definedName>
    <definedName name="Requiere_Plan_de_Acción">'[2]9 Mapa Riesgo, Plan Acción'!#REF!</definedName>
    <definedName name="TIPO" localSheetId="6">#REF!</definedName>
    <definedName name="Tipo">'[2]13 Formulas'!#REF!</definedName>
    <definedName name="_xlnm.Print_Titles" localSheetId="6">'Impacto C.'!$1:$8</definedName>
  </definedNames>
  <calcPr calcId="191028"/>
  <pivotCaches>
    <pivotCache cacheId="0"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4" i="1" l="1"/>
  <c r="AA26" i="1"/>
  <c r="X26" i="1"/>
  <c r="AA25" i="1"/>
  <c r="X25" i="1"/>
  <c r="Q25" i="1"/>
  <c r="N25" i="1"/>
  <c r="T25" i="1" l="1"/>
  <c r="AE25" i="1"/>
  <c r="AI25" i="1"/>
  <c r="AH25" i="1" s="1"/>
  <c r="O25" i="1"/>
  <c r="AF25" i="1" l="1"/>
  <c r="AJ25" i="1" s="1"/>
  <c r="AG25" i="1"/>
  <c r="AE26" i="1" s="1"/>
  <c r="AI26" i="1"/>
  <c r="AH26" i="1" s="1"/>
  <c r="AF26" i="1" l="1"/>
  <c r="AJ26" i="1" s="1"/>
  <c r="AG26" i="1"/>
  <c r="D28" i="22" l="1"/>
  <c r="B28" i="22"/>
  <c r="A28" i="22"/>
  <c r="D27" i="22"/>
  <c r="B27" i="22"/>
  <c r="A27" i="22"/>
  <c r="D26" i="22"/>
  <c r="B26" i="22"/>
  <c r="A26" i="22"/>
  <c r="D25" i="22"/>
  <c r="B25" i="22"/>
  <c r="A25" i="22"/>
  <c r="D24" i="22"/>
  <c r="B24" i="22"/>
  <c r="A24" i="22"/>
  <c r="D23" i="22"/>
  <c r="B23" i="22"/>
  <c r="A23" i="22"/>
  <c r="D22" i="22"/>
  <c r="B22" i="22"/>
  <c r="A22" i="22"/>
  <c r="D21" i="22"/>
  <c r="B21" i="22"/>
  <c r="A21" i="22"/>
  <c r="D20" i="22"/>
  <c r="B20" i="22"/>
  <c r="A20" i="22"/>
  <c r="D19" i="22"/>
  <c r="B19" i="22"/>
  <c r="A19" i="22"/>
  <c r="D18" i="22"/>
  <c r="B18" i="22"/>
  <c r="A18" i="22"/>
  <c r="D17" i="22"/>
  <c r="B17" i="22"/>
  <c r="A17" i="22"/>
  <c r="D16" i="22"/>
  <c r="B16" i="22"/>
  <c r="A16" i="22"/>
  <c r="D15" i="22"/>
  <c r="B15" i="22"/>
  <c r="A15" i="22"/>
  <c r="D14" i="22"/>
  <c r="B14" i="22"/>
  <c r="A14" i="22"/>
  <c r="D13" i="22"/>
  <c r="B13" i="22"/>
  <c r="A13" i="22"/>
  <c r="D12" i="22"/>
  <c r="B12" i="22"/>
  <c r="A12" i="22"/>
  <c r="D11" i="22"/>
  <c r="B11" i="22"/>
  <c r="A11" i="22"/>
  <c r="D10" i="22"/>
  <c r="B10" i="22"/>
  <c r="A10" i="22"/>
  <c r="D9" i="22"/>
  <c r="B9" i="22"/>
  <c r="A9" i="22"/>
  <c r="B4" i="22"/>
  <c r="D2" i="22"/>
  <c r="C2" i="22"/>
  <c r="D1" i="22"/>
  <c r="C1" i="22"/>
  <c r="B1" i="22"/>
  <c r="C18" i="22" a="1"/>
  <c r="C14" i="22" a="1"/>
  <c r="C27" i="22" a="1"/>
  <c r="C24" i="22" a="1"/>
  <c r="C25" i="22" a="1"/>
  <c r="C9" i="22" a="1"/>
  <c r="C10" i="22" a="1"/>
  <c r="C20" i="22" a="1"/>
  <c r="C19" i="22" a="1"/>
  <c r="C17" i="22" a="1"/>
  <c r="C11" i="22" a="1"/>
  <c r="C13" i="22" a="1"/>
  <c r="C26" i="22" a="1"/>
  <c r="C23" i="22" a="1"/>
  <c r="C21" i="22" a="1"/>
  <c r="C16" i="22" a="1"/>
  <c r="C22" i="22" a="1"/>
  <c r="C15" i="22" a="1"/>
  <c r="C28" i="22" a="1"/>
  <c r="C12" i="22" a="1"/>
  <c r="C9" i="22" l="1"/>
  <c r="C13" i="22"/>
  <c r="C17" i="22"/>
  <c r="C21" i="22"/>
  <c r="C25" i="22"/>
  <c r="C12" i="22"/>
  <c r="C16" i="22"/>
  <c r="C20" i="22"/>
  <c r="C24" i="22"/>
  <c r="C28" i="22"/>
  <c r="C19" i="22"/>
  <c r="C23" i="22"/>
  <c r="C27" i="22"/>
  <c r="C11" i="22"/>
  <c r="C15" i="22"/>
  <c r="C10" i="22"/>
  <c r="C14" i="22"/>
  <c r="C18" i="22"/>
  <c r="C22" i="22"/>
  <c r="C26" i="22"/>
  <c r="AI14" i="1"/>
  <c r="AH14" i="1" s="1"/>
  <c r="AI13" i="1"/>
  <c r="AA23" i="1"/>
  <c r="AH15" i="1"/>
  <c r="AH16" i="1"/>
  <c r="AH17" i="1"/>
  <c r="AH18" i="1"/>
  <c r="AH19" i="1"/>
  <c r="AH20" i="1"/>
  <c r="AH21" i="1"/>
  <c r="AH22" i="1"/>
  <c r="AE21" i="1"/>
  <c r="AF21" i="1" s="1"/>
  <c r="AE22" i="1"/>
  <c r="AF22" i="1" s="1"/>
  <c r="AE24" i="1"/>
  <c r="AF24" i="1" s="1"/>
  <c r="AE1048576" i="1"/>
  <c r="AE20" i="1"/>
  <c r="AF20" i="1" s="1"/>
  <c r="AE19" i="1"/>
  <c r="AF19" i="1" s="1"/>
  <c r="AF18" i="1"/>
  <c r="AE17" i="1"/>
  <c r="AF17" i="1" s="1"/>
  <c r="AE16" i="1"/>
  <c r="AF16" i="1" s="1"/>
  <c r="AE15" i="1"/>
  <c r="AF15" i="1" s="1"/>
  <c r="AJ15" i="1" s="1"/>
  <c r="X23" i="1"/>
  <c r="AJ16" i="1" l="1"/>
  <c r="AJ20" i="1"/>
  <c r="AJ19" i="1"/>
  <c r="AJ18" i="1"/>
  <c r="AJ22" i="1"/>
  <c r="AJ21" i="1"/>
  <c r="AJ17" i="1"/>
  <c r="AI23" i="1"/>
  <c r="AH23" i="1" s="1"/>
  <c r="N14" i="1"/>
  <c r="O14" i="1" s="1"/>
  <c r="AE14" i="1" s="1"/>
  <c r="N15" i="1"/>
  <c r="N17" i="1"/>
  <c r="N19" i="1"/>
  <c r="N20" i="1"/>
  <c r="N21" i="1"/>
  <c r="N22" i="1"/>
  <c r="N23" i="1"/>
  <c r="O23" i="1" s="1"/>
  <c r="AE23" i="1" s="1"/>
  <c r="AF23" i="1" s="1"/>
  <c r="AJ23" i="1" s="1"/>
  <c r="N24" i="1"/>
  <c r="Q24" i="1"/>
  <c r="AF14" i="1" l="1"/>
  <c r="AJ14" i="1" s="1"/>
  <c r="AG14" i="1"/>
  <c r="T24" i="1"/>
  <c r="AH24" i="1"/>
  <c r="AJ24" i="1" s="1"/>
  <c r="N29" i="1"/>
  <c r="AA13" i="1" l="1"/>
  <c r="F221" i="13" l="1"/>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N13" i="1" l="1"/>
  <c r="O13" i="1" s="1"/>
  <c r="AE13" i="1" l="1"/>
  <c r="AG13" i="1" s="1"/>
  <c r="AF13" i="1" l="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H13" i="1" l="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J13" i="1"/>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Q22" i="1" l="1"/>
  <c r="R22" i="1" s="1"/>
  <c r="T22" i="1" s="1"/>
  <c r="Q13" i="1"/>
  <c r="R13" i="1" s="1"/>
  <c r="Q19" i="1"/>
  <c r="R19" i="1" s="1"/>
  <c r="T19" i="1" s="1"/>
  <c r="Q21" i="1"/>
  <c r="R21" i="1" s="1"/>
  <c r="T21" i="1" s="1"/>
  <c r="Q14" i="1"/>
  <c r="R14" i="1" s="1"/>
  <c r="T14" i="1" s="1"/>
  <c r="Q23" i="1"/>
  <c r="R23" i="1" s="1"/>
  <c r="T23" i="1" s="1"/>
  <c r="Q20" i="1"/>
  <c r="R20" i="1" s="1"/>
  <c r="T20" i="1" s="1"/>
  <c r="AD30" i="18" l="1"/>
  <c r="X6" i="18"/>
  <c r="AJ38" i="18"/>
  <c r="AJ30" i="18"/>
  <c r="AJ22" i="18"/>
  <c r="R22" i="18"/>
  <c r="AD38" i="18"/>
  <c r="AD6" i="18"/>
  <c r="X38" i="18"/>
  <c r="AJ6" i="18"/>
  <c r="L6" i="18"/>
  <c r="L38" i="18"/>
  <c r="R30" i="18"/>
  <c r="AD14" i="18"/>
  <c r="X22" i="18"/>
  <c r="L14" i="18"/>
  <c r="AD22" i="18"/>
  <c r="L30" i="18"/>
  <c r="L22" i="18"/>
  <c r="R38" i="18"/>
  <c r="R6" i="18"/>
  <c r="AJ14" i="18"/>
  <c r="X14" i="18"/>
  <c r="X30" i="18"/>
  <c r="T13" i="1"/>
  <c r="R14"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<sst xmlns="http://schemas.openxmlformats.org/spreadsheetml/2006/main" count="924" uniqueCount="427">
  <si>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</si>
  <si>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</si>
  <si>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</si>
  <si>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</si>
  <si>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</si>
  <si>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</si>
  <si>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</si>
  <si>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</si>
  <si>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</si>
  <si>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</si>
  <si>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</si>
  <si>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</si>
  <si>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</si>
  <si>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</si>
  <si>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</si>
  <si>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</si>
  <si>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</si>
  <si>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</si>
  <si>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</si>
  <si>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</si>
  <si>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</si>
  <si>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</si>
  <si>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</si>
  <si>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</si>
  <si>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</si>
  <si>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</si>
  <si>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</si>
  <si>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</si>
  <si>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</si>
  <si>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</si>
  <si>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</si>
  <si>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</si>
  <si>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</si>
  <si>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</si>
  <si>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</si>
  <si>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</si>
  <si>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</si>
  <si>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</si>
  <si>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</si>
  <si>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</si>
  <si>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</si>
  <si>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</si>
  <si>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</si>
  <si>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</si>
  <si>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</si>
  <si>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</si>
  <si>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</si>
  <si>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</si>
  <si>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</si>
  <si>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</si>
  <si>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</si>
  <si>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</si>
  <si>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</si>
  <si>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</si>
  <si>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</si>
  <si>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</si>
  <si>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</si>
  <si>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</si>
  <si>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</si>
  <si>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</si>
  <si>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MAPA Y PLAN DE TRATAMIENTO DE RIESGOS DE CORRUPCIÓN </t>
  </si>
  <si>
    <t>CÓDIGO:   GDC-FO-09</t>
  </si>
  <si>
    <t>VERSIÓN:  7</t>
  </si>
  <si>
    <t>VIGENCIA: ENERO 25 DE 2022</t>
  </si>
  <si>
    <t>PÁGINA:    1 de 1</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</si>
  <si>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</si>
  <si>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</si>
  <si>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</si>
  <si>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</si>
  <si>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</si>
  <si>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</si>
  <si>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</si>
  <si>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</si>
  <si>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</si>
  <si>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</si>
  <si>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</si>
  <si>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</si>
  <si>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</si>
  <si>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</si>
  <si>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</si>
  <si>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</si>
  <si>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</si>
  <si>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</si>
  <si>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</si>
  <si>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</si>
  <si>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</si>
  <si>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</si>
  <si>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</si>
  <si>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</si>
  <si>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</si>
  <si>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</si>
  <si>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</si>
  <si>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</si>
  <si>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</si>
  <si>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</si>
  <si>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</si>
  <si>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</si>
  <si>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</si>
  <si>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</si>
  <si>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</si>
  <si>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</si>
  <si>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</si>
  <si>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EXTENSIÓN Y PROYECCIÓN SOCIAL</t>
  </si>
  <si>
    <t>Contribuir con la Extensión y Proyección Social de la ETITC a través de programas de capacitación y asesorías y la interrelación con el sector productivo y egresados</t>
  </si>
  <si>
    <t>Corrupción</t>
  </si>
  <si>
    <t>Talento humano</t>
  </si>
  <si>
    <t>Reputacional</t>
  </si>
  <si>
    <t>Emitir certificado a personas que no cumplan con los requisitos (permanencia, calificaciones)</t>
  </si>
  <si>
    <t>Equivocación involuntaria, digitación errada o corrupción.</t>
  </si>
  <si>
    <t>Posibilidad de afectación reputacional por otorgar certificados sin el debido cumplimiento de los requisitos previos para este fin.</t>
  </si>
  <si>
    <t>Usuarios, productos y practicas , organizacionales</t>
  </si>
  <si>
    <t>Servicios</t>
  </si>
  <si>
    <t>Integridad</t>
  </si>
  <si>
    <t xml:space="preserve">     El riesgo afecta la imagen de la entidad con algunos usuarios de relevancia frente al logro de los objetivos</t>
  </si>
  <si>
    <t xml:space="preserve">Verificar cumplimiento de requisitos desde los documentos soporte (formato de notas y notas definitivas academusoft) para la  expedición de diplomas y certificados.
</t>
  </si>
  <si>
    <t>Formato de notas docentes, notas definitivas en academusoft.</t>
  </si>
  <si>
    <t>Probabilidad</t>
  </si>
  <si>
    <t>Detectivo</t>
  </si>
  <si>
    <t>Manual</t>
  </si>
  <si>
    <t>Documentado</t>
  </si>
  <si>
    <t>Continua</t>
  </si>
  <si>
    <t>Con Registro</t>
  </si>
  <si>
    <t>Evitar</t>
  </si>
  <si>
    <t>30 de abril de 2022</t>
  </si>
  <si>
    <t xml:space="preserve">Actividades realizadas frente al Plan de Acción </t>
  </si>
  <si>
    <t>GESTIÓN DE CONTROL DISCIPLINARIO</t>
  </si>
  <si>
    <t>Llevar a cabo de manera adecuada las actuaciones disciplinarias al interior de la entidad, con la finalidad de promover los principios de la función pública en los servidores de la ETITC previsto en la ley 134 de 2002 y sus modificaciones.</t>
  </si>
  <si>
    <t>Puede generar Impunidad,
Sanciones disciplinarias por acción u omisión,
Deterioro imagen institucional,                           
Evaluación Inadecuada en el trámite de la Queja</t>
  </si>
  <si>
    <t>Falta de verificación por parte del Secretario General en las actuaciones procesales que se adelantan en los procesos disciplinarios por el Profesional de Asuntos Disciplinarios</t>
  </si>
  <si>
    <t xml:space="preserve">Posibilidad de afectación reputacional por recibir o solicitar dádivas a nombre propio o de un tercero para omitir o prorrogar acciones disciplinarias 
</t>
  </si>
  <si>
    <t>Fraude Interno</t>
  </si>
  <si>
    <t>NA</t>
  </si>
  <si>
    <t xml:space="preserve">     El riesgo afecta la imagen de de la entidad con efecto publicitario sostenido a nivel de sector administrativo, nivel departamental o municipal</t>
  </si>
  <si>
    <t xml:space="preserve">Cada actuación administrativa adelantada por el profesional de Asuntos Disciplinarios  debe pasar a socialización con el  Secretario General </t>
  </si>
  <si>
    <t xml:space="preserve">Visto bueno y revisión de todas las actuaciones administrativas y procedimientales emitido, por parte del Secretario General </t>
  </si>
  <si>
    <t>Preventivo</t>
  </si>
  <si>
    <t>Profesional Asuntos Disciplinarios</t>
  </si>
  <si>
    <t>01 de enero de 2022</t>
  </si>
  <si>
    <t>GESTIÓN DE TALENTO HUMANO</t>
  </si>
  <si>
    <t>Generar políticas e Implementar planes y programas de la Gestión del Talento Humano bajo el principio de Justicia, equidad y trasparencia, al realizar, selección, vinculación, inducción, capacitación y formación, evaluación de Desempeño, Bienestar Laboral e incentivos y retiro, Desarrollando y generando conciencia en la seguridad y salud en el trabajo y el desempeño ambiental en los servidores públicos de la ETITC, bajo el marco de la normatividad legal vigente que conlleve al cumplimiento de los objetivos estratégicos de la institución</t>
  </si>
  <si>
    <t xml:space="preserve">
Vinculacion de los servidores publico sin cumplir requisitos</t>
  </si>
  <si>
    <t xml:space="preserve">
Incumplimiento del proceso de selección y vinculación
Incumplimiento de  manual de funciones y  competencias, de los procedimientos de selección y normatividad vigente</t>
  </si>
  <si>
    <t xml:space="preserve">
Posibilidad de afectación económica y reputacional por seleccionar un determinado candidato obviando el perfil y  algunos requisitos para la vinculación, imposición de candidatos por parte de persona con poder.</t>
  </si>
  <si>
    <t>Ejecucion y Administracion de procesos</t>
  </si>
  <si>
    <t xml:space="preserve">     El riesgo afecta la imagen de la entidad a nivel nacional, con efecto publicitarios sostenible a nivel país</t>
  </si>
  <si>
    <t>Moderado</t>
  </si>
  <si>
    <t>Alto</t>
  </si>
  <si>
    <t xml:space="preserve">Cumplimiento del Procedimiento de selección y vinculación
 </t>
  </si>
  <si>
    <t xml:space="preserve">Verificacion  del Procedimiento a traves de los formatos soportes </t>
  </si>
  <si>
    <t>40%</t>
  </si>
  <si>
    <t>Sin Documentar</t>
  </si>
  <si>
    <t>Aleatoria</t>
  </si>
  <si>
    <t>Sin Registro</t>
  </si>
  <si>
    <t>Comunicado a Vice Académica con el fin que se reporte el personal a contratar antes de iniciar labores.</t>
  </si>
  <si>
    <t xml:space="preserve">Correo   donde se solicita  a la vicererctoria acaemica  el envio  de la carga cademica de los docentes. </t>
  </si>
  <si>
    <t>30%</t>
  </si>
  <si>
    <t>GESTIÓN DOCUMENTAL</t>
  </si>
  <si>
    <t>Desarrollar las actividades administrativas y técnicas con conocimiento con la planificación de los procesos archivísticos en relación con la organización administración, valoración y preservación de los documentos de archivo producidos y/o recibidos por la entidad en cumplimiento de sus funciones, con el fin de garantizar el acceso oportuno de la información así como brindar el servicio de la atención e información al ciudadano, a través del sistema de PQRSD, respondiendo de esta manera al cumplimiento de los fines institucionales</t>
  </si>
  <si>
    <t>Afectación en la gestión institucional.
Investigaciones disciplinarias.
Pérdida o cambio de información institucional</t>
  </si>
  <si>
    <t>Omitir el procedimiento definido para el préstamo o consulta de los documentos.
Posibilidad de acceso a los archivos de personal no autorizado</t>
  </si>
  <si>
    <t>Posibilidad de afectación económica y reputacional por recibir o solicitar cualquier dádiva o beneficio a nombre propio o de terceros al manipular/ incluir / extraer documentos a cualquier expediente en custodia del archivo central.</t>
  </si>
  <si>
    <t>Documental</t>
  </si>
  <si>
    <t>Afectación Económica o presupuestal</t>
  </si>
  <si>
    <t>Cumplir el procedimiento para el préstamo o la consulta de documentos, diligenciando los respectivos formatos</t>
  </si>
  <si>
    <t>Se debe diligenciar el formato  de control de consultas y prestamos, con el fin de tener un reporte de las personas que lo solicitan.</t>
  </si>
  <si>
    <t xml:space="preserve">Profesional de Gestión Documental y Atención al Ciudadano
</t>
  </si>
  <si>
    <t>Cada vez que se consulte o preste un documento</t>
  </si>
  <si>
    <t>Restricción de entrada sólo de personal autorizado.
Si por necesidad o por solicitud debe ingresar algún externo del proceso al archivo, este debe dilgenciar la planilla de control de visita.</t>
  </si>
  <si>
    <t>Realizar el control de ingreso de las visitas al archivo central, mediante las planillas estipuladas.</t>
  </si>
  <si>
    <t>Cuando ingresa personal externo del proceso al archivo central</t>
  </si>
  <si>
    <t>Denuncias penales.
Incumplimiento de la ley 1712 de 2014.
Perdida de información relevante para la entidad.
Investigaciones disciplinarias.</t>
  </si>
  <si>
    <t>Uso indebido de la información a personal no autorizado</t>
  </si>
  <si>
    <t>Posibilidad de afectación económica y reputacional por utilizar información en beneficio propio o de un tercero</t>
  </si>
  <si>
    <t xml:space="preserve">Sensibilización al equipo de trabajo de responsabilidades y cumplimiento de política de seguridad de la información </t>
  </si>
  <si>
    <t>Cumplir con el acuerdo de cofiabilidad establecido por la entidad.</t>
  </si>
  <si>
    <t xml:space="preserve">Profesional de Gestión Documental y Atención al Ciudadano </t>
  </si>
  <si>
    <t>Cada que vez que ingrese una persona nueva al proceso</t>
  </si>
  <si>
    <t>INVESTIGACIÓN</t>
  </si>
  <si>
    <t>Apoyar la investigación en la ETITC, mediante el fomento a las Actividades de Ciencia Tecnología e innovación ACTI, la generación del conocimiento y la gestión de la transferencia del conocimiento, para insertarse en el Sistema Nacional de Ciencia, Tecnología e Innovación.</t>
  </si>
  <si>
    <t>Registro inapropiado  de productos de investigación en  Minciencias</t>
  </si>
  <si>
    <t xml:space="preserve">No seguir el procedimiento en términos de existencia y calidad de productos establecidos por MinCiencias </t>
  </si>
  <si>
    <t xml:space="preserve">Posibilidad de afectación reputacional debido a registrar en GrupLac y Cvlac información indebidamente soportada para favorecimiento de terceros </t>
  </si>
  <si>
    <t>Software</t>
  </si>
  <si>
    <t>Verificar los soportes de productos registrados en el GrupLac de MinCiencias, de acuerdo al procedimiento</t>
  </si>
  <si>
    <t xml:space="preserve">Informe de verificación de existencia y calidad de  productos </t>
  </si>
  <si>
    <t>Plan de acompañamiento a grupos de investigación</t>
  </si>
  <si>
    <t>Contratista Apoyo a la investigación</t>
  </si>
  <si>
    <t>DIRECCIONAMIENTO INSTITUCIONAL</t>
  </si>
  <si>
    <t>Definir planes, programas y proyectos que garanticen el cumplimiento de la misión, visión, políticas y objetivos de la Escuela Tecnológica Instituto Técnico Central enmarcados en la normatividad vigente y en la planeación estratégica con miras de fortalecer el crecimiento de la institución a nivel nacional e internacional; favoreciendo la calidad y la formación integral e intercultural de nuestros educandos.</t>
  </si>
  <si>
    <t>Crear necesidades que no concuerdan con la realidad institucional.</t>
  </si>
  <si>
    <t>Discrecionalidad de la alta dirección para formular proyectos</t>
  </si>
  <si>
    <t>Posibilidad de afectación económica y reputacion por recibir o solicitar cualquier dádiva o beneficio a nombre propio o de terceros al formular proyectos direccionados que no respondan a ninguna necesidad.</t>
  </si>
  <si>
    <t xml:space="preserve">     Mayor a 500 SMLMV </t>
  </si>
  <si>
    <t>Formular actividades de los proyectos de inversión registrados en el banco nacional de programas y proyectos de la Nación que correspondan a necesidades misionales o de apoyo para la operación de la ETITC.</t>
  </si>
  <si>
    <t>Actividades de proyectos de la ETITC en plataforma SUIFP con presupuesto vigente.</t>
  </si>
  <si>
    <t>Jefe Oficina Asesora de Planeación
Contratista de apoyo a la OAP</t>
  </si>
  <si>
    <t>Durante la vigencia</t>
  </si>
  <si>
    <t>Error humano involuntario al asignar recursos a las áreas.
No recibir plan de necesidades de las áreas</t>
  </si>
  <si>
    <t>Discreción de la alta dirección de distribuir los recursos para cada proyecto y/o dependencia.</t>
  </si>
  <si>
    <t>Posibilidad de recibir dádivas o beneficios a nombre propio o de terceros por la asignación y distribución de los recursos  financieros.</t>
  </si>
  <si>
    <t>Asignar el presupuesto asignado para cada dependencia según el Plan de Acción de cada una y el Plan de Necesidades Institucional.
Cada proyecto debe tener el presupuesto para su ejecución y este será el recurso asignado.</t>
  </si>
  <si>
    <t>Plan de necesidades consolidado
Plan de acción</t>
  </si>
  <si>
    <t>Diciembre - Enero</t>
  </si>
  <si>
    <t>GESTIÓN DE ADQUISICIONES</t>
  </si>
  <si>
    <t xml:space="preserve">Apoyar la  adquisición de bienes y servicios requeridos por la Escuela Tecnológica Instituto Técnico Central. </t>
  </si>
  <si>
    <t>Procesos</t>
  </si>
  <si>
    <t xml:space="preserve">Inadecuada adjudicacion del proceso de selección del contrato </t>
  </si>
  <si>
    <t>Evaluación subjetiva en la verificación de los requisitos contractuales. Inadecuada aplicación de la normatividad vigente, manual de contratación y procedimientos asociados.</t>
  </si>
  <si>
    <t>Posibilidad de afectación económica y reputacion por indebida celebración de contratos.</t>
  </si>
  <si>
    <t>verificar el cumplimiento de los proponentes en cada proceso de acuerdo a la lista de chequeo dispuesta para cada modalidad contractual. Verificar el marco normativo aplicable para realizar la contratación. Teniendo en cuenta que, en la ETITC existen 3 vicerrectorías, de las cuales se desprenden todas las áreas; cada estudio previo debe ir aprobado por el vicerector respectivo para garantizar más transparencia al proceso.</t>
  </si>
  <si>
    <t>Evaluaciones efectuadas en cada proceso respecto de los componentes jurídico, técnico y financiero. El profesional especializado del área de jurídica contratación realiza la verificación de la normatividad vigente aplicable al proceso contractual. En caso que, durante la elaboración de unestudio previo no se contemple toda la normatividad legal vigente aplicable, se solicita ajustar la identificación del contrato a celebrar incluyendo la información faltante, a través de correo electrónico.</t>
  </si>
  <si>
    <t>Automático</t>
  </si>
  <si>
    <t>DOCENCIA BACHILLERATO</t>
  </si>
  <si>
    <t>Ofrecer una educación integral con calidad y excelencia, a través de la implementación de estrategias y metodologías de aprendizaje técnico-académicas, que promuevan la construcción de conocimiento y talento humano.</t>
  </si>
  <si>
    <t>Omisión en los requisitos de los estudiantes aspirantes</t>
  </si>
  <si>
    <t xml:space="preserve">El responsable no acoge en la revisión de requisitos la normatividad vigente y lineamientos institucionales </t>
  </si>
  <si>
    <t xml:space="preserve">Probabilidad de afectación económica y reputacional por omisión en los requisitos de los estudiantes aspirantes, por parte del  talento humano que no acoge en su revisión la normatividad vigente y lineamientos institucionales </t>
  </si>
  <si>
    <t>Revisar el cumplimiento de los pre requisitos de los aspirantes por parte de los funcionarios o personas que asigne el Director del IBTI.</t>
  </si>
  <si>
    <t>Listado de verificación de los documentos de los estudiantes.</t>
  </si>
  <si>
    <t>Verificar  los documentos de los aspirantes</t>
  </si>
  <si>
    <t>Hno. Fernando Luque Olaya</t>
  </si>
  <si>
    <t>Octubre de 2022</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</si>
  <si>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</si>
  <si>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rFont val="Arial Narrow"/>
        <family val="2"/>
      </rPr>
      <t>LIDER DEL PROCESO:</t>
    </r>
    <r>
      <rPr>
        <sz val="14"/>
        <rFont val="Arial Narrow"/>
        <family val="2"/>
      </rPr>
      <t xml:space="preserve"> </t>
    </r>
  </si>
  <si>
    <t>Fecha:</t>
  </si>
  <si>
    <t>CLASIF. DE CONFIDENCIALIDAD</t>
  </si>
  <si>
    <t>IPB</t>
  </si>
  <si>
    <t>CLASIF. DE INTEGRIDAD</t>
  </si>
  <si>
    <t>A</t>
  </si>
  <si>
    <t>CLASIF. DE DISPONIBILIDAD</t>
  </si>
  <si>
    <t xml:space="preserve">Tipo </t>
  </si>
  <si>
    <t>Activo de información</t>
  </si>
  <si>
    <t>Criterio</t>
  </si>
  <si>
    <t>Ambiental</t>
  </si>
  <si>
    <t>Evento externo</t>
  </si>
  <si>
    <t>Hardware</t>
  </si>
  <si>
    <t>Confidencialidad</t>
  </si>
  <si>
    <t>Financiero</t>
  </si>
  <si>
    <t>Disponibilidad</t>
  </si>
  <si>
    <t>Estratégico</t>
  </si>
  <si>
    <t>Infraestructura</t>
  </si>
  <si>
    <t>Gestión</t>
  </si>
  <si>
    <t>Seguridad digital</t>
  </si>
  <si>
    <t>Tecnología</t>
  </si>
  <si>
    <t>SST</t>
  </si>
  <si>
    <t>Tecnológico</t>
  </si>
  <si>
    <t>Matriz de Calor Inherente</t>
  </si>
  <si>
    <t>Muy Alta
100%</t>
  </si>
  <si>
    <t>Extremo</t>
  </si>
  <si>
    <t>Alta
80%</t>
  </si>
  <si>
    <t>Media
60%</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</si>
  <si>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</si>
  <si>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</si>
  <si>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</si>
  <si>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</si>
  <si>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</si>
  <si>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</si>
  <si>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</si>
  <si>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</si>
  <si>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</si>
  <si>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</si>
  <si>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</si>
  <si>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</si>
  <si>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</si>
  <si>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</si>
  <si>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</si>
  <si>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</si>
  <si>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</si>
  <si>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</si>
  <si>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</si>
  <si>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</si>
  <si>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</si>
  <si>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</si>
  <si>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</si>
  <si>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</si>
  <si>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</si>
  <si>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</si>
  <si>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</si>
  <si>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</si>
  <si>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</si>
  <si>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</si>
  <si>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</si>
  <si>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</si>
  <si>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</si>
  <si>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</si>
  <si>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</si>
  <si>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</si>
  <si>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</si>
  <si>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</si>
  <si>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</si>
  <si>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</si>
  <si>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</si>
  <si>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Entidad:</t>
  </si>
  <si>
    <t>ANÁLISIS DEL IMPACTO</t>
  </si>
  <si>
    <t>No. Riesgo</t>
  </si>
  <si>
    <t>IMPACTO 
Riesgo de Corrupción</t>
  </si>
  <si>
    <t>Total respuestas afirmativas</t>
  </si>
  <si>
    <t>Si</t>
  </si>
  <si>
    <t>No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</si>
  <si>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</si>
  <si>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</si>
  <si>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</si>
  <si>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</si>
  <si>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</si>
  <si>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</si>
  <si>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</si>
  <si>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</si>
  <si>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</si>
  <si>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</si>
  <si>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</si>
  <si>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</si>
  <si>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</si>
  <si>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</si>
  <si>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</si>
  <si>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</si>
  <si>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</si>
  <si>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</si>
  <si>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</si>
  <si>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</si>
  <si>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</si>
  <si>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</si>
  <si>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</si>
  <si>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</si>
  <si>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</si>
  <si>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la entidad con efecto publicitario sostenido a nivel de sector administrativo, nivel departamental o municipal</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</si>
  <si>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</si>
  <si>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</si>
  <si>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</si>
  <si>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</si>
  <si>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</si>
  <si>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</si>
  <si>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</si>
  <si>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</si>
  <si>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</si>
  <si>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</si>
  <si>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</si>
  <si>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Criterios</t>
  </si>
  <si>
    <t>Subcriterios</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</si>
  <si>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</si>
  <si>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</si>
  <si>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</si>
  <si>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</si>
  <si>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</si>
  <si>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</si>
  <si>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</si>
  <si>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</si>
  <si>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</si>
  <si>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</si>
  <si>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</si>
  <si>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</si>
  <si>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</si>
  <si>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</si>
  <si>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</si>
  <si>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</si>
  <si>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</si>
  <si>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</si>
  <si>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</si>
  <si>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</si>
  <si>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</si>
  <si>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</si>
  <si>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</si>
  <si>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</si>
  <si>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</si>
  <si>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</si>
  <si>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Reducir (compartir)</t>
  </si>
  <si>
    <t>Económico y Reputacional</t>
  </si>
  <si>
    <t>Reducir (mitigar)</t>
  </si>
  <si>
    <t>Plan de accion (solo para la opción reducir)</t>
  </si>
  <si>
    <t>Finalizado</t>
  </si>
  <si>
    <t>En curso</t>
  </si>
  <si>
    <t>Daños Activos Fisicos</t>
  </si>
  <si>
    <t>Fallas Tecnologicas</t>
  </si>
  <si>
    <t>Fraude Externo</t>
  </si>
  <si>
    <t>Relaciones Laborales</t>
  </si>
  <si>
    <t>Registro Sustancial</t>
  </si>
  <si>
    <t>Registro Material</t>
  </si>
  <si>
    <t>Sin registro</t>
  </si>
  <si>
    <t>Reducir</t>
  </si>
  <si>
    <t xml:space="preserve">GESTIÓN JURIDICA </t>
  </si>
  <si>
    <t>Orientar, asistir, asesorar y defender la Institución, en asuntos jurídico-administrativos internos y externos de su competencia, de manera oportuna y eficaz buscando garantizar los intereses de la Escuela en cumplimiento de la Constitución Política, la Ley y la normatividad interna.</t>
  </si>
  <si>
    <t>Recibir o solciitar Dádivas</t>
  </si>
  <si>
    <t>Elaboración documentos errados que después sean insumo para algún proceso judicial contra la administración</t>
  </si>
  <si>
    <t>Emitir un concepto que no se encuentre acorde con la normatividad y que este direccionado a justificar, cubrir y/o favorecer a un tercero.</t>
  </si>
  <si>
    <t>Posibilidad afectación económica por recibir o solicitar dádiva con el fin de elaborar documentos errados o emitir concepto no acorde con la normatividad, para justificar, cubrir y/o favorecer a un tercero.</t>
  </si>
  <si>
    <t>Compartir responsabilidad de los servicios de seguimiento y vigilancia a los procesos judiciales de manera tal que generen alertas de los movimientos en los diferentes procesos.</t>
  </si>
  <si>
    <t>Verificación de procesos a través de la página de rama judicial o en sitio</t>
  </si>
  <si>
    <t>El líder de gestión jurídica compartirá el seguimiento y vigilancia de procesos judiciales con el contratista de apoyo del área con el fin de generar las alertas a las que haya lugar</t>
  </si>
  <si>
    <t>Líder de Gestión Jurídica</t>
  </si>
  <si>
    <t>20 de enero de 2022</t>
  </si>
  <si>
    <t>11 de mayo de 2022</t>
  </si>
  <si>
    <t>La revisión de los procesos judiciales se comparte con el contratista de apoyo y se realiza un revisión aleatoria en compañía del Secretario General a los procesos judiciales activos de la Escuela.</t>
  </si>
  <si>
    <t xml:space="preserve">Cada concepto antes de emitirse debe pasar a socialización de la Secretaria General y demás involucrados. </t>
  </si>
  <si>
    <t>Constancia de vistos buenos en los documentos emitidos por el área</t>
  </si>
  <si>
    <t xml:space="preserve">Los documentos que son proyectados por los profesionales jurídicos de la Secretaría Genenral antes de su sociliazacion serán verificados por el Secretario Genenral o la Lidre de Gestión Jurídica. </t>
  </si>
  <si>
    <t>Profesionales Jurídicos Secretaría General</t>
  </si>
  <si>
    <t>Los documentos proyectados el grupo de profesionales de la Secretaría Genenral son  revisados por el Secretario Genenral y la Lider del proceso de Gestión Jurídicaa</t>
  </si>
  <si>
    <t>13 de mayo de 2022</t>
  </si>
  <si>
    <t>El Secretario General dio el visto bueno a los autos proyectados y al trámite efectuado a todas las actuaciones administrativas, adelantadas por el funcionarios de Asuntos Disciplinarios, durante el 2022, no se ha materializado el riesgo.</t>
  </si>
  <si>
    <t xml:space="preserve">Para el primer cuatrimestre   de 2022 se han vinculado 5  personas para cargos con nombramieto provisional, aplicando el procediiento  de selección y vinculación , de acuerdo a los formatos: GTH-FO -11, GTH-FO-12, GTH-FO-08 , GTH-FO-10, GTH-FO-13 </t>
  </si>
  <si>
    <t>Antes de iniciar clases para el primer semestre de 2022 se  envió  comunicación el 25 de enero de 2022 a la Vicerrectoría Académica , solicitando el listado de docentes a Vincular</t>
  </si>
  <si>
    <t>Para el periodo reportado, con corte de abril 30 de 2022, no se materializó el riesgo; se realiza el debido diligenciamiento de la planilla de préstamos documentales GDO-FO-08, para el cumplimiento del procedimiento.</t>
  </si>
  <si>
    <t>Para el periodo reportado, con corte de abril 30 de 2022, no se materializó el riesgo; para el ingreso de visitas al archivo central, se encuentra la planilla diligenciada con 9 registros.</t>
  </si>
  <si>
    <t>Para el periodo reportado, con corte de abril 30 de 2022, no se materializó el riesgo; se entregó en formato físico a los colaborares el cumplimiento del acuerdo.</t>
  </si>
  <si>
    <t>Informe convocatoria 894 de Minciencias. Capacitación CvLac a estudiantes el 28 de marzo.</t>
  </si>
  <si>
    <t>Se cumplió con el control propuesto toda vez que, cada estudio previo se radicó en el área de Contratación con la aprobación de la vicerrectoría a la cual depende el área solicitante del proceso. Adicionalmente, se encuentra soportado en cada proceso la evaluación de cracter técnico, económico y jurídico para cada caso. De igual manera, se procedió a la  aplicación del Decreto 1860 de 2021 en cada porceso de contratación. Por lo anterior, el riesgo no se materializó.</t>
  </si>
  <si>
    <t>Teniendo en cuenta que el proceso de admisiones inicia en el mes de agosto, en este momento no aplica el seguimiento.</t>
  </si>
  <si>
    <r>
      <t xml:space="preserve">La ETITC cuenta con tres (3) proyectos de inversión registrados y con presupuesto vigente en SUIFP, a saber:
</t>
    </r>
    <r>
      <rPr>
        <b/>
        <sz val="11"/>
        <color theme="1"/>
        <rFont val="Arial Narrow"/>
        <family val="2"/>
      </rPr>
      <t xml:space="preserve">1) Divulgación Asistencia Técnica y Capacitación de la Comunidad Educativa de la Escuela Tecnológica Instituto Técnico Central Bogotá: </t>
    </r>
    <r>
      <rPr>
        <sz val="11"/>
        <color theme="1"/>
        <rFont val="Arial Narrow"/>
        <family val="2"/>
      </rPr>
      <t>Cuenta con un presupuesto vigente de $ 1.370.000.000, y diez (10) actividades, cada una corresponde a una necesidad de la ETITC.</t>
    </r>
    <r>
      <rPr>
        <b/>
        <sz val="11"/>
        <color theme="1"/>
        <rFont val="Arial Narrow"/>
        <family val="2"/>
      </rPr>
      <t xml:space="preserve">
2) Diseño Organización y puesta en marcha del sistema de investigación de la ETITC Bogotá: </t>
    </r>
    <r>
      <rPr>
        <sz val="11"/>
        <color theme="1"/>
        <rFont val="Arial Narrow"/>
        <family val="2"/>
      </rPr>
      <t>Cuenta con un presupuesto vigente de $ 1.000.000.000, y seis (6) actividades, cada una corresponde a una necesidad de la ETITC.</t>
    </r>
    <r>
      <rPr>
        <b/>
        <sz val="11"/>
        <color theme="1"/>
        <rFont val="Arial Narrow"/>
        <family val="2"/>
      </rPr>
      <t xml:space="preserve">
3) Adquisición Dotación, Reposición, Remodelación, Adecuación y recuperación de la Planta Física e Infraestructura Tecnológica de la Escuela Tecnológica Instituto Técnico Central Bogotá: </t>
    </r>
    <r>
      <rPr>
        <sz val="11"/>
        <color theme="1"/>
        <rFont val="Arial Narrow"/>
        <family val="2"/>
      </rPr>
      <t>Cuenta con un presupuesto vigente de $ 12.662.898.194, y nueve (9) actividades, cada una corresponde a una necesidad de la ETITC.
El detalle de cada actividad se puede consultar en:
https://spi.dnp.gov.co/</t>
    </r>
  </si>
  <si>
    <t>En ejecución</t>
  </si>
  <si>
    <r>
      <t xml:space="preserve">El presupuesto asignado a las dependencias se prioriza con base en el plan de necesidades que entregan al finalizar la vigencia anterior, a continuación se presenta el plan de necesidades, y posterior al ejercicio de priorización, la asignación de presupuesto para actividades de plan de acción:
</t>
    </r>
    <r>
      <rPr>
        <b/>
        <sz val="11"/>
        <color theme="1"/>
        <rFont val="Arial Narrow"/>
        <family val="2"/>
      </rPr>
      <t xml:space="preserve">Plan de necesidades 2022:
</t>
    </r>
    <r>
      <rPr>
        <sz val="11"/>
        <color theme="1"/>
        <rFont val="Arial Narrow"/>
        <family val="2"/>
      </rPr>
      <t>https://www.etitc.edu.co/archives/plannecesidad2022v1.xlsx</t>
    </r>
    <r>
      <rPr>
        <b/>
        <sz val="11"/>
        <color theme="1"/>
        <rFont val="Arial Narrow"/>
        <family val="2"/>
      </rPr>
      <t xml:space="preserve">
Plan de acción 2022: </t>
    </r>
    <r>
      <rPr>
        <sz val="11"/>
        <color theme="1"/>
        <rFont val="Arial Narrow"/>
        <family val="2"/>
      </rPr>
      <t>https://www.etitc.edu.co/archives/plandeaccion22.xlsx</t>
    </r>
  </si>
  <si>
    <t>Verificar el registsro de las notas en planillas Vs Academusoft</t>
  </si>
  <si>
    <t xml:space="preserve">GITEPS </t>
  </si>
  <si>
    <t>Para el periodo de reporte el riesgo no se materializó, el proceso ha solicitado el cargue de notas en Academusoft, mientras se surte el proceso, se realiza seguimiento a los requisitos de certificación de los servicios ofertados por el GITEPS, mediante un documento compartido entre los responsables del proceso y los docentes.
Como soporte de lo anterior, el responsable del proceso evidencia matriz de seguimiento de asistencia y notas definitivas de la Certificación en Automatización Industrial 2022-01, donde se evidenciaron 24 inscritos y 22 certificados para el semestral, y para el intersemestral 20 inscritos y 19 certificados.
El proceso para las firmas respectivas se surte a partir de la verificación de cumplimiento de requisitos por parte del inscrito (líder del proceso de Extensión y Proyección Social, Secretario General para cursos y diplomados, y el Rector).</t>
  </si>
  <si>
    <t xml:space="preserve">Mantener controles </t>
  </si>
  <si>
    <t>El Secretario General dio el visto bueno a los autos proyectados y al trámite efectuado a todas las actuaciones administrativas, adelantadas por el funcionarios de Asuntos Disciplinarios, durante el 2022, no se ha materializado el riesgo.
Como soporte de lo anterior, la responsable del proceso presenta la cadena de correos de "Auto traslado alegatos 2018-0001", donde se evidencia la trazabilidad del proceso, y el visto bueno, así como observaciones por parte del Secretario General.</t>
  </si>
  <si>
    <t xml:space="preserve">Durante los meses de mayo, junio y julio se han vinculado por provisionalidad 3 personas: 1 Profesional Especializado (CEL), 1 Auxiliar administrativo, 1 Profesional universitario. Estos procesos cumplen con el debido proceso de vinculación a corde a: GTH-FO -11, GTH-FO-12, GTH-FO-08 , GTH-FO-10, GTH-FO-13, GTH-FO-21, en garantía de procesos transparentes. 
Riesgo no materializado. </t>
  </si>
  <si>
    <t>Provisionalidad
Análisis de la necesidad  
Analisis y preselección de hojas de vida
Adecuada proceso de entrevistas y evaluación de candidatos. 
Vinculación acorde al procedimiento institucional</t>
  </si>
  <si>
    <t>Profesional de Talento Humano</t>
  </si>
  <si>
    <t xml:space="preserve">Durante los meses mayo, junio y julio se reportan 96 préstamos acorde al procedimiento de préstamos de documentos, estos se realizan de manera digital (solicitud a través de correo electrónico), físico (tarjeta de afuera). Se muestra evidencia la planilla en mención y el formato "Formato de afuera".
Riesgo no materializado a la fecha.
</t>
  </si>
  <si>
    <t xml:space="preserve">Mediante registro en planilla se realiza seguimiento y control al personal autorizado que accede a los documentos institucionales, como evidencia se muestra la planilla de control para los primeros 8 meses de la vigencia. </t>
  </si>
  <si>
    <t>Desde el área se indica que se realizó socialización a los 6 integrantes del área a través de un formato físico el cual fue leído y asumido por cada integrante. Se evidencia los formatos firmados.</t>
  </si>
  <si>
    <t>Se reporta que el riesgo no se materializó en el periodo mayo-julio.
El Informe de verificación de existencia y calidad de  productos se realiza cuando se cierra una convocatoria, no obstante, se presenta el detalle de acciones de seguimiento y acompañamiento a los grupos, a saber:
- Establecimiento de plan de trabajo para el fortalecimiento de cara a la próxima convocatoria de Minciencias.
- Caracterización de productividad ETITC 
- Estrategia productos de Formación 
- Estudios cienciométricos de las líneas de investigación de los grupos 
- Informe convocatoria 894 de Minciencias 
- Base de datos Institulac 
Como soporte de lo anterior, el área responsable compartió una carpeta con las evidencias de acciones de seguimiento y acompañamiento a los grupos.</t>
  </si>
  <si>
    <r>
      <t xml:space="preserve">El reporte continúa con el seguimiento realizado por parte de la primera línea de defensa; la ETITC cuenta con tres (3) proyectos de inversión registrados y con presupuesto vigente en SUIFP, sin embargo, aumentaron los recursos asignados a los proyectos desde el primer seguimiento realizado, con ocasión de la incorporación de recursos por concepto de Plan de Formento a la Calidad, a saber:
</t>
    </r>
    <r>
      <rPr>
        <b/>
        <sz val="11"/>
        <color theme="1"/>
        <rFont val="Arial Narrow"/>
        <family val="2"/>
      </rPr>
      <t xml:space="preserve">1) Divulgación Asistencia Técnica y Capacitación de la Comunidad Educativa de la Escuela Tecnológica Instituto Técnico Central Bogotá: </t>
    </r>
    <r>
      <rPr>
        <sz val="11"/>
        <color theme="1"/>
        <rFont val="Arial Narrow"/>
        <family val="2"/>
      </rPr>
      <t>Cuenta con un presupuesto vigente de $ 1.370.000.000, y diez (10) actividades, cada una corresponde a una necesidad de la ETITC.</t>
    </r>
    <r>
      <rPr>
        <b/>
        <sz val="11"/>
        <color theme="1"/>
        <rFont val="Arial Narrow"/>
        <family val="2"/>
      </rPr>
      <t xml:space="preserve">
2) Diseño Organización y puesta en marcha del sistema de investigación de la ETITC Bogotá: </t>
    </r>
    <r>
      <rPr>
        <sz val="11"/>
        <color theme="1"/>
        <rFont val="Arial Narrow"/>
        <family val="2"/>
      </rPr>
      <t>Cuenta con un presupuesto vigente de $ 1.150.000.000, y seis (6) actividades, cada una corresponde a una necesidad de la ETITC.</t>
    </r>
    <r>
      <rPr>
        <b/>
        <sz val="11"/>
        <color theme="1"/>
        <rFont val="Arial Narrow"/>
        <family val="2"/>
      </rPr>
      <t xml:space="preserve">
3) Adquisición Dotación, Reposición, Remodelación, Adecuación y recuperación de la Planta Física e Infraestructura Tecnológica de la Escuela Tecnológica Instituto Técnico Central Bogotá: </t>
    </r>
    <r>
      <rPr>
        <sz val="11"/>
        <color theme="1"/>
        <rFont val="Arial Narrow"/>
        <family val="2"/>
      </rPr>
      <t>Cuenta con un presupuesto vigente de $ 12.662.898.194, y nueve (9) actividades, cada una corresponde a una necesidad de la ETITC.
El detalle de cada actividad se puede consultar en:
https://spi.dnp.gov.co/</t>
    </r>
  </si>
  <si>
    <r>
      <t xml:space="preserve">Se continúa con el seguimiento realizado por la segunda línea de defensa: el presupuesto asignado a las dependencias se prioriza con base en el plan de necesidades que entregan al finalizar la vigencia anterior, a continuación se presenta el plan de necesidades, y posterior al ejercicio de priorización, la asignación de presupuesto para actividades de plan de acción:
</t>
    </r>
    <r>
      <rPr>
        <b/>
        <sz val="11"/>
        <color theme="1"/>
        <rFont val="Arial Narrow"/>
        <family val="2"/>
      </rPr>
      <t xml:space="preserve">Plan de necesidades 2022:
</t>
    </r>
    <r>
      <rPr>
        <sz val="11"/>
        <color theme="1"/>
        <rFont val="Arial Narrow"/>
        <family val="2"/>
      </rPr>
      <t>https://www.etitc.edu.co/archives/plannecesidad2022v1.xlsx</t>
    </r>
    <r>
      <rPr>
        <b/>
        <sz val="11"/>
        <color theme="1"/>
        <rFont val="Arial Narrow"/>
        <family val="2"/>
      </rPr>
      <t xml:space="preserve">
Plan de acción 2022: </t>
    </r>
    <r>
      <rPr>
        <sz val="11"/>
        <color theme="1"/>
        <rFont val="Arial Narrow"/>
        <family val="2"/>
      </rPr>
      <t>https://www.etitc.edu.co/archives/plandeaccion22.xlsx</t>
    </r>
  </si>
  <si>
    <t>Para el periodo de reporte (mayo a julio), se han llevado a cabo 11 Comités de Contratación donde se realizó la aprobación de evaluaciones definitivas de procesos contractuales.
Se aprobaron un total de 40 evaluaciones definitivas de procesos contractuales.
Como soporte de lo anterior, el área responsable presenta las actas del Comité, así como los informes de evaluación definitiva de pasajes y transporte de carga, de igual modo, reporta que el riesgo no se ha materializado.</t>
  </si>
  <si>
    <t>Desde la Dirección del IBTI se muestra el listado completo de los aspirantes a ingresar en la vigencia 2022 (456 aspirantes), en este sentido, se verificaron de manera aleatoria los documentos que deben presentar en calidad de aspirantes 1. Fotocopia de documento de identidad, 2. Boletín de último periodo cursado, 3. Formato de Psicología. 
Riesgo no materializado a la fecha
.</t>
  </si>
  <si>
    <t>Para el periodo mayo-julio, se continúa ejecutando el control, 2 veces por semana, a la fecha no se ha materializado el riesgo.
Como soporte de lo anterior, la líder del proceso presenta el cuadernillo de seguimiento a procesos judiciales, donde se plasman las fechas de revisión y novedades frente al proceso, para dejar la trazabilidad.
El responsable realiza revisión en página web de la Rama Judicial, y otra responsable realiza revisión desde el correo de notificacionesjudiciales o correo de juridica.
Para la elaboración de documentos, un responsable de la Secretaría General proyecta, otra responsable valida y ajusta (con conocimiento del Secretario General), y si el documento debe ser firmado por el Rector, se envía en última instancia para su firma.</t>
  </si>
  <si>
    <t>Para la elaboración de documentos, un responsable de la Secretaría General proyecta, otra responsable valida y ajusta (con conocimiento del Secretario General), y si el documento debe ser firmado por el Rector, se envía en última instancia para su firma.
Como soporte de lo anterior, la líder del proceso envía una cadena de correos con el asunto "Modelo Acuerdo de pago 2022-II", donde se evidencia la trazabilidad, visto bueno y comentarios por parte del Secretario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</si>
</sst>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8" formatCode="_-* #,##0.00_-;\-* #,##0.00_-;_-* &quot;-&quot;??_-;_-@_-"/>
  </numFmts>
  <fonts count="7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sz val="6"/>
      <color theme="1"/>
      <name val="Arial"/>
      <family val="2"/>
    </font>
    <font>
      <sz val="14"/>
      <name val="Arial Narrow"/>
      <family val="2"/>
    </font>
    <font>
      <b/>
      <sz val="14"/>
      <color rgb="FF000000"/>
      <name val="Arial"/>
      <family val="2"/>
    </font>
    <font>
      <sz val="14"/>
      <color rgb="FF000000"/>
      <name val="Arial"/>
      <family val="2"/>
    </font>
    <font>
      <sz val="9"/>
      <name val="Arial"/>
      <family val="2"/>
    </font>
    <font>
      <b/>
      <sz val="9"/>
      <name val="Arial"/>
      <family val="2"/>
    </font>
    <font>
      <sz val="9"/>
      <color theme="1"/>
      <name val="Arial"/>
      <family val="2"/>
    </font>
    <font>
      <b/>
      <sz val="9"/>
      <color theme="1"/>
      <name val="Arial"/>
      <family val="2"/>
    </font>
    <font>
      <sz val="10"/>
      <color theme="1"/>
      <name val="Arial"/>
      <family val="2"/>
    </font>
    <font>
      <sz val="11"/>
      <color rgb="FF000000"/>
      <name val="Arial Narrow"/>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indexed="9"/>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diagonal/>
    </border>
    <border>
      <left style="medium">
        <color rgb="FFFFFFFF"/>
      </left>
      <right style="medium">
        <color rgb="FFFFFFFF"/>
      </right>
      <top/>
      <bottom style="medium">
        <color rgb="FFFFFFFF"/>
      </bottom>
      <diagonal/>
    </border>
  </borders>
  <cellStyleXfs count="8">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46" fillId="0" borderId="0"/>
    <xf numFmtId="43" fontId="14" fillId="0" borderId="0" applyFont="0" applyFill="0" applyBorder="0" applyAlignment="0" applyProtection="0"/>
    <xf numFmtId="168" fontId="14" fillId="0" borderId="0" applyFont="0" applyFill="0" applyBorder="0" applyAlignment="0" applyProtection="0"/>
  </cellStyleXfs>
  <cellXfs count="485">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9" fontId="1" fillId="0" borderId="21" xfId="0" applyNumberFormat="1" applyFont="1" applyBorder="1" applyAlignment="1" applyProtection="1">
      <alignment horizontal="center" vertical="center"/>
      <protection hidden="1"/>
    </xf>
    <xf numFmtId="14" fontId="1" fillId="0" borderId="21" xfId="0" applyNumberFormat="1" applyFont="1" applyBorder="1" applyAlignment="1" applyProtection="1">
      <alignment horizontal="center" vertical="center"/>
      <protection locked="0"/>
    </xf>
    <xf numFmtId="0" fontId="61" fillId="7" borderId="21" xfId="0" applyFont="1" applyFill="1" applyBorder="1" applyAlignment="1">
      <alignment horizontal="center" vertical="center" textRotation="90"/>
    </xf>
    <xf numFmtId="0" fontId="46" fillId="0" borderId="0" xfId="0" applyFont="1" applyAlignment="1">
      <alignment vertical="center" wrapText="1"/>
    </xf>
    <xf numFmtId="0" fontId="0" fillId="0" borderId="0" xfId="0" applyAlignment="1">
      <alignment horizontal="center"/>
    </xf>
    <xf numFmtId="0" fontId="46" fillId="0" borderId="0" xfId="0" applyFont="1" applyAlignment="1">
      <alignment horizontal="center" vertical="center" wrapText="1"/>
    </xf>
    <xf numFmtId="0" fontId="46"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70" xfId="0" applyFont="1" applyBorder="1" applyAlignment="1">
      <alignment horizontal="center" vertical="center" wrapText="1"/>
    </xf>
    <xf numFmtId="0" fontId="64" fillId="0" borderId="70" xfId="0" applyFont="1" applyBorder="1" applyAlignment="1">
      <alignment vertical="center" wrapText="1"/>
    </xf>
    <xf numFmtId="0" fontId="1" fillId="0" borderId="2" xfId="0" applyFont="1" applyBorder="1" applyAlignment="1">
      <alignment horizontal="center" vertical="center"/>
    </xf>
    <xf numFmtId="0" fontId="59" fillId="0" borderId="64" xfId="0" applyFont="1" applyBorder="1" applyAlignment="1" applyProtection="1">
      <alignment horizontal="center" wrapText="1"/>
      <protection locked="0"/>
    </xf>
    <xf numFmtId="0" fontId="59" fillId="0" borderId="57" xfId="0" applyFont="1" applyBorder="1" applyAlignment="1" applyProtection="1">
      <alignment horizontal="center" wrapText="1"/>
      <protection locked="0"/>
    </xf>
    <xf numFmtId="0" fontId="58" fillId="0" borderId="57" xfId="0" applyFont="1" applyBorder="1" applyAlignment="1" applyProtection="1">
      <alignment horizontal="center" vertical="center"/>
      <protection locked="0"/>
    </xf>
    <xf numFmtId="0" fontId="57" fillId="0" borderId="63" xfId="0" applyFont="1" applyBorder="1" applyAlignment="1">
      <alignment horizontal="left" vertical="center"/>
    </xf>
    <xf numFmtId="0" fontId="61" fillId="7" borderId="21" xfId="0" applyFont="1" applyFill="1" applyBorder="1" applyAlignment="1">
      <alignment horizontal="center" vertical="center" wrapText="1"/>
    </xf>
    <xf numFmtId="0" fontId="61" fillId="7" borderId="21" xfId="0" applyFont="1" applyFill="1" applyBorder="1" applyAlignment="1">
      <alignment horizontal="center" vertical="center" textRotation="90" wrapText="1"/>
    </xf>
    <xf numFmtId="0" fontId="61" fillId="7" borderId="21" xfId="0" applyFont="1" applyFill="1" applyBorder="1" applyAlignment="1">
      <alignment horizontal="center" vertical="center"/>
    </xf>
    <xf numFmtId="0" fontId="57" fillId="0" borderId="57" xfId="0" applyFont="1" applyBorder="1" applyAlignment="1">
      <alignment horizontal="left" vertical="center"/>
    </xf>
    <xf numFmtId="0" fontId="6" fillId="0" borderId="21" xfId="0" applyFont="1" applyBorder="1" applyAlignment="1" applyProtection="1">
      <alignment horizontal="justify" vertical="center" wrapText="1"/>
      <protection locked="0"/>
    </xf>
    <xf numFmtId="14" fontId="1" fillId="0" borderId="21" xfId="0" applyNumberFormat="1" applyFont="1" applyBorder="1" applyAlignment="1" applyProtection="1">
      <alignment horizontal="center" vertical="center" wrapText="1"/>
      <protection locked="0"/>
    </xf>
    <xf numFmtId="0" fontId="1" fillId="0" borderId="7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6" fillId="0" borderId="21" xfId="0" applyFont="1" applyBorder="1" applyAlignment="1" applyProtection="1">
      <alignment horizontal="left" vertical="center" wrapText="1"/>
      <protection locked="0"/>
    </xf>
    <xf numFmtId="9" fontId="1" fillId="0" borderId="21" xfId="0" applyNumberFormat="1" applyFont="1" applyBorder="1" applyAlignment="1" applyProtection="1">
      <alignment vertical="center" wrapText="1"/>
      <protection hidden="1"/>
    </xf>
    <xf numFmtId="0" fontId="1" fillId="0" borderId="0" xfId="0" applyFont="1" applyAlignment="1">
      <alignment vertical="center"/>
    </xf>
    <xf numFmtId="1" fontId="67" fillId="0" borderId="21" xfId="0" applyNumberFormat="1" applyFont="1" applyBorder="1" applyAlignment="1">
      <alignment horizontal="left" vertical="center" wrapText="1"/>
    </xf>
    <xf numFmtId="0" fontId="66" fillId="0" borderId="21" xfId="0" applyFont="1" applyBorder="1" applyAlignment="1">
      <alignment horizontal="left" vertical="center" wrapText="1"/>
    </xf>
    <xf numFmtId="0" fontId="66" fillId="0" borderId="0" xfId="5" applyFont="1" applyAlignment="1">
      <alignment vertical="center"/>
    </xf>
    <xf numFmtId="0" fontId="66" fillId="0" borderId="68" xfId="0" applyFont="1" applyBorder="1" applyAlignment="1">
      <alignment horizontal="left" vertical="center" wrapText="1"/>
    </xf>
    <xf numFmtId="0" fontId="66" fillId="0" borderId="0" xfId="5" applyFont="1" applyAlignment="1">
      <alignment vertical="center" wrapText="1"/>
    </xf>
    <xf numFmtId="1" fontId="66" fillId="0" borderId="0" xfId="5" applyNumberFormat="1" applyFont="1" applyAlignment="1">
      <alignment vertical="center" wrapText="1"/>
    </xf>
    <xf numFmtId="0" fontId="66" fillId="0" borderId="0" xfId="5" applyFont="1" applyAlignment="1">
      <alignment horizontal="center" vertical="center" wrapText="1"/>
    </xf>
    <xf numFmtId="0" fontId="67" fillId="0" borderId="21" xfId="5" applyFont="1" applyBorder="1" applyAlignment="1">
      <alignment vertical="center" wrapText="1"/>
    </xf>
    <xf numFmtId="0" fontId="66" fillId="0" borderId="21" xfId="5" applyFont="1" applyBorder="1" applyAlignment="1">
      <alignment vertical="center" wrapText="1"/>
    </xf>
    <xf numFmtId="0" fontId="67" fillId="0" borderId="0" xfId="5" applyFont="1" applyAlignment="1">
      <alignment vertical="center" wrapText="1"/>
    </xf>
    <xf numFmtId="1" fontId="66" fillId="0" borderId="0" xfId="5" applyNumberFormat="1" applyFont="1" applyAlignment="1">
      <alignment horizontal="center" vertical="center" wrapText="1"/>
    </xf>
    <xf numFmtId="0" fontId="67" fillId="0" borderId="21" xfId="5" applyFont="1" applyBorder="1" applyAlignment="1">
      <alignment horizontal="center" vertical="center" wrapText="1"/>
    </xf>
    <xf numFmtId="0" fontId="67" fillId="0" borderId="21" xfId="5" applyFont="1" applyBorder="1" applyAlignment="1">
      <alignment horizontal="left" vertical="center" wrapText="1"/>
    </xf>
    <xf numFmtId="1" fontId="67" fillId="0" borderId="21" xfId="5" applyNumberFormat="1" applyFont="1" applyBorder="1" applyAlignment="1">
      <alignment horizontal="center" vertical="center" wrapText="1"/>
    </xf>
    <xf numFmtId="0" fontId="66" fillId="0" borderId="21" xfId="5" applyFont="1" applyBorder="1" applyAlignment="1">
      <alignment horizontal="center" vertical="center" wrapText="1"/>
    </xf>
    <xf numFmtId="0" fontId="66" fillId="0" borderId="21" xfId="5" applyFont="1" applyBorder="1" applyAlignment="1">
      <alignment horizontal="left" vertical="center" wrapText="1"/>
    </xf>
    <xf numFmtId="9" fontId="68" fillId="0" borderId="21" xfId="0" applyNumberFormat="1" applyFont="1" applyBorder="1" applyAlignment="1">
      <alignment horizontal="center" vertical="center" wrapText="1"/>
    </xf>
    <xf numFmtId="0" fontId="67" fillId="0" borderId="21" xfId="0" applyFont="1" applyBorder="1" applyAlignment="1">
      <alignment vertical="center" wrapText="1" readingOrder="1"/>
    </xf>
    <xf numFmtId="0" fontId="66" fillId="0" borderId="0" xfId="0" applyFont="1" applyAlignment="1">
      <alignment horizontal="center" vertical="center" wrapText="1"/>
    </xf>
    <xf numFmtId="0" fontId="66" fillId="15" borderId="21" xfId="0" applyFont="1" applyFill="1" applyBorder="1" applyAlignment="1" applyProtection="1">
      <alignment horizontal="center" vertical="center" wrapText="1" readingOrder="1"/>
      <protection locked="0"/>
    </xf>
    <xf numFmtId="0" fontId="67" fillId="0" borderId="73" xfId="0" applyFont="1" applyBorder="1" applyAlignment="1">
      <alignment vertical="center" wrapText="1" readingOrder="1"/>
    </xf>
    <xf numFmtId="0" fontId="67" fillId="0" borderId="74" xfId="0" applyFont="1" applyBorder="1" applyAlignment="1">
      <alignment vertical="center" wrapText="1" readingOrder="1"/>
    </xf>
    <xf numFmtId="0" fontId="66" fillId="0" borderId="74" xfId="0" applyFont="1" applyBorder="1" applyAlignment="1">
      <alignment vertical="center" wrapText="1"/>
    </xf>
    <xf numFmtId="0" fontId="67" fillId="0" borderId="75" xfId="0" applyFont="1" applyBorder="1" applyAlignment="1">
      <alignment vertical="center" wrapText="1" readingOrder="1"/>
    </xf>
    <xf numFmtId="0" fontId="69" fillId="0" borderId="0" xfId="0" applyFont="1" applyAlignment="1">
      <alignment horizontal="center" vertical="center" wrapText="1"/>
    </xf>
    <xf numFmtId="0" fontId="67" fillId="0" borderId="76" xfId="0" applyFont="1" applyBorder="1" applyAlignment="1">
      <alignment vertical="center" wrapText="1" readingOrder="1"/>
    </xf>
    <xf numFmtId="0" fontId="66" fillId="0" borderId="76" xfId="0" applyFont="1" applyBorder="1" applyAlignment="1">
      <alignment vertical="center" wrapText="1"/>
    </xf>
    <xf numFmtId="1" fontId="66" fillId="0" borderId="21" xfId="5" applyNumberFormat="1" applyFont="1" applyBorder="1" applyAlignment="1">
      <alignment vertical="center" wrapText="1"/>
    </xf>
    <xf numFmtId="1" fontId="67" fillId="0" borderId="21" xfId="0" applyNumberFormat="1" applyFont="1" applyBorder="1" applyAlignment="1">
      <alignment vertical="center" wrapText="1" readingOrder="1"/>
    </xf>
    <xf numFmtId="1" fontId="67" fillId="0" borderId="0" xfId="0" applyNumberFormat="1" applyFont="1" applyAlignment="1">
      <alignment vertical="center" wrapText="1" readingOrder="1"/>
    </xf>
    <xf numFmtId="0" fontId="68" fillId="0" borderId="0" xfId="0" applyFont="1" applyAlignment="1">
      <alignment horizontal="center" vertical="center" wrapText="1"/>
    </xf>
    <xf numFmtId="9" fontId="1" fillId="0" borderId="21" xfId="0" applyNumberFormat="1" applyFont="1" applyBorder="1" applyAlignment="1" applyProtection="1">
      <alignment horizontal="center" vertical="center" wrapText="1"/>
      <protection hidden="1"/>
    </xf>
    <xf numFmtId="0" fontId="1" fillId="0" borderId="21" xfId="0" applyFont="1" applyBorder="1" applyAlignment="1" applyProtection="1">
      <alignment horizontal="center" vertical="center"/>
      <protection locked="0"/>
    </xf>
    <xf numFmtId="0" fontId="1" fillId="0" borderId="21" xfId="0" applyFont="1" applyBorder="1" applyAlignment="1" applyProtection="1">
      <alignment horizontal="center" vertical="center" wrapText="1"/>
      <protection locked="0"/>
    </xf>
    <xf numFmtId="0" fontId="61" fillId="7" borderId="21" xfId="0" applyFont="1" applyFill="1" applyBorder="1" applyAlignment="1">
      <alignment horizontal="center" vertical="center" textRotation="90" wrapText="1"/>
    </xf>
    <xf numFmtId="0" fontId="61" fillId="7" borderId="21" xfId="0" applyFont="1" applyFill="1" applyBorder="1" applyAlignment="1">
      <alignment horizontal="center" vertical="center" textRotation="90"/>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0" fillId="0" borderId="21" xfId="0" applyBorder="1" applyAlignment="1">
      <alignment horizontal="center" vertical="center" wrapText="1"/>
    </xf>
    <xf numFmtId="0" fontId="1" fillId="0" borderId="21" xfId="0" applyFont="1" applyBorder="1" applyAlignment="1" applyProtection="1">
      <alignment horizontal="center" vertical="center" textRotation="90"/>
      <protection locked="0"/>
    </xf>
    <xf numFmtId="0" fontId="70"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hidden="1"/>
    </xf>
    <xf numFmtId="164" fontId="1" fillId="0" borderId="21" xfId="1" applyNumberFormat="1" applyFont="1" applyBorder="1" applyAlignment="1">
      <alignment horizontal="center" vertical="center" wrapText="1"/>
    </xf>
    <xf numFmtId="0" fontId="4" fillId="0" borderId="21" xfId="0" applyFont="1" applyBorder="1" applyAlignment="1" applyProtection="1">
      <alignment horizontal="center" vertical="center" textRotation="90" wrapText="1"/>
      <protection hidden="1"/>
    </xf>
    <xf numFmtId="0" fontId="1" fillId="0" borderId="21" xfId="0" applyFont="1" applyBorder="1" applyAlignment="1" applyProtection="1">
      <alignment horizontal="center" vertical="center" textRotation="90" wrapText="1"/>
      <protection locked="0"/>
    </xf>
    <xf numFmtId="0" fontId="4" fillId="0" borderId="21" xfId="0" applyFont="1" applyBorder="1" applyAlignment="1" applyProtection="1">
      <alignment horizontal="center" vertical="center" textRotation="90"/>
      <protection hidden="1"/>
    </xf>
    <xf numFmtId="0" fontId="71" fillId="0" borderId="21" xfId="0" applyFont="1" applyBorder="1" applyAlignment="1">
      <alignment horizontal="center" vertical="center"/>
    </xf>
    <xf numFmtId="0" fontId="71" fillId="0" borderId="21" xfId="0" applyFont="1" applyBorder="1" applyAlignment="1">
      <alignment horizontal="center" vertical="center" wrapText="1"/>
    </xf>
    <xf numFmtId="14" fontId="71" fillId="0" borderId="21" xfId="0" applyNumberFormat="1" applyFont="1" applyBorder="1" applyAlignment="1">
      <alignment horizontal="center" vertical="center"/>
    </xf>
    <xf numFmtId="14" fontId="71" fillId="0" borderId="21" xfId="0" applyNumberFormat="1" applyFont="1" applyBorder="1" applyAlignment="1">
      <alignment horizontal="center" vertical="center" wrapText="1"/>
    </xf>
    <xf numFmtId="0" fontId="0" fillId="0" borderId="0" xfId="0" applyAlignment="1">
      <alignment vertical="center" wrapText="1"/>
    </xf>
    <xf numFmtId="0" fontId="62" fillId="0" borderId="0" xfId="0" applyFont="1" applyAlignment="1">
      <alignment horizontal="center" vertical="center"/>
    </xf>
    <xf numFmtId="164" fontId="1" fillId="0" borderId="21" xfId="1" applyNumberFormat="1" applyFont="1" applyBorder="1" applyAlignment="1">
      <alignment horizontal="center" vertical="center"/>
    </xf>
    <xf numFmtId="0" fontId="0" fillId="0" borderId="0" xfId="0" applyAlignment="1">
      <alignment horizontal="center" vertical="center" wrapText="1"/>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protection locked="0"/>
    </xf>
    <xf numFmtId="0" fontId="1" fillId="0" borderId="21" xfId="0" applyFont="1" applyBorder="1" applyAlignment="1" applyProtection="1">
      <alignment horizontal="left" vertical="center" wrapText="1"/>
      <protection locked="0"/>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57" fillId="0" borderId="21" xfId="0" applyFont="1" applyBorder="1" applyAlignment="1">
      <alignment horizontal="left" vertical="center"/>
    </xf>
    <xf numFmtId="0" fontId="61" fillId="7" borderId="21" xfId="0" applyFont="1" applyFill="1" applyBorder="1" applyAlignment="1">
      <alignment horizontal="center" vertical="center" wrapText="1"/>
    </xf>
    <xf numFmtId="0" fontId="60" fillId="0" borderId="68" xfId="0" applyFont="1" applyBorder="1" applyAlignment="1">
      <alignment horizontal="center" vertical="center"/>
    </xf>
    <xf numFmtId="0" fontId="60" fillId="0" borderId="67" xfId="0" applyFont="1" applyBorder="1" applyAlignment="1">
      <alignment horizontal="center" vertical="center"/>
    </xf>
    <xf numFmtId="0" fontId="60" fillId="0" borderId="69" xfId="0" applyFont="1" applyBorder="1" applyAlignment="1">
      <alignment horizontal="center" vertical="center"/>
    </xf>
    <xf numFmtId="0" fontId="61" fillId="7" borderId="21" xfId="0" applyFont="1" applyFill="1" applyBorder="1" applyAlignment="1">
      <alignment horizontal="center" vertical="center" textRotation="90" wrapText="1"/>
    </xf>
    <xf numFmtId="0" fontId="59" fillId="0" borderId="21" xfId="0" applyFont="1" applyBorder="1" applyAlignment="1" applyProtection="1">
      <alignment horizontal="center" wrapText="1"/>
      <protection locked="0"/>
    </xf>
    <xf numFmtId="0" fontId="61" fillId="7" borderId="21" xfId="0" applyFont="1" applyFill="1" applyBorder="1" applyAlignment="1">
      <alignment horizontal="center" vertical="center"/>
    </xf>
    <xf numFmtId="0" fontId="58" fillId="0" borderId="21" xfId="0" applyFont="1" applyBorder="1" applyAlignment="1" applyProtection="1">
      <alignment horizontal="center" vertical="center"/>
      <protection locked="0"/>
    </xf>
    <xf numFmtId="0" fontId="64" fillId="0" borderId="70" xfId="0" applyFont="1" applyBorder="1" applyAlignment="1">
      <alignment horizontal="center" vertical="center" wrapText="1"/>
    </xf>
    <xf numFmtId="0" fontId="65" fillId="0" borderId="70" xfId="0" applyFont="1" applyBorder="1" applyAlignment="1">
      <alignment horizontal="center" vertical="center" wrapText="1"/>
    </xf>
    <xf numFmtId="0" fontId="49" fillId="0" borderId="68" xfId="0" applyFont="1" applyBorder="1" applyAlignment="1">
      <alignment horizontal="left" vertical="center" wrapText="1"/>
    </xf>
    <xf numFmtId="0" fontId="49" fillId="0" borderId="67" xfId="0" applyFont="1" applyBorder="1" applyAlignment="1">
      <alignment horizontal="left" vertical="center" wrapText="1"/>
    </xf>
    <xf numFmtId="0" fontId="49" fillId="0" borderId="69" xfId="0" applyFont="1" applyBorder="1" applyAlignment="1">
      <alignment horizontal="left" vertical="center" wrapText="1"/>
    </xf>
    <xf numFmtId="0" fontId="1" fillId="0" borderId="2"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63" fillId="0" borderId="21" xfId="0" applyFont="1" applyBorder="1" applyAlignment="1">
      <alignment horizontal="left" vertical="center" wrapText="1"/>
    </xf>
    <xf numFmtId="0" fontId="61" fillId="7" borderId="64" xfId="0" applyFont="1" applyFill="1" applyBorder="1" applyAlignment="1">
      <alignment horizontal="center" vertical="center"/>
    </xf>
    <xf numFmtId="0" fontId="61" fillId="7" borderId="57" xfId="0" applyFont="1" applyFill="1" applyBorder="1" applyAlignment="1">
      <alignment horizontal="center" vertical="center"/>
    </xf>
    <xf numFmtId="0" fontId="61" fillId="7" borderId="22" xfId="0" applyFont="1" applyFill="1" applyBorder="1" applyAlignment="1">
      <alignment horizontal="center" vertical="center"/>
    </xf>
    <xf numFmtId="0" fontId="60" fillId="7" borderId="68" xfId="0" applyFont="1" applyFill="1" applyBorder="1" applyAlignment="1">
      <alignment horizontal="center" vertical="center"/>
    </xf>
    <xf numFmtId="0" fontId="60" fillId="7" borderId="67" xfId="0" applyFont="1" applyFill="1" applyBorder="1" applyAlignment="1">
      <alignment horizontal="center" vertical="center"/>
    </xf>
    <xf numFmtId="0" fontId="60" fillId="7" borderId="69" xfId="0" applyFont="1" applyFill="1" applyBorder="1" applyAlignment="1">
      <alignment horizontal="center" vertical="center"/>
    </xf>
    <xf numFmtId="0" fontId="61" fillId="7" borderId="21" xfId="0" applyFont="1" applyFill="1" applyBorder="1" applyAlignment="1">
      <alignment horizontal="center" vertical="center" textRotation="90"/>
    </xf>
    <xf numFmtId="0" fontId="2" fillId="0" borderId="21" xfId="0" applyFont="1" applyBorder="1" applyAlignment="1" applyProtection="1">
      <alignment horizontal="center" vertical="center" wrapText="1"/>
      <protection locked="0"/>
    </xf>
    <xf numFmtId="0" fontId="1" fillId="0" borderId="7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4" fillId="0" borderId="71"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71" xfId="0" applyNumberFormat="1" applyFont="1" applyBorder="1" applyAlignment="1" applyProtection="1">
      <alignment horizontal="center" vertical="center" wrapText="1"/>
      <protection locked="0"/>
    </xf>
    <xf numFmtId="9" fontId="1" fillId="0" borderId="22" xfId="0" applyNumberFormat="1" applyFont="1" applyBorder="1" applyAlignment="1" applyProtection="1">
      <alignment horizontal="center" vertical="center" wrapText="1"/>
      <protection locked="0"/>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7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pplyProtection="1">
      <alignment horizontal="center" vertical="center" wrapText="1"/>
      <protection locked="0"/>
    </xf>
    <xf numFmtId="0" fontId="4" fillId="0" borderId="71"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locked="0"/>
    </xf>
    <xf numFmtId="9" fontId="1" fillId="0" borderId="71" xfId="0" applyNumberFormat="1" applyFont="1" applyBorder="1" applyAlignment="1" applyProtection="1">
      <alignment horizontal="center" vertical="center" wrapText="1"/>
      <protection hidden="1"/>
    </xf>
    <xf numFmtId="9" fontId="1" fillId="0" borderId="22" xfId="0" applyNumberFormat="1" applyFont="1" applyBorder="1" applyAlignment="1" applyProtection="1">
      <alignment horizontal="center" vertical="center" wrapText="1"/>
      <protection hidden="1"/>
    </xf>
    <xf numFmtId="0" fontId="1" fillId="0" borderId="21" xfId="0" applyFont="1" applyBorder="1" applyAlignment="1">
      <alignment horizontal="center" vertical="center"/>
    </xf>
    <xf numFmtId="0" fontId="1" fillId="0" borderId="21" xfId="0" applyFont="1" applyBorder="1" applyAlignment="1">
      <alignment horizontal="center" vertical="center" wrapText="1"/>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25"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0" xfId="0" applyFont="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2" fillId="0" borderId="10" xfId="0" applyFont="1" applyBorder="1" applyAlignment="1">
      <alignment horizontal="center" vertical="center"/>
    </xf>
    <xf numFmtId="0" fontId="42" fillId="0" borderId="12" xfId="0" applyFont="1" applyBorder="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7" xfId="0" applyFont="1" applyBorder="1" applyAlignment="1">
      <alignment horizontal="center" vertical="center" wrapText="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24" fillId="0" borderId="0" xfId="0" applyFont="1" applyAlignment="1">
      <alignment horizontal="center" vertical="center"/>
    </xf>
    <xf numFmtId="0" fontId="67" fillId="0" borderId="21" xfId="5" applyFont="1" applyBorder="1" applyAlignment="1">
      <alignment horizontal="center" vertical="center" wrapText="1"/>
    </xf>
    <xf numFmtId="0" fontId="66" fillId="0" borderId="72" xfId="0" applyFont="1" applyBorder="1" applyAlignment="1">
      <alignment horizontal="left" vertical="center" wrapText="1" readingOrder="1"/>
    </xf>
    <xf numFmtId="0" fontId="66" fillId="0" borderId="40" xfId="0" applyFont="1" applyBorder="1" applyAlignment="1">
      <alignment horizontal="left" vertical="center" wrapText="1" readingOrder="1"/>
    </xf>
    <xf numFmtId="0" fontId="66" fillId="0" borderId="0" xfId="5" applyFont="1" applyAlignment="1">
      <alignment horizontal="center" vertical="center" wrapText="1"/>
    </xf>
    <xf numFmtId="0" fontId="66" fillId="0" borderId="21" xfId="0" applyFont="1" applyBorder="1" applyAlignment="1">
      <alignment horizontal="center" vertical="center" wrapText="1" readingOrder="1"/>
    </xf>
    <xf numFmtId="0" fontId="66" fillId="16" borderId="71" xfId="5" applyFont="1" applyFill="1" applyBorder="1" applyAlignment="1">
      <alignment horizontal="center" vertical="center"/>
    </xf>
    <xf numFmtId="0" fontId="66" fillId="16" borderId="22" xfId="5" applyFont="1" applyFill="1" applyBorder="1" applyAlignment="1">
      <alignment horizontal="center" vertical="center"/>
    </xf>
    <xf numFmtId="1" fontId="67" fillId="0" borderId="71" xfId="5" applyNumberFormat="1" applyFont="1" applyBorder="1" applyAlignment="1">
      <alignment horizontal="center" vertical="center"/>
    </xf>
    <xf numFmtId="1" fontId="67" fillId="0" borderId="22" xfId="5" applyNumberFormat="1" applyFont="1" applyBorder="1" applyAlignment="1">
      <alignment horizontal="center" vertical="center"/>
    </xf>
    <xf numFmtId="0" fontId="67" fillId="0" borderId="21" xfId="0" applyFont="1" applyBorder="1" applyAlignment="1">
      <alignment horizontal="center" vertical="center" wrapText="1" readingOrder="1"/>
    </xf>
    <xf numFmtId="0" fontId="66" fillId="0" borderId="69" xfId="0" applyFont="1" applyBorder="1" applyAlignment="1">
      <alignment horizontal="center" vertical="center" wrapText="1" readingOrder="1"/>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46" fillId="0" borderId="0" xfId="0" applyFont="1" applyAlignment="1">
      <alignment vertical="center" wrapText="1"/>
    </xf>
    <xf numFmtId="0" fontId="61" fillId="7" borderId="21" xfId="0" applyFont="1" applyFill="1" applyBorder="1" applyAlignment="1">
      <alignment horizontal="center" vertical="center" textRotation="90" wrapText="1"/>
    </xf>
    <xf numFmtId="14" fontId="2" fillId="0" borderId="21" xfId="0" applyNumberFormat="1"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1" fillId="0" borderId="21" xfId="0" applyFont="1" applyFill="1" applyBorder="1" applyAlignment="1" applyProtection="1">
      <alignment horizontal="left" vertical="center" wrapText="1"/>
      <protection locked="0"/>
    </xf>
    <xf numFmtId="14" fontId="1" fillId="0" borderId="21" xfId="0" applyNumberFormat="1" applyFont="1" applyBorder="1" applyAlignment="1" applyProtection="1">
      <alignment horizontal="left" vertical="center"/>
      <protection locked="0"/>
    </xf>
    <xf numFmtId="14" fontId="1" fillId="0" borderId="21" xfId="0" applyNumberFormat="1" applyFont="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xf>
    <xf numFmtId="0" fontId="1" fillId="0" borderId="0" xfId="0" applyFont="1" applyAlignment="1">
      <alignment horizontal="left" vertical="center" wrapText="1"/>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protection locked="0"/>
    </xf>
    <xf numFmtId="0" fontId="1" fillId="0" borderId="21" xfId="0" applyFont="1" applyBorder="1" applyAlignment="1" applyProtection="1">
      <alignment horizontal="left" vertical="center" wrapText="1"/>
      <protection locked="0"/>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protection locked="0"/>
    </xf>
    <xf numFmtId="0" fontId="1" fillId="0" borderId="21" xfId="0" applyFont="1" applyBorder="1" applyAlignment="1" applyProtection="1">
      <alignment horizontal="left" vertical="center" wrapText="1"/>
      <protection locked="0"/>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protection locked="0"/>
    </xf>
    <xf numFmtId="0" fontId="1" fillId="0" borderId="21" xfId="0" applyFont="1" applyBorder="1" applyAlignment="1" applyProtection="1">
      <alignment horizontal="left" vertical="center" wrapText="1"/>
      <protection locked="0"/>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left" vertical="center" wrapText="1"/>
      <protection locked="0"/>
    </xf>
    <xf numFmtId="14" fontId="1" fillId="0" borderId="21" xfId="0" applyNumberFormat="1" applyFont="1" applyBorder="1" applyAlignment="1" applyProtection="1">
      <alignment horizontal="center" vertical="center" wrapText="1"/>
      <protection locked="0"/>
    </xf>
  </cellXfs>
  <cellStyles count="8">
    <cellStyle name="Millares 2" xfId="6" xr:uid="{18DBF99F-4EBD-48DA-A61A-BB609D6E1C89}"/>
    <cellStyle name="Millares 3" xfId="7" xr:uid="{F922D0E7-21F9-40F3-B4D4-8A18675B5B86}"/>
    <cellStyle name="Normal" xfId="0" builtinId="0"/>
    <cellStyle name="Normal - Style1 2" xfId="2" xr:uid="{00000000-0005-0000-0000-000001000000}"/>
    <cellStyle name="Normal 2" xfId="4" xr:uid="{00000000-0005-0000-0000-000002000000}"/>
    <cellStyle name="Normal 2 2" xfId="3" xr:uid="{00000000-0005-0000-0000-000003000000}"/>
    <cellStyle name="Normal 2 3" xfId="5" xr:uid="{00000000-0005-0000-0000-000004000000}"/>
    <cellStyle name="Porcentaje" xfId="1" builtinId="5"/>
  </cellStyles>
  <dxfs count="90">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pivotCacheDefinition" Target="pivotCache/pivotCacheDefinition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412751</xdr:colOff>
      <xdr:row>0</xdr:row>
      <xdr:rowOff>148165</xdr:rowOff>
    </xdr:from>
    <xdr:to>
      <xdr:col>3</xdr:col>
      <xdr:colOff>128512</xdr:colOff>
      <xdr:row>3</xdr:row>
      <xdr:rowOff>614588</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6834" y="148165"/>
          <a:ext cx="1959428" cy="1101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473364</xdr:colOff>
      <xdr:row>30</xdr:row>
      <xdr:rowOff>106218</xdr:rowOff>
    </xdr:from>
    <xdr:to>
      <xdr:col>11</xdr:col>
      <xdr:colOff>515588</xdr:colOff>
      <xdr:row>58</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121814" y="15136668"/>
          <a:ext cx="6157275" cy="5043716"/>
        </a:xfrm>
        <a:prstGeom prst="rect">
          <a:avLst/>
        </a:prstGeom>
      </xdr:spPr>
    </xdr:pic>
    <xdr:clientData/>
  </xdr:twoCellAnchor>
  <xdr:twoCellAnchor editAs="oneCell">
    <xdr:from>
      <xdr:col>13</xdr:col>
      <xdr:colOff>329045</xdr:colOff>
      <xdr:row>31</xdr:row>
      <xdr:rowOff>320964</xdr:rowOff>
    </xdr:from>
    <xdr:to>
      <xdr:col>22</xdr:col>
      <xdr:colOff>754164</xdr:colOff>
      <xdr:row>52</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4902295" y="15808614"/>
          <a:ext cx="8568994" cy="35641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lidad/AppData/Local/Microsoft/Windows/INetCache/Content.Outlook/SL0QA57X/MRC%20-%20SGR%20consolidad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ownloads\mapaderiesgojuridica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calidad_itc_edu_co/Documents/CALIDAD/MAPA%20DE%20RIESGOS/RIESGOS%20DE%20CORRUPCI&#211;N/MAPA%20DE%20RIESGOS%20DE%20CORRUPCI&#211;N%202022%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alidad\AppData\Local\Microsoft\Windows\INetCache\Content.Outlook\SL0QA57X\MRC%20-%20SGR%20consolid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 Contexto e Identificación"/>
      <sheetName val="3 Probabilidad"/>
      <sheetName val="4 Impacto"/>
      <sheetName val="5 Mapa Calor Inherente"/>
      <sheetName val="6 Valoración Control"/>
      <sheetName val="7 Mapa Calor Residual"/>
      <sheetName val="8 Mapa Calor Inherente Residual"/>
      <sheetName val="9 Mapa Riesgo, Plan Acción"/>
      <sheetName val="10 Imprimir Mapa Riesgo"/>
      <sheetName val="11 Riesgo del Proceso"/>
      <sheetName val="12 Control de cambios"/>
      <sheetName val="13 Formulas"/>
    </sheetNames>
    <sheetDataSet>
      <sheetData sheetId="0"/>
      <sheetData sheetId="1">
        <row r="1">
          <cell r="B1" t="str">
            <v>MAPA DE RIESGOS DE CORRUPCIÓN</v>
          </cell>
          <cell r="C1" t="str">
            <v>Código:</v>
          </cell>
          <cell r="D1"/>
        </row>
        <row r="2">
          <cell r="C2" t="str">
            <v>Versión:</v>
          </cell>
          <cell r="D2"/>
        </row>
        <row r="4">
          <cell r="B4" t="str">
            <v xml:space="preserve">Departamento Nacional de Planeación </v>
          </cell>
        </row>
        <row r="9">
          <cell r="A9" t="str">
            <v>R1</v>
          </cell>
          <cell r="E9" t="str">
            <v>Posibilidad de recibir o solicitar cualquier dádiva o beneficio a nombre propio o de terceros Para calcular y/o distribuir los recursos del SGR</v>
          </cell>
        </row>
        <row r="10">
          <cell r="A10" t="str">
            <v>R2</v>
          </cell>
          <cell r="E10" t="str">
            <v>Posibilidad de recibir o solicitar cualquier dádiva o beneficio a nombre propio o de terceros Para direccionar el resultado de la evaluación de un PPPP</v>
          </cell>
        </row>
        <row r="11">
          <cell r="A11" t="str">
            <v>R3</v>
          </cell>
          <cell r="E11" t="str">
            <v>Posibilidad de recibir o solicitar cualquier dádiva o beneficio a nombre propio o de terceros Con el objetivo de direccionar la toma de decisiones a partir de la información consolidada y divulgada sobre los proyectos financiados con recursos del SGR</v>
          </cell>
        </row>
        <row r="12">
          <cell r="A12" t="str">
            <v>R4</v>
          </cell>
          <cell r="E12" t="str">
            <v>Posibilidad de recibir o solicitar cualquier dádiva o beneficio a nombre propio o de terceros Para emitir un Concepto Técnico Único Sectorial sobre un proyecto a ser financiado con recursos del SGR</v>
          </cell>
        </row>
        <row r="13">
          <cell r="A13" t="str">
            <v>R5</v>
          </cell>
          <cell r="E13" t="str">
            <v>Posibilidad de recibir o solicitar cualquier dádiva o beneficio a nombre propio o de terceros Para agilizar la emisión de la ficha de verificación de requisitos de los proyectos a ser financiados con recursos de Asignación Paz del SGR</v>
          </cell>
        </row>
        <row r="14">
          <cell r="A14" t="str">
            <v>R6</v>
          </cell>
          <cell r="E14" t="str">
            <v>Posibilidad de recibir o solicitar cualquier dádiva o beneficio a nombre propio o de terceros Para validar el cumplimiento de requisitos normativos de un proyecto a  ser financiado con recursos del SGR</v>
          </cell>
        </row>
        <row r="15">
          <cell r="A15" t="str">
            <v>R7</v>
          </cell>
          <cell r="E15" t="str">
            <v>Posibilidad de recibir o solicitar cualquier dádiva o beneficio a nombre propio o de terceros Para formular un proyecto a ser financiado con recursos del SGR por parte del profesional que brinda asistencia técnica o un tercero</v>
          </cell>
        </row>
        <row r="16">
          <cell r="A16" t="str">
            <v>R8</v>
          </cell>
          <cell r="E16" t="str">
            <v>Posibilidad de recibir o solicitar cualquier dádiva o beneficio a nombre propio o de terceros Con el fin de  direccionar el resultado del informe de seguimiento de los proyectos de inversión financiados con recursos del SGR que son objeto de las visitas de verificación de avances y resultados.</v>
          </cell>
        </row>
        <row r="17">
          <cell r="A17" t="str">
            <v>R9</v>
          </cell>
          <cell r="E17" t="str">
            <v>Posibilidad de recibir o solicitar cualquier dádiva o beneficio a nombre propio o de terceros Para dilatar o evitar la decisión sobre la imposición de medidas administrativas en el procedimiento de control sobre los proyectos del Sistema General de Regalías</v>
          </cell>
        </row>
        <row r="18">
          <cell r="A18" t="str">
            <v>R10</v>
          </cell>
          <cell r="E18" t="str">
            <v xml:space="preserve">  </v>
          </cell>
        </row>
        <row r="19">
          <cell r="A19" t="str">
            <v>R11</v>
          </cell>
          <cell r="E19" t="str">
            <v xml:space="preserve">  </v>
          </cell>
        </row>
        <row r="20">
          <cell r="A20" t="str">
            <v>R12</v>
          </cell>
          <cell r="E20" t="str">
            <v xml:space="preserve">  </v>
          </cell>
        </row>
        <row r="21">
          <cell r="A21" t="str">
            <v>R13</v>
          </cell>
          <cell r="E21" t="str">
            <v xml:space="preserve">  </v>
          </cell>
        </row>
        <row r="22">
          <cell r="A22" t="str">
            <v>R14</v>
          </cell>
          <cell r="E22" t="str">
            <v xml:space="preserve">  </v>
          </cell>
        </row>
        <row r="23">
          <cell r="A23" t="str">
            <v>R15</v>
          </cell>
          <cell r="E23" t="str">
            <v xml:space="preserve">  </v>
          </cell>
        </row>
        <row r="24">
          <cell r="A24" t="str">
            <v>R16</v>
          </cell>
          <cell r="E24" t="str">
            <v xml:space="preserve">  </v>
          </cell>
        </row>
        <row r="25">
          <cell r="A25" t="str">
            <v>R17</v>
          </cell>
          <cell r="E25" t="str">
            <v xml:space="preserve">  </v>
          </cell>
        </row>
        <row r="26">
          <cell r="A26" t="str">
            <v>R18</v>
          </cell>
          <cell r="E26" t="str">
            <v xml:space="preserve">  </v>
          </cell>
        </row>
        <row r="27">
          <cell r="A27" t="str">
            <v>R19</v>
          </cell>
          <cell r="E27" t="str">
            <v xml:space="preserve">  </v>
          </cell>
        </row>
        <row r="28">
          <cell r="A28" t="str">
            <v>R20</v>
          </cell>
          <cell r="E28" t="str">
            <v xml:space="preserve">  </v>
          </cell>
        </row>
      </sheetData>
      <sheetData sheetId="2"/>
      <sheetData sheetId="3"/>
      <sheetData sheetId="4"/>
      <sheetData sheetId="5"/>
      <sheetData sheetId="6"/>
      <sheetData sheetId="7"/>
      <sheetData sheetId="8"/>
      <sheetData sheetId="9"/>
      <sheetData sheetId="10"/>
      <sheetData sheetId="11"/>
      <sheetData sheetId="12">
        <row r="3">
          <cell r="J3" t="str">
            <v>Si</v>
          </cell>
        </row>
        <row r="5">
          <cell r="L5" t="str">
            <v>Moderado</v>
          </cell>
        </row>
        <row r="6">
          <cell r="L6" t="str">
            <v>Mayor</v>
          </cell>
        </row>
        <row r="7">
          <cell r="L7" t="str">
            <v>Catastrófico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221">
          <cell r="B221" t="str">
            <v>Criterios</v>
          </cell>
        </row>
        <row r="222">
          <cell r="B222" t="str">
            <v>Afectación Económica o presupuestal</v>
          </cell>
        </row>
        <row r="223">
          <cell r="B223" t="str">
            <v>Pérdida Reputacional</v>
          </cell>
          <cell r="F223" t="str">
            <v>❌</v>
          </cell>
        </row>
      </sheetData>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Formulas"/>
    </sheetNames>
    <sheetDataSet>
      <sheetData sheetId="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89" dataDxfId="88">
  <autoFilter ref="B209:C219" xr:uid="{00000000-0009-0000-0100-000001000000}"/>
  <tableColumns count="2">
    <tableColumn id="1" xr3:uid="{00000000-0010-0000-0000-000001000000}" name="Criterios" dataDxfId="87"/>
    <tableColumn id="2" xr3:uid="{00000000-0010-0000-0000-000002000000}" name="Subcriterios" dataDxfId="8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6384" width="11.42578125" style="75"/>
  </cols>
  <sheetData>
    <row r="1" spans="2:8" ht="15.75" thickBot="1" x14ac:dyDescent="0.3"/>
    <row r="2" spans="2:8" ht="18" x14ac:dyDescent="0.25">
      <c r="B2" s="215" t="s">
        <v>0</v>
      </c>
      <c r="C2" s="216"/>
      <c r="D2" s="216"/>
      <c r="E2" s="216"/>
      <c r="F2" s="216"/>
      <c r="G2" s="216"/>
      <c r="H2" s="217"/>
    </row>
    <row r="3" spans="2:8" x14ac:dyDescent="0.25">
      <c r="B3" s="76"/>
      <c r="C3" s="77"/>
      <c r="D3" s="77"/>
      <c r="E3" s="77"/>
      <c r="F3" s="77"/>
      <c r="G3" s="77"/>
      <c r="H3" s="78"/>
    </row>
    <row r="4" spans="2:8" ht="63" customHeight="1" x14ac:dyDescent="0.25">
      <c r="B4" s="218" t="s">
        <v>1</v>
      </c>
      <c r="C4" s="219"/>
      <c r="D4" s="219"/>
      <c r="E4" s="219"/>
      <c r="F4" s="219"/>
      <c r="G4" s="219"/>
      <c r="H4" s="220"/>
    </row>
    <row r="5" spans="2:8" ht="63" customHeight="1" x14ac:dyDescent="0.25">
      <c r="B5" s="221"/>
      <c r="C5" s="222"/>
      <c r="D5" s="222"/>
      <c r="E5" s="222"/>
      <c r="F5" s="222"/>
      <c r="G5" s="222"/>
      <c r="H5" s="223"/>
    </row>
    <row r="6" spans="2:8" ht="16.5" x14ac:dyDescent="0.25">
      <c r="B6" s="224" t="s">
        <v>2</v>
      </c>
      <c r="C6" s="225"/>
      <c r="D6" s="225"/>
      <c r="E6" s="225"/>
      <c r="F6" s="225"/>
      <c r="G6" s="225"/>
      <c r="H6" s="226"/>
    </row>
    <row r="7" spans="2:8" ht="95.25" customHeight="1" x14ac:dyDescent="0.25">
      <c r="B7" s="234" t="s">
        <v>3</v>
      </c>
      <c r="C7" s="235"/>
      <c r="D7" s="235"/>
      <c r="E7" s="235"/>
      <c r="F7" s="235"/>
      <c r="G7" s="235"/>
      <c r="H7" s="236"/>
    </row>
    <row r="8" spans="2:8" ht="16.5" x14ac:dyDescent="0.25">
      <c r="B8" s="112"/>
      <c r="C8" s="113"/>
      <c r="D8" s="113"/>
      <c r="E8" s="113"/>
      <c r="F8" s="113"/>
      <c r="G8" s="113"/>
      <c r="H8" s="114"/>
    </row>
    <row r="9" spans="2:8" ht="16.5" customHeight="1" x14ac:dyDescent="0.25">
      <c r="B9" s="227" t="s">
        <v>4</v>
      </c>
      <c r="C9" s="228"/>
      <c r="D9" s="228"/>
      <c r="E9" s="228"/>
      <c r="F9" s="228"/>
      <c r="G9" s="228"/>
      <c r="H9" s="229"/>
    </row>
    <row r="10" spans="2:8" ht="44.25" customHeight="1" x14ac:dyDescent="0.25">
      <c r="B10" s="227"/>
      <c r="C10" s="228"/>
      <c r="D10" s="228"/>
      <c r="E10" s="228"/>
      <c r="F10" s="228"/>
      <c r="G10" s="228"/>
      <c r="H10" s="229"/>
    </row>
    <row r="11" spans="2:8" ht="15.75" thickBot="1" x14ac:dyDescent="0.3">
      <c r="B11" s="101"/>
      <c r="C11" s="104"/>
      <c r="D11" s="109"/>
      <c r="E11" s="110"/>
      <c r="F11" s="110"/>
      <c r="G11" s="111"/>
      <c r="H11" s="105"/>
    </row>
    <row r="12" spans="2:8" ht="15.75" thickTop="1" x14ac:dyDescent="0.25">
      <c r="B12" s="101"/>
      <c r="C12" s="230" t="s">
        <v>5</v>
      </c>
      <c r="D12" s="231"/>
      <c r="E12" s="232" t="s">
        <v>6</v>
      </c>
      <c r="F12" s="233"/>
      <c r="G12" s="104"/>
      <c r="H12" s="105"/>
    </row>
    <row r="13" spans="2:8" ht="35.25" customHeight="1" x14ac:dyDescent="0.25">
      <c r="B13" s="101"/>
      <c r="C13" s="237" t="s">
        <v>7</v>
      </c>
      <c r="D13" s="238"/>
      <c r="E13" s="239" t="s">
        <v>8</v>
      </c>
      <c r="F13" s="240"/>
      <c r="G13" s="104"/>
      <c r="H13" s="105"/>
    </row>
    <row r="14" spans="2:8" ht="17.25" customHeight="1" x14ac:dyDescent="0.25">
      <c r="B14" s="101"/>
      <c r="C14" s="237" t="s">
        <v>9</v>
      </c>
      <c r="D14" s="238"/>
      <c r="E14" s="239" t="s">
        <v>10</v>
      </c>
      <c r="F14" s="240"/>
      <c r="G14" s="104"/>
      <c r="H14" s="105"/>
    </row>
    <row r="15" spans="2:8" ht="19.5" customHeight="1" x14ac:dyDescent="0.25">
      <c r="B15" s="101"/>
      <c r="C15" s="237" t="s">
        <v>11</v>
      </c>
      <c r="D15" s="238"/>
      <c r="E15" s="239" t="s">
        <v>12</v>
      </c>
      <c r="F15" s="240"/>
      <c r="G15" s="104"/>
      <c r="H15" s="105"/>
    </row>
    <row r="16" spans="2:8" ht="69.75" customHeight="1" x14ac:dyDescent="0.25">
      <c r="B16" s="101"/>
      <c r="C16" s="237" t="s">
        <v>13</v>
      </c>
      <c r="D16" s="238"/>
      <c r="E16" s="239" t="s">
        <v>14</v>
      </c>
      <c r="F16" s="240"/>
      <c r="G16" s="104"/>
      <c r="H16" s="105"/>
    </row>
    <row r="17" spans="2:8" ht="34.5" customHeight="1" x14ac:dyDescent="0.25">
      <c r="B17" s="101"/>
      <c r="C17" s="241" t="s">
        <v>15</v>
      </c>
      <c r="D17" s="242"/>
      <c r="E17" s="243" t="s">
        <v>16</v>
      </c>
      <c r="F17" s="244"/>
      <c r="G17" s="104"/>
      <c r="H17" s="105"/>
    </row>
    <row r="18" spans="2:8" ht="27.75" customHeight="1" x14ac:dyDescent="0.25">
      <c r="B18" s="101"/>
      <c r="C18" s="241" t="s">
        <v>17</v>
      </c>
      <c r="D18" s="242"/>
      <c r="E18" s="243" t="s">
        <v>18</v>
      </c>
      <c r="F18" s="244"/>
      <c r="G18" s="104"/>
      <c r="H18" s="105"/>
    </row>
    <row r="19" spans="2:8" ht="28.5" customHeight="1" x14ac:dyDescent="0.25">
      <c r="B19" s="101"/>
      <c r="C19" s="241" t="s">
        <v>19</v>
      </c>
      <c r="D19" s="242"/>
      <c r="E19" s="243" t="s">
        <v>20</v>
      </c>
      <c r="F19" s="244"/>
      <c r="G19" s="104"/>
      <c r="H19" s="105"/>
    </row>
    <row r="20" spans="2:8" ht="72.75" customHeight="1" x14ac:dyDescent="0.25">
      <c r="B20" s="101"/>
      <c r="C20" s="241" t="s">
        <v>21</v>
      </c>
      <c r="D20" s="242"/>
      <c r="E20" s="243" t="s">
        <v>22</v>
      </c>
      <c r="F20" s="244"/>
      <c r="G20" s="104"/>
      <c r="H20" s="105"/>
    </row>
    <row r="21" spans="2:8" ht="64.5" customHeight="1" x14ac:dyDescent="0.25">
      <c r="B21" s="101"/>
      <c r="C21" s="241" t="s">
        <v>23</v>
      </c>
      <c r="D21" s="242"/>
      <c r="E21" s="243" t="s">
        <v>24</v>
      </c>
      <c r="F21" s="244"/>
      <c r="G21" s="104"/>
      <c r="H21" s="105"/>
    </row>
    <row r="22" spans="2:8" ht="71.25" customHeight="1" x14ac:dyDescent="0.25">
      <c r="B22" s="101"/>
      <c r="C22" s="241" t="s">
        <v>25</v>
      </c>
      <c r="D22" s="242"/>
      <c r="E22" s="243" t="s">
        <v>26</v>
      </c>
      <c r="F22" s="244"/>
      <c r="G22" s="104"/>
      <c r="H22" s="105"/>
    </row>
    <row r="23" spans="2:8" ht="55.5" customHeight="1" x14ac:dyDescent="0.25">
      <c r="B23" s="101"/>
      <c r="C23" s="248" t="s">
        <v>27</v>
      </c>
      <c r="D23" s="249"/>
      <c r="E23" s="243" t="s">
        <v>28</v>
      </c>
      <c r="F23" s="244"/>
      <c r="G23" s="104"/>
      <c r="H23" s="105"/>
    </row>
    <row r="24" spans="2:8" ht="42" customHeight="1" x14ac:dyDescent="0.25">
      <c r="B24" s="101"/>
      <c r="C24" s="248" t="s">
        <v>29</v>
      </c>
      <c r="D24" s="249"/>
      <c r="E24" s="243" t="s">
        <v>30</v>
      </c>
      <c r="F24" s="244"/>
      <c r="G24" s="104"/>
      <c r="H24" s="105"/>
    </row>
    <row r="25" spans="2:8" ht="59.25" customHeight="1" x14ac:dyDescent="0.25">
      <c r="B25" s="101"/>
      <c r="C25" s="248" t="s">
        <v>31</v>
      </c>
      <c r="D25" s="249"/>
      <c r="E25" s="243" t="s">
        <v>32</v>
      </c>
      <c r="F25" s="244"/>
      <c r="G25" s="104"/>
      <c r="H25" s="105"/>
    </row>
    <row r="26" spans="2:8" ht="23.25" customHeight="1" x14ac:dyDescent="0.25">
      <c r="B26" s="101"/>
      <c r="C26" s="248" t="s">
        <v>33</v>
      </c>
      <c r="D26" s="249"/>
      <c r="E26" s="243" t="s">
        <v>34</v>
      </c>
      <c r="F26" s="244"/>
      <c r="G26" s="104"/>
      <c r="H26" s="105"/>
    </row>
    <row r="27" spans="2:8" ht="30.75" customHeight="1" x14ac:dyDescent="0.25">
      <c r="B27" s="101"/>
      <c r="C27" s="248" t="s">
        <v>35</v>
      </c>
      <c r="D27" s="249"/>
      <c r="E27" s="243" t="s">
        <v>36</v>
      </c>
      <c r="F27" s="244"/>
      <c r="G27" s="104"/>
      <c r="H27" s="105"/>
    </row>
    <row r="28" spans="2:8" ht="35.25" customHeight="1" x14ac:dyDescent="0.25">
      <c r="B28" s="101"/>
      <c r="C28" s="248" t="s">
        <v>37</v>
      </c>
      <c r="D28" s="249"/>
      <c r="E28" s="243" t="s">
        <v>38</v>
      </c>
      <c r="F28" s="244"/>
      <c r="G28" s="104"/>
      <c r="H28" s="105"/>
    </row>
    <row r="29" spans="2:8" ht="33" customHeight="1" x14ac:dyDescent="0.25">
      <c r="B29" s="101"/>
      <c r="C29" s="248" t="s">
        <v>37</v>
      </c>
      <c r="D29" s="249"/>
      <c r="E29" s="243" t="s">
        <v>38</v>
      </c>
      <c r="F29" s="244"/>
      <c r="G29" s="104"/>
      <c r="H29" s="105"/>
    </row>
    <row r="30" spans="2:8" ht="30" customHeight="1" x14ac:dyDescent="0.25">
      <c r="B30" s="101"/>
      <c r="C30" s="248" t="s">
        <v>39</v>
      </c>
      <c r="D30" s="249"/>
      <c r="E30" s="243" t="s">
        <v>40</v>
      </c>
      <c r="F30" s="244"/>
      <c r="G30" s="104"/>
      <c r="H30" s="105"/>
    </row>
    <row r="31" spans="2:8" ht="35.25" customHeight="1" x14ac:dyDescent="0.25">
      <c r="B31" s="101"/>
      <c r="C31" s="248" t="s">
        <v>41</v>
      </c>
      <c r="D31" s="249"/>
      <c r="E31" s="243" t="s">
        <v>42</v>
      </c>
      <c r="F31" s="244"/>
      <c r="G31" s="104"/>
      <c r="H31" s="105"/>
    </row>
    <row r="32" spans="2:8" ht="31.5" customHeight="1" x14ac:dyDescent="0.25">
      <c r="B32" s="101"/>
      <c r="C32" s="248" t="s">
        <v>43</v>
      </c>
      <c r="D32" s="249"/>
      <c r="E32" s="243" t="s">
        <v>44</v>
      </c>
      <c r="F32" s="244"/>
      <c r="G32" s="104"/>
      <c r="H32" s="105"/>
    </row>
    <row r="33" spans="2:8" ht="35.25" customHeight="1" x14ac:dyDescent="0.25">
      <c r="B33" s="101"/>
      <c r="C33" s="248" t="s">
        <v>45</v>
      </c>
      <c r="D33" s="249"/>
      <c r="E33" s="243" t="s">
        <v>46</v>
      </c>
      <c r="F33" s="244"/>
      <c r="G33" s="104"/>
      <c r="H33" s="105"/>
    </row>
    <row r="34" spans="2:8" ht="59.25" customHeight="1" x14ac:dyDescent="0.25">
      <c r="B34" s="101"/>
      <c r="C34" s="248" t="s">
        <v>47</v>
      </c>
      <c r="D34" s="249"/>
      <c r="E34" s="243" t="s">
        <v>48</v>
      </c>
      <c r="F34" s="244"/>
      <c r="G34" s="104"/>
      <c r="H34" s="105"/>
    </row>
    <row r="35" spans="2:8" ht="29.25" customHeight="1" x14ac:dyDescent="0.25">
      <c r="B35" s="101"/>
      <c r="C35" s="248" t="s">
        <v>49</v>
      </c>
      <c r="D35" s="249"/>
      <c r="E35" s="243" t="s">
        <v>50</v>
      </c>
      <c r="F35" s="244"/>
      <c r="G35" s="104"/>
      <c r="H35" s="105"/>
    </row>
    <row r="36" spans="2:8" ht="82.5" customHeight="1" x14ac:dyDescent="0.25">
      <c r="B36" s="101"/>
      <c r="C36" s="248" t="s">
        <v>51</v>
      </c>
      <c r="D36" s="249"/>
      <c r="E36" s="243" t="s">
        <v>52</v>
      </c>
      <c r="F36" s="244"/>
      <c r="G36" s="104"/>
      <c r="H36" s="105"/>
    </row>
    <row r="37" spans="2:8" ht="46.5" customHeight="1" x14ac:dyDescent="0.25">
      <c r="B37" s="101"/>
      <c r="C37" s="248" t="s">
        <v>53</v>
      </c>
      <c r="D37" s="249"/>
      <c r="E37" s="243" t="s">
        <v>54</v>
      </c>
      <c r="F37" s="244"/>
      <c r="G37" s="104"/>
      <c r="H37" s="105"/>
    </row>
    <row r="38" spans="2:8" ht="6.75" customHeight="1" thickBot="1" x14ac:dyDescent="0.3">
      <c r="B38" s="101"/>
      <c r="C38" s="250"/>
      <c r="D38" s="251"/>
      <c r="E38" s="252"/>
      <c r="F38" s="253"/>
      <c r="G38" s="104"/>
      <c r="H38" s="105"/>
    </row>
    <row r="39" spans="2:8" ht="15.75" thickTop="1" x14ac:dyDescent="0.25">
      <c r="B39" s="101"/>
      <c r="C39" s="102"/>
      <c r="D39" s="102"/>
      <c r="E39" s="103"/>
      <c r="F39" s="103"/>
      <c r="G39" s="104"/>
      <c r="H39" s="105"/>
    </row>
    <row r="40" spans="2:8" ht="21" customHeight="1" x14ac:dyDescent="0.25">
      <c r="B40" s="245" t="s">
        <v>55</v>
      </c>
      <c r="C40" s="246"/>
      <c r="D40" s="246"/>
      <c r="E40" s="246"/>
      <c r="F40" s="246"/>
      <c r="G40" s="246"/>
      <c r="H40" s="247"/>
    </row>
    <row r="41" spans="2:8" ht="20.25" customHeight="1" x14ac:dyDescent="0.25">
      <c r="B41" s="245" t="s">
        <v>56</v>
      </c>
      <c r="C41" s="246"/>
      <c r="D41" s="246"/>
      <c r="E41" s="246"/>
      <c r="F41" s="246"/>
      <c r="G41" s="246"/>
      <c r="H41" s="247"/>
    </row>
    <row r="42" spans="2:8" ht="20.25" customHeight="1" x14ac:dyDescent="0.25">
      <c r="B42" s="245" t="s">
        <v>57</v>
      </c>
      <c r="C42" s="246"/>
      <c r="D42" s="246"/>
      <c r="E42" s="246"/>
      <c r="F42" s="246"/>
      <c r="G42" s="246"/>
      <c r="H42" s="247"/>
    </row>
    <row r="43" spans="2:8" ht="20.25" customHeight="1" x14ac:dyDescent="0.25">
      <c r="B43" s="245" t="s">
        <v>58</v>
      </c>
      <c r="C43" s="246"/>
      <c r="D43" s="246"/>
      <c r="E43" s="246"/>
      <c r="F43" s="246"/>
      <c r="G43" s="246"/>
      <c r="H43" s="247"/>
    </row>
    <row r="44" spans="2:8" x14ac:dyDescent="0.25">
      <c r="B44" s="245" t="s">
        <v>59</v>
      </c>
      <c r="C44" s="246"/>
      <c r="D44" s="246"/>
      <c r="E44" s="246"/>
      <c r="F44" s="246"/>
      <c r="G44" s="246"/>
      <c r="H44" s="247"/>
    </row>
    <row r="45" spans="2:8" ht="15.75" thickBot="1" x14ac:dyDescent="0.3">
      <c r="B45" s="106"/>
      <c r="C45" s="107"/>
      <c r="D45" s="107"/>
      <c r="E45" s="107"/>
      <c r="F45" s="107"/>
      <c r="G45" s="107"/>
      <c r="H45" s="10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W1048576"/>
  <sheetViews>
    <sheetView showGridLines="0" tabSelected="1" zoomScale="90" zoomScaleNormal="90" workbookViewId="0">
      <selection activeCell="AS25" sqref="AS25"/>
    </sheetView>
  </sheetViews>
  <sheetFormatPr baseColWidth="10" defaultColWidth="11.42578125" defaultRowHeight="16.5" x14ac:dyDescent="0.3"/>
  <cols>
    <col min="1" max="1" width="4.7109375" style="2" customWidth="1"/>
    <col min="2" max="2" width="34.42578125" style="2" customWidth="1"/>
    <col min="3" max="3" width="33.7109375" style="2" customWidth="1"/>
    <col min="4" max="4" width="12" style="2" customWidth="1"/>
    <col min="5" max="5" width="12" style="153" customWidth="1"/>
    <col min="6" max="6" width="14.140625" style="2" customWidth="1"/>
    <col min="7" max="7" width="13.140625" style="2" customWidth="1"/>
    <col min="8" max="8" width="16.140625" style="2" customWidth="1"/>
    <col min="9" max="9" width="32.42578125" style="1" customWidth="1"/>
    <col min="10" max="12" width="19" style="4" customWidth="1"/>
    <col min="13" max="13" width="17.7109375" style="1" customWidth="1"/>
    <col min="14" max="14" width="16.42578125" style="1" customWidth="1"/>
    <col min="15" max="15" width="6.28515625" style="1" bestFit="1" customWidth="1"/>
    <col min="16" max="16" width="27.28515625" style="1" bestFit="1" customWidth="1"/>
    <col min="17" max="17" width="16.140625" style="156" hidden="1" customWidth="1"/>
    <col min="18" max="18" width="17.42578125" style="1" customWidth="1"/>
    <col min="19" max="19" width="6.28515625" style="1" bestFit="1" customWidth="1"/>
    <col min="20" max="20" width="16" style="1" customWidth="1"/>
    <col min="21" max="21" width="5.7109375" style="1" customWidth="1"/>
    <col min="22" max="23" width="31" style="1" customWidth="1"/>
    <col min="24" max="24" width="15.140625" style="1" bestFit="1" customWidth="1"/>
    <col min="25" max="25" width="6.7109375" style="156" customWidth="1"/>
    <col min="26" max="26" width="5" style="156" customWidth="1"/>
    <col min="27" max="27" width="5.42578125" style="156" customWidth="1"/>
    <col min="28" max="28" width="7.140625" style="156" customWidth="1"/>
    <col min="29" max="29" width="6.7109375" style="156" customWidth="1"/>
    <col min="30" max="30" width="7.42578125" style="156" customWidth="1"/>
    <col min="31" max="31" width="36.85546875" style="156" bestFit="1" customWidth="1"/>
    <col min="32" max="32" width="8.7109375" style="156" customWidth="1"/>
    <col min="33" max="33" width="10.42578125" style="1" customWidth="1"/>
    <col min="34" max="34" width="9.28515625" style="156" customWidth="1"/>
    <col min="35" max="35" width="9.140625" style="1" customWidth="1"/>
    <col min="36" max="36" width="8.42578125" style="156" customWidth="1"/>
    <col min="37" max="37" width="7.28515625" style="156" customWidth="1"/>
    <col min="38" max="38" width="23" style="1" customWidth="1"/>
    <col min="39" max="39" width="18.7109375" style="1" customWidth="1"/>
    <col min="40" max="40" width="16.7109375" style="1" customWidth="1"/>
    <col min="41" max="41" width="14.7109375" style="1" customWidth="1"/>
    <col min="42" max="42" width="25" style="1" customWidth="1"/>
    <col min="43" max="43" width="21" style="1" customWidth="1"/>
    <col min="44" max="44" width="14.140625" style="1" customWidth="1"/>
    <col min="45" max="45" width="49.85546875" style="1" customWidth="1"/>
    <col min="46" max="46" width="20.7109375" style="1" customWidth="1"/>
    <col min="47" max="47" width="15.42578125" style="1" customWidth="1"/>
    <col min="48" max="48" width="19.5703125" style="1" customWidth="1"/>
    <col min="49" max="49" width="17.28515625" style="1" customWidth="1"/>
    <col min="50" max="16384" width="11.42578125" style="1"/>
  </cols>
  <sheetData>
    <row r="1" spans="1:75" x14ac:dyDescent="0.3">
      <c r="A1" s="260"/>
      <c r="B1" s="260"/>
      <c r="C1" s="260"/>
      <c r="D1" s="260"/>
      <c r="E1" s="260"/>
      <c r="F1" s="260"/>
      <c r="G1" s="262" t="s">
        <v>60</v>
      </c>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54" t="s">
        <v>61</v>
      </c>
      <c r="AW1" s="254"/>
    </row>
    <row r="2" spans="1:75" x14ac:dyDescent="0.3">
      <c r="A2" s="260"/>
      <c r="B2" s="260"/>
      <c r="C2" s="260"/>
      <c r="D2" s="260"/>
      <c r="E2" s="260"/>
      <c r="F2" s="260"/>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54" t="s">
        <v>62</v>
      </c>
      <c r="AW2" s="254"/>
    </row>
    <row r="3" spans="1:75" x14ac:dyDescent="0.3">
      <c r="A3" s="260"/>
      <c r="B3" s="260"/>
      <c r="C3" s="260"/>
      <c r="D3" s="260"/>
      <c r="E3" s="260"/>
      <c r="F3" s="260"/>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54" t="s">
        <v>63</v>
      </c>
      <c r="AW3" s="254"/>
    </row>
    <row r="4" spans="1:75" ht="54" customHeight="1" x14ac:dyDescent="0.3">
      <c r="A4" s="260"/>
      <c r="B4" s="260"/>
      <c r="C4" s="260"/>
      <c r="D4" s="260"/>
      <c r="E4" s="260"/>
      <c r="F4" s="260"/>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54" t="s">
        <v>64</v>
      </c>
      <c r="AW4" s="254"/>
    </row>
    <row r="5" spans="1:75" ht="27" hidden="1" x14ac:dyDescent="0.3">
      <c r="A5" s="140"/>
      <c r="B5" s="141"/>
      <c r="C5" s="141"/>
      <c r="D5" s="141"/>
      <c r="E5" s="141"/>
      <c r="F5" s="141"/>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7"/>
      <c r="AW5" s="143"/>
    </row>
    <row r="6" spans="1:75" ht="23.25" hidden="1" x14ac:dyDescent="0.3">
      <c r="A6" s="275" t="s">
        <v>65</v>
      </c>
      <c r="B6" s="276"/>
      <c r="C6" s="276"/>
      <c r="D6" s="277"/>
      <c r="E6" s="256"/>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8"/>
      <c r="AX6" s="5"/>
      <c r="AY6" s="5"/>
      <c r="AZ6" s="5"/>
      <c r="BA6" s="5"/>
      <c r="BB6" s="5"/>
      <c r="BC6" s="5"/>
      <c r="BD6" s="5"/>
      <c r="BE6" s="5"/>
      <c r="BF6" s="5"/>
      <c r="BG6" s="5"/>
      <c r="BH6" s="5"/>
      <c r="BI6" s="5"/>
      <c r="BJ6" s="5"/>
      <c r="BK6" s="5"/>
      <c r="BL6" s="5"/>
      <c r="BM6" s="5"/>
      <c r="BN6" s="5"/>
      <c r="BO6" s="5"/>
      <c r="BP6" s="5"/>
      <c r="BQ6" s="5"/>
      <c r="BR6" s="5"/>
      <c r="BS6" s="5"/>
      <c r="BT6" s="5"/>
      <c r="BU6" s="5"/>
      <c r="BV6" s="5"/>
      <c r="BW6" s="5"/>
    </row>
    <row r="7" spans="1:75" ht="23.25" hidden="1" x14ac:dyDescent="0.3">
      <c r="A7" s="275" t="s">
        <v>66</v>
      </c>
      <c r="B7" s="276"/>
      <c r="C7" s="276"/>
      <c r="D7" s="277"/>
      <c r="E7" s="256"/>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8"/>
      <c r="AX7" s="5"/>
      <c r="AY7" s="5"/>
      <c r="AZ7" s="5"/>
      <c r="BA7" s="5"/>
      <c r="BB7" s="5"/>
      <c r="BC7" s="5"/>
      <c r="BD7" s="5"/>
      <c r="BE7" s="5"/>
      <c r="BF7" s="5"/>
      <c r="BG7" s="5"/>
      <c r="BH7" s="5"/>
      <c r="BI7" s="5"/>
      <c r="BJ7" s="5"/>
      <c r="BK7" s="5"/>
      <c r="BL7" s="5"/>
      <c r="BM7" s="5"/>
      <c r="BN7" s="5"/>
      <c r="BO7" s="5"/>
      <c r="BP7" s="5"/>
      <c r="BQ7" s="5"/>
      <c r="BR7" s="5"/>
      <c r="BS7" s="5"/>
      <c r="BT7" s="5"/>
      <c r="BU7" s="5"/>
      <c r="BV7" s="5"/>
      <c r="BW7" s="5"/>
    </row>
    <row r="8" spans="1:75" ht="23.25" hidden="1" x14ac:dyDescent="0.3">
      <c r="A8" s="275" t="s">
        <v>67</v>
      </c>
      <c r="B8" s="276"/>
      <c r="C8" s="276"/>
      <c r="D8" s="277"/>
      <c r="E8" s="256"/>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8"/>
      <c r="AX8" s="5"/>
      <c r="AY8" s="5"/>
      <c r="AZ8" s="5"/>
      <c r="BA8" s="5"/>
      <c r="BB8" s="5"/>
      <c r="BC8" s="5"/>
      <c r="BD8" s="5"/>
      <c r="BE8" s="5"/>
      <c r="BF8" s="5"/>
      <c r="BG8" s="5"/>
      <c r="BH8" s="5"/>
      <c r="BI8" s="5"/>
      <c r="BJ8" s="5"/>
      <c r="BK8" s="5"/>
      <c r="BL8" s="5"/>
      <c r="BM8" s="5"/>
      <c r="BN8" s="5"/>
      <c r="BO8" s="5"/>
      <c r="BP8" s="5"/>
      <c r="BQ8" s="5"/>
      <c r="BR8" s="5"/>
      <c r="BS8" s="5"/>
      <c r="BT8" s="5"/>
      <c r="BU8" s="5"/>
      <c r="BV8" s="5"/>
      <c r="BW8" s="5"/>
    </row>
    <row r="9" spans="1:75" x14ac:dyDescent="0.3">
      <c r="A9" s="261" t="s">
        <v>68</v>
      </c>
      <c r="B9" s="261"/>
      <c r="C9" s="261"/>
      <c r="D9" s="261"/>
      <c r="E9" s="261"/>
      <c r="F9" s="261"/>
      <c r="G9" s="274"/>
      <c r="H9" s="274"/>
      <c r="I9" s="274"/>
      <c r="J9" s="274"/>
      <c r="K9" s="274"/>
      <c r="L9" s="274"/>
      <c r="M9" s="274"/>
      <c r="N9" s="274" t="s">
        <v>69</v>
      </c>
      <c r="O9" s="274"/>
      <c r="P9" s="274"/>
      <c r="Q9" s="274"/>
      <c r="R9" s="274"/>
      <c r="S9" s="274"/>
      <c r="T9" s="274"/>
      <c r="U9" s="274" t="s">
        <v>70</v>
      </c>
      <c r="V9" s="274"/>
      <c r="W9" s="274"/>
      <c r="X9" s="274"/>
      <c r="Y9" s="274"/>
      <c r="Z9" s="274"/>
      <c r="AA9" s="274"/>
      <c r="AB9" s="274"/>
      <c r="AC9" s="274"/>
      <c r="AD9" s="274"/>
      <c r="AE9" s="274" t="s">
        <v>71</v>
      </c>
      <c r="AF9" s="274"/>
      <c r="AG9" s="274"/>
      <c r="AH9" s="274"/>
      <c r="AI9" s="274"/>
      <c r="AJ9" s="274"/>
      <c r="AK9" s="274"/>
      <c r="AL9" s="272" t="s">
        <v>72</v>
      </c>
      <c r="AM9" s="273"/>
      <c r="AN9" s="273"/>
      <c r="AO9" s="273"/>
      <c r="AP9" s="273"/>
      <c r="AQ9" s="273"/>
      <c r="AR9" s="273"/>
      <c r="AS9" s="273"/>
      <c r="AT9" s="273"/>
      <c r="AU9" s="273"/>
      <c r="AV9" s="273"/>
      <c r="AW9" s="273"/>
      <c r="AX9" s="5"/>
      <c r="AY9" s="5"/>
      <c r="AZ9" s="5"/>
      <c r="BA9" s="5"/>
      <c r="BB9" s="5"/>
      <c r="BC9" s="5"/>
      <c r="BD9" s="5"/>
      <c r="BE9" s="5"/>
      <c r="BF9" s="5"/>
      <c r="BG9" s="5"/>
      <c r="BH9" s="5"/>
      <c r="BI9" s="5"/>
      <c r="BJ9" s="5"/>
      <c r="BK9" s="5"/>
      <c r="BL9" s="5"/>
      <c r="BM9" s="5"/>
      <c r="BN9" s="5"/>
      <c r="BO9" s="5"/>
      <c r="BP9" s="5"/>
      <c r="BQ9" s="5"/>
      <c r="BR9" s="5"/>
      <c r="BS9" s="5"/>
      <c r="BT9" s="5"/>
      <c r="BU9" s="5"/>
      <c r="BV9" s="5"/>
      <c r="BW9" s="5"/>
    </row>
    <row r="10" spans="1:75" ht="16.5" customHeight="1" x14ac:dyDescent="0.3">
      <c r="A10" s="278" t="s">
        <v>73</v>
      </c>
      <c r="B10" s="261" t="s">
        <v>7</v>
      </c>
      <c r="C10" s="261" t="s">
        <v>9</v>
      </c>
      <c r="D10" s="261" t="s">
        <v>74</v>
      </c>
      <c r="E10" s="255" t="s">
        <v>75</v>
      </c>
      <c r="F10" s="261" t="s">
        <v>15</v>
      </c>
      <c r="G10" s="255" t="s">
        <v>17</v>
      </c>
      <c r="H10" s="255" t="s">
        <v>19</v>
      </c>
      <c r="I10" s="261" t="s">
        <v>21</v>
      </c>
      <c r="J10" s="255" t="s">
        <v>23</v>
      </c>
      <c r="K10" s="255" t="s">
        <v>76</v>
      </c>
      <c r="L10" s="255" t="s">
        <v>77</v>
      </c>
      <c r="M10" s="255" t="s">
        <v>78</v>
      </c>
      <c r="N10" s="255" t="s">
        <v>79</v>
      </c>
      <c r="O10" s="261" t="s">
        <v>80</v>
      </c>
      <c r="P10" s="255" t="s">
        <v>81</v>
      </c>
      <c r="Q10" s="255" t="s">
        <v>82</v>
      </c>
      <c r="R10" s="255" t="s">
        <v>83</v>
      </c>
      <c r="S10" s="261" t="s">
        <v>80</v>
      </c>
      <c r="T10" s="255" t="s">
        <v>29</v>
      </c>
      <c r="U10" s="259" t="s">
        <v>84</v>
      </c>
      <c r="V10" s="255" t="s">
        <v>31</v>
      </c>
      <c r="W10" s="255" t="s">
        <v>85</v>
      </c>
      <c r="X10" s="255" t="s">
        <v>33</v>
      </c>
      <c r="Y10" s="255" t="s">
        <v>86</v>
      </c>
      <c r="Z10" s="255"/>
      <c r="AA10" s="255"/>
      <c r="AB10" s="255"/>
      <c r="AC10" s="255"/>
      <c r="AD10" s="255"/>
      <c r="AE10" s="259" t="s">
        <v>87</v>
      </c>
      <c r="AF10" s="259" t="s">
        <v>88</v>
      </c>
      <c r="AG10" s="259" t="s">
        <v>80</v>
      </c>
      <c r="AH10" s="259" t="s">
        <v>89</v>
      </c>
      <c r="AI10" s="259" t="s">
        <v>80</v>
      </c>
      <c r="AJ10" s="259" t="s">
        <v>90</v>
      </c>
      <c r="AK10" s="259" t="s">
        <v>49</v>
      </c>
      <c r="AL10" s="255" t="s">
        <v>72</v>
      </c>
      <c r="AM10" s="255" t="s">
        <v>91</v>
      </c>
      <c r="AN10" s="255" t="s">
        <v>92</v>
      </c>
      <c r="AO10" s="255" t="s">
        <v>93</v>
      </c>
      <c r="AP10" s="255" t="s">
        <v>94</v>
      </c>
      <c r="AQ10" s="255" t="s">
        <v>53</v>
      </c>
      <c r="AR10" s="255" t="s">
        <v>93</v>
      </c>
      <c r="AS10" s="255" t="s">
        <v>95</v>
      </c>
      <c r="AT10" s="255" t="s">
        <v>53</v>
      </c>
      <c r="AU10" s="255" t="s">
        <v>93</v>
      </c>
      <c r="AV10" s="255" t="s">
        <v>96</v>
      </c>
      <c r="AW10" s="255" t="s">
        <v>53</v>
      </c>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row>
    <row r="11" spans="1:75" s="3" customFormat="1" ht="94.5" customHeight="1" x14ac:dyDescent="0.25">
      <c r="A11" s="278"/>
      <c r="B11" s="261"/>
      <c r="C11" s="261"/>
      <c r="D11" s="261"/>
      <c r="E11" s="255"/>
      <c r="F11" s="261"/>
      <c r="G11" s="255"/>
      <c r="H11" s="255"/>
      <c r="I11" s="261"/>
      <c r="J11" s="255"/>
      <c r="K11" s="255"/>
      <c r="L11" s="255"/>
      <c r="M11" s="255"/>
      <c r="N11" s="255"/>
      <c r="O11" s="261"/>
      <c r="P11" s="255"/>
      <c r="Q11" s="255"/>
      <c r="R11" s="261"/>
      <c r="S11" s="261"/>
      <c r="T11" s="255"/>
      <c r="U11" s="259"/>
      <c r="V11" s="255"/>
      <c r="W11" s="255"/>
      <c r="X11" s="255"/>
      <c r="Y11" s="192" t="s">
        <v>74</v>
      </c>
      <c r="Z11" s="192" t="s">
        <v>97</v>
      </c>
      <c r="AA11" s="192" t="s">
        <v>98</v>
      </c>
      <c r="AB11" s="192" t="s">
        <v>99</v>
      </c>
      <c r="AC11" s="192" t="s">
        <v>100</v>
      </c>
      <c r="AD11" s="192" t="s">
        <v>101</v>
      </c>
      <c r="AE11" s="259"/>
      <c r="AF11" s="259"/>
      <c r="AG11" s="259"/>
      <c r="AH11" s="259"/>
      <c r="AI11" s="259"/>
      <c r="AJ11" s="259"/>
      <c r="AK11" s="259"/>
      <c r="AL11" s="255"/>
      <c r="AM11" s="255"/>
      <c r="AN11" s="255"/>
      <c r="AO11" s="255"/>
      <c r="AP11" s="255"/>
      <c r="AQ11" s="255"/>
      <c r="AR11" s="255"/>
      <c r="AS11" s="255"/>
      <c r="AT11" s="255"/>
      <c r="AU11" s="255"/>
      <c r="AV11" s="255"/>
      <c r="AW11" s="255"/>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s="3" customFormat="1" ht="9.75" customHeight="1" x14ac:dyDescent="0.25">
      <c r="A12" s="127"/>
      <c r="B12" s="127"/>
      <c r="C12" s="127"/>
      <c r="D12" s="146"/>
      <c r="E12" s="144"/>
      <c r="F12" s="146"/>
      <c r="G12" s="144"/>
      <c r="H12" s="144"/>
      <c r="I12" s="146"/>
      <c r="J12" s="144"/>
      <c r="K12" s="144"/>
      <c r="L12" s="144"/>
      <c r="M12" s="144"/>
      <c r="N12" s="144"/>
      <c r="O12" s="146"/>
      <c r="P12" s="144"/>
      <c r="Q12" s="144"/>
      <c r="R12" s="146"/>
      <c r="S12" s="146"/>
      <c r="T12" s="144"/>
      <c r="U12" s="145"/>
      <c r="V12" s="144"/>
      <c r="W12" s="144"/>
      <c r="X12" s="144"/>
      <c r="Y12" s="192"/>
      <c r="Z12" s="192"/>
      <c r="AA12" s="192"/>
      <c r="AB12" s="192"/>
      <c r="AC12" s="192"/>
      <c r="AD12" s="192"/>
      <c r="AE12" s="191"/>
      <c r="AF12" s="191"/>
      <c r="AG12" s="145"/>
      <c r="AH12" s="191"/>
      <c r="AI12" s="145"/>
      <c r="AJ12" s="191"/>
      <c r="AK12" s="462"/>
      <c r="AL12" s="144"/>
      <c r="AM12" s="144"/>
      <c r="AN12" s="144"/>
      <c r="AO12" s="144"/>
      <c r="AP12" s="144"/>
      <c r="AQ12" s="144"/>
      <c r="AR12" s="144"/>
      <c r="AS12" s="144"/>
      <c r="AT12" s="144"/>
      <c r="AU12" s="144"/>
      <c r="AV12" s="144"/>
      <c r="AW12" s="144"/>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row>
    <row r="13" spans="1:75" ht="262.5" customHeight="1" x14ac:dyDescent="0.3">
      <c r="A13" s="116">
        <v>1</v>
      </c>
      <c r="B13" s="150" t="s">
        <v>102</v>
      </c>
      <c r="C13" s="150" t="s">
        <v>103</v>
      </c>
      <c r="D13" s="116" t="s">
        <v>104</v>
      </c>
      <c r="E13" s="151" t="s">
        <v>105</v>
      </c>
      <c r="F13" s="117" t="s">
        <v>106</v>
      </c>
      <c r="G13" s="117" t="s">
        <v>107</v>
      </c>
      <c r="H13" s="117" t="s">
        <v>108</v>
      </c>
      <c r="I13" s="118" t="s">
        <v>109</v>
      </c>
      <c r="J13" s="117" t="s">
        <v>110</v>
      </c>
      <c r="K13" s="117" t="s">
        <v>111</v>
      </c>
      <c r="L13" s="117" t="s">
        <v>112</v>
      </c>
      <c r="M13" s="119">
        <v>2</v>
      </c>
      <c r="N13" s="120" t="str">
        <f>IF(M13&lt;=0,"",IF(M13&lt;=2,"Muy Baja",IF(M13&lt;=24,"Baja",IF(M13&lt;=500,"Media",IF(M13&lt;=5000,"Alta","Muy Alta")))))</f>
        <v>Muy Baja</v>
      </c>
      <c r="O13" s="121">
        <f>IF(N13="","",IF(N13="Muy Baja",0.2,IF(N13="Baja",0.4,IF(N13="Media",0.6,IF(N13="Alta",0.8,IF(N13="Muy Alta",1,))))))</f>
        <v>0.2</v>
      </c>
      <c r="P13" s="122" t="s">
        <v>113</v>
      </c>
      <c r="Q13" s="155" t="str">
        <f>IF(NOT(ISERROR(MATCH(P13,'Tabla Impacto'!$B$221:$B$223,0))),'Tabla Impacto'!$F$223&amp;"Por favor no seleccionar los criterios de impacto(Afectación Económica o presupuestal y Pérdida Reputacional)",P13)</f>
        <v xml:space="preserve">     El riesgo afecta la imagen de la entidad con algunos usuarios de relevancia frente al logro de los objetivos</v>
      </c>
      <c r="R13" s="120" t="str">
        <f>IF(OR(Q13='Tabla Impacto'!$C$11,Q13='Tabla Impacto'!$D$11),"Leve",IF(OR(Q13='Tabla Impacto'!$C$12,Q13='Tabla Impacto'!$D$12),"Menor",IF(OR(Q13='Tabla Impacto'!$C$13,Q13='Tabla Impacto'!$D$13),"Moderado",IF(OR(Q13='Tabla Impacto'!$C$14,Q13='Tabla Impacto'!$D$14),"Mayor",IF(OR(Q13='Tabla Impacto'!$C$15,Q13='Tabla Impacto'!$D$15),"Catastrófico","")))))</f>
        <v>Moderado</v>
      </c>
      <c r="S13" s="121">
        <v>0.2</v>
      </c>
      <c r="T13" s="123" t="str">
        <f>IF(OR(AND(N13="Muy Baja",R13="Leve"),AND(N13="Muy Baja",R13="Menor"),AND(N13="Baja",R13="Leve")),"Bajo",IF(OR(AND(N13="Muy baja",R13="Moderado"),AND(N13="Baja",R13="Menor"),AND(N13="Baja",R13="Moderado"),AND(N13="Media",R13="Leve"),AND(N13="Media",R13="Menor"),AND(N13="Media",R13="Moderado"),AND(N13="Alta",R13="Leve"),AND(N13="Alta",R13="Menor")),"Moderado",IF(OR(AND(N13="Muy Baja",R13="Mayor"),AND(N13="Baja",R13="Mayor"),AND(N13="Media",R13="Mayor"),AND(N13="Alta",R13="Moderado"),AND(N13="Alta",R13="Mayor"),AND(N13="Muy Alta",R13="Leve"),AND(N13="Muy Alta",R13="Menor"),AND(N13="Muy Alta",R13="Moderado"),AND(N13="Muy Alta",R13="Mayor")),"Alto",IF(OR(AND(N13="Muy Baja",R13="Catastrófico"),AND(N13="Baja",R13="Catastrófico"),AND(N13="Media",R13="Catastrófico"),AND(N13="Alta",R13="Catastrófico"),AND(N13="Muy Alta",R13="Catastrófico")),"Extremo",""))))</f>
        <v>Moderado</v>
      </c>
      <c r="U13" s="116">
        <v>1</v>
      </c>
      <c r="V13" s="148" t="s">
        <v>114</v>
      </c>
      <c r="W13" s="148" t="s">
        <v>115</v>
      </c>
      <c r="X13" s="124" t="s">
        <v>116</v>
      </c>
      <c r="Y13" s="196" t="s">
        <v>117</v>
      </c>
      <c r="Z13" s="196" t="s">
        <v>118</v>
      </c>
      <c r="AA13" s="125" t="str">
        <f>IF(AND(Y13="Preventivo",Z13="Automático"),"50%",IF(AND(Y13="Preventivo",Z13="Manual"),"40%",IF(AND(Y13="Detectivo",Z13="Automático"),"40%",IF(AND(Y13="Detectivo",Z13="Manual"),"30%",IF(AND(Y13="Correctivo",Z13="Automático"),"35%",IF(AND(Y13="Correctivo",Z13="Manual"),"25%",""))))))</f>
        <v>30%</v>
      </c>
      <c r="AB13" s="196" t="s">
        <v>119</v>
      </c>
      <c r="AC13" s="196" t="s">
        <v>120</v>
      </c>
      <c r="AD13" s="196" t="s">
        <v>121</v>
      </c>
      <c r="AE13" s="209">
        <f>IFERROR(IF(X13="Probabilidad",(O13-(+O13*AA13)),IF(X13="Impacto",O13,"")),"")</f>
        <v>0.14000000000000001</v>
      </c>
      <c r="AF13" s="200" t="str">
        <f>IFERROR(IF(AE13="","",IF(AE13&lt;=0.2,"Muy Baja",IF(AE13&lt;=0.4,"Baja",IF(AE13&lt;=0.6,"Media",IF(AE13&lt;=0.8,"Alta","Muy Alta"))))),"")</f>
        <v>Muy Baja</v>
      </c>
      <c r="AG13" s="125">
        <f>+AE13</f>
        <v>0.14000000000000001</v>
      </c>
      <c r="AH13" s="200" t="str">
        <f>IFERROR(IF(AI13="","",IF(AI13&lt;=0.2,"Leve",IF(AI13&lt;=0.4,"Menor",IF(AI13&lt;=0.6,"Moderado",IF(AI13&lt;=0.8,"Mayor","Catastrófico"))))),"")</f>
        <v>Leve</v>
      </c>
      <c r="AI13" s="125">
        <f>IFERROR(IF(X13="Impacto",(S13-(+S13*AA13)),IF(X13="Probabilidad",S13,"")),"")</f>
        <v>0.2</v>
      </c>
      <c r="AJ13" s="202" t="str">
        <f>IFERROR(IF(OR(AND(AF13="Muy Baja",AH13="Leve"),AND(AF13="Muy Baja",AH13="Menor"),AND(AF13="Baja",AH13="Leve")),"Bajo",IF(OR(AND(AF13="Muy baja",AH13="Moderado"),AND(AF13="Baja",AH13="Menor"),AND(AF13="Baja",AH13="Moderado"),AND(AF13="Media",AH13="Leve"),AND(AF13="Media",AH13="Menor"),AND(AF13="Media",AH13="Moderado"),AND(AF13="Alta",AH13="Leve"),AND(AF13="Alta",AH13="Menor")),"Moderado",IF(OR(AND(AF13="Muy Baja",AH13="Mayor"),AND(AF13="Baja",AH13="Mayor"),AND(AF13="Media",AH13="Mayor"),AND(AF13="Alta",AH13="Moderado"),AND(AF13="Alta",AH13="Mayor"),AND(AF13="Muy Alta",AH13="Leve"),AND(AF13="Muy Alta",AH13="Menor"),AND(AF13="Muy Alta",AH13="Moderado"),AND(AF13="Muy Alta",AH13="Mayor")),"Alto",IF(OR(AND(AF13="Muy Baja",AH13="Catastrófico"),AND(AF13="Baja",AH13="Catastrófico"),AND(AF13="Media",AH13="Catastrófico"),AND(AF13="Alta",AH13="Catastrófico"),AND(AF13="Muy Alta",AH13="Catastrófico")),"Extremo","")))),"")</f>
        <v>Bajo</v>
      </c>
      <c r="AK13" s="196" t="s">
        <v>122</v>
      </c>
      <c r="AL13" s="211" t="s">
        <v>409</v>
      </c>
      <c r="AM13" s="211" t="s">
        <v>410</v>
      </c>
      <c r="AN13" s="213">
        <v>44926</v>
      </c>
      <c r="AO13" s="204" t="s">
        <v>123</v>
      </c>
      <c r="AP13" s="204" t="s">
        <v>124</v>
      </c>
      <c r="AQ13" s="189" t="s">
        <v>369</v>
      </c>
      <c r="AR13" s="213">
        <v>44792</v>
      </c>
      <c r="AS13" s="214" t="s">
        <v>411</v>
      </c>
      <c r="AT13" s="212" t="s">
        <v>369</v>
      </c>
      <c r="AU13" s="126"/>
      <c r="AV13" s="117"/>
      <c r="AW13" s="119"/>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row>
    <row r="14" spans="1:75" ht="172.9" customHeight="1" x14ac:dyDescent="0.3">
      <c r="A14" s="116">
        <v>2</v>
      </c>
      <c r="B14" s="151" t="s">
        <v>125</v>
      </c>
      <c r="C14" s="151" t="s">
        <v>126</v>
      </c>
      <c r="D14" s="116" t="s">
        <v>104</v>
      </c>
      <c r="E14" s="151" t="s">
        <v>105</v>
      </c>
      <c r="F14" s="117" t="s">
        <v>106</v>
      </c>
      <c r="G14" s="117" t="s">
        <v>127</v>
      </c>
      <c r="H14" s="117" t="s">
        <v>128</v>
      </c>
      <c r="I14" s="118" t="s">
        <v>129</v>
      </c>
      <c r="J14" s="117" t="s">
        <v>130</v>
      </c>
      <c r="K14" s="117" t="s">
        <v>131</v>
      </c>
      <c r="L14" s="117" t="s">
        <v>131</v>
      </c>
      <c r="M14" s="119">
        <v>8</v>
      </c>
      <c r="N14" s="120" t="str">
        <f t="shared" ref="N14:N24" si="0">IF(M14&lt;=0,"",IF(M14&lt;=2,"Muy Baja",IF(M14&lt;=24,"Baja",IF(M14&lt;=500,"Media",IF(M14&lt;=5000,"Alta","Muy Alta")))))</f>
        <v>Baja</v>
      </c>
      <c r="O14" s="121">
        <f>IF(N14="","",IF(N14="Muy Baja",0.2,IF(N14="Baja",0.4,IF(N14="Media",0.6,IF(N14="Alta",0.8,IF(N14="Muy Alta",1,))))))</f>
        <v>0.4</v>
      </c>
      <c r="P14" s="122" t="s">
        <v>132</v>
      </c>
      <c r="Q14" s="155" t="str">
        <f>IF(NOT(ISERROR(MATCH(P14,'Tabla Impacto'!$B$221:$B$223,0))),'Tabla Impacto'!$F$223&amp;"Por favor no seleccionar los criterios de impacto(Afectación Económica o presupuestal y Pérdida Reputacional)",P14)</f>
        <v xml:space="preserve">     El riesgo afecta la imagen de de la entidad con efecto publicitario sostenido a nivel de sector administrativo, nivel departamental o municipal</v>
      </c>
      <c r="R14" s="120" t="str">
        <f>IF(OR(Q14='Tabla Impacto'!$C$11,Q14='Tabla Impacto'!$D$11),"Leve",IF(OR(Q14='Tabla Impacto'!$C$12,Q14='Tabla Impacto'!$D$12),"Menor",IF(OR(Q14='Tabla Impacto'!$C$13,Q14='Tabla Impacto'!$D$13),"Moderado",IF(OR(Q14='Tabla Impacto'!$C$14,Q14='Tabla Impacto'!$D$14),"Mayor",IF(OR(Q14='Tabla Impacto'!$C$15,Q14='Tabla Impacto'!$D$15),"Catastrófico","")))))</f>
        <v>Mayor</v>
      </c>
      <c r="S14" s="121">
        <v>0.8</v>
      </c>
      <c r="T14" s="123" t="str">
        <f>IF(OR(AND(N14="Muy Baja",R14="Leve"),AND(N14="Muy Baja",R14="Menor"),AND(N14="Baja",R14="Leve")),"Bajo",IF(OR(AND(N14="Muy baja",R14="Moderado"),AND(N14="Baja",R14="Menor"),AND(N14="Baja",R14="Moderado"),AND(N14="Media",R14="Leve"),AND(N14="Media",R14="Menor"),AND(N14="Media",R14="Moderado"),AND(N14="Alta",R14="Leve"),AND(N14="Alta",R14="Menor")),"Moderado",IF(OR(AND(N14="Muy Baja",R14="Mayor"),AND(N14="Baja",R14="Mayor"),AND(N14="Media",R14="Mayor"),AND(N14="Alta",R14="Moderado"),AND(N14="Alta",R14="Mayor"),AND(N14="Muy Alta",R14="Leve"),AND(N14="Muy Alta",R14="Menor"),AND(N14="Muy Alta",R14="Moderado"),AND(N14="Muy Alta",R14="Mayor")),"Alto",IF(OR(AND(N14="Muy Baja",R14="Catastrófico"),AND(N14="Baja",R14="Catastrófico"),AND(N14="Media",R14="Catastrófico"),AND(N14="Alta",R14="Catastrófico"),AND(N14="Muy Alta",R14="Catastrófico")),"Extremo",""))))</f>
        <v>Alto</v>
      </c>
      <c r="U14" s="116">
        <v>1</v>
      </c>
      <c r="V14" s="148" t="s">
        <v>133</v>
      </c>
      <c r="W14" s="148" t="s">
        <v>134</v>
      </c>
      <c r="X14" s="124" t="s">
        <v>116</v>
      </c>
      <c r="Y14" s="196" t="s">
        <v>135</v>
      </c>
      <c r="Z14" s="196" t="s">
        <v>118</v>
      </c>
      <c r="AA14" s="125">
        <v>0.4</v>
      </c>
      <c r="AB14" s="196" t="s">
        <v>119</v>
      </c>
      <c r="AC14" s="196" t="s">
        <v>120</v>
      </c>
      <c r="AD14" s="196" t="s">
        <v>121</v>
      </c>
      <c r="AE14" s="209">
        <f>IFERROR(IF(X14="Probabilidad",(O14-(+O14*AA14)),IF(X14="Impacto",O14,"")),"")</f>
        <v>0.24</v>
      </c>
      <c r="AF14" s="200" t="str">
        <f t="shared" ref="AF14:AF26" si="1">IFERROR(IF(AE14="","",IF(AE14&lt;=0.2,"Muy Baja",IF(AE14&lt;=0.4,"Baja",IF(AE14&lt;=0.6,"Media",IF(AE14&lt;=0.8,"Alta","Muy Alta"))))),"")</f>
        <v>Baja</v>
      </c>
      <c r="AG14" s="125">
        <f>+AE14</f>
        <v>0.24</v>
      </c>
      <c r="AH14" s="200" t="str">
        <f t="shared" ref="AH14:AH26" si="2">IFERROR(IF(AI14="","",IF(AI14&lt;=0.2,"Leve",IF(AI14&lt;=0.4,"Menor",IF(AI14&lt;=0.6,"Moderado",IF(AI14&lt;=0.8,"Mayor","Catastrófico"))))),"")</f>
        <v>Mayor</v>
      </c>
      <c r="AI14" s="125">
        <f>IFERROR(IF(X14="Impacto",(S14-(+S14*AA14)),IF(X14="Probabilidad",S14,"")),"")</f>
        <v>0.8</v>
      </c>
      <c r="AJ14" s="202" t="str">
        <f t="shared" ref="AJ14:AJ26" si="3">IFERROR(IF(OR(AND(AF14="Muy Baja",AH14="Leve"),AND(AF14="Muy Baja",AH14="Menor"),AND(AF14="Baja",AH14="Leve")),"Bajo",IF(OR(AND(AF14="Muy baja",AH14="Moderado"),AND(AF14="Baja",AH14="Menor"),AND(AF14="Baja",AH14="Moderado"),AND(AF14="Media",AH14="Leve"),AND(AF14="Media",AH14="Menor"),AND(AF14="Media",AH14="Moderado"),AND(AF14="Alta",AH14="Leve"),AND(AF14="Alta",AH14="Menor")),"Moderado",IF(OR(AND(AF14="Muy Baja",AH14="Mayor"),AND(AF14="Baja",AH14="Mayor"),AND(AF14="Media",AH14="Mayor"),AND(AF14="Alta",AH14="Moderado"),AND(AF14="Alta",AH14="Mayor"),AND(AF14="Muy Alta",AH14="Leve"),AND(AF14="Muy Alta",AH14="Menor"),AND(AF14="Muy Alta",AH14="Moderado"),AND(AF14="Muy Alta",AH14="Mayor")),"Alto",IF(OR(AND(AF14="Muy Baja",AH14="Catastrófico"),AND(AF14="Baja",AH14="Catastrófico"),AND(AF14="Media",AH14="Catastrófico"),AND(AF14="Alta",AH14="Catastrófico"),AND(AF14="Muy Alta",AH14="Catastrófico")),"Extremo","")))),"")</f>
        <v>Alto</v>
      </c>
      <c r="AK14" s="196" t="s">
        <v>122</v>
      </c>
      <c r="AL14" s="117" t="s">
        <v>412</v>
      </c>
      <c r="AM14" s="117" t="s">
        <v>136</v>
      </c>
      <c r="AN14" s="149" t="s">
        <v>137</v>
      </c>
      <c r="AO14" s="204" t="s">
        <v>396</v>
      </c>
      <c r="AP14" s="204" t="s">
        <v>397</v>
      </c>
      <c r="AQ14" s="203" t="s">
        <v>369</v>
      </c>
      <c r="AR14" s="463">
        <v>44789</v>
      </c>
      <c r="AS14" s="465" t="s">
        <v>413</v>
      </c>
      <c r="AT14" s="464" t="s">
        <v>369</v>
      </c>
      <c r="AU14" s="126"/>
      <c r="AV14" s="117"/>
      <c r="AW14" s="119"/>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5" ht="172.9" customHeight="1" x14ac:dyDescent="0.3">
      <c r="A15" s="287">
        <v>3</v>
      </c>
      <c r="B15" s="289" t="s">
        <v>138</v>
      </c>
      <c r="C15" s="289" t="s">
        <v>139</v>
      </c>
      <c r="D15" s="287" t="s">
        <v>104</v>
      </c>
      <c r="E15" s="289" t="s">
        <v>105</v>
      </c>
      <c r="F15" s="280" t="s">
        <v>106</v>
      </c>
      <c r="G15" s="291" t="s">
        <v>140</v>
      </c>
      <c r="H15" s="291" t="s">
        <v>141</v>
      </c>
      <c r="I15" s="279" t="s">
        <v>142</v>
      </c>
      <c r="J15" s="280" t="s">
        <v>143</v>
      </c>
      <c r="K15" s="280" t="s">
        <v>111</v>
      </c>
      <c r="L15" s="280" t="s">
        <v>131</v>
      </c>
      <c r="M15" s="294">
        <v>20</v>
      </c>
      <c r="N15" s="282" t="str">
        <f t="shared" si="0"/>
        <v>Baja</v>
      </c>
      <c r="O15" s="284">
        <v>0.4</v>
      </c>
      <c r="P15" s="285" t="s">
        <v>144</v>
      </c>
      <c r="Q15" s="295" t="s">
        <v>132</v>
      </c>
      <c r="R15" s="282" t="s">
        <v>145</v>
      </c>
      <c r="S15" s="284">
        <v>0.5</v>
      </c>
      <c r="T15" s="292" t="s">
        <v>146</v>
      </c>
      <c r="U15" s="116">
        <v>1</v>
      </c>
      <c r="V15" s="148" t="s">
        <v>147</v>
      </c>
      <c r="W15" s="148" t="s">
        <v>148</v>
      </c>
      <c r="X15" s="124" t="s">
        <v>116</v>
      </c>
      <c r="Y15" s="196" t="s">
        <v>135</v>
      </c>
      <c r="Z15" s="196" t="s">
        <v>118</v>
      </c>
      <c r="AA15" s="125" t="s">
        <v>149</v>
      </c>
      <c r="AB15" s="196" t="s">
        <v>150</v>
      </c>
      <c r="AC15" s="196" t="s">
        <v>151</v>
      </c>
      <c r="AD15" s="196" t="s">
        <v>152</v>
      </c>
      <c r="AE15" s="209">
        <f>IFERROR(IF(X15="Probabilidad",(O15-(+O15*AA15)),IF(X15="Impacto",O15,"")),"")</f>
        <v>0.24</v>
      </c>
      <c r="AF15" s="200" t="str">
        <f t="shared" si="1"/>
        <v>Baja</v>
      </c>
      <c r="AG15" s="125">
        <v>0.24</v>
      </c>
      <c r="AH15" s="200" t="str">
        <f t="shared" si="2"/>
        <v>Moderado</v>
      </c>
      <c r="AI15" s="125">
        <v>0.5</v>
      </c>
      <c r="AJ15" s="202" t="str">
        <f t="shared" si="3"/>
        <v>Moderado</v>
      </c>
      <c r="AK15" s="196" t="s">
        <v>122</v>
      </c>
      <c r="AL15" s="211" t="s">
        <v>415</v>
      </c>
      <c r="AM15" s="214" t="s">
        <v>416</v>
      </c>
      <c r="AN15" s="213">
        <v>44499</v>
      </c>
      <c r="AO15" s="205">
        <v>44681</v>
      </c>
      <c r="AP15" s="204" t="s">
        <v>398</v>
      </c>
      <c r="AQ15" s="203" t="s">
        <v>369</v>
      </c>
      <c r="AR15" s="466">
        <v>44784</v>
      </c>
      <c r="AS15" s="467" t="s">
        <v>414</v>
      </c>
      <c r="AT15" s="468" t="s">
        <v>369</v>
      </c>
      <c r="AU15" s="126"/>
      <c r="AV15" s="117"/>
      <c r="AW15" s="119"/>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spans="1:75" ht="172.9" customHeight="1" x14ac:dyDescent="0.3">
      <c r="A16" s="288"/>
      <c r="B16" s="290"/>
      <c r="C16" s="290"/>
      <c r="D16" s="288"/>
      <c r="E16" s="290"/>
      <c r="F16" s="281"/>
      <c r="G16" s="291"/>
      <c r="H16" s="291"/>
      <c r="I16" s="279"/>
      <c r="J16" s="281"/>
      <c r="K16" s="281"/>
      <c r="L16" s="281"/>
      <c r="M16" s="294"/>
      <c r="N16" s="283"/>
      <c r="O16" s="284"/>
      <c r="P16" s="286"/>
      <c r="Q16" s="296"/>
      <c r="R16" s="283"/>
      <c r="S16" s="284"/>
      <c r="T16" s="293"/>
      <c r="U16" s="116">
        <v>2</v>
      </c>
      <c r="V16" s="148" t="s">
        <v>153</v>
      </c>
      <c r="W16" s="148" t="s">
        <v>154</v>
      </c>
      <c r="X16" s="124" t="s">
        <v>116</v>
      </c>
      <c r="Y16" s="196" t="s">
        <v>117</v>
      </c>
      <c r="Z16" s="196" t="s">
        <v>118</v>
      </c>
      <c r="AA16" s="125" t="s">
        <v>155</v>
      </c>
      <c r="AB16" s="196" t="s">
        <v>119</v>
      </c>
      <c r="AC16" s="196" t="s">
        <v>120</v>
      </c>
      <c r="AD16" s="196" t="s">
        <v>121</v>
      </c>
      <c r="AE16" s="209">
        <f>IFERROR(IF(X16="Probabilidad",(O16-(+O16*AA16)),IF(X16="Impacto",O16,"")),"")</f>
        <v>0</v>
      </c>
      <c r="AF16" s="200" t="str">
        <f t="shared" si="1"/>
        <v>Muy Baja</v>
      </c>
      <c r="AG16" s="125">
        <v>0.16799999999999998</v>
      </c>
      <c r="AH16" s="200" t="str">
        <f t="shared" si="2"/>
        <v>Moderado</v>
      </c>
      <c r="AI16" s="125">
        <v>0.5</v>
      </c>
      <c r="AJ16" s="202" t="str">
        <f t="shared" si="3"/>
        <v>Moderado</v>
      </c>
      <c r="AK16" s="196" t="s">
        <v>122</v>
      </c>
      <c r="AL16" s="211" t="s">
        <v>164</v>
      </c>
      <c r="AM16" s="211" t="s">
        <v>165</v>
      </c>
      <c r="AN16" s="211" t="s">
        <v>166</v>
      </c>
      <c r="AO16" s="205">
        <v>44681</v>
      </c>
      <c r="AP16" s="204" t="s">
        <v>399</v>
      </c>
      <c r="AQ16" s="203" t="s">
        <v>369</v>
      </c>
      <c r="AR16" s="213">
        <v>44798</v>
      </c>
      <c r="AS16" s="214" t="s">
        <v>417</v>
      </c>
      <c r="AT16" s="212" t="s">
        <v>369</v>
      </c>
      <c r="AU16" s="126"/>
      <c r="AV16" s="117"/>
      <c r="AW16" s="119"/>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row>
    <row r="17" spans="1:75" ht="172.9" customHeight="1" x14ac:dyDescent="0.3">
      <c r="A17" s="287">
        <v>4</v>
      </c>
      <c r="B17" s="289" t="s">
        <v>156</v>
      </c>
      <c r="C17" s="289" t="s">
        <v>157</v>
      </c>
      <c r="D17" s="287" t="s">
        <v>104</v>
      </c>
      <c r="E17" s="289" t="s">
        <v>105</v>
      </c>
      <c r="F17" s="280" t="s">
        <v>106</v>
      </c>
      <c r="G17" s="291" t="s">
        <v>158</v>
      </c>
      <c r="H17" s="291" t="s">
        <v>159</v>
      </c>
      <c r="I17" s="279" t="s">
        <v>160</v>
      </c>
      <c r="J17" s="280" t="s">
        <v>130</v>
      </c>
      <c r="K17" s="280" t="s">
        <v>161</v>
      </c>
      <c r="L17" s="280" t="s">
        <v>112</v>
      </c>
      <c r="M17" s="294">
        <v>50</v>
      </c>
      <c r="N17" s="282" t="str">
        <f t="shared" si="0"/>
        <v>Media</v>
      </c>
      <c r="O17" s="284">
        <v>0.6</v>
      </c>
      <c r="P17" s="285" t="s">
        <v>162</v>
      </c>
      <c r="Q17" s="295" t="s">
        <v>132</v>
      </c>
      <c r="R17" s="282" t="s">
        <v>145</v>
      </c>
      <c r="S17" s="284">
        <v>0.5</v>
      </c>
      <c r="T17" s="292" t="s">
        <v>146</v>
      </c>
      <c r="U17" s="116">
        <v>1</v>
      </c>
      <c r="V17" s="117" t="s">
        <v>163</v>
      </c>
      <c r="W17" s="154"/>
      <c r="X17" s="124" t="s">
        <v>116</v>
      </c>
      <c r="Y17" s="196" t="s">
        <v>135</v>
      </c>
      <c r="Z17" s="196" t="s">
        <v>118</v>
      </c>
      <c r="AA17" s="125" t="s">
        <v>149</v>
      </c>
      <c r="AB17" s="196" t="s">
        <v>119</v>
      </c>
      <c r="AC17" s="196" t="s">
        <v>120</v>
      </c>
      <c r="AD17" s="196" t="s">
        <v>152</v>
      </c>
      <c r="AE17" s="209">
        <f>IFERROR(IF(X17="Probabilidad",(O17-(+O17*AA17)),IF(X17="Impacto",O17,"")),"")</f>
        <v>0.36</v>
      </c>
      <c r="AF17" s="200" t="str">
        <f t="shared" si="1"/>
        <v>Baja</v>
      </c>
      <c r="AG17" s="125">
        <v>0.36</v>
      </c>
      <c r="AH17" s="200" t="str">
        <f t="shared" si="2"/>
        <v>Moderado</v>
      </c>
      <c r="AI17" s="125">
        <v>0.5</v>
      </c>
      <c r="AJ17" s="202" t="str">
        <f t="shared" si="3"/>
        <v>Moderado</v>
      </c>
      <c r="AK17" s="196" t="s">
        <v>122</v>
      </c>
      <c r="AL17" s="211" t="s">
        <v>168</v>
      </c>
      <c r="AM17" s="211" t="s">
        <v>165</v>
      </c>
      <c r="AN17" s="211" t="s">
        <v>169</v>
      </c>
      <c r="AO17" s="206">
        <v>44693</v>
      </c>
      <c r="AP17" s="204" t="s">
        <v>400</v>
      </c>
      <c r="AQ17" s="203" t="s">
        <v>369</v>
      </c>
      <c r="AR17" s="213">
        <v>44798</v>
      </c>
      <c r="AS17" s="469" t="s">
        <v>418</v>
      </c>
      <c r="AT17" s="212" t="s">
        <v>369</v>
      </c>
      <c r="AU17" s="126"/>
      <c r="AV17" s="117"/>
      <c r="AW17" s="119"/>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row>
    <row r="18" spans="1:75" ht="172.9" customHeight="1" x14ac:dyDescent="0.3">
      <c r="A18" s="288"/>
      <c r="B18" s="290"/>
      <c r="C18" s="290"/>
      <c r="D18" s="288"/>
      <c r="E18" s="290"/>
      <c r="F18" s="281"/>
      <c r="G18" s="291"/>
      <c r="H18" s="291"/>
      <c r="I18" s="279"/>
      <c r="J18" s="281"/>
      <c r="K18" s="281"/>
      <c r="L18" s="281"/>
      <c r="M18" s="294"/>
      <c r="N18" s="283"/>
      <c r="O18" s="284"/>
      <c r="P18" s="286"/>
      <c r="Q18" s="296"/>
      <c r="R18" s="283"/>
      <c r="S18" s="284"/>
      <c r="T18" s="293"/>
      <c r="U18" s="116">
        <v>2</v>
      </c>
      <c r="V18" s="117" t="s">
        <v>167</v>
      </c>
      <c r="W18" s="154"/>
      <c r="X18" s="124" t="s">
        <v>116</v>
      </c>
      <c r="Y18" s="196" t="s">
        <v>135</v>
      </c>
      <c r="Z18" s="196" t="s">
        <v>118</v>
      </c>
      <c r="AA18" s="125" t="s">
        <v>149</v>
      </c>
      <c r="AB18" s="196" t="s">
        <v>119</v>
      </c>
      <c r="AC18" s="196" t="s">
        <v>120</v>
      </c>
      <c r="AD18" s="196" t="s">
        <v>152</v>
      </c>
      <c r="AE18" s="209">
        <v>0.216</v>
      </c>
      <c r="AF18" s="200" t="str">
        <f t="shared" si="1"/>
        <v>Baja</v>
      </c>
      <c r="AG18" s="125">
        <v>0.216</v>
      </c>
      <c r="AH18" s="200" t="str">
        <f t="shared" si="2"/>
        <v>Moderado</v>
      </c>
      <c r="AI18" s="125">
        <v>0.6</v>
      </c>
      <c r="AJ18" s="202" t="str">
        <f t="shared" si="3"/>
        <v>Moderado</v>
      </c>
      <c r="AK18" s="196" t="s">
        <v>122</v>
      </c>
      <c r="AL18" s="117" t="s">
        <v>168</v>
      </c>
      <c r="AM18" s="117" t="s">
        <v>165</v>
      </c>
      <c r="AN18" s="117" t="s">
        <v>169</v>
      </c>
      <c r="AO18" s="206">
        <v>44693</v>
      </c>
      <c r="AP18" s="204" t="s">
        <v>401</v>
      </c>
      <c r="AQ18" s="203" t="s">
        <v>369</v>
      </c>
      <c r="AR18" s="126"/>
      <c r="AS18" s="117"/>
      <c r="AT18" s="119"/>
      <c r="AU18" s="126"/>
      <c r="AV18" s="117"/>
      <c r="AW18" s="119"/>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ht="172.9" customHeight="1" x14ac:dyDescent="0.3">
      <c r="A19" s="116">
        <v>5</v>
      </c>
      <c r="B19" s="151" t="s">
        <v>156</v>
      </c>
      <c r="C19" s="151" t="s">
        <v>157</v>
      </c>
      <c r="D19" s="116" t="s">
        <v>104</v>
      </c>
      <c r="E19" s="151" t="s">
        <v>105</v>
      </c>
      <c r="F19" s="117" t="s">
        <v>106</v>
      </c>
      <c r="G19" s="117" t="s">
        <v>170</v>
      </c>
      <c r="H19" s="117" t="s">
        <v>171</v>
      </c>
      <c r="I19" s="118" t="s">
        <v>172</v>
      </c>
      <c r="J19" s="117" t="s">
        <v>130</v>
      </c>
      <c r="K19" s="117" t="s">
        <v>161</v>
      </c>
      <c r="L19" s="117" t="s">
        <v>112</v>
      </c>
      <c r="M19" s="119">
        <v>40</v>
      </c>
      <c r="N19" s="120" t="str">
        <f t="shared" si="0"/>
        <v>Media</v>
      </c>
      <c r="O19" s="121">
        <v>0.6</v>
      </c>
      <c r="P19" s="122" t="s">
        <v>113</v>
      </c>
      <c r="Q19" s="155" t="str">
        <f>IF(NOT(ISERROR(MATCH(P19,'Tabla Impacto'!$B$221:$B$223,0))),'Tabla Impacto'!$F$223&amp;"Por favor no seleccionar los criterios de impacto(Afectación Económica o presupuestal y Pérdida Reputacional)",P19)</f>
        <v xml:space="preserve">     El riesgo afecta la imagen de la entidad con algunos usuarios de relevancia frente al logro de los objetivos</v>
      </c>
      <c r="R19" s="120" t="str">
        <f>IF(OR(Q19='Tabla Impacto'!$C$11,Q19='Tabla Impacto'!$D$11),"Leve",IF(OR(Q19='Tabla Impacto'!$C$12,Q19='Tabla Impacto'!$D$12),"Menor",IF(OR(Q19='Tabla Impacto'!$C$13,Q19='Tabla Impacto'!$D$13),"Moderado",IF(OR(Q19='Tabla Impacto'!$C$14,Q19='Tabla Impacto'!$D$14),"Mayor",IF(OR(Q19='Tabla Impacto'!$C$15,Q19='Tabla Impacto'!$D$15),"Catastrófico","")))))</f>
        <v>Moderado</v>
      </c>
      <c r="S19" s="121">
        <v>0.5</v>
      </c>
      <c r="T19" s="123" t="str">
        <f>IF(OR(AND(N19="Muy Baja",R19="Leve"),AND(N19="Muy Baja",R19="Menor"),AND(N19="Baja",R19="Leve")),"Bajo",IF(OR(AND(N19="Muy baja",R19="Moderado"),AND(N19="Baja",R19="Menor"),AND(N19="Baja",R19="Moderado"),AND(N19="Media",R19="Leve"),AND(N19="Media",R19="Menor"),AND(N19="Media",R19="Moderado"),AND(N19="Alta",R19="Leve"),AND(N19="Alta",R19="Menor")),"Moderado",IF(OR(AND(N19="Muy Baja",R19="Mayor"),AND(N19="Baja",R19="Mayor"),AND(N19="Media",R19="Mayor"),AND(N19="Alta",R19="Moderado"),AND(N19="Alta",R19="Mayor"),AND(N19="Muy Alta",R19="Leve"),AND(N19="Muy Alta",R19="Menor"),AND(N19="Muy Alta",R19="Moderado"),AND(N19="Muy Alta",R19="Mayor")),"Alto",IF(OR(AND(N19="Muy Baja",R19="Catastrófico"),AND(N19="Baja",R19="Catastrófico"),AND(N19="Media",R19="Catastrófico"),AND(N19="Alta",R19="Catastrófico"),AND(N19="Muy Alta",R19="Catastrófico")),"Extremo",""))))</f>
        <v>Moderado</v>
      </c>
      <c r="U19" s="116">
        <v>1</v>
      </c>
      <c r="V19" s="117" t="s">
        <v>173</v>
      </c>
      <c r="W19" s="154"/>
      <c r="X19" s="124" t="s">
        <v>116</v>
      </c>
      <c r="Y19" s="196" t="s">
        <v>135</v>
      </c>
      <c r="Z19" s="196" t="s">
        <v>118</v>
      </c>
      <c r="AA19" s="125" t="s">
        <v>149</v>
      </c>
      <c r="AB19" s="196" t="s">
        <v>119</v>
      </c>
      <c r="AC19" s="196" t="s">
        <v>120</v>
      </c>
      <c r="AD19" s="196" t="s">
        <v>152</v>
      </c>
      <c r="AE19" s="209">
        <f>IFERROR(IF(X19="Probabilidad",(O19-(+O19*AA19)),IF(X19="Impacto",O19,"")),"")</f>
        <v>0.36</v>
      </c>
      <c r="AF19" s="200" t="str">
        <f t="shared" si="1"/>
        <v>Baja</v>
      </c>
      <c r="AG19" s="125">
        <v>0.36</v>
      </c>
      <c r="AH19" s="200" t="str">
        <f t="shared" si="2"/>
        <v>Moderado</v>
      </c>
      <c r="AI19" s="125">
        <v>0.5</v>
      </c>
      <c r="AJ19" s="202" t="str">
        <f t="shared" si="3"/>
        <v>Moderado</v>
      </c>
      <c r="AK19" s="196" t="s">
        <v>122</v>
      </c>
      <c r="AL19" s="117" t="s">
        <v>174</v>
      </c>
      <c r="AM19" s="117" t="s">
        <v>175</v>
      </c>
      <c r="AN19" s="117" t="s">
        <v>176</v>
      </c>
      <c r="AO19" s="206">
        <v>44693</v>
      </c>
      <c r="AP19" s="204" t="s">
        <v>402</v>
      </c>
      <c r="AQ19" s="203" t="s">
        <v>369</v>
      </c>
      <c r="AR19" s="213">
        <v>44798</v>
      </c>
      <c r="AS19" s="214" t="s">
        <v>419</v>
      </c>
      <c r="AT19" s="212" t="s">
        <v>369</v>
      </c>
      <c r="AU19" s="126"/>
      <c r="AV19" s="117"/>
      <c r="AW19" s="119"/>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row>
    <row r="20" spans="1:75" ht="172.9" customHeight="1" x14ac:dyDescent="0.3">
      <c r="A20" s="116">
        <v>6</v>
      </c>
      <c r="B20" s="116" t="s">
        <v>177</v>
      </c>
      <c r="C20" s="151" t="s">
        <v>178</v>
      </c>
      <c r="D20" s="116" t="s">
        <v>104</v>
      </c>
      <c r="E20" s="151" t="s">
        <v>105</v>
      </c>
      <c r="F20" s="117" t="s">
        <v>106</v>
      </c>
      <c r="G20" s="118" t="s">
        <v>179</v>
      </c>
      <c r="H20" s="118" t="s">
        <v>180</v>
      </c>
      <c r="I20" s="118" t="s">
        <v>181</v>
      </c>
      <c r="J20" s="117" t="s">
        <v>143</v>
      </c>
      <c r="K20" s="117" t="s">
        <v>182</v>
      </c>
      <c r="L20" s="117" t="s">
        <v>112</v>
      </c>
      <c r="M20" s="119">
        <v>10</v>
      </c>
      <c r="N20" s="120" t="str">
        <f t="shared" si="0"/>
        <v>Baja</v>
      </c>
      <c r="O20" s="121">
        <v>0.4</v>
      </c>
      <c r="P20" s="122" t="s">
        <v>113</v>
      </c>
      <c r="Q20" s="155" t="str">
        <f>IF(NOT(ISERROR(MATCH(P20,'Tabla Impacto'!$B$221:$B$223,0))),'Tabla Impacto'!$F$223&amp;"Por favor no seleccionar los criterios de impacto(Afectación Económica o presupuestal y Pérdida Reputacional)",P20)</f>
        <v xml:space="preserve">     El riesgo afecta la imagen de la entidad con algunos usuarios de relevancia frente al logro de los objetivos</v>
      </c>
      <c r="R20" s="120" t="str">
        <f>IF(OR(Q20='Tabla Impacto'!$C$11,Q20='Tabla Impacto'!$D$11),"Leve",IF(OR(Q20='Tabla Impacto'!$C$12,Q20='Tabla Impacto'!$D$12),"Menor",IF(OR(Q20='Tabla Impacto'!$C$13,Q20='Tabla Impacto'!$D$13),"Moderado",IF(OR(Q20='Tabla Impacto'!$C$14,Q20='Tabla Impacto'!$D$14),"Mayor",IF(OR(Q20='Tabla Impacto'!$C$15,Q20='Tabla Impacto'!$D$15),"Catastrófico","")))))</f>
        <v>Moderado</v>
      </c>
      <c r="S20" s="121">
        <v>0.6</v>
      </c>
      <c r="T20" s="123" t="str">
        <f t="shared" ref="T20:T24" si="4">IF(OR(AND(N20="Muy Baja",R20="Leve"),AND(N20="Muy Baja",R20="Menor"),AND(N20="Baja",R20="Leve")),"Bajo",IF(OR(AND(N20="Muy baja",R20="Moderado"),AND(N20="Baja",R20="Menor"),AND(N20="Baja",R20="Moderado"),AND(N20="Media",R20="Leve"),AND(N20="Media",R20="Menor"),AND(N20="Media",R20="Moderado"),AND(N20="Alta",R20="Leve"),AND(N20="Alta",R20="Menor")),"Moderado",IF(OR(AND(N20="Muy Baja",R20="Mayor"),AND(N20="Baja",R20="Mayor"),AND(N20="Media",R20="Mayor"),AND(N20="Alta",R20="Moderado"),AND(N20="Alta",R20="Mayor"),AND(N20="Muy Alta",R20="Leve"),AND(N20="Muy Alta",R20="Menor"),AND(N20="Muy Alta",R20="Moderado"),AND(N20="Muy Alta",R20="Mayor")),"Alto",IF(OR(AND(N20="Muy Baja",R20="Catastrófico"),AND(N20="Baja",R20="Catastrófico"),AND(N20="Media",R20="Catastrófico"),AND(N20="Alta",R20="Catastrófico"),AND(N20="Muy Alta",R20="Catastrófico")),"Extremo",""))))</f>
        <v>Moderado</v>
      </c>
      <c r="U20" s="116">
        <v>1</v>
      </c>
      <c r="V20" s="117" t="s">
        <v>183</v>
      </c>
      <c r="W20" s="118" t="s">
        <v>184</v>
      </c>
      <c r="X20" s="124" t="s">
        <v>116</v>
      </c>
      <c r="Y20" s="196" t="s">
        <v>135</v>
      </c>
      <c r="Z20" s="196" t="s">
        <v>118</v>
      </c>
      <c r="AA20" s="125" t="s">
        <v>149</v>
      </c>
      <c r="AB20" s="196" t="s">
        <v>119</v>
      </c>
      <c r="AC20" s="196" t="s">
        <v>120</v>
      </c>
      <c r="AD20" s="196" t="s">
        <v>121</v>
      </c>
      <c r="AE20" s="209">
        <f>IFERROR(IF(X20="Probabilidad",(O20-(+O20*AA20)),IF(X20="Impacto",O20,"")),"")</f>
        <v>0.24</v>
      </c>
      <c r="AF20" s="200" t="str">
        <f t="shared" si="1"/>
        <v>Baja</v>
      </c>
      <c r="AG20" s="125">
        <v>0.24</v>
      </c>
      <c r="AH20" s="200" t="str">
        <f t="shared" si="2"/>
        <v>Moderado</v>
      </c>
      <c r="AI20" s="125">
        <v>0.6</v>
      </c>
      <c r="AJ20" s="202" t="str">
        <f t="shared" si="3"/>
        <v>Moderado</v>
      </c>
      <c r="AK20" s="196" t="s">
        <v>122</v>
      </c>
      <c r="AL20" s="117" t="s">
        <v>185</v>
      </c>
      <c r="AM20" s="117" t="s">
        <v>186</v>
      </c>
      <c r="AN20" s="126">
        <v>44593</v>
      </c>
      <c r="AO20" s="205">
        <v>44900</v>
      </c>
      <c r="AP20" s="204" t="s">
        <v>403</v>
      </c>
      <c r="AQ20" s="203" t="s">
        <v>369</v>
      </c>
      <c r="AR20" s="471">
        <v>44798</v>
      </c>
      <c r="AS20" s="472" t="s">
        <v>420</v>
      </c>
      <c r="AT20" s="470" t="s">
        <v>369</v>
      </c>
      <c r="AU20" s="126"/>
      <c r="AV20" s="117"/>
      <c r="AW20" s="119"/>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row>
    <row r="21" spans="1:75" ht="172.9" customHeight="1" x14ac:dyDescent="0.3">
      <c r="A21" s="116">
        <v>7</v>
      </c>
      <c r="B21" s="151" t="s">
        <v>187</v>
      </c>
      <c r="C21" s="151" t="s">
        <v>188</v>
      </c>
      <c r="D21" s="116" t="s">
        <v>104</v>
      </c>
      <c r="E21" s="151" t="s">
        <v>105</v>
      </c>
      <c r="F21" s="117" t="s">
        <v>106</v>
      </c>
      <c r="G21" s="117" t="s">
        <v>189</v>
      </c>
      <c r="H21" s="117" t="s">
        <v>190</v>
      </c>
      <c r="I21" s="118" t="s">
        <v>191</v>
      </c>
      <c r="J21" s="117" t="s">
        <v>130</v>
      </c>
      <c r="K21" s="117" t="s">
        <v>111</v>
      </c>
      <c r="L21" s="117" t="s">
        <v>131</v>
      </c>
      <c r="M21" s="119">
        <v>2</v>
      </c>
      <c r="N21" s="120" t="str">
        <f t="shared" si="0"/>
        <v>Muy Baja</v>
      </c>
      <c r="O21" s="121">
        <v>0.2</v>
      </c>
      <c r="P21" s="122" t="s">
        <v>192</v>
      </c>
      <c r="Q21" s="155" t="str">
        <f>IF(NOT(ISERROR(MATCH(P21,'Tabla Impacto'!$B$221:$B$223,0))),'Tabla Impacto'!$F$223&amp;"Por favor no seleccionar los criterios de impacto(Afectación Económica o presupuestal y Pérdida Reputacional)",P21)</f>
        <v xml:space="preserve">     Mayor a 500 SMLMV </v>
      </c>
      <c r="R21" s="120" t="str">
        <f>IF(OR(Q21='Tabla Impacto'!$C$11,Q21='Tabla Impacto'!$D$11),"Leve",IF(OR(Q21='Tabla Impacto'!$C$12,Q21='Tabla Impacto'!$D$12),"Menor",IF(OR(Q21='Tabla Impacto'!$C$13,Q21='Tabla Impacto'!$D$13),"Moderado",IF(OR(Q21='Tabla Impacto'!$C$14,Q21='Tabla Impacto'!$D$14),"Mayor",IF(OR(Q21='Tabla Impacto'!$C$15,Q21='Tabla Impacto'!$D$15),"Catastrófico","")))))</f>
        <v>Catastrófico</v>
      </c>
      <c r="S21" s="121">
        <v>1</v>
      </c>
      <c r="T21" s="123" t="str">
        <f t="shared" si="4"/>
        <v>Extremo</v>
      </c>
      <c r="U21" s="116">
        <v>1</v>
      </c>
      <c r="V21" s="148" t="s">
        <v>193</v>
      </c>
      <c r="W21" s="154" t="s">
        <v>194</v>
      </c>
      <c r="X21" s="124" t="s">
        <v>116</v>
      </c>
      <c r="Y21" s="196" t="s">
        <v>135</v>
      </c>
      <c r="Z21" s="196" t="s">
        <v>118</v>
      </c>
      <c r="AA21" s="125" t="s">
        <v>149</v>
      </c>
      <c r="AB21" s="196" t="s">
        <v>119</v>
      </c>
      <c r="AC21" s="196" t="s">
        <v>120</v>
      </c>
      <c r="AD21" s="196" t="s">
        <v>121</v>
      </c>
      <c r="AE21" s="209">
        <f t="shared" ref="AE21:AE24" si="5">IFERROR(IF(X21="Probabilidad",(O21-(+O21*AA21)),IF(X21="Impacto",O21,"")),"")</f>
        <v>0.12</v>
      </c>
      <c r="AF21" s="200" t="str">
        <f t="shared" si="1"/>
        <v>Muy Baja</v>
      </c>
      <c r="AG21" s="125">
        <v>0.12</v>
      </c>
      <c r="AH21" s="200" t="str">
        <f t="shared" si="2"/>
        <v>Catastrófico</v>
      </c>
      <c r="AI21" s="125">
        <v>1</v>
      </c>
      <c r="AJ21" s="202" t="str">
        <f t="shared" si="3"/>
        <v>Extremo</v>
      </c>
      <c r="AK21" s="196" t="s">
        <v>122</v>
      </c>
      <c r="AL21" s="117" t="s">
        <v>412</v>
      </c>
      <c r="AM21" s="149" t="s">
        <v>195</v>
      </c>
      <c r="AN21" s="126" t="s">
        <v>196</v>
      </c>
      <c r="AO21" s="213">
        <v>44696</v>
      </c>
      <c r="AP21" s="214" t="s">
        <v>406</v>
      </c>
      <c r="AQ21" s="212" t="s">
        <v>407</v>
      </c>
      <c r="AR21" s="474">
        <v>44790</v>
      </c>
      <c r="AS21" s="475" t="s">
        <v>421</v>
      </c>
      <c r="AT21" s="473" t="s">
        <v>407</v>
      </c>
      <c r="AU21" s="126"/>
      <c r="AV21" s="117"/>
      <c r="AW21" s="119"/>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row>
    <row r="22" spans="1:75" ht="172.9" customHeight="1" x14ac:dyDescent="0.3">
      <c r="A22" s="116">
        <v>8</v>
      </c>
      <c r="B22" s="151" t="s">
        <v>187</v>
      </c>
      <c r="C22" s="151" t="s">
        <v>188</v>
      </c>
      <c r="D22" s="116" t="s">
        <v>104</v>
      </c>
      <c r="E22" s="151" t="s">
        <v>105</v>
      </c>
      <c r="F22" s="117" t="s">
        <v>106</v>
      </c>
      <c r="G22" s="117" t="s">
        <v>197</v>
      </c>
      <c r="H22" s="117" t="s">
        <v>198</v>
      </c>
      <c r="I22" s="118" t="s">
        <v>199</v>
      </c>
      <c r="J22" s="117" t="s">
        <v>130</v>
      </c>
      <c r="K22" s="117" t="s">
        <v>111</v>
      </c>
      <c r="L22" s="117" t="s">
        <v>131</v>
      </c>
      <c r="M22" s="119">
        <v>2</v>
      </c>
      <c r="N22" s="120" t="str">
        <f t="shared" si="0"/>
        <v>Muy Baja</v>
      </c>
      <c r="O22" s="121">
        <v>0.2</v>
      </c>
      <c r="P22" s="122" t="s">
        <v>192</v>
      </c>
      <c r="Q22" s="155" t="str">
        <f>IF(NOT(ISERROR(MATCH(P22,'Tabla Impacto'!$B$221:$B$223,0))),'Tabla Impacto'!$F$223&amp;"Por favor no seleccionar los criterios de impacto(Afectación Económica o presupuestal y Pérdida Reputacional)",P22)</f>
        <v xml:space="preserve">     Mayor a 500 SMLMV </v>
      </c>
      <c r="R22" s="120" t="str">
        <f>IF(OR(Q22='Tabla Impacto'!$C$11,Q22='Tabla Impacto'!$D$11),"Leve",IF(OR(Q22='Tabla Impacto'!$C$12,Q22='Tabla Impacto'!$D$12),"Menor",IF(OR(Q22='Tabla Impacto'!$C$13,Q22='Tabla Impacto'!$D$13),"Moderado",IF(OR(Q22='Tabla Impacto'!$C$14,Q22='Tabla Impacto'!$D$14),"Mayor",IF(OR(Q22='Tabla Impacto'!$C$15,Q22='Tabla Impacto'!$D$15),"Catastrófico","")))))</f>
        <v>Catastrófico</v>
      </c>
      <c r="S22" s="121">
        <v>1</v>
      </c>
      <c r="T22" s="123" t="str">
        <f t="shared" si="4"/>
        <v>Extremo</v>
      </c>
      <c r="U22" s="116">
        <v>1</v>
      </c>
      <c r="V22" s="148" t="s">
        <v>200</v>
      </c>
      <c r="W22" s="154" t="s">
        <v>201</v>
      </c>
      <c r="X22" s="124" t="s">
        <v>116</v>
      </c>
      <c r="Y22" s="196" t="s">
        <v>135</v>
      </c>
      <c r="Z22" s="196" t="s">
        <v>118</v>
      </c>
      <c r="AA22" s="125" t="s">
        <v>149</v>
      </c>
      <c r="AB22" s="196" t="s">
        <v>119</v>
      </c>
      <c r="AC22" s="196" t="s">
        <v>120</v>
      </c>
      <c r="AD22" s="196" t="s">
        <v>121</v>
      </c>
      <c r="AE22" s="209">
        <f t="shared" si="5"/>
        <v>0.12</v>
      </c>
      <c r="AF22" s="200" t="str">
        <f t="shared" si="1"/>
        <v>Muy Baja</v>
      </c>
      <c r="AG22" s="125">
        <v>0.12</v>
      </c>
      <c r="AH22" s="200" t="str">
        <f t="shared" si="2"/>
        <v>Catastrófico</v>
      </c>
      <c r="AI22" s="125">
        <v>1</v>
      </c>
      <c r="AJ22" s="202" t="str">
        <f t="shared" si="3"/>
        <v>Extremo</v>
      </c>
      <c r="AK22" s="196" t="s">
        <v>122</v>
      </c>
      <c r="AL22" s="117" t="s">
        <v>412</v>
      </c>
      <c r="AM22" s="149" t="s">
        <v>195</v>
      </c>
      <c r="AN22" s="126" t="s">
        <v>202</v>
      </c>
      <c r="AO22" s="213">
        <v>44696</v>
      </c>
      <c r="AP22" s="214" t="s">
        <v>408</v>
      </c>
      <c r="AQ22" s="212" t="s">
        <v>407</v>
      </c>
      <c r="AR22" s="474">
        <v>44790</v>
      </c>
      <c r="AS22" s="475" t="s">
        <v>422</v>
      </c>
      <c r="AT22" s="473" t="s">
        <v>407</v>
      </c>
      <c r="AU22" s="126"/>
      <c r="AV22" s="117"/>
      <c r="AW22" s="119"/>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ht="172.9" customHeight="1" x14ac:dyDescent="0.3">
      <c r="A23" s="116">
        <v>9</v>
      </c>
      <c r="B23" s="151" t="s">
        <v>203</v>
      </c>
      <c r="C23" s="151" t="s">
        <v>204</v>
      </c>
      <c r="D23" s="116" t="s">
        <v>104</v>
      </c>
      <c r="E23" s="151" t="s">
        <v>205</v>
      </c>
      <c r="F23" s="117" t="s">
        <v>106</v>
      </c>
      <c r="G23" s="117" t="s">
        <v>206</v>
      </c>
      <c r="H23" s="117" t="s">
        <v>207</v>
      </c>
      <c r="I23" s="118" t="s">
        <v>208</v>
      </c>
      <c r="J23" s="117" t="s">
        <v>143</v>
      </c>
      <c r="K23" s="117" t="s">
        <v>111</v>
      </c>
      <c r="L23" s="117" t="s">
        <v>112</v>
      </c>
      <c r="M23" s="119">
        <v>15</v>
      </c>
      <c r="N23" s="120" t="str">
        <f t="shared" si="0"/>
        <v>Baja</v>
      </c>
      <c r="O23" s="121">
        <f>IF(N23="","",IF(N23="Muy Baja",0.2,IF(N23="Baja",0.4,IF(N23="Media",0.6,IF(N23="Alta",0.8,IF(N23="Muy Alta",1,))))))</f>
        <v>0.4</v>
      </c>
      <c r="P23" s="122" t="s">
        <v>132</v>
      </c>
      <c r="Q23" s="155" t="str">
        <f>IF(NOT(ISERROR(MATCH(P23,'Tabla Impacto'!$B$221:$B$223,0))),'Tabla Impacto'!$F$223&amp;"Por favor no seleccionar los criterios de impacto(Afectación Económica o presupuestal y Pérdida Reputacional)",P23)</f>
        <v xml:space="preserve">     El riesgo afecta la imagen de de la entidad con efecto publicitario sostenido a nivel de sector administrativo, nivel departamental o municipal</v>
      </c>
      <c r="R23" s="120" t="str">
        <f>IF(OR(Q23='Tabla Impacto'!$C$11,Q23='Tabla Impacto'!$D$11),"Leve",IF(OR(Q23='Tabla Impacto'!$C$12,Q23='Tabla Impacto'!$D$12),"Menor",IF(OR(Q23='Tabla Impacto'!$C$13,Q23='Tabla Impacto'!$D$13),"Moderado",IF(OR(Q23='Tabla Impacto'!$C$14,Q23='Tabla Impacto'!$D$14),"Mayor",IF(OR(Q23='Tabla Impacto'!$C$15,Q23='Tabla Impacto'!$D$15),"Catastrófico","")))))</f>
        <v>Mayor</v>
      </c>
      <c r="S23" s="121">
        <v>0.8</v>
      </c>
      <c r="T23" s="123" t="str">
        <f t="shared" si="4"/>
        <v>Alto</v>
      </c>
      <c r="U23" s="116">
        <v>1</v>
      </c>
      <c r="V23" s="148" t="s">
        <v>209</v>
      </c>
      <c r="W23" s="154" t="s">
        <v>210</v>
      </c>
      <c r="X23" s="124" t="str">
        <f>IF(OR(Y23="Preventivo",Y23="Detectivo"),"Probabilidad",IF(Y23="Correctivo","Impacto",""))</f>
        <v>Probabilidad</v>
      </c>
      <c r="Y23" s="196" t="s">
        <v>135</v>
      </c>
      <c r="Z23" s="196" t="s">
        <v>211</v>
      </c>
      <c r="AA23" s="125" t="str">
        <f>IF(AND(Y23="Preventivo",Z23="Automático"),"50%",IF(AND(Y23="Preventivo",Z23="Manual"),"40%",IF(AND(Y23="Detectivo",Z23="Automático"),"40%",IF(AND(Y23="Detectivo",Z23="Manual"),"30%",IF(AND(Y23="Correctivo",Z23="Automático"),"35%",IF(AND(Y23="Correctivo",Z23="Manual"),"25%",""))))))</f>
        <v>50%</v>
      </c>
      <c r="AB23" s="196" t="s">
        <v>119</v>
      </c>
      <c r="AC23" s="196" t="s">
        <v>120</v>
      </c>
      <c r="AD23" s="196" t="s">
        <v>121</v>
      </c>
      <c r="AE23" s="209">
        <f t="shared" si="5"/>
        <v>0.2</v>
      </c>
      <c r="AF23" s="200" t="str">
        <f t="shared" si="1"/>
        <v>Muy Baja</v>
      </c>
      <c r="AG23" s="125">
        <v>0.2</v>
      </c>
      <c r="AH23" s="200" t="str">
        <f t="shared" si="2"/>
        <v>Mayor</v>
      </c>
      <c r="AI23" s="125">
        <f>IFERROR(IF(X23="Impacto",(S23-(+S23*AA23)),IF(X23="Probabilidad",S23,"")),"")</f>
        <v>0.8</v>
      </c>
      <c r="AJ23" s="202" t="str">
        <f t="shared" si="3"/>
        <v>Alto</v>
      </c>
      <c r="AK23" s="196" t="s">
        <v>122</v>
      </c>
      <c r="AL23" s="117"/>
      <c r="AM23" s="117"/>
      <c r="AN23" s="117"/>
      <c r="AO23" s="205">
        <v>44690</v>
      </c>
      <c r="AP23" s="204" t="s">
        <v>404</v>
      </c>
      <c r="AQ23" s="194" t="s">
        <v>369</v>
      </c>
      <c r="AR23" s="477">
        <v>44785</v>
      </c>
      <c r="AS23" s="478" t="s">
        <v>423</v>
      </c>
      <c r="AT23" s="476" t="s">
        <v>369</v>
      </c>
      <c r="AU23" s="126"/>
      <c r="AV23" s="117"/>
      <c r="AW23" s="119"/>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ht="172.9" customHeight="1" x14ac:dyDescent="0.3">
      <c r="A24" s="116">
        <v>10</v>
      </c>
      <c r="B24" s="151" t="s">
        <v>212</v>
      </c>
      <c r="C24" s="151" t="s">
        <v>213</v>
      </c>
      <c r="D24" s="116" t="s">
        <v>104</v>
      </c>
      <c r="E24" s="151" t="s">
        <v>205</v>
      </c>
      <c r="F24" s="117" t="s">
        <v>106</v>
      </c>
      <c r="G24" s="117" t="s">
        <v>214</v>
      </c>
      <c r="H24" s="117" t="s">
        <v>215</v>
      </c>
      <c r="I24" s="118" t="s">
        <v>216</v>
      </c>
      <c r="J24" s="117" t="s">
        <v>130</v>
      </c>
      <c r="K24" s="117" t="s">
        <v>111</v>
      </c>
      <c r="L24" s="117" t="s">
        <v>112</v>
      </c>
      <c r="M24" s="119">
        <v>365</v>
      </c>
      <c r="N24" s="120" t="str">
        <f t="shared" si="0"/>
        <v>Media</v>
      </c>
      <c r="O24" s="121">
        <v>0.6</v>
      </c>
      <c r="P24" s="122" t="s">
        <v>113</v>
      </c>
      <c r="Q24" s="155" t="str">
        <f>IF(NOT(ISERROR(MATCH(P24,_xlfn.ANCHORARRAY(#REF!),0))),#REF!&amp;"Por favor no seleccionar los criterios de impacto",P24)</f>
        <v xml:space="preserve">     El riesgo afecta la imagen de la entidad con algunos usuarios de relevancia frente al logro de los objetivos</v>
      </c>
      <c r="R24" s="120" t="str">
        <f>IF(OR(Q24='Tabla Impacto'!$C$11,Q24='Tabla Impacto'!$D$11),"Leve",IF(OR(Q24='Tabla Impacto'!$C$12,Q24='Tabla Impacto'!$D$12),"Menor",IF(OR(Q24='Tabla Impacto'!$C$13,Q24='Tabla Impacto'!$D$13),"Moderado",IF(OR(Q24='Tabla Impacto'!$C$14,Q24='Tabla Impacto'!$D$14),"Mayor",IF(OR(Q24='Tabla Impacto'!$C$15,Q24='Tabla Impacto'!$D$15),"Catastrófico","")))))</f>
        <v>Moderado</v>
      </c>
      <c r="S24" s="121">
        <v>0.2</v>
      </c>
      <c r="T24" s="123" t="str">
        <f t="shared" si="4"/>
        <v>Moderado</v>
      </c>
      <c r="U24" s="116">
        <v>1</v>
      </c>
      <c r="V24" s="148" t="s">
        <v>217</v>
      </c>
      <c r="W24" s="154" t="s">
        <v>218</v>
      </c>
      <c r="X24" s="124" t="s">
        <v>116</v>
      </c>
      <c r="Y24" s="196" t="s">
        <v>135</v>
      </c>
      <c r="Z24" s="196" t="s">
        <v>118</v>
      </c>
      <c r="AA24" s="125" t="s">
        <v>149</v>
      </c>
      <c r="AB24" s="196" t="s">
        <v>119</v>
      </c>
      <c r="AC24" s="196" t="s">
        <v>120</v>
      </c>
      <c r="AD24" s="196" t="s">
        <v>121</v>
      </c>
      <c r="AE24" s="209">
        <f t="shared" si="5"/>
        <v>0.36</v>
      </c>
      <c r="AF24" s="200" t="str">
        <f t="shared" si="1"/>
        <v>Baja</v>
      </c>
      <c r="AG24" s="125">
        <v>0.36</v>
      </c>
      <c r="AH24" s="200" t="str">
        <f t="shared" si="2"/>
        <v>Leve</v>
      </c>
      <c r="AI24" s="125">
        <v>0.2</v>
      </c>
      <c r="AJ24" s="202" t="str">
        <f t="shared" si="3"/>
        <v>Bajo</v>
      </c>
      <c r="AK24" s="196" t="s">
        <v>122</v>
      </c>
      <c r="AL24" s="117" t="s">
        <v>219</v>
      </c>
      <c r="AM24" s="117" t="s">
        <v>220</v>
      </c>
      <c r="AN24" s="149" t="s">
        <v>221</v>
      </c>
      <c r="AO24" s="149">
        <v>44683</v>
      </c>
      <c r="AP24" s="193" t="s">
        <v>405</v>
      </c>
      <c r="AQ24" s="194" t="s">
        <v>369</v>
      </c>
      <c r="AR24" s="481">
        <v>44798</v>
      </c>
      <c r="AS24" s="479" t="s">
        <v>424</v>
      </c>
      <c r="AT24" s="480" t="s">
        <v>369</v>
      </c>
      <c r="AU24" s="126"/>
      <c r="AV24" s="117"/>
      <c r="AW24" s="119"/>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row>
    <row r="25" spans="1:75" s="2" customFormat="1" ht="247.5" x14ac:dyDescent="0.25">
      <c r="A25" s="297">
        <v>11</v>
      </c>
      <c r="B25" s="298" t="s">
        <v>378</v>
      </c>
      <c r="C25" s="298" t="s">
        <v>379</v>
      </c>
      <c r="D25" s="297" t="s">
        <v>104</v>
      </c>
      <c r="E25" s="298" t="s">
        <v>105</v>
      </c>
      <c r="F25" s="291" t="s">
        <v>106</v>
      </c>
      <c r="G25" s="291" t="s">
        <v>380</v>
      </c>
      <c r="H25" s="190" t="s">
        <v>381</v>
      </c>
      <c r="I25" s="291" t="s">
        <v>383</v>
      </c>
      <c r="J25" s="291" t="s">
        <v>143</v>
      </c>
      <c r="K25" s="291">
        <v>80</v>
      </c>
      <c r="L25" s="291" t="s">
        <v>131</v>
      </c>
      <c r="M25" s="294">
        <v>40</v>
      </c>
      <c r="N25" s="299" t="str">
        <f>IF(M25&lt;=0,"",IF(M25&lt;=2,"Muy Baja",IF(M25&lt;=24,"Baja",IF(M25&lt;=500,"Media",IF(M25&lt;=5000,"Alta","Muy Alta")))))</f>
        <v>Media</v>
      </c>
      <c r="O25" s="284">
        <f>IF(N25="","",IF(N25="Muy Baja",0.2,IF(N25="Baja",0.4,IF(N25="Media",0.6,IF(N25="Alta",0.8,IF(N25="Muy Alta",1,))))))</f>
        <v>0.6</v>
      </c>
      <c r="P25" s="300" t="s">
        <v>330</v>
      </c>
      <c r="Q25" s="284" t="str">
        <f>IF(NOT(ISERROR(MATCH(P25,'[4]Tabla Impacto'!$B$221:$B$223,0))),'[4]Tabla Impacto'!$F$223&amp;"Por favor no seleccionar los criterios de impacto(Afectación Económica o presupuestal y Pérdida Reputacional)",P25)</f>
        <v xml:space="preserve">     El riesgo afecta la imagen de alguna área de la organización</v>
      </c>
      <c r="R25" s="299" t="s">
        <v>301</v>
      </c>
      <c r="S25" s="284">
        <v>0.8</v>
      </c>
      <c r="T25" s="299" t="str">
        <f>IF(OR(AND(N25="Muy Baja",R25="Leve"),AND(N25="Muy Baja",R25="Menor"),AND(N25="Baja",R25="Leve")),"Bajo",IF(OR(AND(N25="Muy baja",R25="Moderado"),AND(N25="Baja",R25="Menor"),AND(N25="Baja",R25="Moderado"),AND(N25="Media",R25="Leve"),AND(N25="Media",R25="Menor"),AND(N25="Media",R25="Moderado"),AND(N25="Alta",R25="Leve"),AND(N25="Alta",R25="Menor")),"Moderado",IF(OR(AND(N25="Muy Baja",R25="Mayor"),AND(N25="Baja",R25="Mayor"),AND(N25="Media",R25="Mayor"),AND(N25="Alta",R25="Moderado"),AND(N25="Alta",R25="Mayor"),AND(N25="Muy Alta",R25="Leve"),AND(N25="Muy Alta",R25="Menor"),AND(N25="Muy Alta",R25="Moderado"),AND(N25="Muy Alta",R25="Mayor")),"Alto",IF(OR(AND(N25="Muy Baja",R25="Catastrófico"),AND(N25="Baja",R25="Catastrófico"),AND(N25="Media",R25="Catastrófico"),AND(N25="Alta",R25="Catastrófico"),AND(N25="Muy Alta",R25="Catastrófico")),"Extremo",""))))</f>
        <v>Alto</v>
      </c>
      <c r="U25" s="151">
        <v>1</v>
      </c>
      <c r="V25" s="197" t="s">
        <v>384</v>
      </c>
      <c r="W25" s="197" t="s">
        <v>385</v>
      </c>
      <c r="X25" s="198" t="str">
        <f t="shared" ref="X25:X26" si="6">IF(OR(Y25="Preventivo",Y25="Detectivo"),"Probabilidad",IF(Y25="Correctivo","Impacto",""))</f>
        <v>Probabilidad</v>
      </c>
      <c r="Y25" s="196" t="s">
        <v>135</v>
      </c>
      <c r="Z25" s="196" t="s">
        <v>118</v>
      </c>
      <c r="AA25" s="125" t="str">
        <f t="shared" ref="AA25:AA26" si="7">IF(AND(Y25="Preventivo",Z25="Automático"),"50%",IF(AND(Y25="Preventivo",Z25="Manual"),"40%",IF(AND(Y25="Detectivo",Z25="Automático"),"40%",IF(AND(Y25="Detectivo",Z25="Manual"),"30%",IF(AND(Y25="Correctivo",Z25="Automático"),"35%",IF(AND(Y25="Correctivo",Z25="Manual"),"25%",""))))))</f>
        <v>40%</v>
      </c>
      <c r="AB25" s="196" t="s">
        <v>150</v>
      </c>
      <c r="AC25" s="196" t="s">
        <v>151</v>
      </c>
      <c r="AD25" s="196" t="s">
        <v>152</v>
      </c>
      <c r="AE25" s="199">
        <f t="shared" ref="AE25:AE26" si="8">IFERROR(IF(AND(X24="Probabilidad",X25="Probabilidad"),(AG24-(+AG24*AA25)),IF(AND(X24="Impacto",X25="Probabilidad"),(AG23-(+AG23*AA25)),IF(X25="Impacto",AG24,""))),"")</f>
        <v>0.216</v>
      </c>
      <c r="AF25" s="200" t="str">
        <f t="shared" si="1"/>
        <v>Baja</v>
      </c>
      <c r="AG25" s="188">
        <f t="shared" ref="AG25:AG26" si="9">+AE25</f>
        <v>0.216</v>
      </c>
      <c r="AH25" s="200" t="str">
        <f t="shared" si="2"/>
        <v>Leve</v>
      </c>
      <c r="AI25" s="188">
        <f>IFERROR(IF(AND(X24="Impacto",X25="Impacto"),(AI24-(+AI24*AA25)),IF(AND(X24="Probabilidad",X25="Impacto"),(AI23-(+AI23*AA25)),IF(X25="Probabilidad",AI24,""))),"")</f>
        <v>0.2</v>
      </c>
      <c r="AJ25" s="200" t="str">
        <f t="shared" si="3"/>
        <v>Bajo</v>
      </c>
      <c r="AK25" s="201" t="s">
        <v>366</v>
      </c>
      <c r="AL25" s="195" t="s">
        <v>386</v>
      </c>
      <c r="AM25" s="190" t="s">
        <v>387</v>
      </c>
      <c r="AN25" s="149" t="s">
        <v>388</v>
      </c>
      <c r="AO25" s="149" t="s">
        <v>389</v>
      </c>
      <c r="AP25" s="190" t="s">
        <v>390</v>
      </c>
      <c r="AQ25" s="189" t="s">
        <v>369</v>
      </c>
      <c r="AR25" s="484">
        <v>44783</v>
      </c>
      <c r="AS25" s="483" t="s">
        <v>425</v>
      </c>
      <c r="AT25" s="482" t="s">
        <v>369</v>
      </c>
      <c r="AU25" s="482"/>
      <c r="AV25" s="190"/>
      <c r="AW25" s="189"/>
    </row>
    <row r="26" spans="1:75" s="4" customFormat="1" ht="154.5" customHeight="1" x14ac:dyDescent="0.3">
      <c r="A26" s="297"/>
      <c r="B26" s="298"/>
      <c r="C26" s="298"/>
      <c r="D26" s="297"/>
      <c r="E26" s="298"/>
      <c r="F26" s="291"/>
      <c r="G26" s="291"/>
      <c r="H26" s="151" t="s">
        <v>382</v>
      </c>
      <c r="I26" s="291"/>
      <c r="J26" s="291"/>
      <c r="K26" s="291"/>
      <c r="L26" s="291"/>
      <c r="M26" s="294"/>
      <c r="N26" s="299"/>
      <c r="O26" s="284"/>
      <c r="P26" s="300"/>
      <c r="Q26" s="284"/>
      <c r="R26" s="299"/>
      <c r="S26" s="284"/>
      <c r="T26" s="299"/>
      <c r="U26" s="151">
        <v>2</v>
      </c>
      <c r="V26" s="197" t="s">
        <v>391</v>
      </c>
      <c r="W26" s="197" t="s">
        <v>392</v>
      </c>
      <c r="X26" s="198" t="str">
        <f t="shared" si="6"/>
        <v>Probabilidad</v>
      </c>
      <c r="Y26" s="196" t="s">
        <v>135</v>
      </c>
      <c r="Z26" s="196" t="s">
        <v>118</v>
      </c>
      <c r="AA26" s="125" t="str">
        <f t="shared" si="7"/>
        <v>40%</v>
      </c>
      <c r="AB26" s="196" t="s">
        <v>150</v>
      </c>
      <c r="AC26" s="196" t="s">
        <v>151</v>
      </c>
      <c r="AD26" s="196" t="s">
        <v>152</v>
      </c>
      <c r="AE26" s="199">
        <f t="shared" si="8"/>
        <v>0.12959999999999999</v>
      </c>
      <c r="AF26" s="200" t="str">
        <f t="shared" si="1"/>
        <v>Muy Baja</v>
      </c>
      <c r="AG26" s="188">
        <f t="shared" si="9"/>
        <v>0.12959999999999999</v>
      </c>
      <c r="AH26" s="200" t="str">
        <f t="shared" si="2"/>
        <v>Leve</v>
      </c>
      <c r="AI26" s="188">
        <f>IFERROR(IF(AND(X25="Impacto",X26="Impacto"),(AI25-(+AI25*AA26)),IF(AND(X25="Probabilidad",X26="Impacto"),(AI24-(+AI24*AA26)),IF(X26="Probabilidad",AI25,""))),"")</f>
        <v>0.2</v>
      </c>
      <c r="AJ26" s="200" t="str">
        <f t="shared" si="3"/>
        <v>Bajo</v>
      </c>
      <c r="AK26" s="201" t="s">
        <v>366</v>
      </c>
      <c r="AL26" s="190" t="s">
        <v>393</v>
      </c>
      <c r="AM26" s="190" t="s">
        <v>394</v>
      </c>
      <c r="AN26" s="149" t="s">
        <v>388</v>
      </c>
      <c r="AO26" s="149" t="s">
        <v>389</v>
      </c>
      <c r="AP26" s="190" t="s">
        <v>395</v>
      </c>
      <c r="AQ26" s="189" t="s">
        <v>369</v>
      </c>
      <c r="AR26" s="484">
        <v>44783</v>
      </c>
      <c r="AS26" s="483" t="s">
        <v>426</v>
      </c>
      <c r="AT26" s="482" t="s">
        <v>369</v>
      </c>
      <c r="AU26" s="482"/>
      <c r="AV26" s="190"/>
      <c r="AW26" s="189"/>
    </row>
    <row r="27" spans="1:75" ht="49.5" customHeight="1" x14ac:dyDescent="0.3">
      <c r="A27" s="115"/>
      <c r="B27" s="139"/>
      <c r="C27" s="139"/>
      <c r="D27" s="139"/>
      <c r="E27" s="152"/>
      <c r="F27" s="268" t="s">
        <v>222</v>
      </c>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70"/>
    </row>
    <row r="28" spans="1:75" ht="18" x14ac:dyDescent="0.3">
      <c r="A28" s="271" t="s">
        <v>223</v>
      </c>
      <c r="B28" s="271"/>
      <c r="C28" s="271"/>
      <c r="D28" s="271"/>
      <c r="E28" s="271"/>
      <c r="F28" s="271"/>
      <c r="G28" s="271"/>
      <c r="H28" s="271"/>
      <c r="I28" s="271"/>
      <c r="J28" s="1"/>
      <c r="K28" s="1"/>
      <c r="L28" s="1"/>
      <c r="M28" s="265" t="s">
        <v>224</v>
      </c>
      <c r="N28" s="266"/>
      <c r="O28" s="266"/>
      <c r="P28" s="267"/>
      <c r="Q28" s="128"/>
      <c r="R28" s="128"/>
      <c r="S28" s="128"/>
      <c r="T28" s="128"/>
      <c r="U28" s="128"/>
      <c r="V28" s="128"/>
      <c r="W28" s="131"/>
      <c r="X28" s="130"/>
      <c r="Y28" s="130"/>
      <c r="Z28" s="128"/>
      <c r="AA28" s="130"/>
      <c r="AB28" s="130"/>
      <c r="AC28" s="128"/>
      <c r="AD28" s="128"/>
      <c r="AE28" s="128"/>
      <c r="AF28" s="128"/>
      <c r="AG28" s="128"/>
      <c r="AH28" s="128"/>
      <c r="AI28" s="128"/>
      <c r="AJ28" s="128"/>
      <c r="AK28" s="461"/>
      <c r="AL28" s="128"/>
      <c r="AM28" s="128"/>
      <c r="AN28" s="128"/>
      <c r="AO28" s="128"/>
      <c r="AP28" s="128"/>
      <c r="AQ28" s="128"/>
      <c r="AR28" s="128"/>
      <c r="AS28" s="128"/>
    </row>
    <row r="29" spans="1:75" ht="17.25" thickBot="1" x14ac:dyDescent="0.35">
      <c r="A29"/>
      <c r="B29"/>
      <c r="C29"/>
      <c r="D29"/>
      <c r="E29" s="134"/>
      <c r="F29"/>
      <c r="G29"/>
      <c r="H29"/>
      <c r="I29"/>
      <c r="J29" s="1"/>
      <c r="K29" s="1"/>
      <c r="L29" s="1"/>
      <c r="N29" s="129" t="str">
        <f>+IFERROR(VLOOKUP(J29,$J$184:$N$188,3,FALSE)*VLOOKUP(M29,$M$184:$N$188,3,FALSE),"")</f>
        <v/>
      </c>
      <c r="O29"/>
      <c r="P29"/>
      <c r="Q29" s="135"/>
      <c r="R29"/>
      <c r="S29"/>
      <c r="T29"/>
      <c r="U29"/>
      <c r="V29"/>
      <c r="W29"/>
      <c r="X29" s="129"/>
      <c r="Y29" s="210"/>
      <c r="Z29" s="135"/>
      <c r="AA29" s="210"/>
      <c r="AB29" s="210"/>
      <c r="AC29" s="207"/>
      <c r="AD29" s="207"/>
      <c r="AE29" s="207"/>
      <c r="AF29" s="207"/>
      <c r="AG29" s="132"/>
      <c r="AH29" s="208"/>
      <c r="AI29" s="134"/>
      <c r="AJ29" s="135"/>
      <c r="AK29" s="135"/>
      <c r="AL29"/>
      <c r="AM29"/>
      <c r="AN29" s="134"/>
      <c r="AO29"/>
      <c r="AP29" s="134"/>
      <c r="AQ29"/>
      <c r="AR29" s="134"/>
      <c r="AS29"/>
    </row>
    <row r="30" spans="1:75" ht="17.45" customHeight="1" thickTop="1" thickBot="1" x14ac:dyDescent="0.35">
      <c r="A30" s="263" t="s">
        <v>225</v>
      </c>
      <c r="B30" s="263"/>
      <c r="C30" s="263"/>
      <c r="D30" s="263"/>
      <c r="E30" s="263"/>
      <c r="F30" s="263"/>
      <c r="G30" s="263"/>
      <c r="H30" s="263"/>
      <c r="I30" s="137" t="s">
        <v>226</v>
      </c>
      <c r="J30" s="263" t="s">
        <v>227</v>
      </c>
      <c r="K30" s="263"/>
      <c r="L30" s="263"/>
      <c r="M30" s="263"/>
      <c r="N30" s="263"/>
      <c r="O30" s="263"/>
      <c r="P30" s="263"/>
      <c r="Q30" s="138"/>
      <c r="R30" s="264" t="s">
        <v>228</v>
      </c>
      <c r="S30" s="264"/>
      <c r="T30" s="264"/>
      <c r="U30" s="263" t="s">
        <v>229</v>
      </c>
      <c r="V30" s="263"/>
      <c r="W30" s="263"/>
      <c r="X30" s="263"/>
      <c r="Y30" s="264">
        <v>1</v>
      </c>
      <c r="Z30" s="264"/>
      <c r="AA30" s="264"/>
      <c r="AB30" s="264"/>
      <c r="AC30" s="136"/>
      <c r="AD30" s="136"/>
      <c r="AE30" s="136"/>
      <c r="AF30" s="136"/>
      <c r="AG30" s="136"/>
      <c r="AH30" s="136"/>
      <c r="AI30" s="136"/>
      <c r="AJ30" s="136"/>
      <c r="AK30" s="136"/>
      <c r="AL30" s="136"/>
      <c r="AM30" s="136"/>
      <c r="AN30" s="136"/>
      <c r="AO30" s="136"/>
      <c r="AP30" s="136"/>
      <c r="AQ30" s="136"/>
      <c r="AR30" s="136"/>
      <c r="AS30" s="133"/>
    </row>
    <row r="31" spans="1:75" ht="17.25" thickTop="1" x14ac:dyDescent="0.3"/>
    <row r="1048576" spans="31:31" x14ac:dyDescent="0.3">
      <c r="AE1048576" s="209" t="str">
        <f>IFERROR(IF(X1048576="Probabilidad",(O1048576-(+O1048576*AA1048576)),IF(X1048576="Impacto",O1048576,"")),"")</f>
        <v/>
      </c>
    </row>
  </sheetData>
  <dataConsolidate/>
  <mergeCells count="128">
    <mergeCell ref="T25:T26"/>
    <mergeCell ref="K25:K26"/>
    <mergeCell ref="L25:L26"/>
    <mergeCell ref="M25:M26"/>
    <mergeCell ref="N25:N26"/>
    <mergeCell ref="O25:O26"/>
    <mergeCell ref="P25:P26"/>
    <mergeCell ref="Q25:Q26"/>
    <mergeCell ref="R25:R26"/>
    <mergeCell ref="S25:S26"/>
    <mergeCell ref="A25:A26"/>
    <mergeCell ref="B25:B26"/>
    <mergeCell ref="C25:C26"/>
    <mergeCell ref="D25:D26"/>
    <mergeCell ref="E25:E26"/>
    <mergeCell ref="F25:F26"/>
    <mergeCell ref="G25:G26"/>
    <mergeCell ref="I25:I26"/>
    <mergeCell ref="J25:J26"/>
    <mergeCell ref="S17:S18"/>
    <mergeCell ref="T17:T18"/>
    <mergeCell ref="M15:M16"/>
    <mergeCell ref="Q17:Q18"/>
    <mergeCell ref="Q15:Q16"/>
    <mergeCell ref="M17:M18"/>
    <mergeCell ref="N17:N18"/>
    <mergeCell ref="O17:O18"/>
    <mergeCell ref="P17:P18"/>
    <mergeCell ref="R17:R18"/>
    <mergeCell ref="S15:S16"/>
    <mergeCell ref="T15:T16"/>
    <mergeCell ref="A15:A16"/>
    <mergeCell ref="A17:A18"/>
    <mergeCell ref="B17:B18"/>
    <mergeCell ref="C17:C18"/>
    <mergeCell ref="D17:D18"/>
    <mergeCell ref="E17:E18"/>
    <mergeCell ref="F17:F18"/>
    <mergeCell ref="G17:G18"/>
    <mergeCell ref="H17:H18"/>
    <mergeCell ref="G15:G16"/>
    <mergeCell ref="H15:H16"/>
    <mergeCell ref="B15:B16"/>
    <mergeCell ref="C15:C16"/>
    <mergeCell ref="D15:D16"/>
    <mergeCell ref="E15:E16"/>
    <mergeCell ref="F15:F16"/>
    <mergeCell ref="I17:I18"/>
    <mergeCell ref="J17:J18"/>
    <mergeCell ref="K17:K18"/>
    <mergeCell ref="L17:L18"/>
    <mergeCell ref="L15:L16"/>
    <mergeCell ref="N15:N16"/>
    <mergeCell ref="O15:O16"/>
    <mergeCell ref="P15:P16"/>
    <mergeCell ref="R15:R16"/>
    <mergeCell ref="I15:I16"/>
    <mergeCell ref="J15:J16"/>
    <mergeCell ref="K15:K16"/>
    <mergeCell ref="AL9:AW9"/>
    <mergeCell ref="AT10:AT11"/>
    <mergeCell ref="AU10:AU11"/>
    <mergeCell ref="AV10:AV11"/>
    <mergeCell ref="S10:S11"/>
    <mergeCell ref="Y10:AD10"/>
    <mergeCell ref="AE9:AK9"/>
    <mergeCell ref="J10:J11"/>
    <mergeCell ref="A6:D6"/>
    <mergeCell ref="A7:D7"/>
    <mergeCell ref="A8:D8"/>
    <mergeCell ref="A9:M9"/>
    <mergeCell ref="N9:T9"/>
    <mergeCell ref="U9:AD9"/>
    <mergeCell ref="U10:U11"/>
    <mergeCell ref="V10:V11"/>
    <mergeCell ref="D10:D11"/>
    <mergeCell ref="X10:X11"/>
    <mergeCell ref="B10:B11"/>
    <mergeCell ref="C10:C11"/>
    <mergeCell ref="A10:A11"/>
    <mergeCell ref="G1:AU4"/>
    <mergeCell ref="AR10:AR11"/>
    <mergeCell ref="AS10:AS11"/>
    <mergeCell ref="U30:X30"/>
    <mergeCell ref="Y30:AB30"/>
    <mergeCell ref="A30:H30"/>
    <mergeCell ref="M28:P28"/>
    <mergeCell ref="J30:P30"/>
    <mergeCell ref="R30:T30"/>
    <mergeCell ref="F27:AQ27"/>
    <mergeCell ref="A28:I28"/>
    <mergeCell ref="I10:I11"/>
    <mergeCell ref="H10:H11"/>
    <mergeCell ref="G10:G11"/>
    <mergeCell ref="F10:F11"/>
    <mergeCell ref="T10:T11"/>
    <mergeCell ref="P10:P11"/>
    <mergeCell ref="Q10:Q11"/>
    <mergeCell ref="AQ10:AQ11"/>
    <mergeCell ref="AP10:AP11"/>
    <mergeCell ref="AO10:AO11"/>
    <mergeCell ref="AN10:AN11"/>
    <mergeCell ref="AM10:AM11"/>
    <mergeCell ref="E10:E11"/>
    <mergeCell ref="AV1:AW1"/>
    <mergeCell ref="AV2:AW2"/>
    <mergeCell ref="AV3:AW3"/>
    <mergeCell ref="AV4:AW4"/>
    <mergeCell ref="AL10:AL11"/>
    <mergeCell ref="E8:AW8"/>
    <mergeCell ref="E7:AW7"/>
    <mergeCell ref="E6:AW6"/>
    <mergeCell ref="K10:K11"/>
    <mergeCell ref="L10:L11"/>
    <mergeCell ref="AK10:AK11"/>
    <mergeCell ref="AJ10:AJ11"/>
    <mergeCell ref="AI10:AI11"/>
    <mergeCell ref="AE10:AE11"/>
    <mergeCell ref="W10:W11"/>
    <mergeCell ref="AW10:AW11"/>
    <mergeCell ref="A1:F4"/>
    <mergeCell ref="AH10:AH11"/>
    <mergeCell ref="AF10:AF11"/>
    <mergeCell ref="AG10:AG11"/>
    <mergeCell ref="M10:M11"/>
    <mergeCell ref="N10:N11"/>
    <mergeCell ref="O10:O11"/>
    <mergeCell ref="R10:R11"/>
  </mergeCells>
  <conditionalFormatting sqref="N13:N15 N17 N19:N24">
    <cfRule type="cellIs" dxfId="85" priority="448" operator="equal">
      <formula>"Muy Alta"</formula>
    </cfRule>
    <cfRule type="cellIs" dxfId="84" priority="449" operator="equal">
      <formula>"Alta"</formula>
    </cfRule>
    <cfRule type="cellIs" dxfId="83" priority="450" operator="equal">
      <formula>"Media"</formula>
    </cfRule>
    <cfRule type="cellIs" dxfId="82" priority="451" operator="equal">
      <formula>"Baja"</formula>
    </cfRule>
    <cfRule type="cellIs" dxfId="81" priority="452" operator="equal">
      <formula>"Muy Baja"</formula>
    </cfRule>
  </conditionalFormatting>
  <conditionalFormatting sqref="R17 R13:R15 R19:R21">
    <cfRule type="cellIs" dxfId="80" priority="443" operator="equal">
      <formula>"Catastrófico"</formula>
    </cfRule>
    <cfRule type="cellIs" dxfId="79" priority="444" operator="equal">
      <formula>"Mayor"</formula>
    </cfRule>
    <cfRule type="cellIs" dxfId="78" priority="445" operator="equal">
      <formula>"Moderado"</formula>
    </cfRule>
    <cfRule type="cellIs" dxfId="77" priority="446" operator="equal">
      <formula>"Menor"</formula>
    </cfRule>
    <cfRule type="cellIs" dxfId="76" priority="447" operator="equal">
      <formula>"Leve"</formula>
    </cfRule>
  </conditionalFormatting>
  <conditionalFormatting sqref="T17 T13:T15 T19:T24">
    <cfRule type="cellIs" dxfId="75" priority="369" operator="equal">
      <formula>"Extremo"</formula>
    </cfRule>
    <cfRule type="cellIs" dxfId="74" priority="370" operator="equal">
      <formula>"Alto"</formula>
    </cfRule>
    <cfRule type="cellIs" dxfId="73" priority="371" operator="equal">
      <formula>"Moderado"</formula>
    </cfRule>
    <cfRule type="cellIs" dxfId="72" priority="372" operator="equal">
      <formula>"Bajo"</formula>
    </cfRule>
  </conditionalFormatting>
  <conditionalFormatting sqref="AF13:AF24">
    <cfRule type="cellIs" dxfId="71" priority="364" operator="equal">
      <formula>"Muy Alta"</formula>
    </cfRule>
    <cfRule type="cellIs" dxfId="70" priority="365" operator="equal">
      <formula>"Alta"</formula>
    </cfRule>
    <cfRule type="cellIs" dxfId="69" priority="366" operator="equal">
      <formula>"Media"</formula>
    </cfRule>
    <cfRule type="cellIs" dxfId="68" priority="367" operator="equal">
      <formula>"Baja"</formula>
    </cfRule>
    <cfRule type="cellIs" dxfId="67" priority="368" operator="equal">
      <formula>"Muy Baja"</formula>
    </cfRule>
  </conditionalFormatting>
  <conditionalFormatting sqref="AH13:AH24">
    <cfRule type="cellIs" dxfId="66" priority="359" operator="equal">
      <formula>"Catastrófico"</formula>
    </cfRule>
    <cfRule type="cellIs" dxfId="65" priority="360" operator="equal">
      <formula>"Mayor"</formula>
    </cfRule>
    <cfRule type="cellIs" dxfId="64" priority="361" operator="equal">
      <formula>"Moderado"</formula>
    </cfRule>
    <cfRule type="cellIs" dxfId="63" priority="362" operator="equal">
      <formula>"Menor"</formula>
    </cfRule>
    <cfRule type="cellIs" dxfId="62" priority="363" operator="equal">
      <formula>"Leve"</formula>
    </cfRule>
  </conditionalFormatting>
  <conditionalFormatting sqref="AJ13:AJ24">
    <cfRule type="cellIs" dxfId="61" priority="355" operator="equal">
      <formula>"Extremo"</formula>
    </cfRule>
    <cfRule type="cellIs" dxfId="60" priority="356" operator="equal">
      <formula>"Alto"</formula>
    </cfRule>
    <cfRule type="cellIs" dxfId="59" priority="357" operator="equal">
      <formula>"Moderado"</formula>
    </cfRule>
    <cfRule type="cellIs" dxfId="58" priority="358" operator="equal">
      <formula>"Bajo"</formula>
    </cfRule>
  </conditionalFormatting>
  <conditionalFormatting sqref="Q13:Q15 Q17 Q19:Q23">
    <cfRule type="containsText" dxfId="57" priority="130" operator="containsText" text="❌">
      <formula>NOT(ISERROR(SEARCH("❌",Q13)))</formula>
    </cfRule>
  </conditionalFormatting>
  <conditionalFormatting sqref="Q24">
    <cfRule type="containsText" dxfId="56" priority="96" operator="containsText" text="❌">
      <formula>NOT(ISERROR(SEARCH("❌",Q24)))</formula>
    </cfRule>
  </conditionalFormatting>
  <conditionalFormatting sqref="AG28:AG29">
    <cfRule type="cellIs" dxfId="55" priority="84" stopIfTrue="1" operator="equal">
      <formula>#REF!</formula>
    </cfRule>
    <cfRule type="cellIs" dxfId="54" priority="85" operator="equal">
      <formula>#REF!</formula>
    </cfRule>
    <cfRule type="cellIs" dxfId="53" priority="86" operator="equal">
      <formula>#REF!</formula>
    </cfRule>
  </conditionalFormatting>
  <conditionalFormatting sqref="AH28:AH29">
    <cfRule type="cellIs" dxfId="52" priority="87" stopIfTrue="1" operator="equal">
      <formula>#REF!</formula>
    </cfRule>
    <cfRule type="cellIs" dxfId="51" priority="88" stopIfTrue="1" operator="equal">
      <formula>#REF!</formula>
    </cfRule>
    <cfRule type="cellIs" dxfId="50" priority="89" stopIfTrue="1" operator="equal">
      <formula>#REF!</formula>
    </cfRule>
  </conditionalFormatting>
  <conditionalFormatting sqref="R22">
    <cfRule type="cellIs" dxfId="49" priority="69" operator="equal">
      <formula>"Catastrófico"</formula>
    </cfRule>
    <cfRule type="cellIs" dxfId="48" priority="70" operator="equal">
      <formula>"Mayor"</formula>
    </cfRule>
    <cfRule type="cellIs" dxfId="47" priority="71" operator="equal">
      <formula>"Moderado"</formula>
    </cfRule>
    <cfRule type="cellIs" dxfId="46" priority="72" operator="equal">
      <formula>"Menor"</formula>
    </cfRule>
    <cfRule type="cellIs" dxfId="45" priority="73" operator="equal">
      <formula>"Leve"</formula>
    </cfRule>
  </conditionalFormatting>
  <conditionalFormatting sqref="R23">
    <cfRule type="cellIs" dxfId="44" priority="64" operator="equal">
      <formula>"Catastrófico"</formula>
    </cfRule>
    <cfRule type="cellIs" dxfId="43" priority="65" operator="equal">
      <formula>"Mayor"</formula>
    </cfRule>
    <cfRule type="cellIs" dxfId="42" priority="66" operator="equal">
      <formula>"Moderado"</formula>
    </cfRule>
    <cfRule type="cellIs" dxfId="41" priority="67" operator="equal">
      <formula>"Menor"</formula>
    </cfRule>
    <cfRule type="cellIs" dxfId="40" priority="68" operator="equal">
      <formula>"Leve"</formula>
    </cfRule>
  </conditionalFormatting>
  <conditionalFormatting sqref="Q25">
    <cfRule type="containsText" dxfId="39" priority="34" operator="containsText" text="❌">
      <formula>NOT(ISERROR(SEARCH("❌",Q25)))</formula>
    </cfRule>
  </conditionalFormatting>
  <conditionalFormatting sqref="N25">
    <cfRule type="cellIs" dxfId="38" priority="29" operator="equal">
      <formula>"Muy Alta"</formula>
    </cfRule>
    <cfRule type="cellIs" dxfId="37" priority="30" operator="equal">
      <formula>"Alta"</formula>
    </cfRule>
    <cfRule type="cellIs" dxfId="36" priority="31" operator="equal">
      <formula>"Media"</formula>
    </cfRule>
    <cfRule type="cellIs" dxfId="35" priority="32" operator="equal">
      <formula>"Baja"</formula>
    </cfRule>
    <cfRule type="cellIs" dxfId="34" priority="33" operator="equal">
      <formula>"Muy Baja"</formula>
    </cfRule>
  </conditionalFormatting>
  <conditionalFormatting sqref="R25">
    <cfRule type="cellIs" dxfId="33" priority="24" operator="equal">
      <formula>"Catastrófico"</formula>
    </cfRule>
    <cfRule type="cellIs" dxfId="32" priority="25" operator="equal">
      <formula>"Mayor"</formula>
    </cfRule>
    <cfRule type="cellIs" dxfId="31" priority="26" operator="equal">
      <formula>"Moderado"</formula>
    </cfRule>
    <cfRule type="cellIs" dxfId="30" priority="27" operator="equal">
      <formula>"Menor"</formula>
    </cfRule>
    <cfRule type="cellIs" dxfId="29" priority="28" operator="equal">
      <formula>"Leve"</formula>
    </cfRule>
  </conditionalFormatting>
  <conditionalFormatting sqref="T25">
    <cfRule type="cellIs" dxfId="28" priority="20" operator="equal">
      <formula>"Extremo"</formula>
    </cfRule>
    <cfRule type="cellIs" dxfId="27" priority="21" operator="equal">
      <formula>"Alto"</formula>
    </cfRule>
    <cfRule type="cellIs" dxfId="26" priority="22" operator="equal">
      <formula>"Moderado"</formula>
    </cfRule>
    <cfRule type="cellIs" dxfId="25" priority="23" operator="equal">
      <formula>"Bajo"</formula>
    </cfRule>
  </conditionalFormatting>
  <conditionalFormatting sqref="AF25:AF26">
    <cfRule type="cellIs" dxfId="24" priority="15" operator="equal">
      <formula>"Muy Alta"</formula>
    </cfRule>
    <cfRule type="cellIs" dxfId="23" priority="16" operator="equal">
      <formula>"Alta"</formula>
    </cfRule>
    <cfRule type="cellIs" dxfId="22" priority="17" operator="equal">
      <formula>"Media"</formula>
    </cfRule>
    <cfRule type="cellIs" dxfId="21" priority="18" operator="equal">
      <formula>"Baja"</formula>
    </cfRule>
    <cfRule type="cellIs" dxfId="20" priority="19" operator="equal">
      <formula>"Muy Baja"</formula>
    </cfRule>
  </conditionalFormatting>
  <conditionalFormatting sqref="AH25:AH26">
    <cfRule type="cellIs" dxfId="19" priority="10" operator="equal">
      <formula>"Catastrófico"</formula>
    </cfRule>
    <cfRule type="cellIs" dxfId="18" priority="11" operator="equal">
      <formula>"Mayor"</formula>
    </cfRule>
    <cfRule type="cellIs" dxfId="17" priority="12" operator="equal">
      <formula>"Moderado"</formula>
    </cfRule>
    <cfRule type="cellIs" dxfId="16" priority="13" operator="equal">
      <formula>"Menor"</formula>
    </cfRule>
    <cfRule type="cellIs" dxfId="15" priority="14" operator="equal">
      <formula>"Leve"</formula>
    </cfRule>
  </conditionalFormatting>
  <conditionalFormatting sqref="AJ25:AJ26">
    <cfRule type="cellIs" dxfId="14" priority="6" operator="equal">
      <formula>"Extremo"</formula>
    </cfRule>
    <cfRule type="cellIs" dxfId="13" priority="7" operator="equal">
      <formula>"Alto"</formula>
    </cfRule>
    <cfRule type="cellIs" dxfId="12" priority="8" operator="equal">
      <formula>"Moderado"</formula>
    </cfRule>
    <cfRule type="cellIs" dxfId="11" priority="9" operator="equal">
      <formula>"Bajo"</formula>
    </cfRule>
  </conditionalFormatting>
  <conditionalFormatting sqref="R24">
    <cfRule type="cellIs" dxfId="10" priority="1" operator="equal">
      <formula>"Catastrófico"</formula>
    </cfRule>
    <cfRule type="cellIs" dxfId="9" priority="2" operator="equal">
      <formula>"Mayor"</formula>
    </cfRule>
    <cfRule type="cellIs" dxfId="8" priority="3" operator="equal">
      <formula>"Moderado"</formula>
    </cfRule>
    <cfRule type="cellIs" dxfId="7" priority="4" operator="equal">
      <formula>"Menor"</formula>
    </cfRule>
    <cfRule type="cellIs" dxfId="6" priority="5" operator="equal">
      <formula>"Leve"</formula>
    </cfRule>
  </conditionalFormatting>
  <dataValidations count="5">
    <dataValidation type="list" allowBlank="1" showInputMessage="1" showErrorMessage="1" sqref="I29 AG29:AH29" xr:uid="{00000000-0002-0000-0100-000001000000}">
      <formula1>#REF!</formula1>
    </dataValidation>
    <dataValidation type="list" allowBlank="1" showInputMessage="1" showErrorMessage="1" sqref="X29" xr:uid="{00000000-0002-0000-0100-000002000000}">
      <formula1>$P$184:$P$185</formula1>
    </dataValidation>
    <dataValidation type="list" allowBlank="1" showInputMessage="1" showErrorMessage="1" sqref="M29" xr:uid="{00000000-0002-0000-0100-000003000000}">
      <formula1>$M$184:$M$188</formula1>
    </dataValidation>
    <dataValidation type="list" allowBlank="1" showInputMessage="1" showErrorMessage="1" sqref="J29:L29" xr:uid="{00000000-0002-0000-0100-000004000000}">
      <formula1>$J$184:$J$188</formula1>
    </dataValidation>
    <dataValidation type="list" allowBlank="1" showInputMessage="1" showErrorMessage="1" sqref="AR29 AP29 AN29 Y29 AA29:AF29" xr:uid="{00000000-0002-0000-0100-000005000000}">
      <formula1>$AN$184:$AN$191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6000000}">
          <x14:formula1>
            <xm:f>'Opciones Tratamiento'!$B$9:$B$10</xm:f>
          </x14:formula1>
          <xm:sqref>AQ21:AQ24 AW13:AW24 AQ13 AT14 AT18 AT20:AT26</xm:sqref>
        </x14:dataValidation>
        <x14:dataValidation type="list" allowBlank="1" showInputMessage="1" showErrorMessage="1" xr:uid="{00000000-0002-0000-0100-000007000000}">
          <x14:formula1>
            <xm:f>'Tabla Valoración controles'!$D$4:$D$6</xm:f>
          </x14:formula1>
          <xm:sqref>Y13:Y24</xm:sqref>
        </x14:dataValidation>
        <x14:dataValidation type="list" allowBlank="1" showInputMessage="1" showErrorMessage="1" xr:uid="{00000000-0002-0000-0100-000008000000}">
          <x14:formula1>
            <xm:f>'Tabla Valoración controles'!$D$7:$D$8</xm:f>
          </x14:formula1>
          <xm:sqref>Z13:Z24</xm:sqref>
        </x14:dataValidation>
        <x14:dataValidation type="list" allowBlank="1" showInputMessage="1" showErrorMessage="1" xr:uid="{00000000-0002-0000-0100-000009000000}">
          <x14:formula1>
            <xm:f>'Tabla Valoración controles'!$D$9:$D$10</xm:f>
          </x14:formula1>
          <xm:sqref>AB13:AB24</xm:sqref>
        </x14:dataValidation>
        <x14:dataValidation type="list" allowBlank="1" showInputMessage="1" showErrorMessage="1" xr:uid="{00000000-0002-0000-0100-00000A000000}">
          <x14:formula1>
            <xm:f>'Tabla Valoración controles'!$D$11:$D$12</xm:f>
          </x14:formula1>
          <xm:sqref>AC13:AC24</xm:sqref>
        </x14:dataValidation>
        <x14:dataValidation type="list" allowBlank="1" showInputMessage="1" showErrorMessage="1" xr:uid="{00000000-0002-0000-0100-00000B000000}">
          <x14:formula1>
            <xm:f>'Tabla Valoración controles'!$D$13:$D$14</xm:f>
          </x14:formula1>
          <xm:sqref>AD13:AD24</xm:sqref>
        </x14:dataValidation>
        <x14:dataValidation type="list" allowBlank="1" showInputMessage="1" showErrorMessage="1" xr:uid="{00000000-0002-0000-0100-00000C000000}">
          <x14:formula1>
            <xm:f>'Opciones Tratamiento'!$B$13:$B$19</xm:f>
          </x14:formula1>
          <xm:sqref>J13:J15 J17 J19:J24</xm:sqref>
        </x14:dataValidation>
        <x14:dataValidation type="list" allowBlank="1" showInputMessage="1" showErrorMessage="1" xr:uid="{00000000-0002-0000-0100-00000D000000}">
          <x14:formula1>
            <xm:f>'Opciones Tratamiento'!$E$2:$E$4</xm:f>
          </x14:formula1>
          <xm:sqref>F13:F15 F17 F19:F25</xm:sqref>
        </x14:dataValidation>
        <x14:dataValidation type="list" allowBlank="1" showInputMessage="1" showErrorMessage="1" xr:uid="{00000000-0002-0000-0100-00000E000000}">
          <x14:formula1>
            <xm:f>'Opciones Tratamiento'!$B$2:$B$5</xm:f>
          </x14:formula1>
          <xm:sqref>AK13:AK24</xm:sqref>
        </x14:dataValidation>
        <x14:dataValidation type="list" allowBlank="1" showInputMessage="1" showErrorMessage="1" xr:uid="{00000000-0002-0000-0100-00000F000000}">
          <x14:formula1>
            <xm:f>'Tabla Impacto'!$F$210:$F$221</xm:f>
          </x14:formula1>
          <xm:sqref>P13:P15 P17 P19:P24</xm:sqref>
        </x14:dataValidation>
        <x14:dataValidation type="custom" allowBlank="1" showInputMessage="1" showErrorMessage="1" error="Recuerde que las acciones se generan bajo la medida de mitigar el riesgo" xr:uid="{00000000-0002-0000-0100-000010000000}">
          <x14:formula1>
            <xm:f>IF(OR(AN13='Opciones Tratamiento'!$B$2,AN13='Opciones Tratamiento'!$B$3,AN13='Opciones Tratamiento'!$B$4),ISBLANK(AN13),ISTEXT(AN13))</xm:f>
          </x14:formula1>
          <xm:sqref>AU13:AU24 AR14 AR18 AR20:AR24</xm:sqref>
        </x14:dataValidation>
        <x14:dataValidation type="custom" allowBlank="1" showInputMessage="1" showErrorMessage="1" error="Recuerde que las acciones se generan bajo la medida de mitigar el riesgo" xr:uid="{00000000-0002-0000-0100-000011000000}">
          <x14:formula1>
            <xm:f>IF(OR(AN13='Opciones Tratamiento'!$B$2,AN13='Opciones Tratamiento'!$B$3,AN13='Opciones Tratamiento'!$B$4),ISBLANK(AN13),ISTEXT(AN13))</xm:f>
          </x14:formula1>
          <xm:sqref>AV13:AV24 AS14 AS18 AS20:AS24</xm:sqref>
        </x14:dataValidation>
        <x14:dataValidation type="list" allowBlank="1" showInputMessage="1" showErrorMessage="1" xr:uid="{00000000-0002-0000-0100-000012000000}">
          <x14:formula1>
            <xm:f>Listas!$A$2:$A$9</xm:f>
          </x14:formula1>
          <xm:sqref>D13:D15 D17 D19:D25</xm:sqref>
        </x14:dataValidation>
        <x14:dataValidation type="list" allowBlank="1" showInputMessage="1" showErrorMessage="1" xr:uid="{00000000-0002-0000-0100-000013000000}">
          <x14:formula1>
            <xm:f>Listas!$B$2:$B$7</xm:f>
          </x14:formula1>
          <xm:sqref>E13:E15 E17 E19:E25</xm:sqref>
        </x14:dataValidation>
        <x14:dataValidation type="list" allowBlank="1" showInputMessage="1" showErrorMessage="1" xr:uid="{00000000-0002-0000-0100-000014000000}">
          <x14:formula1>
            <xm:f>Listas!$C$2:$C$6</xm:f>
          </x14:formula1>
          <xm:sqref>K13:K15 K17 K19:K24</xm:sqref>
        </x14:dataValidation>
        <x14:dataValidation type="list" allowBlank="1" showInputMessage="1" showErrorMessage="1" xr:uid="{00000000-0002-0000-0100-000015000000}">
          <x14:formula1>
            <xm:f>Listas!$D$2:$D$5</xm:f>
          </x14:formula1>
          <xm:sqref>L13:L15 L17 L19:L24</xm:sqref>
        </x14:dataValidation>
        <x14:dataValidation type="custom" allowBlank="1" showInputMessage="1" showErrorMessage="1" error="Recuerde que las acciones se generan bajo la medida de mitigar el riesgo" xr:uid="{00000000-0002-0000-0100-000016000000}">
          <x14:formula1>
            <xm:f>IF(OR(AK21='https://itceduco-my.sharepoint.com/personal/calidad_itc_edu_co/Documents/CALIDAD/MAPA DE RIESGOS/RIESGOS DE CORRUPCIÓN/[MAPA DE RIESGOS DE CORRUPCIÓN 2022 (2).xlsx]Opciones Tratamiento'!#REF!,AK21='https://itceduco-my.sharepoint.com/personal/calidad_itc_edu_co/Documents/CALIDAD/MAPA DE RIESGOS/RIESGOS DE CORRUPCIÓN/[MAPA DE RIESGOS DE CORRUPCIÓN 2022 (2).xlsx]Opciones Tratamiento'!#REF!,AK21='https://itceduco-my.sharepoint.com/personal/calidad_itc_edu_co/Documents/CALIDAD/MAPA DE RIESGOS/RIESGOS DE CORRUPCIÓN/[MAPA DE RIESGOS DE CORRUPCIÓN 2022 (2).xlsx]Opciones Tratamiento'!#REF!),ISBLANK(AK21),ISTEXT(AK21))</xm:f>
          </x14:formula1>
          <xm:sqref>AP21:AP22</xm:sqref>
        </x14:dataValidation>
        <x14:dataValidation type="custom" allowBlank="1" showInputMessage="1" showErrorMessage="1" error="Recuerde que las acciones se generan bajo la medida de mitigar el riesgo" xr:uid="{00000000-0002-0000-0100-000017000000}">
          <x14:formula1>
            <xm:f>IF(OR(AK21='https://itceduco-my.sharepoint.com/personal/calidad_itc_edu_co/Documents/CALIDAD/MAPA DE RIESGOS/RIESGOS DE CORRUPCIÓN/[MAPA DE RIESGOS DE CORRUPCIÓN 2022 (2).xlsx]Opciones Tratamiento'!#REF!,AK21='https://itceduco-my.sharepoint.com/personal/calidad_itc_edu_co/Documents/CALIDAD/MAPA DE RIESGOS/RIESGOS DE CORRUPCIÓN/[MAPA DE RIESGOS DE CORRUPCIÓN 2022 (2).xlsx]Opciones Tratamiento'!#REF!,AK21='https://itceduco-my.sharepoint.com/personal/calidad_itc_edu_co/Documents/CALIDAD/MAPA DE RIESGOS/RIESGOS DE CORRUPCIÓN/[MAPA DE RIESGOS DE CORRUPCIÓN 2022 (2).xlsx]Opciones Tratamiento'!#REF!),ISBLANK(AK21),ISTEXT(AK21))</xm:f>
          </x14:formula1>
          <xm:sqref>AO21:AO22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ColWidth="11.42578125" defaultRowHeight="15" x14ac:dyDescent="0.25"/>
  <sheetData>
    <row r="1" spans="1:4" x14ac:dyDescent="0.25">
      <c r="A1" t="s">
        <v>230</v>
      </c>
      <c r="B1" t="s">
        <v>75</v>
      </c>
      <c r="C1" t="s">
        <v>231</v>
      </c>
      <c r="D1" t="s">
        <v>232</v>
      </c>
    </row>
    <row r="2" spans="1:4" x14ac:dyDescent="0.25">
      <c r="A2" t="s">
        <v>233</v>
      </c>
      <c r="B2" t="s">
        <v>234</v>
      </c>
      <c r="C2" t="s">
        <v>235</v>
      </c>
      <c r="D2" t="s">
        <v>236</v>
      </c>
    </row>
    <row r="3" spans="1:4" x14ac:dyDescent="0.25">
      <c r="A3" t="s">
        <v>104</v>
      </c>
      <c r="B3" t="s">
        <v>237</v>
      </c>
      <c r="C3" t="s">
        <v>182</v>
      </c>
      <c r="D3" t="s">
        <v>238</v>
      </c>
    </row>
    <row r="4" spans="1:4" x14ac:dyDescent="0.25">
      <c r="A4" t="s">
        <v>239</v>
      </c>
      <c r="B4" t="s">
        <v>240</v>
      </c>
      <c r="C4" t="s">
        <v>111</v>
      </c>
      <c r="D4" t="s">
        <v>112</v>
      </c>
    </row>
    <row r="5" spans="1:4" x14ac:dyDescent="0.25">
      <c r="A5" t="s">
        <v>237</v>
      </c>
      <c r="B5" t="s">
        <v>205</v>
      </c>
      <c r="C5" t="s">
        <v>161</v>
      </c>
      <c r="D5" t="s">
        <v>131</v>
      </c>
    </row>
    <row r="6" spans="1:4" x14ac:dyDescent="0.25">
      <c r="A6" t="s">
        <v>241</v>
      </c>
      <c r="B6" t="s">
        <v>105</v>
      </c>
      <c r="C6" t="s">
        <v>131</v>
      </c>
    </row>
    <row r="7" spans="1:4" x14ac:dyDescent="0.25">
      <c r="A7" t="s">
        <v>242</v>
      </c>
      <c r="B7" t="s">
        <v>243</v>
      </c>
    </row>
    <row r="8" spans="1:4" x14ac:dyDescent="0.25">
      <c r="A8" t="s">
        <v>244</v>
      </c>
    </row>
    <row r="9" spans="1:4" x14ac:dyDescent="0.25">
      <c r="A9" t="s">
        <v>245</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ColWidth="11.42578125" defaultRowHeight="15" x14ac:dyDescent="0.25"/>
  <cols>
    <col min="2" max="39" width="5.7109375" customWidth="1"/>
    <col min="41" max="46" width="5.7109375" customWidth="1"/>
  </cols>
  <sheetData>
    <row r="1" spans="1:99"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25">
      <c r="A2" s="75"/>
      <c r="B2" s="301" t="s">
        <v>246</v>
      </c>
      <c r="C2" s="301"/>
      <c r="D2" s="301"/>
      <c r="E2" s="301"/>
      <c r="F2" s="301"/>
      <c r="G2" s="301"/>
      <c r="H2" s="301"/>
      <c r="I2" s="301"/>
      <c r="J2" s="338" t="s">
        <v>15</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25">
      <c r="A3" s="75"/>
      <c r="B3" s="301"/>
      <c r="C3" s="301"/>
      <c r="D3" s="301"/>
      <c r="E3" s="301"/>
      <c r="F3" s="301"/>
      <c r="G3" s="301"/>
      <c r="H3" s="301"/>
      <c r="I3" s="301"/>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25">
      <c r="A4" s="75"/>
      <c r="B4" s="301"/>
      <c r="C4" s="301"/>
      <c r="D4" s="301"/>
      <c r="E4" s="301"/>
      <c r="F4" s="301"/>
      <c r="G4" s="301"/>
      <c r="H4" s="301"/>
      <c r="I4" s="301"/>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25">
      <c r="A6" s="75"/>
      <c r="B6" s="349" t="s">
        <v>116</v>
      </c>
      <c r="C6" s="349"/>
      <c r="D6" s="350"/>
      <c r="E6" s="339" t="s">
        <v>247</v>
      </c>
      <c r="F6" s="340"/>
      <c r="G6" s="340"/>
      <c r="H6" s="340"/>
      <c r="I6" s="341"/>
      <c r="J6" s="335" t="e">
        <f>IF(AND('Mapa final'!#REF!="Muy Alta",'Mapa final'!#REF!="Leve"),CONCATENATE("R",'Mapa final'!#REF!),"")</f>
        <v>#REF!</v>
      </c>
      <c r="K6" s="336"/>
      <c r="L6" s="336" t="str">
        <f>IF(AND('Mapa final'!$N$13="Muy Alta",'Mapa final'!$R$13="Leve"),CONCATENATE("R",'Mapa final'!$A$13),"")</f>
        <v/>
      </c>
      <c r="M6" s="336"/>
      <c r="N6" s="336" t="e">
        <f>IF(AND('Mapa final'!#REF!="Muy Alta",'Mapa final'!#REF!="Leve"),CONCATENATE("R",'Mapa final'!#REF!),"")</f>
        <v>#REF!</v>
      </c>
      <c r="O6" s="337"/>
      <c r="P6" s="335" t="e">
        <f>IF(AND('Mapa final'!#REF!="Muy Alta",'Mapa final'!#REF!="Menor"),CONCATENATE("R",'Mapa final'!#REF!),"")</f>
        <v>#REF!</v>
      </c>
      <c r="Q6" s="336"/>
      <c r="R6" s="336" t="str">
        <f>IF(AND('Mapa final'!$N$13="Muy Alta",'Mapa final'!$R$13="Menor"),CONCATENATE("R",'Mapa final'!$A$13),"")</f>
        <v/>
      </c>
      <c r="S6" s="336"/>
      <c r="T6" s="336" t="e">
        <f>IF(AND('Mapa final'!#REF!="Muy Alta",'Mapa final'!#REF!="Menor"),CONCATENATE("R",'Mapa final'!#REF!),"")</f>
        <v>#REF!</v>
      </c>
      <c r="U6" s="337"/>
      <c r="V6" s="335" t="e">
        <f>IF(AND('Mapa final'!#REF!="Muy Alta",'Mapa final'!#REF!="Moderado"),CONCATENATE("R",'Mapa final'!#REF!),"")</f>
        <v>#REF!</v>
      </c>
      <c r="W6" s="336"/>
      <c r="X6" s="336" t="str">
        <f>IF(AND('Mapa final'!$N$13="Muy Alta",'Mapa final'!$R$13="Moderado"),CONCATENATE("R",'Mapa final'!$A$13),"")</f>
        <v/>
      </c>
      <c r="Y6" s="336"/>
      <c r="Z6" s="336" t="e">
        <f>IF(AND('Mapa final'!#REF!="Muy Alta",'Mapa final'!#REF!="Moderado"),CONCATENATE("R",'Mapa final'!#REF!),"")</f>
        <v>#REF!</v>
      </c>
      <c r="AA6" s="337"/>
      <c r="AB6" s="335" t="e">
        <f>IF(AND('Mapa final'!#REF!="Muy Alta",'Mapa final'!#REF!="Mayor"),CONCATENATE("R",'Mapa final'!#REF!),"")</f>
        <v>#REF!</v>
      </c>
      <c r="AC6" s="336"/>
      <c r="AD6" s="336" t="str">
        <f>IF(AND('Mapa final'!$N$13="Muy Alta",'Mapa final'!$R$13="Mayor"),CONCATENATE("R",'Mapa final'!$A$13),"")</f>
        <v/>
      </c>
      <c r="AE6" s="336"/>
      <c r="AF6" s="336" t="e">
        <f>IF(AND('Mapa final'!#REF!="Muy Alta",'Mapa final'!#REF!="Mayor"),CONCATENATE("R",'Mapa final'!#REF!),"")</f>
        <v>#REF!</v>
      </c>
      <c r="AG6" s="337"/>
      <c r="AH6" s="326" t="e">
        <f>IF(AND('Mapa final'!#REF!="Muy Alta",'Mapa final'!#REF!="Catastrófico"),CONCATENATE("R",'Mapa final'!#REF!),"")</f>
        <v>#REF!</v>
      </c>
      <c r="AI6" s="327"/>
      <c r="AJ6" s="327" t="str">
        <f>IF(AND('Mapa final'!$N$13="Muy Alta",'Mapa final'!$R$13="Catastrófico"),CONCATENATE("R",'Mapa final'!$A$13),"")</f>
        <v/>
      </c>
      <c r="AK6" s="327"/>
      <c r="AL6" s="327" t="e">
        <f>IF(AND('Mapa final'!#REF!="Muy Alta",'Mapa final'!#REF!="Catastrófico"),CONCATENATE("R",'Mapa final'!#REF!),"")</f>
        <v>#REF!</v>
      </c>
      <c r="AM6" s="328"/>
      <c r="AO6" s="351" t="s">
        <v>248</v>
      </c>
      <c r="AP6" s="352"/>
      <c r="AQ6" s="352"/>
      <c r="AR6" s="352"/>
      <c r="AS6" s="352"/>
      <c r="AT6" s="353"/>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25">
      <c r="A7" s="75"/>
      <c r="B7" s="349"/>
      <c r="C7" s="349"/>
      <c r="D7" s="350"/>
      <c r="E7" s="342"/>
      <c r="F7" s="343"/>
      <c r="G7" s="343"/>
      <c r="H7" s="343"/>
      <c r="I7" s="344"/>
      <c r="J7" s="329"/>
      <c r="K7" s="330"/>
      <c r="L7" s="330"/>
      <c r="M7" s="330"/>
      <c r="N7" s="330"/>
      <c r="O7" s="331"/>
      <c r="P7" s="329"/>
      <c r="Q7" s="330"/>
      <c r="R7" s="330"/>
      <c r="S7" s="330"/>
      <c r="T7" s="330"/>
      <c r="U7" s="331"/>
      <c r="V7" s="329"/>
      <c r="W7" s="330"/>
      <c r="X7" s="330"/>
      <c r="Y7" s="330"/>
      <c r="Z7" s="330"/>
      <c r="AA7" s="331"/>
      <c r="AB7" s="329"/>
      <c r="AC7" s="330"/>
      <c r="AD7" s="330"/>
      <c r="AE7" s="330"/>
      <c r="AF7" s="330"/>
      <c r="AG7" s="331"/>
      <c r="AH7" s="320"/>
      <c r="AI7" s="321"/>
      <c r="AJ7" s="321"/>
      <c r="AK7" s="321"/>
      <c r="AL7" s="321"/>
      <c r="AM7" s="322"/>
      <c r="AN7" s="75"/>
      <c r="AO7" s="354"/>
      <c r="AP7" s="355"/>
      <c r="AQ7" s="355"/>
      <c r="AR7" s="355"/>
      <c r="AS7" s="355"/>
      <c r="AT7" s="356"/>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25">
      <c r="A8" s="75"/>
      <c r="B8" s="349"/>
      <c r="C8" s="349"/>
      <c r="D8" s="350"/>
      <c r="E8" s="342"/>
      <c r="F8" s="343"/>
      <c r="G8" s="343"/>
      <c r="H8" s="343"/>
      <c r="I8" s="344"/>
      <c r="J8" s="329" t="e">
        <f>IF(AND('Mapa final'!#REF!="Muy Alta",'Mapa final'!#REF!="Leve"),CONCATENATE("R",'Mapa final'!#REF!),"")</f>
        <v>#REF!</v>
      </c>
      <c r="K8" s="330"/>
      <c r="L8" s="330" t="e">
        <f>IF(AND('Mapa final'!#REF!="Muy Alta",'Mapa final'!#REF!="Leve"),CONCATENATE("R",'Mapa final'!#REF!),"")</f>
        <v>#REF!</v>
      </c>
      <c r="M8" s="330"/>
      <c r="N8" s="330" t="e">
        <f>IF(AND('Mapa final'!#REF!="Muy Alta",'Mapa final'!#REF!="Leve"),CONCATENATE("R",'Mapa final'!#REF!),"")</f>
        <v>#REF!</v>
      </c>
      <c r="O8" s="331"/>
      <c r="P8" s="329" t="e">
        <f>IF(AND('Mapa final'!#REF!="Muy Alta",'Mapa final'!#REF!="Menor"),CONCATENATE("R",'Mapa final'!#REF!),"")</f>
        <v>#REF!</v>
      </c>
      <c r="Q8" s="330"/>
      <c r="R8" s="330" t="e">
        <f>IF(AND('Mapa final'!#REF!="Muy Alta",'Mapa final'!#REF!="Menor"),CONCATENATE("R",'Mapa final'!#REF!),"")</f>
        <v>#REF!</v>
      </c>
      <c r="S8" s="330"/>
      <c r="T8" s="330" t="e">
        <f>IF(AND('Mapa final'!#REF!="Muy Alta",'Mapa final'!#REF!="Menor"),CONCATENATE("R",'Mapa final'!#REF!),"")</f>
        <v>#REF!</v>
      </c>
      <c r="U8" s="331"/>
      <c r="V8" s="329" t="e">
        <f>IF(AND('Mapa final'!#REF!="Muy Alta",'Mapa final'!#REF!="Moderado"),CONCATENATE("R",'Mapa final'!#REF!),"")</f>
        <v>#REF!</v>
      </c>
      <c r="W8" s="330"/>
      <c r="X8" s="330" t="e">
        <f>IF(AND('Mapa final'!#REF!="Muy Alta",'Mapa final'!#REF!="Moderado"),CONCATENATE("R",'Mapa final'!#REF!),"")</f>
        <v>#REF!</v>
      </c>
      <c r="Y8" s="330"/>
      <c r="Z8" s="330" t="e">
        <f>IF(AND('Mapa final'!#REF!="Muy Alta",'Mapa final'!#REF!="Moderado"),CONCATENATE("R",'Mapa final'!#REF!),"")</f>
        <v>#REF!</v>
      </c>
      <c r="AA8" s="331"/>
      <c r="AB8" s="329" t="e">
        <f>IF(AND('Mapa final'!#REF!="Muy Alta",'Mapa final'!#REF!="Mayor"),CONCATENATE("R",'Mapa final'!#REF!),"")</f>
        <v>#REF!</v>
      </c>
      <c r="AC8" s="330"/>
      <c r="AD8" s="330" t="e">
        <f>IF(AND('Mapa final'!#REF!="Muy Alta",'Mapa final'!#REF!="Mayor"),CONCATENATE("R",'Mapa final'!#REF!),"")</f>
        <v>#REF!</v>
      </c>
      <c r="AE8" s="330"/>
      <c r="AF8" s="330" t="e">
        <f>IF(AND('Mapa final'!#REF!="Muy Alta",'Mapa final'!#REF!="Mayor"),CONCATENATE("R",'Mapa final'!#REF!),"")</f>
        <v>#REF!</v>
      </c>
      <c r="AG8" s="331"/>
      <c r="AH8" s="320" t="e">
        <f>IF(AND('Mapa final'!#REF!="Muy Alta",'Mapa final'!#REF!="Catastrófico"),CONCATENATE("R",'Mapa final'!#REF!),"")</f>
        <v>#REF!</v>
      </c>
      <c r="AI8" s="321"/>
      <c r="AJ8" s="321" t="e">
        <f>IF(AND('Mapa final'!#REF!="Muy Alta",'Mapa final'!#REF!="Catastrófico"),CONCATENATE("R",'Mapa final'!#REF!),"")</f>
        <v>#REF!</v>
      </c>
      <c r="AK8" s="321"/>
      <c r="AL8" s="321" t="e">
        <f>IF(AND('Mapa final'!#REF!="Muy Alta",'Mapa final'!#REF!="Catastrófico"),CONCATENATE("R",'Mapa final'!#REF!),"")</f>
        <v>#REF!</v>
      </c>
      <c r="AM8" s="322"/>
      <c r="AN8" s="75"/>
      <c r="AO8" s="354"/>
      <c r="AP8" s="355"/>
      <c r="AQ8" s="355"/>
      <c r="AR8" s="355"/>
      <c r="AS8" s="355"/>
      <c r="AT8" s="356"/>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25">
      <c r="A9" s="75"/>
      <c r="B9" s="349"/>
      <c r="C9" s="349"/>
      <c r="D9" s="350"/>
      <c r="E9" s="342"/>
      <c r="F9" s="343"/>
      <c r="G9" s="343"/>
      <c r="H9" s="343"/>
      <c r="I9" s="344"/>
      <c r="J9" s="329"/>
      <c r="K9" s="330"/>
      <c r="L9" s="330"/>
      <c r="M9" s="330"/>
      <c r="N9" s="330"/>
      <c r="O9" s="331"/>
      <c r="P9" s="329"/>
      <c r="Q9" s="330"/>
      <c r="R9" s="330"/>
      <c r="S9" s="330"/>
      <c r="T9" s="330"/>
      <c r="U9" s="331"/>
      <c r="V9" s="329"/>
      <c r="W9" s="330"/>
      <c r="X9" s="330"/>
      <c r="Y9" s="330"/>
      <c r="Z9" s="330"/>
      <c r="AA9" s="331"/>
      <c r="AB9" s="329"/>
      <c r="AC9" s="330"/>
      <c r="AD9" s="330"/>
      <c r="AE9" s="330"/>
      <c r="AF9" s="330"/>
      <c r="AG9" s="331"/>
      <c r="AH9" s="320"/>
      <c r="AI9" s="321"/>
      <c r="AJ9" s="321"/>
      <c r="AK9" s="321"/>
      <c r="AL9" s="321"/>
      <c r="AM9" s="322"/>
      <c r="AN9" s="75"/>
      <c r="AO9" s="354"/>
      <c r="AP9" s="355"/>
      <c r="AQ9" s="355"/>
      <c r="AR9" s="355"/>
      <c r="AS9" s="355"/>
      <c r="AT9" s="356"/>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25">
      <c r="A10" s="75"/>
      <c r="B10" s="349"/>
      <c r="C10" s="349"/>
      <c r="D10" s="350"/>
      <c r="E10" s="342"/>
      <c r="F10" s="343"/>
      <c r="G10" s="343"/>
      <c r="H10" s="343"/>
      <c r="I10" s="344"/>
      <c r="J10" s="329" t="e">
        <f>IF(AND('Mapa final'!#REF!="Muy Alta",'Mapa final'!#REF!="Leve"),CONCATENATE("R",'Mapa final'!#REF!),"")</f>
        <v>#REF!</v>
      </c>
      <c r="K10" s="330"/>
      <c r="L10" s="330" t="e">
        <f>IF(AND('Mapa final'!#REF!="Muy Alta",'Mapa final'!#REF!="Leve"),CONCATENATE("R",'Mapa final'!#REF!),"")</f>
        <v>#REF!</v>
      </c>
      <c r="M10" s="330"/>
      <c r="N10" s="330" t="e">
        <f>IF(AND('Mapa final'!#REF!="Muy Alta",'Mapa final'!#REF!="Leve"),CONCATENATE("R",'Mapa final'!#REF!),"")</f>
        <v>#REF!</v>
      </c>
      <c r="O10" s="331"/>
      <c r="P10" s="329" t="e">
        <f>IF(AND('Mapa final'!#REF!="Muy Alta",'Mapa final'!#REF!="Menor"),CONCATENATE("R",'Mapa final'!#REF!),"")</f>
        <v>#REF!</v>
      </c>
      <c r="Q10" s="330"/>
      <c r="R10" s="330" t="e">
        <f>IF(AND('Mapa final'!#REF!="Muy Alta",'Mapa final'!#REF!="Menor"),CONCATENATE("R",'Mapa final'!#REF!),"")</f>
        <v>#REF!</v>
      </c>
      <c r="S10" s="330"/>
      <c r="T10" s="330" t="e">
        <f>IF(AND('Mapa final'!#REF!="Muy Alta",'Mapa final'!#REF!="Menor"),CONCATENATE("R",'Mapa final'!#REF!),"")</f>
        <v>#REF!</v>
      </c>
      <c r="U10" s="331"/>
      <c r="V10" s="329" t="e">
        <f>IF(AND('Mapa final'!#REF!="Muy Alta",'Mapa final'!#REF!="Moderado"),CONCATENATE("R",'Mapa final'!#REF!),"")</f>
        <v>#REF!</v>
      </c>
      <c r="W10" s="330"/>
      <c r="X10" s="330" t="e">
        <f>IF(AND('Mapa final'!#REF!="Muy Alta",'Mapa final'!#REF!="Moderado"),CONCATENATE("R",'Mapa final'!#REF!),"")</f>
        <v>#REF!</v>
      </c>
      <c r="Y10" s="330"/>
      <c r="Z10" s="330" t="e">
        <f>IF(AND('Mapa final'!#REF!="Muy Alta",'Mapa final'!#REF!="Moderado"),CONCATENATE("R",'Mapa final'!#REF!),"")</f>
        <v>#REF!</v>
      </c>
      <c r="AA10" s="331"/>
      <c r="AB10" s="329" t="e">
        <f>IF(AND('Mapa final'!#REF!="Muy Alta",'Mapa final'!#REF!="Mayor"),CONCATENATE("R",'Mapa final'!#REF!),"")</f>
        <v>#REF!</v>
      </c>
      <c r="AC10" s="330"/>
      <c r="AD10" s="330" t="e">
        <f>IF(AND('Mapa final'!#REF!="Muy Alta",'Mapa final'!#REF!="Mayor"),CONCATENATE("R",'Mapa final'!#REF!),"")</f>
        <v>#REF!</v>
      </c>
      <c r="AE10" s="330"/>
      <c r="AF10" s="330" t="e">
        <f>IF(AND('Mapa final'!#REF!="Muy Alta",'Mapa final'!#REF!="Mayor"),CONCATENATE("R",'Mapa final'!#REF!),"")</f>
        <v>#REF!</v>
      </c>
      <c r="AG10" s="331"/>
      <c r="AH10" s="320" t="e">
        <f>IF(AND('Mapa final'!#REF!="Muy Alta",'Mapa final'!#REF!="Catastrófico"),CONCATENATE("R",'Mapa final'!#REF!),"")</f>
        <v>#REF!</v>
      </c>
      <c r="AI10" s="321"/>
      <c r="AJ10" s="321" t="e">
        <f>IF(AND('Mapa final'!#REF!="Muy Alta",'Mapa final'!#REF!="Catastrófico"),CONCATENATE("R",'Mapa final'!#REF!),"")</f>
        <v>#REF!</v>
      </c>
      <c r="AK10" s="321"/>
      <c r="AL10" s="321" t="e">
        <f>IF(AND('Mapa final'!#REF!="Muy Alta",'Mapa final'!#REF!="Catastrófico"),CONCATENATE("R",'Mapa final'!#REF!),"")</f>
        <v>#REF!</v>
      </c>
      <c r="AM10" s="322"/>
      <c r="AN10" s="75"/>
      <c r="AO10" s="354"/>
      <c r="AP10" s="355"/>
      <c r="AQ10" s="355"/>
      <c r="AR10" s="355"/>
      <c r="AS10" s="355"/>
      <c r="AT10" s="356"/>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25">
      <c r="A11" s="75"/>
      <c r="B11" s="349"/>
      <c r="C11" s="349"/>
      <c r="D11" s="350"/>
      <c r="E11" s="342"/>
      <c r="F11" s="343"/>
      <c r="G11" s="343"/>
      <c r="H11" s="343"/>
      <c r="I11" s="344"/>
      <c r="J11" s="329"/>
      <c r="K11" s="330"/>
      <c r="L11" s="330"/>
      <c r="M11" s="330"/>
      <c r="N11" s="330"/>
      <c r="O11" s="331"/>
      <c r="P11" s="329"/>
      <c r="Q11" s="330"/>
      <c r="R11" s="330"/>
      <c r="S11" s="330"/>
      <c r="T11" s="330"/>
      <c r="U11" s="331"/>
      <c r="V11" s="329"/>
      <c r="W11" s="330"/>
      <c r="X11" s="330"/>
      <c r="Y11" s="330"/>
      <c r="Z11" s="330"/>
      <c r="AA11" s="331"/>
      <c r="AB11" s="329"/>
      <c r="AC11" s="330"/>
      <c r="AD11" s="330"/>
      <c r="AE11" s="330"/>
      <c r="AF11" s="330"/>
      <c r="AG11" s="331"/>
      <c r="AH11" s="320"/>
      <c r="AI11" s="321"/>
      <c r="AJ11" s="321"/>
      <c r="AK11" s="321"/>
      <c r="AL11" s="321"/>
      <c r="AM11" s="322"/>
      <c r="AN11" s="75"/>
      <c r="AO11" s="354"/>
      <c r="AP11" s="355"/>
      <c r="AQ11" s="355"/>
      <c r="AR11" s="355"/>
      <c r="AS11" s="355"/>
      <c r="AT11" s="356"/>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25">
      <c r="A12" s="75"/>
      <c r="B12" s="349"/>
      <c r="C12" s="349"/>
      <c r="D12" s="350"/>
      <c r="E12" s="342"/>
      <c r="F12" s="343"/>
      <c r="G12" s="343"/>
      <c r="H12" s="343"/>
      <c r="I12" s="344"/>
      <c r="J12" s="329" t="e">
        <f>IF(AND('Mapa final'!#REF!="Muy Alta",'Mapa final'!#REF!="Leve"),CONCATENATE("R",'Mapa final'!#REF!),"")</f>
        <v>#REF!</v>
      </c>
      <c r="K12" s="330"/>
      <c r="L12" s="330" t="str">
        <f>IF(AND('Mapa final'!$N$27="Muy Alta",'Mapa final'!$R$27="Leve"),CONCATENATE("R",'Mapa final'!$A$27),"")</f>
        <v/>
      </c>
      <c r="M12" s="330"/>
      <c r="N12" s="330" t="e">
        <f>IF(AND('Mapa final'!#REF!="Muy Alta",'Mapa final'!#REF!="Leve"),CONCATENATE("R",'Mapa final'!#REF!),"")</f>
        <v>#REF!</v>
      </c>
      <c r="O12" s="331"/>
      <c r="P12" s="329" t="e">
        <f>IF(AND('Mapa final'!#REF!="Muy Alta",'Mapa final'!#REF!="Menor"),CONCATENATE("R",'Mapa final'!#REF!),"")</f>
        <v>#REF!</v>
      </c>
      <c r="Q12" s="330"/>
      <c r="R12" s="330" t="str">
        <f>IF(AND('Mapa final'!$N$27="Muy Alta",'Mapa final'!$R$27="Menor"),CONCATENATE("R",'Mapa final'!$A$27),"")</f>
        <v/>
      </c>
      <c r="S12" s="330"/>
      <c r="T12" s="330" t="e">
        <f>IF(AND('Mapa final'!#REF!="Muy Alta",'Mapa final'!#REF!="Menor"),CONCATENATE("R",'Mapa final'!#REF!),"")</f>
        <v>#REF!</v>
      </c>
      <c r="U12" s="331"/>
      <c r="V12" s="329" t="e">
        <f>IF(AND('Mapa final'!#REF!="Muy Alta",'Mapa final'!#REF!="Moderado"),CONCATENATE("R",'Mapa final'!#REF!),"")</f>
        <v>#REF!</v>
      </c>
      <c r="W12" s="330"/>
      <c r="X12" s="330" t="str">
        <f>IF(AND('Mapa final'!$N$27="Muy Alta",'Mapa final'!$R$27="Moderado"),CONCATENATE("R",'Mapa final'!$A$27),"")</f>
        <v/>
      </c>
      <c r="Y12" s="330"/>
      <c r="Z12" s="330" t="e">
        <f>IF(AND('Mapa final'!#REF!="Muy Alta",'Mapa final'!#REF!="Moderado"),CONCATENATE("R",'Mapa final'!#REF!),"")</f>
        <v>#REF!</v>
      </c>
      <c r="AA12" s="331"/>
      <c r="AB12" s="329" t="e">
        <f>IF(AND('Mapa final'!#REF!="Muy Alta",'Mapa final'!#REF!="Mayor"),CONCATENATE("R",'Mapa final'!#REF!),"")</f>
        <v>#REF!</v>
      </c>
      <c r="AC12" s="330"/>
      <c r="AD12" s="330" t="str">
        <f>IF(AND('Mapa final'!$N$27="Muy Alta",'Mapa final'!$R$27="Mayor"),CONCATENATE("R",'Mapa final'!$A$27),"")</f>
        <v/>
      </c>
      <c r="AE12" s="330"/>
      <c r="AF12" s="330" t="e">
        <f>IF(AND('Mapa final'!#REF!="Muy Alta",'Mapa final'!#REF!="Mayor"),CONCATENATE("R",'Mapa final'!#REF!),"")</f>
        <v>#REF!</v>
      </c>
      <c r="AG12" s="331"/>
      <c r="AH12" s="320" t="e">
        <f>IF(AND('Mapa final'!#REF!="Muy Alta",'Mapa final'!#REF!="Catastrófico"),CONCATENATE("R",'Mapa final'!#REF!),"")</f>
        <v>#REF!</v>
      </c>
      <c r="AI12" s="321"/>
      <c r="AJ12" s="321" t="str">
        <f>IF(AND('Mapa final'!$N$27="Muy Alta",'Mapa final'!$R$27="Catastrófico"),CONCATENATE("R",'Mapa final'!$A$27),"")</f>
        <v/>
      </c>
      <c r="AK12" s="321"/>
      <c r="AL12" s="321" t="e">
        <f>IF(AND('Mapa final'!#REF!="Muy Alta",'Mapa final'!#REF!="Catastrófico"),CONCATENATE("R",'Mapa final'!#REF!),"")</f>
        <v>#REF!</v>
      </c>
      <c r="AM12" s="322"/>
      <c r="AN12" s="75"/>
      <c r="AO12" s="354"/>
      <c r="AP12" s="355"/>
      <c r="AQ12" s="355"/>
      <c r="AR12" s="355"/>
      <c r="AS12" s="355"/>
      <c r="AT12" s="356"/>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
      <c r="A13" s="75"/>
      <c r="B13" s="349"/>
      <c r="C13" s="349"/>
      <c r="D13" s="350"/>
      <c r="E13" s="345"/>
      <c r="F13" s="346"/>
      <c r="G13" s="346"/>
      <c r="H13" s="346"/>
      <c r="I13" s="347"/>
      <c r="J13" s="329"/>
      <c r="K13" s="330"/>
      <c r="L13" s="330"/>
      <c r="M13" s="330"/>
      <c r="N13" s="330"/>
      <c r="O13" s="331"/>
      <c r="P13" s="329"/>
      <c r="Q13" s="330"/>
      <c r="R13" s="330"/>
      <c r="S13" s="330"/>
      <c r="T13" s="330"/>
      <c r="U13" s="331"/>
      <c r="V13" s="329"/>
      <c r="W13" s="330"/>
      <c r="X13" s="330"/>
      <c r="Y13" s="330"/>
      <c r="Z13" s="330"/>
      <c r="AA13" s="331"/>
      <c r="AB13" s="329"/>
      <c r="AC13" s="330"/>
      <c r="AD13" s="330"/>
      <c r="AE13" s="330"/>
      <c r="AF13" s="330"/>
      <c r="AG13" s="331"/>
      <c r="AH13" s="323"/>
      <c r="AI13" s="324"/>
      <c r="AJ13" s="324"/>
      <c r="AK13" s="324"/>
      <c r="AL13" s="324"/>
      <c r="AM13" s="325"/>
      <c r="AN13" s="75"/>
      <c r="AO13" s="357"/>
      <c r="AP13" s="358"/>
      <c r="AQ13" s="358"/>
      <c r="AR13" s="358"/>
      <c r="AS13" s="358"/>
      <c r="AT13" s="359"/>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25">
      <c r="A14" s="75"/>
      <c r="B14" s="349"/>
      <c r="C14" s="349"/>
      <c r="D14" s="350"/>
      <c r="E14" s="339" t="s">
        <v>249</v>
      </c>
      <c r="F14" s="340"/>
      <c r="G14" s="340"/>
      <c r="H14" s="340"/>
      <c r="I14" s="340"/>
      <c r="J14" s="317" t="e">
        <f>IF(AND('Mapa final'!#REF!="Alta",'Mapa final'!#REF!="Leve"),CONCATENATE("R",'Mapa final'!#REF!),"")</f>
        <v>#REF!</v>
      </c>
      <c r="K14" s="318"/>
      <c r="L14" s="318" t="str">
        <f>IF(AND('Mapa final'!$N$13="Alta",'Mapa final'!$R$13="Leve"),CONCATENATE("R",'Mapa final'!$A$13),"")</f>
        <v/>
      </c>
      <c r="M14" s="318"/>
      <c r="N14" s="318" t="e">
        <f>IF(AND('Mapa final'!#REF!="Alta",'Mapa final'!#REF!="Leve"),CONCATENATE("R",'Mapa final'!#REF!),"")</f>
        <v>#REF!</v>
      </c>
      <c r="O14" s="319"/>
      <c r="P14" s="317" t="e">
        <f>IF(AND('Mapa final'!#REF!="Alta",'Mapa final'!#REF!="Menor"),CONCATENATE("R",'Mapa final'!#REF!),"")</f>
        <v>#REF!</v>
      </c>
      <c r="Q14" s="318"/>
      <c r="R14" s="318" t="str">
        <f>IF(AND('Mapa final'!$N$13="Alta",'Mapa final'!$R$13="Menor"),CONCATENATE("R",'Mapa final'!$A$13),"")</f>
        <v/>
      </c>
      <c r="S14" s="318"/>
      <c r="T14" s="318" t="e">
        <f>IF(AND('Mapa final'!#REF!="Alta",'Mapa final'!#REF!="Menor"),CONCATENATE("R",'Mapa final'!#REF!),"")</f>
        <v>#REF!</v>
      </c>
      <c r="U14" s="319"/>
      <c r="V14" s="335" t="e">
        <f>IF(AND('Mapa final'!#REF!="Alta",'Mapa final'!#REF!="Moderado"),CONCATENATE("R",'Mapa final'!#REF!),"")</f>
        <v>#REF!</v>
      </c>
      <c r="W14" s="336"/>
      <c r="X14" s="336" t="str">
        <f>IF(AND('Mapa final'!$N$13="Alta",'Mapa final'!$R$13="Moderado"),CONCATENATE("R",'Mapa final'!$A$13),"")</f>
        <v/>
      </c>
      <c r="Y14" s="336"/>
      <c r="Z14" s="336" t="e">
        <f>IF(AND('Mapa final'!#REF!="Alta",'Mapa final'!#REF!="Moderado"),CONCATENATE("R",'Mapa final'!#REF!),"")</f>
        <v>#REF!</v>
      </c>
      <c r="AA14" s="337"/>
      <c r="AB14" s="335" t="e">
        <f>IF(AND('Mapa final'!#REF!="Alta",'Mapa final'!#REF!="Mayor"),CONCATENATE("R",'Mapa final'!#REF!),"")</f>
        <v>#REF!</v>
      </c>
      <c r="AC14" s="336"/>
      <c r="AD14" s="336" t="str">
        <f>IF(AND('Mapa final'!$N$13="Alta",'Mapa final'!$R$13="Mayor"),CONCATENATE("R",'Mapa final'!$A$13),"")</f>
        <v/>
      </c>
      <c r="AE14" s="336"/>
      <c r="AF14" s="336" t="e">
        <f>IF(AND('Mapa final'!#REF!="Alta",'Mapa final'!#REF!="Mayor"),CONCATENATE("R",'Mapa final'!#REF!),"")</f>
        <v>#REF!</v>
      </c>
      <c r="AG14" s="337"/>
      <c r="AH14" s="326" t="e">
        <f>IF(AND('Mapa final'!#REF!="Alta",'Mapa final'!#REF!="Catastrófico"),CONCATENATE("R",'Mapa final'!#REF!),"")</f>
        <v>#REF!</v>
      </c>
      <c r="AI14" s="327"/>
      <c r="AJ14" s="327" t="str">
        <f>IF(AND('Mapa final'!$N$13="Alta",'Mapa final'!$R$13="Catastrófico"),CONCATENATE("R",'Mapa final'!$A$13),"")</f>
        <v/>
      </c>
      <c r="AK14" s="327"/>
      <c r="AL14" s="327" t="e">
        <f>IF(AND('Mapa final'!#REF!="Alta",'Mapa final'!#REF!="Catastrófico"),CONCATENATE("R",'Mapa final'!#REF!),"")</f>
        <v>#REF!</v>
      </c>
      <c r="AM14" s="328"/>
      <c r="AN14" s="75"/>
      <c r="AO14" s="360" t="s">
        <v>146</v>
      </c>
      <c r="AP14" s="361"/>
      <c r="AQ14" s="361"/>
      <c r="AR14" s="361"/>
      <c r="AS14" s="361"/>
      <c r="AT14" s="362"/>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25">
      <c r="A15" s="75"/>
      <c r="B15" s="349"/>
      <c r="C15" s="349"/>
      <c r="D15" s="350"/>
      <c r="E15" s="342"/>
      <c r="F15" s="343"/>
      <c r="G15" s="343"/>
      <c r="H15" s="343"/>
      <c r="I15" s="343"/>
      <c r="J15" s="311"/>
      <c r="K15" s="312"/>
      <c r="L15" s="312"/>
      <c r="M15" s="312"/>
      <c r="N15" s="312"/>
      <c r="O15" s="313"/>
      <c r="P15" s="311"/>
      <c r="Q15" s="312"/>
      <c r="R15" s="312"/>
      <c r="S15" s="312"/>
      <c r="T15" s="312"/>
      <c r="U15" s="313"/>
      <c r="V15" s="329"/>
      <c r="W15" s="330"/>
      <c r="X15" s="330"/>
      <c r="Y15" s="330"/>
      <c r="Z15" s="330"/>
      <c r="AA15" s="331"/>
      <c r="AB15" s="329"/>
      <c r="AC15" s="330"/>
      <c r="AD15" s="330"/>
      <c r="AE15" s="330"/>
      <c r="AF15" s="330"/>
      <c r="AG15" s="331"/>
      <c r="AH15" s="320"/>
      <c r="AI15" s="321"/>
      <c r="AJ15" s="321"/>
      <c r="AK15" s="321"/>
      <c r="AL15" s="321"/>
      <c r="AM15" s="322"/>
      <c r="AN15" s="75"/>
      <c r="AO15" s="363"/>
      <c r="AP15" s="364"/>
      <c r="AQ15" s="364"/>
      <c r="AR15" s="364"/>
      <c r="AS15" s="364"/>
      <c r="AT15" s="36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25">
      <c r="A16" s="75"/>
      <c r="B16" s="349"/>
      <c r="C16" s="349"/>
      <c r="D16" s="350"/>
      <c r="E16" s="342"/>
      <c r="F16" s="343"/>
      <c r="G16" s="343"/>
      <c r="H16" s="343"/>
      <c r="I16" s="343"/>
      <c r="J16" s="311" t="e">
        <f>IF(AND('Mapa final'!#REF!="Alta",'Mapa final'!#REF!="Leve"),CONCATENATE("R",'Mapa final'!#REF!),"")</f>
        <v>#REF!</v>
      </c>
      <c r="K16" s="312"/>
      <c r="L16" s="312" t="e">
        <f>IF(AND('Mapa final'!#REF!="Alta",'Mapa final'!#REF!="Leve"),CONCATENATE("R",'Mapa final'!#REF!),"")</f>
        <v>#REF!</v>
      </c>
      <c r="M16" s="312"/>
      <c r="N16" s="312" t="e">
        <f>IF(AND('Mapa final'!#REF!="Alta",'Mapa final'!#REF!="Leve"),CONCATENATE("R",'Mapa final'!#REF!),"")</f>
        <v>#REF!</v>
      </c>
      <c r="O16" s="313"/>
      <c r="P16" s="311" t="e">
        <f>IF(AND('Mapa final'!#REF!="Alta",'Mapa final'!#REF!="Menor"),CONCATENATE("R",'Mapa final'!#REF!),"")</f>
        <v>#REF!</v>
      </c>
      <c r="Q16" s="312"/>
      <c r="R16" s="312" t="e">
        <f>IF(AND('Mapa final'!#REF!="Alta",'Mapa final'!#REF!="Menor"),CONCATENATE("R",'Mapa final'!#REF!),"")</f>
        <v>#REF!</v>
      </c>
      <c r="S16" s="312"/>
      <c r="T16" s="312" t="e">
        <f>IF(AND('Mapa final'!#REF!="Alta",'Mapa final'!#REF!="Menor"),CONCATENATE("R",'Mapa final'!#REF!),"")</f>
        <v>#REF!</v>
      </c>
      <c r="U16" s="313"/>
      <c r="V16" s="329" t="e">
        <f>IF(AND('Mapa final'!#REF!="Alta",'Mapa final'!#REF!="Moderado"),CONCATENATE("R",'Mapa final'!#REF!),"")</f>
        <v>#REF!</v>
      </c>
      <c r="W16" s="330"/>
      <c r="X16" s="330" t="e">
        <f>IF(AND('Mapa final'!#REF!="Alta",'Mapa final'!#REF!="Moderado"),CONCATENATE("R",'Mapa final'!#REF!),"")</f>
        <v>#REF!</v>
      </c>
      <c r="Y16" s="330"/>
      <c r="Z16" s="330" t="e">
        <f>IF(AND('Mapa final'!#REF!="Alta",'Mapa final'!#REF!="Moderado"),CONCATENATE("R",'Mapa final'!#REF!),"")</f>
        <v>#REF!</v>
      </c>
      <c r="AA16" s="331"/>
      <c r="AB16" s="329" t="e">
        <f>IF(AND('Mapa final'!#REF!="Alta",'Mapa final'!#REF!="Mayor"),CONCATENATE("R",'Mapa final'!#REF!),"")</f>
        <v>#REF!</v>
      </c>
      <c r="AC16" s="330"/>
      <c r="AD16" s="330" t="e">
        <f>IF(AND('Mapa final'!#REF!="Alta",'Mapa final'!#REF!="Mayor"),CONCATENATE("R",'Mapa final'!#REF!),"")</f>
        <v>#REF!</v>
      </c>
      <c r="AE16" s="330"/>
      <c r="AF16" s="330" t="e">
        <f>IF(AND('Mapa final'!#REF!="Alta",'Mapa final'!#REF!="Mayor"),CONCATENATE("R",'Mapa final'!#REF!),"")</f>
        <v>#REF!</v>
      </c>
      <c r="AG16" s="331"/>
      <c r="AH16" s="320" t="e">
        <f>IF(AND('Mapa final'!#REF!="Alta",'Mapa final'!#REF!="Catastrófico"),CONCATENATE("R",'Mapa final'!#REF!),"")</f>
        <v>#REF!</v>
      </c>
      <c r="AI16" s="321"/>
      <c r="AJ16" s="321" t="e">
        <f>IF(AND('Mapa final'!#REF!="Alta",'Mapa final'!#REF!="Catastrófico"),CONCATENATE("R",'Mapa final'!#REF!),"")</f>
        <v>#REF!</v>
      </c>
      <c r="AK16" s="321"/>
      <c r="AL16" s="321" t="e">
        <f>IF(AND('Mapa final'!#REF!="Alta",'Mapa final'!#REF!="Catastrófico"),CONCATENATE("R",'Mapa final'!#REF!),"")</f>
        <v>#REF!</v>
      </c>
      <c r="AM16" s="322"/>
      <c r="AN16" s="75"/>
      <c r="AO16" s="363"/>
      <c r="AP16" s="364"/>
      <c r="AQ16" s="364"/>
      <c r="AR16" s="364"/>
      <c r="AS16" s="364"/>
      <c r="AT16" s="36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25">
      <c r="A17" s="75"/>
      <c r="B17" s="349"/>
      <c r="C17" s="349"/>
      <c r="D17" s="350"/>
      <c r="E17" s="342"/>
      <c r="F17" s="343"/>
      <c r="G17" s="343"/>
      <c r="H17" s="343"/>
      <c r="I17" s="343"/>
      <c r="J17" s="311"/>
      <c r="K17" s="312"/>
      <c r="L17" s="312"/>
      <c r="M17" s="312"/>
      <c r="N17" s="312"/>
      <c r="O17" s="313"/>
      <c r="P17" s="311"/>
      <c r="Q17" s="312"/>
      <c r="R17" s="312"/>
      <c r="S17" s="312"/>
      <c r="T17" s="312"/>
      <c r="U17" s="313"/>
      <c r="V17" s="329"/>
      <c r="W17" s="330"/>
      <c r="X17" s="330"/>
      <c r="Y17" s="330"/>
      <c r="Z17" s="330"/>
      <c r="AA17" s="331"/>
      <c r="AB17" s="329"/>
      <c r="AC17" s="330"/>
      <c r="AD17" s="330"/>
      <c r="AE17" s="330"/>
      <c r="AF17" s="330"/>
      <c r="AG17" s="331"/>
      <c r="AH17" s="320"/>
      <c r="AI17" s="321"/>
      <c r="AJ17" s="321"/>
      <c r="AK17" s="321"/>
      <c r="AL17" s="321"/>
      <c r="AM17" s="322"/>
      <c r="AN17" s="75"/>
      <c r="AO17" s="363"/>
      <c r="AP17" s="364"/>
      <c r="AQ17" s="364"/>
      <c r="AR17" s="364"/>
      <c r="AS17" s="364"/>
      <c r="AT17" s="36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25">
      <c r="A18" s="75"/>
      <c r="B18" s="349"/>
      <c r="C18" s="349"/>
      <c r="D18" s="350"/>
      <c r="E18" s="342"/>
      <c r="F18" s="343"/>
      <c r="G18" s="343"/>
      <c r="H18" s="343"/>
      <c r="I18" s="343"/>
      <c r="J18" s="311" t="e">
        <f>IF(AND('Mapa final'!#REF!="Alta",'Mapa final'!#REF!="Leve"),CONCATENATE("R",'Mapa final'!#REF!),"")</f>
        <v>#REF!</v>
      </c>
      <c r="K18" s="312"/>
      <c r="L18" s="312" t="e">
        <f>IF(AND('Mapa final'!#REF!="Alta",'Mapa final'!#REF!="Leve"),CONCATENATE("R",'Mapa final'!#REF!),"")</f>
        <v>#REF!</v>
      </c>
      <c r="M18" s="312"/>
      <c r="N18" s="312" t="e">
        <f>IF(AND('Mapa final'!#REF!="Alta",'Mapa final'!#REF!="Leve"),CONCATENATE("R",'Mapa final'!#REF!),"")</f>
        <v>#REF!</v>
      </c>
      <c r="O18" s="313"/>
      <c r="P18" s="311" t="e">
        <f>IF(AND('Mapa final'!#REF!="Alta",'Mapa final'!#REF!="Menor"),CONCATENATE("R",'Mapa final'!#REF!),"")</f>
        <v>#REF!</v>
      </c>
      <c r="Q18" s="312"/>
      <c r="R18" s="312" t="e">
        <f>IF(AND('Mapa final'!#REF!="Alta",'Mapa final'!#REF!="Menor"),CONCATENATE("R",'Mapa final'!#REF!),"")</f>
        <v>#REF!</v>
      </c>
      <c r="S18" s="312"/>
      <c r="T18" s="312" t="e">
        <f>IF(AND('Mapa final'!#REF!="Alta",'Mapa final'!#REF!="Menor"),CONCATENATE("R",'Mapa final'!#REF!),"")</f>
        <v>#REF!</v>
      </c>
      <c r="U18" s="313"/>
      <c r="V18" s="329" t="e">
        <f>IF(AND('Mapa final'!#REF!="Alta",'Mapa final'!#REF!="Moderado"),CONCATENATE("R",'Mapa final'!#REF!),"")</f>
        <v>#REF!</v>
      </c>
      <c r="W18" s="330"/>
      <c r="X18" s="330" t="e">
        <f>IF(AND('Mapa final'!#REF!="Alta",'Mapa final'!#REF!="Moderado"),CONCATENATE("R",'Mapa final'!#REF!),"")</f>
        <v>#REF!</v>
      </c>
      <c r="Y18" s="330"/>
      <c r="Z18" s="330" t="e">
        <f>IF(AND('Mapa final'!#REF!="Alta",'Mapa final'!#REF!="Moderado"),CONCATENATE("R",'Mapa final'!#REF!),"")</f>
        <v>#REF!</v>
      </c>
      <c r="AA18" s="331"/>
      <c r="AB18" s="329" t="e">
        <f>IF(AND('Mapa final'!#REF!="Alta",'Mapa final'!#REF!="Mayor"),CONCATENATE("R",'Mapa final'!#REF!),"")</f>
        <v>#REF!</v>
      </c>
      <c r="AC18" s="330"/>
      <c r="AD18" s="330" t="e">
        <f>IF(AND('Mapa final'!#REF!="Alta",'Mapa final'!#REF!="Mayor"),CONCATENATE("R",'Mapa final'!#REF!),"")</f>
        <v>#REF!</v>
      </c>
      <c r="AE18" s="330"/>
      <c r="AF18" s="330" t="e">
        <f>IF(AND('Mapa final'!#REF!="Alta",'Mapa final'!#REF!="Mayor"),CONCATENATE("R",'Mapa final'!#REF!),"")</f>
        <v>#REF!</v>
      </c>
      <c r="AG18" s="331"/>
      <c r="AH18" s="320" t="e">
        <f>IF(AND('Mapa final'!#REF!="Alta",'Mapa final'!#REF!="Catastrófico"),CONCATENATE("R",'Mapa final'!#REF!),"")</f>
        <v>#REF!</v>
      </c>
      <c r="AI18" s="321"/>
      <c r="AJ18" s="321" t="e">
        <f>IF(AND('Mapa final'!#REF!="Alta",'Mapa final'!#REF!="Catastrófico"),CONCATENATE("R",'Mapa final'!#REF!),"")</f>
        <v>#REF!</v>
      </c>
      <c r="AK18" s="321"/>
      <c r="AL18" s="321" t="e">
        <f>IF(AND('Mapa final'!#REF!="Alta",'Mapa final'!#REF!="Catastrófico"),CONCATENATE("R",'Mapa final'!#REF!),"")</f>
        <v>#REF!</v>
      </c>
      <c r="AM18" s="322"/>
      <c r="AN18" s="75"/>
      <c r="AO18" s="363"/>
      <c r="AP18" s="364"/>
      <c r="AQ18" s="364"/>
      <c r="AR18" s="364"/>
      <c r="AS18" s="364"/>
      <c r="AT18" s="36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25">
      <c r="A19" s="75"/>
      <c r="B19" s="349"/>
      <c r="C19" s="349"/>
      <c r="D19" s="350"/>
      <c r="E19" s="342"/>
      <c r="F19" s="343"/>
      <c r="G19" s="343"/>
      <c r="H19" s="343"/>
      <c r="I19" s="343"/>
      <c r="J19" s="311"/>
      <c r="K19" s="312"/>
      <c r="L19" s="312"/>
      <c r="M19" s="312"/>
      <c r="N19" s="312"/>
      <c r="O19" s="313"/>
      <c r="P19" s="311"/>
      <c r="Q19" s="312"/>
      <c r="R19" s="312"/>
      <c r="S19" s="312"/>
      <c r="T19" s="312"/>
      <c r="U19" s="313"/>
      <c r="V19" s="329"/>
      <c r="W19" s="330"/>
      <c r="X19" s="330"/>
      <c r="Y19" s="330"/>
      <c r="Z19" s="330"/>
      <c r="AA19" s="331"/>
      <c r="AB19" s="329"/>
      <c r="AC19" s="330"/>
      <c r="AD19" s="330"/>
      <c r="AE19" s="330"/>
      <c r="AF19" s="330"/>
      <c r="AG19" s="331"/>
      <c r="AH19" s="320"/>
      <c r="AI19" s="321"/>
      <c r="AJ19" s="321"/>
      <c r="AK19" s="321"/>
      <c r="AL19" s="321"/>
      <c r="AM19" s="322"/>
      <c r="AN19" s="75"/>
      <c r="AO19" s="363"/>
      <c r="AP19" s="364"/>
      <c r="AQ19" s="364"/>
      <c r="AR19" s="364"/>
      <c r="AS19" s="364"/>
      <c r="AT19" s="36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25">
      <c r="A20" s="75"/>
      <c r="B20" s="349"/>
      <c r="C20" s="349"/>
      <c r="D20" s="350"/>
      <c r="E20" s="342"/>
      <c r="F20" s="343"/>
      <c r="G20" s="343"/>
      <c r="H20" s="343"/>
      <c r="I20" s="343"/>
      <c r="J20" s="311" t="e">
        <f>IF(AND('Mapa final'!#REF!="Alta",'Mapa final'!#REF!="Leve"),CONCATENATE("R",'Mapa final'!#REF!),"")</f>
        <v>#REF!</v>
      </c>
      <c r="K20" s="312"/>
      <c r="L20" s="312" t="str">
        <f>IF(AND('Mapa final'!$N$27="Alta",'Mapa final'!$R$27="Leve"),CONCATENATE("R",'Mapa final'!$A$27),"")</f>
        <v/>
      </c>
      <c r="M20" s="312"/>
      <c r="N20" s="312" t="e">
        <f>IF(AND('Mapa final'!#REF!="Alta",'Mapa final'!#REF!="Leve"),CONCATENATE("R",'Mapa final'!#REF!),"")</f>
        <v>#REF!</v>
      </c>
      <c r="O20" s="313"/>
      <c r="P20" s="311" t="e">
        <f>IF(AND('Mapa final'!#REF!="Alta",'Mapa final'!#REF!="Menor"),CONCATENATE("R",'Mapa final'!#REF!),"")</f>
        <v>#REF!</v>
      </c>
      <c r="Q20" s="312"/>
      <c r="R20" s="312" t="str">
        <f>IF(AND('Mapa final'!$N$27="Alta",'Mapa final'!$R$27="Menor"),CONCATENATE("R",'Mapa final'!$A$27),"")</f>
        <v/>
      </c>
      <c r="S20" s="312"/>
      <c r="T20" s="312" t="e">
        <f>IF(AND('Mapa final'!#REF!="Alta",'Mapa final'!#REF!="Menor"),CONCATENATE("R",'Mapa final'!#REF!),"")</f>
        <v>#REF!</v>
      </c>
      <c r="U20" s="313"/>
      <c r="V20" s="329" t="e">
        <f>IF(AND('Mapa final'!#REF!="Alta",'Mapa final'!#REF!="Moderado"),CONCATENATE("R",'Mapa final'!#REF!),"")</f>
        <v>#REF!</v>
      </c>
      <c r="W20" s="330"/>
      <c r="X20" s="330" t="str">
        <f>IF(AND('Mapa final'!$N$27="Alta",'Mapa final'!$R$27="Moderado"),CONCATENATE("R",'Mapa final'!$A$27),"")</f>
        <v/>
      </c>
      <c r="Y20" s="330"/>
      <c r="Z20" s="330" t="e">
        <f>IF(AND('Mapa final'!#REF!="Alta",'Mapa final'!#REF!="Moderado"),CONCATENATE("R",'Mapa final'!#REF!),"")</f>
        <v>#REF!</v>
      </c>
      <c r="AA20" s="331"/>
      <c r="AB20" s="329" t="e">
        <f>IF(AND('Mapa final'!#REF!="Alta",'Mapa final'!#REF!="Mayor"),CONCATENATE("R",'Mapa final'!#REF!),"")</f>
        <v>#REF!</v>
      </c>
      <c r="AC20" s="330"/>
      <c r="AD20" s="330" t="str">
        <f>IF(AND('Mapa final'!$N$27="Alta",'Mapa final'!$R$27="Mayor"),CONCATENATE("R",'Mapa final'!$A$27),"")</f>
        <v/>
      </c>
      <c r="AE20" s="330"/>
      <c r="AF20" s="330" t="e">
        <f>IF(AND('Mapa final'!#REF!="Alta",'Mapa final'!#REF!="Mayor"),CONCATENATE("R",'Mapa final'!#REF!),"")</f>
        <v>#REF!</v>
      </c>
      <c r="AG20" s="331"/>
      <c r="AH20" s="320" t="e">
        <f>IF(AND('Mapa final'!#REF!="Alta",'Mapa final'!#REF!="Catastrófico"),CONCATENATE("R",'Mapa final'!#REF!),"")</f>
        <v>#REF!</v>
      </c>
      <c r="AI20" s="321"/>
      <c r="AJ20" s="321" t="str">
        <f>IF(AND('Mapa final'!$N$27="Alta",'Mapa final'!$R$27="Catastrófico"),CONCATENATE("R",'Mapa final'!$A$27),"")</f>
        <v/>
      </c>
      <c r="AK20" s="321"/>
      <c r="AL20" s="321" t="e">
        <f>IF(AND('Mapa final'!#REF!="Alta",'Mapa final'!#REF!="Catastrófico"),CONCATENATE("R",'Mapa final'!#REF!),"")</f>
        <v>#REF!</v>
      </c>
      <c r="AM20" s="322"/>
      <c r="AN20" s="75"/>
      <c r="AO20" s="363"/>
      <c r="AP20" s="364"/>
      <c r="AQ20" s="364"/>
      <c r="AR20" s="364"/>
      <c r="AS20" s="364"/>
      <c r="AT20" s="36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
      <c r="A21" s="75"/>
      <c r="B21" s="349"/>
      <c r="C21" s="349"/>
      <c r="D21" s="350"/>
      <c r="E21" s="345"/>
      <c r="F21" s="346"/>
      <c r="G21" s="346"/>
      <c r="H21" s="346"/>
      <c r="I21" s="346"/>
      <c r="J21" s="314"/>
      <c r="K21" s="315"/>
      <c r="L21" s="315"/>
      <c r="M21" s="315"/>
      <c r="N21" s="315"/>
      <c r="O21" s="316"/>
      <c r="P21" s="314"/>
      <c r="Q21" s="315"/>
      <c r="R21" s="315"/>
      <c r="S21" s="315"/>
      <c r="T21" s="315"/>
      <c r="U21" s="316"/>
      <c r="V21" s="332"/>
      <c r="W21" s="333"/>
      <c r="X21" s="333"/>
      <c r="Y21" s="333"/>
      <c r="Z21" s="333"/>
      <c r="AA21" s="334"/>
      <c r="AB21" s="332"/>
      <c r="AC21" s="333"/>
      <c r="AD21" s="333"/>
      <c r="AE21" s="333"/>
      <c r="AF21" s="333"/>
      <c r="AG21" s="334"/>
      <c r="AH21" s="323"/>
      <c r="AI21" s="324"/>
      <c r="AJ21" s="324"/>
      <c r="AK21" s="324"/>
      <c r="AL21" s="324"/>
      <c r="AM21" s="325"/>
      <c r="AN21" s="75"/>
      <c r="AO21" s="366"/>
      <c r="AP21" s="367"/>
      <c r="AQ21" s="367"/>
      <c r="AR21" s="367"/>
      <c r="AS21" s="367"/>
      <c r="AT21" s="368"/>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25">
      <c r="A22" s="75"/>
      <c r="B22" s="349"/>
      <c r="C22" s="349"/>
      <c r="D22" s="350"/>
      <c r="E22" s="339" t="s">
        <v>250</v>
      </c>
      <c r="F22" s="340"/>
      <c r="G22" s="340"/>
      <c r="H22" s="340"/>
      <c r="I22" s="341"/>
      <c r="J22" s="317" t="e">
        <f>IF(AND('Mapa final'!#REF!="Media",'Mapa final'!#REF!="Leve"),CONCATENATE("R",'Mapa final'!#REF!),"")</f>
        <v>#REF!</v>
      </c>
      <c r="K22" s="318"/>
      <c r="L22" s="318" t="str">
        <f>IF(AND('Mapa final'!$N$13="Media",'Mapa final'!$R$13="Leve"),CONCATENATE("R",'Mapa final'!$A$13),"")</f>
        <v/>
      </c>
      <c r="M22" s="318"/>
      <c r="N22" s="318" t="e">
        <f>IF(AND('Mapa final'!#REF!="Media",'Mapa final'!#REF!="Leve"),CONCATENATE("R",'Mapa final'!#REF!),"")</f>
        <v>#REF!</v>
      </c>
      <c r="O22" s="319"/>
      <c r="P22" s="317" t="e">
        <f>IF(AND('Mapa final'!#REF!="Media",'Mapa final'!#REF!="Menor"),CONCATENATE("R",'Mapa final'!#REF!),"")</f>
        <v>#REF!</v>
      </c>
      <c r="Q22" s="318"/>
      <c r="R22" s="318" t="str">
        <f>IF(AND('Mapa final'!$N$13="Media",'Mapa final'!$R$13="Menor"),CONCATENATE("R",'Mapa final'!$A$13),"")</f>
        <v/>
      </c>
      <c r="S22" s="318"/>
      <c r="T22" s="318" t="e">
        <f>IF(AND('Mapa final'!#REF!="Media",'Mapa final'!#REF!="Menor"),CONCATENATE("R",'Mapa final'!#REF!),"")</f>
        <v>#REF!</v>
      </c>
      <c r="U22" s="319"/>
      <c r="V22" s="317" t="e">
        <f>IF(AND('Mapa final'!#REF!="Media",'Mapa final'!#REF!="Moderado"),CONCATENATE("R",'Mapa final'!#REF!),"")</f>
        <v>#REF!</v>
      </c>
      <c r="W22" s="318"/>
      <c r="X22" s="318" t="str">
        <f>IF(AND('Mapa final'!$N$13="Media",'Mapa final'!$R$13="Moderado"),CONCATENATE("R",'Mapa final'!$A$13),"")</f>
        <v/>
      </c>
      <c r="Y22" s="318"/>
      <c r="Z22" s="318" t="e">
        <f>IF(AND('Mapa final'!#REF!="Media",'Mapa final'!#REF!="Moderado"),CONCATENATE("R",'Mapa final'!#REF!),"")</f>
        <v>#REF!</v>
      </c>
      <c r="AA22" s="319"/>
      <c r="AB22" s="335" t="e">
        <f>IF(AND('Mapa final'!#REF!="Media",'Mapa final'!#REF!="Mayor"),CONCATENATE("R",'Mapa final'!#REF!),"")</f>
        <v>#REF!</v>
      </c>
      <c r="AC22" s="336"/>
      <c r="AD22" s="336" t="str">
        <f>IF(AND('Mapa final'!$N$13="Media",'Mapa final'!$R$13="Mayor"),CONCATENATE("R",'Mapa final'!$A$13),"")</f>
        <v/>
      </c>
      <c r="AE22" s="336"/>
      <c r="AF22" s="336" t="e">
        <f>IF(AND('Mapa final'!#REF!="Media",'Mapa final'!#REF!="Mayor"),CONCATENATE("R",'Mapa final'!#REF!),"")</f>
        <v>#REF!</v>
      </c>
      <c r="AG22" s="337"/>
      <c r="AH22" s="326" t="e">
        <f>IF(AND('Mapa final'!#REF!="Media",'Mapa final'!#REF!="Catastrófico"),CONCATENATE("R",'Mapa final'!#REF!),"")</f>
        <v>#REF!</v>
      </c>
      <c r="AI22" s="327"/>
      <c r="AJ22" s="327" t="str">
        <f>IF(AND('Mapa final'!$N$13="Media",'Mapa final'!$R$13="Catastrófico"),CONCATENATE("R",'Mapa final'!$A$13),"")</f>
        <v/>
      </c>
      <c r="AK22" s="327"/>
      <c r="AL22" s="327" t="e">
        <f>IF(AND('Mapa final'!#REF!="Media",'Mapa final'!#REF!="Catastrófico"),CONCATENATE("R",'Mapa final'!#REF!),"")</f>
        <v>#REF!</v>
      </c>
      <c r="AM22" s="328"/>
      <c r="AN22" s="75"/>
      <c r="AO22" s="369" t="s">
        <v>145</v>
      </c>
      <c r="AP22" s="370"/>
      <c r="AQ22" s="370"/>
      <c r="AR22" s="370"/>
      <c r="AS22" s="370"/>
      <c r="AT22" s="371"/>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25">
      <c r="A23" s="75"/>
      <c r="B23" s="349"/>
      <c r="C23" s="349"/>
      <c r="D23" s="350"/>
      <c r="E23" s="342"/>
      <c r="F23" s="343"/>
      <c r="G23" s="343"/>
      <c r="H23" s="343"/>
      <c r="I23" s="344"/>
      <c r="J23" s="311"/>
      <c r="K23" s="312"/>
      <c r="L23" s="312"/>
      <c r="M23" s="312"/>
      <c r="N23" s="312"/>
      <c r="O23" s="313"/>
      <c r="P23" s="311"/>
      <c r="Q23" s="312"/>
      <c r="R23" s="312"/>
      <c r="S23" s="312"/>
      <c r="T23" s="312"/>
      <c r="U23" s="313"/>
      <c r="V23" s="311"/>
      <c r="W23" s="312"/>
      <c r="X23" s="312"/>
      <c r="Y23" s="312"/>
      <c r="Z23" s="312"/>
      <c r="AA23" s="313"/>
      <c r="AB23" s="329"/>
      <c r="AC23" s="330"/>
      <c r="AD23" s="330"/>
      <c r="AE23" s="330"/>
      <c r="AF23" s="330"/>
      <c r="AG23" s="331"/>
      <c r="AH23" s="320"/>
      <c r="AI23" s="321"/>
      <c r="AJ23" s="321"/>
      <c r="AK23" s="321"/>
      <c r="AL23" s="321"/>
      <c r="AM23" s="322"/>
      <c r="AN23" s="75"/>
      <c r="AO23" s="372"/>
      <c r="AP23" s="373"/>
      <c r="AQ23" s="373"/>
      <c r="AR23" s="373"/>
      <c r="AS23" s="373"/>
      <c r="AT23" s="374"/>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25">
      <c r="A24" s="75"/>
      <c r="B24" s="349"/>
      <c r="C24" s="349"/>
      <c r="D24" s="350"/>
      <c r="E24" s="342"/>
      <c r="F24" s="343"/>
      <c r="G24" s="343"/>
      <c r="H24" s="343"/>
      <c r="I24" s="344"/>
      <c r="J24" s="311" t="e">
        <f>IF(AND('Mapa final'!#REF!="Media",'Mapa final'!#REF!="Leve"),CONCATENATE("R",'Mapa final'!#REF!),"")</f>
        <v>#REF!</v>
      </c>
      <c r="K24" s="312"/>
      <c r="L24" s="312" t="e">
        <f>IF(AND('Mapa final'!#REF!="Media",'Mapa final'!#REF!="Leve"),CONCATENATE("R",'Mapa final'!#REF!),"")</f>
        <v>#REF!</v>
      </c>
      <c r="M24" s="312"/>
      <c r="N24" s="312" t="e">
        <f>IF(AND('Mapa final'!#REF!="Media",'Mapa final'!#REF!="Leve"),CONCATENATE("R",'Mapa final'!#REF!),"")</f>
        <v>#REF!</v>
      </c>
      <c r="O24" s="313"/>
      <c r="P24" s="311" t="e">
        <f>IF(AND('Mapa final'!#REF!="Media",'Mapa final'!#REF!="Menor"),CONCATENATE("R",'Mapa final'!#REF!),"")</f>
        <v>#REF!</v>
      </c>
      <c r="Q24" s="312"/>
      <c r="R24" s="312" t="e">
        <f>IF(AND('Mapa final'!#REF!="Media",'Mapa final'!#REF!="Menor"),CONCATENATE("R",'Mapa final'!#REF!),"")</f>
        <v>#REF!</v>
      </c>
      <c r="S24" s="312"/>
      <c r="T24" s="312" t="e">
        <f>IF(AND('Mapa final'!#REF!="Media",'Mapa final'!#REF!="Menor"),CONCATENATE("R",'Mapa final'!#REF!),"")</f>
        <v>#REF!</v>
      </c>
      <c r="U24" s="313"/>
      <c r="V24" s="311" t="e">
        <f>IF(AND('Mapa final'!#REF!="Media",'Mapa final'!#REF!="Moderado"),CONCATENATE("R",'Mapa final'!#REF!),"")</f>
        <v>#REF!</v>
      </c>
      <c r="W24" s="312"/>
      <c r="X24" s="312" t="e">
        <f>IF(AND('Mapa final'!#REF!="Media",'Mapa final'!#REF!="Moderado"),CONCATENATE("R",'Mapa final'!#REF!),"")</f>
        <v>#REF!</v>
      </c>
      <c r="Y24" s="312"/>
      <c r="Z24" s="312" t="e">
        <f>IF(AND('Mapa final'!#REF!="Media",'Mapa final'!#REF!="Moderado"),CONCATENATE("R",'Mapa final'!#REF!),"")</f>
        <v>#REF!</v>
      </c>
      <c r="AA24" s="313"/>
      <c r="AB24" s="329" t="e">
        <f>IF(AND('Mapa final'!#REF!="Media",'Mapa final'!#REF!="Mayor"),CONCATENATE("R",'Mapa final'!#REF!),"")</f>
        <v>#REF!</v>
      </c>
      <c r="AC24" s="330"/>
      <c r="AD24" s="330" t="e">
        <f>IF(AND('Mapa final'!#REF!="Media",'Mapa final'!#REF!="Mayor"),CONCATENATE("R",'Mapa final'!#REF!),"")</f>
        <v>#REF!</v>
      </c>
      <c r="AE24" s="330"/>
      <c r="AF24" s="330" t="e">
        <f>IF(AND('Mapa final'!#REF!="Media",'Mapa final'!#REF!="Mayor"),CONCATENATE("R",'Mapa final'!#REF!),"")</f>
        <v>#REF!</v>
      </c>
      <c r="AG24" s="331"/>
      <c r="AH24" s="320" t="e">
        <f>IF(AND('Mapa final'!#REF!="Media",'Mapa final'!#REF!="Catastrófico"),CONCATENATE("R",'Mapa final'!#REF!),"")</f>
        <v>#REF!</v>
      </c>
      <c r="AI24" s="321"/>
      <c r="AJ24" s="321" t="e">
        <f>IF(AND('Mapa final'!#REF!="Media",'Mapa final'!#REF!="Catastrófico"),CONCATENATE("R",'Mapa final'!#REF!),"")</f>
        <v>#REF!</v>
      </c>
      <c r="AK24" s="321"/>
      <c r="AL24" s="321" t="e">
        <f>IF(AND('Mapa final'!#REF!="Media",'Mapa final'!#REF!="Catastrófico"),CONCATENATE("R",'Mapa final'!#REF!),"")</f>
        <v>#REF!</v>
      </c>
      <c r="AM24" s="322"/>
      <c r="AN24" s="75"/>
      <c r="AO24" s="372"/>
      <c r="AP24" s="373"/>
      <c r="AQ24" s="373"/>
      <c r="AR24" s="373"/>
      <c r="AS24" s="373"/>
      <c r="AT24" s="374"/>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25">
      <c r="A25" s="75"/>
      <c r="B25" s="349"/>
      <c r="C25" s="349"/>
      <c r="D25" s="350"/>
      <c r="E25" s="342"/>
      <c r="F25" s="343"/>
      <c r="G25" s="343"/>
      <c r="H25" s="343"/>
      <c r="I25" s="344"/>
      <c r="J25" s="311"/>
      <c r="K25" s="312"/>
      <c r="L25" s="312"/>
      <c r="M25" s="312"/>
      <c r="N25" s="312"/>
      <c r="O25" s="313"/>
      <c r="P25" s="311"/>
      <c r="Q25" s="312"/>
      <c r="R25" s="312"/>
      <c r="S25" s="312"/>
      <c r="T25" s="312"/>
      <c r="U25" s="313"/>
      <c r="V25" s="311"/>
      <c r="W25" s="312"/>
      <c r="X25" s="312"/>
      <c r="Y25" s="312"/>
      <c r="Z25" s="312"/>
      <c r="AA25" s="313"/>
      <c r="AB25" s="329"/>
      <c r="AC25" s="330"/>
      <c r="AD25" s="330"/>
      <c r="AE25" s="330"/>
      <c r="AF25" s="330"/>
      <c r="AG25" s="331"/>
      <c r="AH25" s="320"/>
      <c r="AI25" s="321"/>
      <c r="AJ25" s="321"/>
      <c r="AK25" s="321"/>
      <c r="AL25" s="321"/>
      <c r="AM25" s="322"/>
      <c r="AN25" s="75"/>
      <c r="AO25" s="372"/>
      <c r="AP25" s="373"/>
      <c r="AQ25" s="373"/>
      <c r="AR25" s="373"/>
      <c r="AS25" s="373"/>
      <c r="AT25" s="374"/>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25">
      <c r="A26" s="75"/>
      <c r="B26" s="349"/>
      <c r="C26" s="349"/>
      <c r="D26" s="350"/>
      <c r="E26" s="342"/>
      <c r="F26" s="343"/>
      <c r="G26" s="343"/>
      <c r="H26" s="343"/>
      <c r="I26" s="344"/>
      <c r="J26" s="311" t="e">
        <f>IF(AND('Mapa final'!#REF!="Media",'Mapa final'!#REF!="Leve"),CONCATENATE("R",'Mapa final'!#REF!),"")</f>
        <v>#REF!</v>
      </c>
      <c r="K26" s="312"/>
      <c r="L26" s="312" t="e">
        <f>IF(AND('Mapa final'!#REF!="Media",'Mapa final'!#REF!="Leve"),CONCATENATE("R",'Mapa final'!#REF!),"")</f>
        <v>#REF!</v>
      </c>
      <c r="M26" s="312"/>
      <c r="N26" s="312" t="e">
        <f>IF(AND('Mapa final'!#REF!="Media",'Mapa final'!#REF!="Leve"),CONCATENATE("R",'Mapa final'!#REF!),"")</f>
        <v>#REF!</v>
      </c>
      <c r="O26" s="313"/>
      <c r="P26" s="311" t="e">
        <f>IF(AND('Mapa final'!#REF!="Media",'Mapa final'!#REF!="Menor"),CONCATENATE("R",'Mapa final'!#REF!),"")</f>
        <v>#REF!</v>
      </c>
      <c r="Q26" s="312"/>
      <c r="R26" s="312" t="e">
        <f>IF(AND('Mapa final'!#REF!="Media",'Mapa final'!#REF!="Menor"),CONCATENATE("R",'Mapa final'!#REF!),"")</f>
        <v>#REF!</v>
      </c>
      <c r="S26" s="312"/>
      <c r="T26" s="312" t="e">
        <f>IF(AND('Mapa final'!#REF!="Media",'Mapa final'!#REF!="Menor"),CONCATENATE("R",'Mapa final'!#REF!),"")</f>
        <v>#REF!</v>
      </c>
      <c r="U26" s="313"/>
      <c r="V26" s="311" t="e">
        <f>IF(AND('Mapa final'!#REF!="Media",'Mapa final'!#REF!="Moderado"),CONCATENATE("R",'Mapa final'!#REF!),"")</f>
        <v>#REF!</v>
      </c>
      <c r="W26" s="312"/>
      <c r="X26" s="312" t="e">
        <f>IF(AND('Mapa final'!#REF!="Media",'Mapa final'!#REF!="Moderado"),CONCATENATE("R",'Mapa final'!#REF!),"")</f>
        <v>#REF!</v>
      </c>
      <c r="Y26" s="312"/>
      <c r="Z26" s="312" t="e">
        <f>IF(AND('Mapa final'!#REF!="Media",'Mapa final'!#REF!="Moderado"),CONCATENATE("R",'Mapa final'!#REF!),"")</f>
        <v>#REF!</v>
      </c>
      <c r="AA26" s="313"/>
      <c r="AB26" s="329" t="e">
        <f>IF(AND('Mapa final'!#REF!="Media",'Mapa final'!#REF!="Mayor"),CONCATENATE("R",'Mapa final'!#REF!),"")</f>
        <v>#REF!</v>
      </c>
      <c r="AC26" s="330"/>
      <c r="AD26" s="330" t="e">
        <f>IF(AND('Mapa final'!#REF!="Media",'Mapa final'!#REF!="Mayor"),CONCATENATE("R",'Mapa final'!#REF!),"")</f>
        <v>#REF!</v>
      </c>
      <c r="AE26" s="330"/>
      <c r="AF26" s="330" t="e">
        <f>IF(AND('Mapa final'!#REF!="Media",'Mapa final'!#REF!="Mayor"),CONCATENATE("R",'Mapa final'!#REF!),"")</f>
        <v>#REF!</v>
      </c>
      <c r="AG26" s="331"/>
      <c r="AH26" s="320" t="e">
        <f>IF(AND('Mapa final'!#REF!="Media",'Mapa final'!#REF!="Catastrófico"),CONCATENATE("R",'Mapa final'!#REF!),"")</f>
        <v>#REF!</v>
      </c>
      <c r="AI26" s="321"/>
      <c r="AJ26" s="321" t="e">
        <f>IF(AND('Mapa final'!#REF!="Media",'Mapa final'!#REF!="Catastrófico"),CONCATENATE("R",'Mapa final'!#REF!),"")</f>
        <v>#REF!</v>
      </c>
      <c r="AK26" s="321"/>
      <c r="AL26" s="321" t="e">
        <f>IF(AND('Mapa final'!#REF!="Media",'Mapa final'!#REF!="Catastrófico"),CONCATENATE("R",'Mapa final'!#REF!),"")</f>
        <v>#REF!</v>
      </c>
      <c r="AM26" s="322"/>
      <c r="AN26" s="75"/>
      <c r="AO26" s="372"/>
      <c r="AP26" s="373"/>
      <c r="AQ26" s="373"/>
      <c r="AR26" s="373"/>
      <c r="AS26" s="373"/>
      <c r="AT26" s="374"/>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25">
      <c r="A27" s="75"/>
      <c r="B27" s="349"/>
      <c r="C27" s="349"/>
      <c r="D27" s="350"/>
      <c r="E27" s="342"/>
      <c r="F27" s="343"/>
      <c r="G27" s="343"/>
      <c r="H27" s="343"/>
      <c r="I27" s="344"/>
      <c r="J27" s="311"/>
      <c r="K27" s="312"/>
      <c r="L27" s="312"/>
      <c r="M27" s="312"/>
      <c r="N27" s="312"/>
      <c r="O27" s="313"/>
      <c r="P27" s="311"/>
      <c r="Q27" s="312"/>
      <c r="R27" s="312"/>
      <c r="S27" s="312"/>
      <c r="T27" s="312"/>
      <c r="U27" s="313"/>
      <c r="V27" s="311"/>
      <c r="W27" s="312"/>
      <c r="X27" s="312"/>
      <c r="Y27" s="312"/>
      <c r="Z27" s="312"/>
      <c r="AA27" s="313"/>
      <c r="AB27" s="329"/>
      <c r="AC27" s="330"/>
      <c r="AD27" s="330"/>
      <c r="AE27" s="330"/>
      <c r="AF27" s="330"/>
      <c r="AG27" s="331"/>
      <c r="AH27" s="320"/>
      <c r="AI27" s="321"/>
      <c r="AJ27" s="321"/>
      <c r="AK27" s="321"/>
      <c r="AL27" s="321"/>
      <c r="AM27" s="322"/>
      <c r="AN27" s="75"/>
      <c r="AO27" s="372"/>
      <c r="AP27" s="373"/>
      <c r="AQ27" s="373"/>
      <c r="AR27" s="373"/>
      <c r="AS27" s="373"/>
      <c r="AT27" s="374"/>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25">
      <c r="A28" s="75"/>
      <c r="B28" s="349"/>
      <c r="C28" s="349"/>
      <c r="D28" s="350"/>
      <c r="E28" s="342"/>
      <c r="F28" s="343"/>
      <c r="G28" s="343"/>
      <c r="H28" s="343"/>
      <c r="I28" s="344"/>
      <c r="J28" s="311" t="e">
        <f>IF(AND('Mapa final'!#REF!="Media",'Mapa final'!#REF!="Leve"),CONCATENATE("R",'Mapa final'!#REF!),"")</f>
        <v>#REF!</v>
      </c>
      <c r="K28" s="312"/>
      <c r="L28" s="312" t="str">
        <f>IF(AND('Mapa final'!$N$27="Media",'Mapa final'!$R$27="Leve"),CONCATENATE("R",'Mapa final'!$A$27),"")</f>
        <v/>
      </c>
      <c r="M28" s="312"/>
      <c r="N28" s="312" t="e">
        <f>IF(AND('Mapa final'!#REF!="Media",'Mapa final'!#REF!="Leve"),CONCATENATE("R",'Mapa final'!#REF!),"")</f>
        <v>#REF!</v>
      </c>
      <c r="O28" s="313"/>
      <c r="P28" s="311" t="e">
        <f>IF(AND('Mapa final'!#REF!="Media",'Mapa final'!#REF!="Menor"),CONCATENATE("R",'Mapa final'!#REF!),"")</f>
        <v>#REF!</v>
      </c>
      <c r="Q28" s="312"/>
      <c r="R28" s="312" t="str">
        <f>IF(AND('Mapa final'!$N$27="Media",'Mapa final'!$R$27="Menor"),CONCATENATE("R",'Mapa final'!$A$27),"")</f>
        <v/>
      </c>
      <c r="S28" s="312"/>
      <c r="T28" s="312" t="e">
        <f>IF(AND('Mapa final'!#REF!="Media",'Mapa final'!#REF!="Menor"),CONCATENATE("R",'Mapa final'!#REF!),"")</f>
        <v>#REF!</v>
      </c>
      <c r="U28" s="313"/>
      <c r="V28" s="311" t="e">
        <f>IF(AND('Mapa final'!#REF!="Media",'Mapa final'!#REF!="Moderado"),CONCATENATE("R",'Mapa final'!#REF!),"")</f>
        <v>#REF!</v>
      </c>
      <c r="W28" s="312"/>
      <c r="X28" s="312" t="str">
        <f>IF(AND('Mapa final'!$N$27="Media",'Mapa final'!$R$27="Moderado"),CONCATENATE("R",'Mapa final'!$A$27),"")</f>
        <v/>
      </c>
      <c r="Y28" s="312"/>
      <c r="Z28" s="312" t="e">
        <f>IF(AND('Mapa final'!#REF!="Media",'Mapa final'!#REF!="Moderado"),CONCATENATE("R",'Mapa final'!#REF!),"")</f>
        <v>#REF!</v>
      </c>
      <c r="AA28" s="313"/>
      <c r="AB28" s="329" t="e">
        <f>IF(AND('Mapa final'!#REF!="Media",'Mapa final'!#REF!="Mayor"),CONCATENATE("R",'Mapa final'!#REF!),"")</f>
        <v>#REF!</v>
      </c>
      <c r="AC28" s="330"/>
      <c r="AD28" s="330" t="str">
        <f>IF(AND('Mapa final'!$N$27="Media",'Mapa final'!$R$27="Mayor"),CONCATENATE("R",'Mapa final'!$A$27),"")</f>
        <v/>
      </c>
      <c r="AE28" s="330"/>
      <c r="AF28" s="330" t="e">
        <f>IF(AND('Mapa final'!#REF!="Media",'Mapa final'!#REF!="Mayor"),CONCATENATE("R",'Mapa final'!#REF!),"")</f>
        <v>#REF!</v>
      </c>
      <c r="AG28" s="331"/>
      <c r="AH28" s="320" t="e">
        <f>IF(AND('Mapa final'!#REF!="Media",'Mapa final'!#REF!="Catastrófico"),CONCATENATE("R",'Mapa final'!#REF!),"")</f>
        <v>#REF!</v>
      </c>
      <c r="AI28" s="321"/>
      <c r="AJ28" s="321" t="str">
        <f>IF(AND('Mapa final'!$N$27="Media",'Mapa final'!$R$27="Catastrófico"),CONCATENATE("R",'Mapa final'!$A$27),"")</f>
        <v/>
      </c>
      <c r="AK28" s="321"/>
      <c r="AL28" s="321" t="e">
        <f>IF(AND('Mapa final'!#REF!="Media",'Mapa final'!#REF!="Catastrófico"),CONCATENATE("R",'Mapa final'!#REF!),"")</f>
        <v>#REF!</v>
      </c>
      <c r="AM28" s="322"/>
      <c r="AN28" s="75"/>
      <c r="AO28" s="372"/>
      <c r="AP28" s="373"/>
      <c r="AQ28" s="373"/>
      <c r="AR28" s="373"/>
      <c r="AS28" s="373"/>
      <c r="AT28" s="374"/>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75" thickBot="1" x14ac:dyDescent="0.3">
      <c r="A29" s="75"/>
      <c r="B29" s="349"/>
      <c r="C29" s="349"/>
      <c r="D29" s="350"/>
      <c r="E29" s="345"/>
      <c r="F29" s="346"/>
      <c r="G29" s="346"/>
      <c r="H29" s="346"/>
      <c r="I29" s="347"/>
      <c r="J29" s="311"/>
      <c r="K29" s="312"/>
      <c r="L29" s="312"/>
      <c r="M29" s="312"/>
      <c r="N29" s="312"/>
      <c r="O29" s="313"/>
      <c r="P29" s="314"/>
      <c r="Q29" s="315"/>
      <c r="R29" s="315"/>
      <c r="S29" s="315"/>
      <c r="T29" s="315"/>
      <c r="U29" s="316"/>
      <c r="V29" s="314"/>
      <c r="W29" s="315"/>
      <c r="X29" s="315"/>
      <c r="Y29" s="315"/>
      <c r="Z29" s="315"/>
      <c r="AA29" s="316"/>
      <c r="AB29" s="332"/>
      <c r="AC29" s="333"/>
      <c r="AD29" s="333"/>
      <c r="AE29" s="333"/>
      <c r="AF29" s="333"/>
      <c r="AG29" s="334"/>
      <c r="AH29" s="323"/>
      <c r="AI29" s="324"/>
      <c r="AJ29" s="324"/>
      <c r="AK29" s="324"/>
      <c r="AL29" s="324"/>
      <c r="AM29" s="325"/>
      <c r="AN29" s="75"/>
      <c r="AO29" s="375"/>
      <c r="AP29" s="376"/>
      <c r="AQ29" s="376"/>
      <c r="AR29" s="376"/>
      <c r="AS29" s="376"/>
      <c r="AT29" s="377"/>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25">
      <c r="A30" s="75"/>
      <c r="B30" s="349"/>
      <c r="C30" s="349"/>
      <c r="D30" s="350"/>
      <c r="E30" s="339" t="s">
        <v>251</v>
      </c>
      <c r="F30" s="340"/>
      <c r="G30" s="340"/>
      <c r="H30" s="340"/>
      <c r="I30" s="340"/>
      <c r="J30" s="308" t="e">
        <f>IF(AND('Mapa final'!#REF!="Baja",'Mapa final'!#REF!="Leve"),CONCATENATE("R",'Mapa final'!#REF!),"")</f>
        <v>#REF!</v>
      </c>
      <c r="K30" s="309"/>
      <c r="L30" s="309" t="str">
        <f>IF(AND('Mapa final'!$N$13="Baja",'Mapa final'!$R$13="Leve"),CONCATENATE("R",'Mapa final'!$A$13),"")</f>
        <v/>
      </c>
      <c r="M30" s="309"/>
      <c r="N30" s="309" t="e">
        <f>IF(AND('Mapa final'!#REF!="Baja",'Mapa final'!#REF!="Leve"),CONCATENATE("R",'Mapa final'!#REF!),"")</f>
        <v>#REF!</v>
      </c>
      <c r="O30" s="310"/>
      <c r="P30" s="318" t="e">
        <f>IF(AND('Mapa final'!#REF!="Baja",'Mapa final'!#REF!="Menor"),CONCATENATE("R",'Mapa final'!#REF!),"")</f>
        <v>#REF!</v>
      </c>
      <c r="Q30" s="318"/>
      <c r="R30" s="318" t="str">
        <f>IF(AND('Mapa final'!$N$13="Baja",'Mapa final'!$R$13="Menor"),CONCATENATE("R",'Mapa final'!$A$13),"")</f>
        <v/>
      </c>
      <c r="S30" s="318"/>
      <c r="T30" s="318" t="e">
        <f>IF(AND('Mapa final'!#REF!="Baja",'Mapa final'!#REF!="Menor"),CONCATENATE("R",'Mapa final'!#REF!),"")</f>
        <v>#REF!</v>
      </c>
      <c r="U30" s="319"/>
      <c r="V30" s="317" t="e">
        <f>IF(AND('Mapa final'!#REF!="Baja",'Mapa final'!#REF!="Moderado"),CONCATENATE("R",'Mapa final'!#REF!),"")</f>
        <v>#REF!</v>
      </c>
      <c r="W30" s="318"/>
      <c r="X30" s="318" t="str">
        <f>IF(AND('Mapa final'!$N$13="Baja",'Mapa final'!$R$13="Moderado"),CONCATENATE("R",'Mapa final'!$A$13),"")</f>
        <v/>
      </c>
      <c r="Y30" s="318"/>
      <c r="Z30" s="318" t="e">
        <f>IF(AND('Mapa final'!#REF!="Baja",'Mapa final'!#REF!="Moderado"),CONCATENATE("R",'Mapa final'!#REF!),"")</f>
        <v>#REF!</v>
      </c>
      <c r="AA30" s="319"/>
      <c r="AB30" s="335" t="e">
        <f>IF(AND('Mapa final'!#REF!="Baja",'Mapa final'!#REF!="Mayor"),CONCATENATE("R",'Mapa final'!#REF!),"")</f>
        <v>#REF!</v>
      </c>
      <c r="AC30" s="336"/>
      <c r="AD30" s="336" t="str">
        <f>IF(AND('Mapa final'!$N$13="Baja",'Mapa final'!$R$13="Mayor"),CONCATENATE("R",'Mapa final'!$A$13),"")</f>
        <v/>
      </c>
      <c r="AE30" s="336"/>
      <c r="AF30" s="336" t="e">
        <f>IF(AND('Mapa final'!#REF!="Baja",'Mapa final'!#REF!="Mayor"),CONCATENATE("R",'Mapa final'!#REF!),"")</f>
        <v>#REF!</v>
      </c>
      <c r="AG30" s="337"/>
      <c r="AH30" s="326" t="e">
        <f>IF(AND('Mapa final'!#REF!="Baja",'Mapa final'!#REF!="Catastrófico"),CONCATENATE("R",'Mapa final'!#REF!),"")</f>
        <v>#REF!</v>
      </c>
      <c r="AI30" s="327"/>
      <c r="AJ30" s="327" t="str">
        <f>IF(AND('Mapa final'!$N$13="Baja",'Mapa final'!$R$13="Catastrófico"),CONCATENATE("R",'Mapa final'!$A$13),"")</f>
        <v/>
      </c>
      <c r="AK30" s="327"/>
      <c r="AL30" s="327" t="e">
        <f>IF(AND('Mapa final'!#REF!="Baja",'Mapa final'!#REF!="Catastrófico"),CONCATENATE("R",'Mapa final'!#REF!),"")</f>
        <v>#REF!</v>
      </c>
      <c r="AM30" s="328"/>
      <c r="AN30" s="75"/>
      <c r="AO30" s="378" t="s">
        <v>252</v>
      </c>
      <c r="AP30" s="379"/>
      <c r="AQ30" s="379"/>
      <c r="AR30" s="379"/>
      <c r="AS30" s="379"/>
      <c r="AT30" s="380"/>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25">
      <c r="A31" s="75"/>
      <c r="B31" s="349"/>
      <c r="C31" s="349"/>
      <c r="D31" s="350"/>
      <c r="E31" s="342"/>
      <c r="F31" s="343"/>
      <c r="G31" s="343"/>
      <c r="H31" s="343"/>
      <c r="I31" s="343"/>
      <c r="J31" s="302"/>
      <c r="K31" s="303"/>
      <c r="L31" s="303"/>
      <c r="M31" s="303"/>
      <c r="N31" s="303"/>
      <c r="O31" s="304"/>
      <c r="P31" s="312"/>
      <c r="Q31" s="312"/>
      <c r="R31" s="312"/>
      <c r="S31" s="312"/>
      <c r="T31" s="312"/>
      <c r="U31" s="313"/>
      <c r="V31" s="311"/>
      <c r="W31" s="312"/>
      <c r="X31" s="312"/>
      <c r="Y31" s="312"/>
      <c r="Z31" s="312"/>
      <c r="AA31" s="313"/>
      <c r="AB31" s="329"/>
      <c r="AC31" s="330"/>
      <c r="AD31" s="330"/>
      <c r="AE31" s="330"/>
      <c r="AF31" s="330"/>
      <c r="AG31" s="331"/>
      <c r="AH31" s="320"/>
      <c r="AI31" s="321"/>
      <c r="AJ31" s="321"/>
      <c r="AK31" s="321"/>
      <c r="AL31" s="321"/>
      <c r="AM31" s="322"/>
      <c r="AN31" s="75"/>
      <c r="AO31" s="381"/>
      <c r="AP31" s="382"/>
      <c r="AQ31" s="382"/>
      <c r="AR31" s="382"/>
      <c r="AS31" s="382"/>
      <c r="AT31" s="383"/>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25">
      <c r="A32" s="75"/>
      <c r="B32" s="349"/>
      <c r="C32" s="349"/>
      <c r="D32" s="350"/>
      <c r="E32" s="342"/>
      <c r="F32" s="343"/>
      <c r="G32" s="343"/>
      <c r="H32" s="343"/>
      <c r="I32" s="343"/>
      <c r="J32" s="302" t="e">
        <f>IF(AND('Mapa final'!#REF!="Baja",'Mapa final'!#REF!="Leve"),CONCATENATE("R",'Mapa final'!#REF!),"")</f>
        <v>#REF!</v>
      </c>
      <c r="K32" s="303"/>
      <c r="L32" s="303" t="e">
        <f>IF(AND('Mapa final'!#REF!="Baja",'Mapa final'!#REF!="Leve"),CONCATENATE("R",'Mapa final'!#REF!),"")</f>
        <v>#REF!</v>
      </c>
      <c r="M32" s="303"/>
      <c r="N32" s="303" t="e">
        <f>IF(AND('Mapa final'!#REF!="Baja",'Mapa final'!#REF!="Leve"),CONCATENATE("R",'Mapa final'!#REF!),"")</f>
        <v>#REF!</v>
      </c>
      <c r="O32" s="304"/>
      <c r="P32" s="312" t="e">
        <f>IF(AND('Mapa final'!#REF!="Baja",'Mapa final'!#REF!="Menor"),CONCATENATE("R",'Mapa final'!#REF!),"")</f>
        <v>#REF!</v>
      </c>
      <c r="Q32" s="312"/>
      <c r="R32" s="312" t="e">
        <f>IF(AND('Mapa final'!#REF!="Baja",'Mapa final'!#REF!="Menor"),CONCATENATE("R",'Mapa final'!#REF!),"")</f>
        <v>#REF!</v>
      </c>
      <c r="S32" s="312"/>
      <c r="T32" s="312" t="e">
        <f>IF(AND('Mapa final'!#REF!="Baja",'Mapa final'!#REF!="Menor"),CONCATENATE("R",'Mapa final'!#REF!),"")</f>
        <v>#REF!</v>
      </c>
      <c r="U32" s="313"/>
      <c r="V32" s="311" t="e">
        <f>IF(AND('Mapa final'!#REF!="Baja",'Mapa final'!#REF!="Moderado"),CONCATENATE("R",'Mapa final'!#REF!),"")</f>
        <v>#REF!</v>
      </c>
      <c r="W32" s="312"/>
      <c r="X32" s="312" t="e">
        <f>IF(AND('Mapa final'!#REF!="Baja",'Mapa final'!#REF!="Moderado"),CONCATENATE("R",'Mapa final'!#REF!),"")</f>
        <v>#REF!</v>
      </c>
      <c r="Y32" s="312"/>
      <c r="Z32" s="312" t="e">
        <f>IF(AND('Mapa final'!#REF!="Baja",'Mapa final'!#REF!="Moderado"),CONCATENATE("R",'Mapa final'!#REF!),"")</f>
        <v>#REF!</v>
      </c>
      <c r="AA32" s="313"/>
      <c r="AB32" s="329" t="e">
        <f>IF(AND('Mapa final'!#REF!="Baja",'Mapa final'!#REF!="Mayor"),CONCATENATE("R",'Mapa final'!#REF!),"")</f>
        <v>#REF!</v>
      </c>
      <c r="AC32" s="330"/>
      <c r="AD32" s="330" t="e">
        <f>IF(AND('Mapa final'!#REF!="Baja",'Mapa final'!#REF!="Mayor"),CONCATENATE("R",'Mapa final'!#REF!),"")</f>
        <v>#REF!</v>
      </c>
      <c r="AE32" s="330"/>
      <c r="AF32" s="330" t="e">
        <f>IF(AND('Mapa final'!#REF!="Baja",'Mapa final'!#REF!="Mayor"),CONCATENATE("R",'Mapa final'!#REF!),"")</f>
        <v>#REF!</v>
      </c>
      <c r="AG32" s="331"/>
      <c r="AH32" s="320" t="e">
        <f>IF(AND('Mapa final'!#REF!="Baja",'Mapa final'!#REF!="Catastrófico"),CONCATENATE("R",'Mapa final'!#REF!),"")</f>
        <v>#REF!</v>
      </c>
      <c r="AI32" s="321"/>
      <c r="AJ32" s="321" t="e">
        <f>IF(AND('Mapa final'!#REF!="Baja",'Mapa final'!#REF!="Catastrófico"),CONCATENATE("R",'Mapa final'!#REF!),"")</f>
        <v>#REF!</v>
      </c>
      <c r="AK32" s="321"/>
      <c r="AL32" s="321" t="e">
        <f>IF(AND('Mapa final'!#REF!="Baja",'Mapa final'!#REF!="Catastrófico"),CONCATENATE("R",'Mapa final'!#REF!),"")</f>
        <v>#REF!</v>
      </c>
      <c r="AM32" s="322"/>
      <c r="AN32" s="75"/>
      <c r="AO32" s="381"/>
      <c r="AP32" s="382"/>
      <c r="AQ32" s="382"/>
      <c r="AR32" s="382"/>
      <c r="AS32" s="382"/>
      <c r="AT32" s="383"/>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25">
      <c r="A33" s="75"/>
      <c r="B33" s="349"/>
      <c r="C33" s="349"/>
      <c r="D33" s="350"/>
      <c r="E33" s="342"/>
      <c r="F33" s="343"/>
      <c r="G33" s="343"/>
      <c r="H33" s="343"/>
      <c r="I33" s="343"/>
      <c r="J33" s="302"/>
      <c r="K33" s="303"/>
      <c r="L33" s="303"/>
      <c r="M33" s="303"/>
      <c r="N33" s="303"/>
      <c r="O33" s="304"/>
      <c r="P33" s="312"/>
      <c r="Q33" s="312"/>
      <c r="R33" s="312"/>
      <c r="S33" s="312"/>
      <c r="T33" s="312"/>
      <c r="U33" s="313"/>
      <c r="V33" s="311"/>
      <c r="W33" s="312"/>
      <c r="X33" s="312"/>
      <c r="Y33" s="312"/>
      <c r="Z33" s="312"/>
      <c r="AA33" s="313"/>
      <c r="AB33" s="329"/>
      <c r="AC33" s="330"/>
      <c r="AD33" s="330"/>
      <c r="AE33" s="330"/>
      <c r="AF33" s="330"/>
      <c r="AG33" s="331"/>
      <c r="AH33" s="320"/>
      <c r="AI33" s="321"/>
      <c r="AJ33" s="321"/>
      <c r="AK33" s="321"/>
      <c r="AL33" s="321"/>
      <c r="AM33" s="322"/>
      <c r="AN33" s="75"/>
      <c r="AO33" s="381"/>
      <c r="AP33" s="382"/>
      <c r="AQ33" s="382"/>
      <c r="AR33" s="382"/>
      <c r="AS33" s="382"/>
      <c r="AT33" s="383"/>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25">
      <c r="A34" s="75"/>
      <c r="B34" s="349"/>
      <c r="C34" s="349"/>
      <c r="D34" s="350"/>
      <c r="E34" s="342"/>
      <c r="F34" s="343"/>
      <c r="G34" s="343"/>
      <c r="H34" s="343"/>
      <c r="I34" s="343"/>
      <c r="J34" s="302" t="e">
        <f>IF(AND('Mapa final'!#REF!="Baja",'Mapa final'!#REF!="Leve"),CONCATENATE("R",'Mapa final'!#REF!),"")</f>
        <v>#REF!</v>
      </c>
      <c r="K34" s="303"/>
      <c r="L34" s="303" t="e">
        <f>IF(AND('Mapa final'!#REF!="Baja",'Mapa final'!#REF!="Leve"),CONCATENATE("R",'Mapa final'!#REF!),"")</f>
        <v>#REF!</v>
      </c>
      <c r="M34" s="303"/>
      <c r="N34" s="303" t="e">
        <f>IF(AND('Mapa final'!#REF!="Baja",'Mapa final'!#REF!="Leve"),CONCATENATE("R",'Mapa final'!#REF!),"")</f>
        <v>#REF!</v>
      </c>
      <c r="O34" s="304"/>
      <c r="P34" s="312" t="e">
        <f>IF(AND('Mapa final'!#REF!="Baja",'Mapa final'!#REF!="Menor"),CONCATENATE("R",'Mapa final'!#REF!),"")</f>
        <v>#REF!</v>
      </c>
      <c r="Q34" s="312"/>
      <c r="R34" s="312" t="e">
        <f>IF(AND('Mapa final'!#REF!="Baja",'Mapa final'!#REF!="Menor"),CONCATENATE("R",'Mapa final'!#REF!),"")</f>
        <v>#REF!</v>
      </c>
      <c r="S34" s="312"/>
      <c r="T34" s="312" t="e">
        <f>IF(AND('Mapa final'!#REF!="Baja",'Mapa final'!#REF!="Menor"),CONCATENATE("R",'Mapa final'!#REF!),"")</f>
        <v>#REF!</v>
      </c>
      <c r="U34" s="313"/>
      <c r="V34" s="311" t="e">
        <f>IF(AND('Mapa final'!#REF!="Baja",'Mapa final'!#REF!="Moderado"),CONCATENATE("R",'Mapa final'!#REF!),"")</f>
        <v>#REF!</v>
      </c>
      <c r="W34" s="312"/>
      <c r="X34" s="312" t="e">
        <f>IF(AND('Mapa final'!#REF!="Baja",'Mapa final'!#REF!="Moderado"),CONCATENATE("R",'Mapa final'!#REF!),"")</f>
        <v>#REF!</v>
      </c>
      <c r="Y34" s="312"/>
      <c r="Z34" s="312" t="e">
        <f>IF(AND('Mapa final'!#REF!="Baja",'Mapa final'!#REF!="Moderado"),CONCATENATE("R",'Mapa final'!#REF!),"")</f>
        <v>#REF!</v>
      </c>
      <c r="AA34" s="313"/>
      <c r="AB34" s="329" t="e">
        <f>IF(AND('Mapa final'!#REF!="Baja",'Mapa final'!#REF!="Mayor"),CONCATENATE("R",'Mapa final'!#REF!),"")</f>
        <v>#REF!</v>
      </c>
      <c r="AC34" s="330"/>
      <c r="AD34" s="330" t="e">
        <f>IF(AND('Mapa final'!#REF!="Baja",'Mapa final'!#REF!="Mayor"),CONCATENATE("R",'Mapa final'!#REF!),"")</f>
        <v>#REF!</v>
      </c>
      <c r="AE34" s="330"/>
      <c r="AF34" s="330" t="e">
        <f>IF(AND('Mapa final'!#REF!="Baja",'Mapa final'!#REF!="Mayor"),CONCATENATE("R",'Mapa final'!#REF!),"")</f>
        <v>#REF!</v>
      </c>
      <c r="AG34" s="331"/>
      <c r="AH34" s="320" t="e">
        <f>IF(AND('Mapa final'!#REF!="Baja",'Mapa final'!#REF!="Catastrófico"),CONCATENATE("R",'Mapa final'!#REF!),"")</f>
        <v>#REF!</v>
      </c>
      <c r="AI34" s="321"/>
      <c r="AJ34" s="321" t="e">
        <f>IF(AND('Mapa final'!#REF!="Baja",'Mapa final'!#REF!="Catastrófico"),CONCATENATE("R",'Mapa final'!#REF!),"")</f>
        <v>#REF!</v>
      </c>
      <c r="AK34" s="321"/>
      <c r="AL34" s="321" t="e">
        <f>IF(AND('Mapa final'!#REF!="Baja",'Mapa final'!#REF!="Catastrófico"),CONCATENATE("R",'Mapa final'!#REF!),"")</f>
        <v>#REF!</v>
      </c>
      <c r="AM34" s="322"/>
      <c r="AN34" s="75"/>
      <c r="AO34" s="381"/>
      <c r="AP34" s="382"/>
      <c r="AQ34" s="382"/>
      <c r="AR34" s="382"/>
      <c r="AS34" s="382"/>
      <c r="AT34" s="383"/>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25">
      <c r="A35" s="75"/>
      <c r="B35" s="349"/>
      <c r="C35" s="349"/>
      <c r="D35" s="350"/>
      <c r="E35" s="342"/>
      <c r="F35" s="343"/>
      <c r="G35" s="343"/>
      <c r="H35" s="343"/>
      <c r="I35" s="343"/>
      <c r="J35" s="302"/>
      <c r="K35" s="303"/>
      <c r="L35" s="303"/>
      <c r="M35" s="303"/>
      <c r="N35" s="303"/>
      <c r="O35" s="304"/>
      <c r="P35" s="312"/>
      <c r="Q35" s="312"/>
      <c r="R35" s="312"/>
      <c r="S35" s="312"/>
      <c r="T35" s="312"/>
      <c r="U35" s="313"/>
      <c r="V35" s="311"/>
      <c r="W35" s="312"/>
      <c r="X35" s="312"/>
      <c r="Y35" s="312"/>
      <c r="Z35" s="312"/>
      <c r="AA35" s="313"/>
      <c r="AB35" s="329"/>
      <c r="AC35" s="330"/>
      <c r="AD35" s="330"/>
      <c r="AE35" s="330"/>
      <c r="AF35" s="330"/>
      <c r="AG35" s="331"/>
      <c r="AH35" s="320"/>
      <c r="AI35" s="321"/>
      <c r="AJ35" s="321"/>
      <c r="AK35" s="321"/>
      <c r="AL35" s="321"/>
      <c r="AM35" s="322"/>
      <c r="AN35" s="75"/>
      <c r="AO35" s="381"/>
      <c r="AP35" s="382"/>
      <c r="AQ35" s="382"/>
      <c r="AR35" s="382"/>
      <c r="AS35" s="382"/>
      <c r="AT35" s="383"/>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25">
      <c r="A36" s="75"/>
      <c r="B36" s="349"/>
      <c r="C36" s="349"/>
      <c r="D36" s="350"/>
      <c r="E36" s="342"/>
      <c r="F36" s="343"/>
      <c r="G36" s="343"/>
      <c r="H36" s="343"/>
      <c r="I36" s="343"/>
      <c r="J36" s="302" t="e">
        <f>IF(AND('Mapa final'!#REF!="Baja",'Mapa final'!#REF!="Leve"),CONCATENATE("R",'Mapa final'!#REF!),"")</f>
        <v>#REF!</v>
      </c>
      <c r="K36" s="303"/>
      <c r="L36" s="303" t="str">
        <f>IF(AND('Mapa final'!$N$27="Baja",'Mapa final'!$R$27="Leve"),CONCATENATE("R",'Mapa final'!$A$27),"")</f>
        <v/>
      </c>
      <c r="M36" s="303"/>
      <c r="N36" s="303" t="e">
        <f>IF(AND('Mapa final'!#REF!="Baja",'Mapa final'!#REF!="Leve"),CONCATENATE("R",'Mapa final'!#REF!),"")</f>
        <v>#REF!</v>
      </c>
      <c r="O36" s="304"/>
      <c r="P36" s="312" t="e">
        <f>IF(AND('Mapa final'!#REF!="Baja",'Mapa final'!#REF!="Menor"),CONCATENATE("R",'Mapa final'!#REF!),"")</f>
        <v>#REF!</v>
      </c>
      <c r="Q36" s="312"/>
      <c r="R36" s="312" t="str">
        <f>IF(AND('Mapa final'!$N$27="Baja",'Mapa final'!$R$27="Menor"),CONCATENATE("R",'Mapa final'!$A$27),"")</f>
        <v/>
      </c>
      <c r="S36" s="312"/>
      <c r="T36" s="312" t="e">
        <f>IF(AND('Mapa final'!#REF!="Baja",'Mapa final'!#REF!="Menor"),CONCATENATE("R",'Mapa final'!#REF!),"")</f>
        <v>#REF!</v>
      </c>
      <c r="U36" s="313"/>
      <c r="V36" s="311" t="e">
        <f>IF(AND('Mapa final'!#REF!="Baja",'Mapa final'!#REF!="Moderado"),CONCATENATE("R",'Mapa final'!#REF!),"")</f>
        <v>#REF!</v>
      </c>
      <c r="W36" s="312"/>
      <c r="X36" s="312" t="str">
        <f>IF(AND('Mapa final'!$N$27="Baja",'Mapa final'!$R$27="Moderado"),CONCATENATE("R",'Mapa final'!$A$27),"")</f>
        <v/>
      </c>
      <c r="Y36" s="312"/>
      <c r="Z36" s="312" t="e">
        <f>IF(AND('Mapa final'!#REF!="Baja",'Mapa final'!#REF!="Moderado"),CONCATENATE("R",'Mapa final'!#REF!),"")</f>
        <v>#REF!</v>
      </c>
      <c r="AA36" s="313"/>
      <c r="AB36" s="329" t="e">
        <f>IF(AND('Mapa final'!#REF!="Baja",'Mapa final'!#REF!="Mayor"),CONCATENATE("R",'Mapa final'!#REF!),"")</f>
        <v>#REF!</v>
      </c>
      <c r="AC36" s="330"/>
      <c r="AD36" s="330" t="str">
        <f>IF(AND('Mapa final'!$N$27="Baja",'Mapa final'!$R$27="Mayor"),CONCATENATE("R",'Mapa final'!$A$27),"")</f>
        <v/>
      </c>
      <c r="AE36" s="330"/>
      <c r="AF36" s="330" t="e">
        <f>IF(AND('Mapa final'!#REF!="Baja",'Mapa final'!#REF!="Mayor"),CONCATENATE("R",'Mapa final'!#REF!),"")</f>
        <v>#REF!</v>
      </c>
      <c r="AG36" s="331"/>
      <c r="AH36" s="320" t="e">
        <f>IF(AND('Mapa final'!#REF!="Baja",'Mapa final'!#REF!="Catastrófico"),CONCATENATE("R",'Mapa final'!#REF!),"")</f>
        <v>#REF!</v>
      </c>
      <c r="AI36" s="321"/>
      <c r="AJ36" s="321" t="str">
        <f>IF(AND('Mapa final'!$N$27="Baja",'Mapa final'!$R$27="Catastrófico"),CONCATENATE("R",'Mapa final'!$A$27),"")</f>
        <v/>
      </c>
      <c r="AK36" s="321"/>
      <c r="AL36" s="321" t="e">
        <f>IF(AND('Mapa final'!#REF!="Baja",'Mapa final'!#REF!="Catastrófico"),CONCATENATE("R",'Mapa final'!#REF!),"")</f>
        <v>#REF!</v>
      </c>
      <c r="AM36" s="322"/>
      <c r="AN36" s="75"/>
      <c r="AO36" s="381"/>
      <c r="AP36" s="382"/>
      <c r="AQ36" s="382"/>
      <c r="AR36" s="382"/>
      <c r="AS36" s="382"/>
      <c r="AT36" s="383"/>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75" thickBot="1" x14ac:dyDescent="0.3">
      <c r="A37" s="75"/>
      <c r="B37" s="349"/>
      <c r="C37" s="349"/>
      <c r="D37" s="350"/>
      <c r="E37" s="345"/>
      <c r="F37" s="346"/>
      <c r="G37" s="346"/>
      <c r="H37" s="346"/>
      <c r="I37" s="346"/>
      <c r="J37" s="305"/>
      <c r="K37" s="306"/>
      <c r="L37" s="306"/>
      <c r="M37" s="306"/>
      <c r="N37" s="306"/>
      <c r="O37" s="307"/>
      <c r="P37" s="315"/>
      <c r="Q37" s="315"/>
      <c r="R37" s="315"/>
      <c r="S37" s="315"/>
      <c r="T37" s="315"/>
      <c r="U37" s="316"/>
      <c r="V37" s="314"/>
      <c r="W37" s="315"/>
      <c r="X37" s="315"/>
      <c r="Y37" s="315"/>
      <c r="Z37" s="315"/>
      <c r="AA37" s="316"/>
      <c r="AB37" s="332"/>
      <c r="AC37" s="333"/>
      <c r="AD37" s="333"/>
      <c r="AE37" s="333"/>
      <c r="AF37" s="333"/>
      <c r="AG37" s="334"/>
      <c r="AH37" s="323"/>
      <c r="AI37" s="324"/>
      <c r="AJ37" s="324"/>
      <c r="AK37" s="324"/>
      <c r="AL37" s="324"/>
      <c r="AM37" s="325"/>
      <c r="AN37" s="75"/>
      <c r="AO37" s="384"/>
      <c r="AP37" s="385"/>
      <c r="AQ37" s="385"/>
      <c r="AR37" s="385"/>
      <c r="AS37" s="385"/>
      <c r="AT37" s="386"/>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25">
      <c r="A38" s="75"/>
      <c r="B38" s="349"/>
      <c r="C38" s="349"/>
      <c r="D38" s="350"/>
      <c r="E38" s="339" t="s">
        <v>253</v>
      </c>
      <c r="F38" s="340"/>
      <c r="G38" s="340"/>
      <c r="H38" s="340"/>
      <c r="I38" s="341"/>
      <c r="J38" s="308" t="e">
        <f>IF(AND('Mapa final'!#REF!="Muy Baja",'Mapa final'!#REF!="Leve"),CONCATENATE("R",'Mapa final'!#REF!),"")</f>
        <v>#REF!</v>
      </c>
      <c r="K38" s="309"/>
      <c r="L38" s="309" t="str">
        <f>IF(AND('Mapa final'!$N$13="Muy Baja",'Mapa final'!$R$13="Leve"),CONCATENATE("R",'Mapa final'!$A$13),"")</f>
        <v/>
      </c>
      <c r="M38" s="309"/>
      <c r="N38" s="309" t="e">
        <f>IF(AND('Mapa final'!#REF!="Muy Baja",'Mapa final'!#REF!="Leve"),CONCATENATE("R",'Mapa final'!#REF!),"")</f>
        <v>#REF!</v>
      </c>
      <c r="O38" s="310"/>
      <c r="P38" s="308" t="e">
        <f>IF(AND('Mapa final'!#REF!="Muy Baja",'Mapa final'!#REF!="Menor"),CONCATENATE("R",'Mapa final'!#REF!),"")</f>
        <v>#REF!</v>
      </c>
      <c r="Q38" s="309"/>
      <c r="R38" s="309" t="str">
        <f>IF(AND('Mapa final'!$N$13="Muy Baja",'Mapa final'!$R$13="Menor"),CONCATENATE("R",'Mapa final'!$A$13),"")</f>
        <v/>
      </c>
      <c r="S38" s="309"/>
      <c r="T38" s="309" t="e">
        <f>IF(AND('Mapa final'!#REF!="Muy Baja",'Mapa final'!#REF!="Menor"),CONCATENATE("R",'Mapa final'!#REF!),"")</f>
        <v>#REF!</v>
      </c>
      <c r="U38" s="310"/>
      <c r="V38" s="317" t="e">
        <f>IF(AND('Mapa final'!#REF!="Muy Baja",'Mapa final'!#REF!="Moderado"),CONCATENATE("R",'Mapa final'!#REF!),"")</f>
        <v>#REF!</v>
      </c>
      <c r="W38" s="318"/>
      <c r="X38" s="318" t="str">
        <f>IF(AND('Mapa final'!$N$13="Muy Baja",'Mapa final'!$R$13="Moderado"),CONCATENATE("R",'Mapa final'!$A$13),"")</f>
        <v>R1</v>
      </c>
      <c r="Y38" s="318"/>
      <c r="Z38" s="318" t="e">
        <f>IF(AND('Mapa final'!#REF!="Muy Baja",'Mapa final'!#REF!="Moderado"),CONCATENATE("R",'Mapa final'!#REF!),"")</f>
        <v>#REF!</v>
      </c>
      <c r="AA38" s="319"/>
      <c r="AB38" s="335" t="e">
        <f>IF(AND('Mapa final'!#REF!="Muy Baja",'Mapa final'!#REF!="Mayor"),CONCATENATE("R",'Mapa final'!#REF!),"")</f>
        <v>#REF!</v>
      </c>
      <c r="AC38" s="336"/>
      <c r="AD38" s="336" t="str">
        <f>IF(AND('Mapa final'!$N$13="Muy Baja",'Mapa final'!$R$13="Mayor"),CONCATENATE("R",'Mapa final'!$A$13),"")</f>
        <v/>
      </c>
      <c r="AE38" s="336"/>
      <c r="AF38" s="336" t="e">
        <f>IF(AND('Mapa final'!#REF!="Muy Baja",'Mapa final'!#REF!="Mayor"),CONCATENATE("R",'Mapa final'!#REF!),"")</f>
        <v>#REF!</v>
      </c>
      <c r="AG38" s="337"/>
      <c r="AH38" s="326" t="e">
        <f>IF(AND('Mapa final'!#REF!="Muy Baja",'Mapa final'!#REF!="Catastrófico"),CONCATENATE("R",'Mapa final'!#REF!),"")</f>
        <v>#REF!</v>
      </c>
      <c r="AI38" s="327"/>
      <c r="AJ38" s="327" t="str">
        <f>IF(AND('Mapa final'!$N$13="Muy Baja",'Mapa final'!$R$13="Catastrófico"),CONCATENATE("R",'Mapa final'!$A$13),"")</f>
        <v/>
      </c>
      <c r="AK38" s="327"/>
      <c r="AL38" s="327" t="e">
        <f>IF(AND('Mapa final'!#REF!="Muy Baja",'Mapa final'!#REF!="Catastrófico"),CONCATENATE("R",'Mapa final'!#REF!),"")</f>
        <v>#REF!</v>
      </c>
      <c r="AM38" s="328"/>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25">
      <c r="A39" s="75"/>
      <c r="B39" s="349"/>
      <c r="C39" s="349"/>
      <c r="D39" s="350"/>
      <c r="E39" s="342"/>
      <c r="F39" s="343"/>
      <c r="G39" s="343"/>
      <c r="H39" s="343"/>
      <c r="I39" s="344"/>
      <c r="J39" s="302"/>
      <c r="K39" s="303"/>
      <c r="L39" s="303"/>
      <c r="M39" s="303"/>
      <c r="N39" s="303"/>
      <c r="O39" s="304"/>
      <c r="P39" s="302"/>
      <c r="Q39" s="303"/>
      <c r="R39" s="303"/>
      <c r="S39" s="303"/>
      <c r="T39" s="303"/>
      <c r="U39" s="304"/>
      <c r="V39" s="311"/>
      <c r="W39" s="312"/>
      <c r="X39" s="312"/>
      <c r="Y39" s="312"/>
      <c r="Z39" s="312"/>
      <c r="AA39" s="313"/>
      <c r="AB39" s="329"/>
      <c r="AC39" s="330"/>
      <c r="AD39" s="330"/>
      <c r="AE39" s="330"/>
      <c r="AF39" s="330"/>
      <c r="AG39" s="331"/>
      <c r="AH39" s="320"/>
      <c r="AI39" s="321"/>
      <c r="AJ39" s="321"/>
      <c r="AK39" s="321"/>
      <c r="AL39" s="321"/>
      <c r="AM39" s="322"/>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25">
      <c r="A40" s="75"/>
      <c r="B40" s="349"/>
      <c r="C40" s="349"/>
      <c r="D40" s="350"/>
      <c r="E40" s="342"/>
      <c r="F40" s="343"/>
      <c r="G40" s="343"/>
      <c r="H40" s="343"/>
      <c r="I40" s="344"/>
      <c r="J40" s="302" t="e">
        <f>IF(AND('Mapa final'!#REF!="Muy Baja",'Mapa final'!#REF!="Leve"),CONCATENATE("R",'Mapa final'!#REF!),"")</f>
        <v>#REF!</v>
      </c>
      <c r="K40" s="303"/>
      <c r="L40" s="303" t="e">
        <f>IF(AND('Mapa final'!#REF!="Muy Baja",'Mapa final'!#REF!="Leve"),CONCATENATE("R",'Mapa final'!#REF!),"")</f>
        <v>#REF!</v>
      </c>
      <c r="M40" s="303"/>
      <c r="N40" s="303" t="e">
        <f>IF(AND('Mapa final'!#REF!="Muy Baja",'Mapa final'!#REF!="Leve"),CONCATENATE("R",'Mapa final'!#REF!),"")</f>
        <v>#REF!</v>
      </c>
      <c r="O40" s="304"/>
      <c r="P40" s="302" t="e">
        <f>IF(AND('Mapa final'!#REF!="Muy Baja",'Mapa final'!#REF!="Menor"),CONCATENATE("R",'Mapa final'!#REF!),"")</f>
        <v>#REF!</v>
      </c>
      <c r="Q40" s="303"/>
      <c r="R40" s="303" t="e">
        <f>IF(AND('Mapa final'!#REF!="Muy Baja",'Mapa final'!#REF!="Menor"),CONCATENATE("R",'Mapa final'!#REF!),"")</f>
        <v>#REF!</v>
      </c>
      <c r="S40" s="303"/>
      <c r="T40" s="303" t="e">
        <f>IF(AND('Mapa final'!#REF!="Muy Baja",'Mapa final'!#REF!="Menor"),CONCATENATE("R",'Mapa final'!#REF!),"")</f>
        <v>#REF!</v>
      </c>
      <c r="U40" s="304"/>
      <c r="V40" s="311" t="e">
        <f>IF(AND('Mapa final'!#REF!="Muy Baja",'Mapa final'!#REF!="Moderado"),CONCATENATE("R",'Mapa final'!#REF!),"")</f>
        <v>#REF!</v>
      </c>
      <c r="W40" s="312"/>
      <c r="X40" s="312" t="e">
        <f>IF(AND('Mapa final'!#REF!="Muy Baja",'Mapa final'!#REF!="Moderado"),CONCATENATE("R",'Mapa final'!#REF!),"")</f>
        <v>#REF!</v>
      </c>
      <c r="Y40" s="312"/>
      <c r="Z40" s="312" t="e">
        <f>IF(AND('Mapa final'!#REF!="Muy Baja",'Mapa final'!#REF!="Moderado"),CONCATENATE("R",'Mapa final'!#REF!),"")</f>
        <v>#REF!</v>
      </c>
      <c r="AA40" s="313"/>
      <c r="AB40" s="329" t="e">
        <f>IF(AND('Mapa final'!#REF!="Muy Baja",'Mapa final'!#REF!="Mayor"),CONCATENATE("R",'Mapa final'!#REF!),"")</f>
        <v>#REF!</v>
      </c>
      <c r="AC40" s="330"/>
      <c r="AD40" s="330" t="e">
        <f>IF(AND('Mapa final'!#REF!="Muy Baja",'Mapa final'!#REF!="Mayor"),CONCATENATE("R",'Mapa final'!#REF!),"")</f>
        <v>#REF!</v>
      </c>
      <c r="AE40" s="330"/>
      <c r="AF40" s="330" t="e">
        <f>IF(AND('Mapa final'!#REF!="Muy Baja",'Mapa final'!#REF!="Mayor"),CONCATENATE("R",'Mapa final'!#REF!),"")</f>
        <v>#REF!</v>
      </c>
      <c r="AG40" s="331"/>
      <c r="AH40" s="320" t="e">
        <f>IF(AND('Mapa final'!#REF!="Muy Baja",'Mapa final'!#REF!="Catastrófico"),CONCATENATE("R",'Mapa final'!#REF!),"")</f>
        <v>#REF!</v>
      </c>
      <c r="AI40" s="321"/>
      <c r="AJ40" s="321" t="e">
        <f>IF(AND('Mapa final'!#REF!="Muy Baja",'Mapa final'!#REF!="Catastrófico"),CONCATENATE("R",'Mapa final'!#REF!),"")</f>
        <v>#REF!</v>
      </c>
      <c r="AK40" s="321"/>
      <c r="AL40" s="321" t="e">
        <f>IF(AND('Mapa final'!#REF!="Muy Baja",'Mapa final'!#REF!="Catastrófico"),CONCATENATE("R",'Mapa final'!#REF!),"")</f>
        <v>#REF!</v>
      </c>
      <c r="AM40" s="322"/>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25">
      <c r="A41" s="75"/>
      <c r="B41" s="349"/>
      <c r="C41" s="349"/>
      <c r="D41" s="350"/>
      <c r="E41" s="342"/>
      <c r="F41" s="343"/>
      <c r="G41" s="343"/>
      <c r="H41" s="343"/>
      <c r="I41" s="344"/>
      <c r="J41" s="302"/>
      <c r="K41" s="303"/>
      <c r="L41" s="303"/>
      <c r="M41" s="303"/>
      <c r="N41" s="303"/>
      <c r="O41" s="304"/>
      <c r="P41" s="302"/>
      <c r="Q41" s="303"/>
      <c r="R41" s="303"/>
      <c r="S41" s="303"/>
      <c r="T41" s="303"/>
      <c r="U41" s="304"/>
      <c r="V41" s="311"/>
      <c r="W41" s="312"/>
      <c r="X41" s="312"/>
      <c r="Y41" s="312"/>
      <c r="Z41" s="312"/>
      <c r="AA41" s="313"/>
      <c r="AB41" s="329"/>
      <c r="AC41" s="330"/>
      <c r="AD41" s="330"/>
      <c r="AE41" s="330"/>
      <c r="AF41" s="330"/>
      <c r="AG41" s="331"/>
      <c r="AH41" s="320"/>
      <c r="AI41" s="321"/>
      <c r="AJ41" s="321"/>
      <c r="AK41" s="321"/>
      <c r="AL41" s="321"/>
      <c r="AM41" s="322"/>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25">
      <c r="A42" s="75"/>
      <c r="B42" s="349"/>
      <c r="C42" s="349"/>
      <c r="D42" s="350"/>
      <c r="E42" s="342"/>
      <c r="F42" s="343"/>
      <c r="G42" s="343"/>
      <c r="H42" s="343"/>
      <c r="I42" s="344"/>
      <c r="J42" s="302" t="e">
        <f>IF(AND('Mapa final'!#REF!="Muy Baja",'Mapa final'!#REF!="Leve"),CONCATENATE("R",'Mapa final'!#REF!),"")</f>
        <v>#REF!</v>
      </c>
      <c r="K42" s="303"/>
      <c r="L42" s="303" t="e">
        <f>IF(AND('Mapa final'!#REF!="Muy Baja",'Mapa final'!#REF!="Leve"),CONCATENATE("R",'Mapa final'!#REF!),"")</f>
        <v>#REF!</v>
      </c>
      <c r="M42" s="303"/>
      <c r="N42" s="303" t="e">
        <f>IF(AND('Mapa final'!#REF!="Muy Baja",'Mapa final'!#REF!="Leve"),CONCATENATE("R",'Mapa final'!#REF!),"")</f>
        <v>#REF!</v>
      </c>
      <c r="O42" s="304"/>
      <c r="P42" s="302" t="e">
        <f>IF(AND('Mapa final'!#REF!="Muy Baja",'Mapa final'!#REF!="Menor"),CONCATENATE("R",'Mapa final'!#REF!),"")</f>
        <v>#REF!</v>
      </c>
      <c r="Q42" s="303"/>
      <c r="R42" s="303" t="e">
        <f>IF(AND('Mapa final'!#REF!="Muy Baja",'Mapa final'!#REF!="Menor"),CONCATENATE("R",'Mapa final'!#REF!),"")</f>
        <v>#REF!</v>
      </c>
      <c r="S42" s="303"/>
      <c r="T42" s="303" t="e">
        <f>IF(AND('Mapa final'!#REF!="Muy Baja",'Mapa final'!#REF!="Menor"),CONCATENATE("R",'Mapa final'!#REF!),"")</f>
        <v>#REF!</v>
      </c>
      <c r="U42" s="304"/>
      <c r="V42" s="311" t="e">
        <f>IF(AND('Mapa final'!#REF!="Muy Baja",'Mapa final'!#REF!="Moderado"),CONCATENATE("R",'Mapa final'!#REF!),"")</f>
        <v>#REF!</v>
      </c>
      <c r="W42" s="312"/>
      <c r="X42" s="312" t="e">
        <f>IF(AND('Mapa final'!#REF!="Muy Baja",'Mapa final'!#REF!="Moderado"),CONCATENATE("R",'Mapa final'!#REF!),"")</f>
        <v>#REF!</v>
      </c>
      <c r="Y42" s="312"/>
      <c r="Z42" s="312" t="e">
        <f>IF(AND('Mapa final'!#REF!="Muy Baja",'Mapa final'!#REF!="Moderado"),CONCATENATE("R",'Mapa final'!#REF!),"")</f>
        <v>#REF!</v>
      </c>
      <c r="AA42" s="313"/>
      <c r="AB42" s="329" t="e">
        <f>IF(AND('Mapa final'!#REF!="Muy Baja",'Mapa final'!#REF!="Mayor"),CONCATENATE("R",'Mapa final'!#REF!),"")</f>
        <v>#REF!</v>
      </c>
      <c r="AC42" s="330"/>
      <c r="AD42" s="330" t="e">
        <f>IF(AND('Mapa final'!#REF!="Muy Baja",'Mapa final'!#REF!="Mayor"),CONCATENATE("R",'Mapa final'!#REF!),"")</f>
        <v>#REF!</v>
      </c>
      <c r="AE42" s="330"/>
      <c r="AF42" s="330" t="e">
        <f>IF(AND('Mapa final'!#REF!="Muy Baja",'Mapa final'!#REF!="Mayor"),CONCATENATE("R",'Mapa final'!#REF!),"")</f>
        <v>#REF!</v>
      </c>
      <c r="AG42" s="331"/>
      <c r="AH42" s="320" t="e">
        <f>IF(AND('Mapa final'!#REF!="Muy Baja",'Mapa final'!#REF!="Catastrófico"),CONCATENATE("R",'Mapa final'!#REF!),"")</f>
        <v>#REF!</v>
      </c>
      <c r="AI42" s="321"/>
      <c r="AJ42" s="321" t="e">
        <f>IF(AND('Mapa final'!#REF!="Muy Baja",'Mapa final'!#REF!="Catastrófico"),CONCATENATE("R",'Mapa final'!#REF!),"")</f>
        <v>#REF!</v>
      </c>
      <c r="AK42" s="321"/>
      <c r="AL42" s="321" t="e">
        <f>IF(AND('Mapa final'!#REF!="Muy Baja",'Mapa final'!#REF!="Catastrófico"),CONCATENATE("R",'Mapa final'!#REF!),"")</f>
        <v>#REF!</v>
      </c>
      <c r="AM42" s="322"/>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25">
      <c r="A43" s="75"/>
      <c r="B43" s="349"/>
      <c r="C43" s="349"/>
      <c r="D43" s="350"/>
      <c r="E43" s="342"/>
      <c r="F43" s="343"/>
      <c r="G43" s="343"/>
      <c r="H43" s="343"/>
      <c r="I43" s="344"/>
      <c r="J43" s="302"/>
      <c r="K43" s="303"/>
      <c r="L43" s="303"/>
      <c r="M43" s="303"/>
      <c r="N43" s="303"/>
      <c r="O43" s="304"/>
      <c r="P43" s="302"/>
      <c r="Q43" s="303"/>
      <c r="R43" s="303"/>
      <c r="S43" s="303"/>
      <c r="T43" s="303"/>
      <c r="U43" s="304"/>
      <c r="V43" s="311"/>
      <c r="W43" s="312"/>
      <c r="X43" s="312"/>
      <c r="Y43" s="312"/>
      <c r="Z43" s="312"/>
      <c r="AA43" s="313"/>
      <c r="AB43" s="329"/>
      <c r="AC43" s="330"/>
      <c r="AD43" s="330"/>
      <c r="AE43" s="330"/>
      <c r="AF43" s="330"/>
      <c r="AG43" s="331"/>
      <c r="AH43" s="320"/>
      <c r="AI43" s="321"/>
      <c r="AJ43" s="321"/>
      <c r="AK43" s="321"/>
      <c r="AL43" s="321"/>
      <c r="AM43" s="322"/>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25">
      <c r="A44" s="75"/>
      <c r="B44" s="349"/>
      <c r="C44" s="349"/>
      <c r="D44" s="350"/>
      <c r="E44" s="342"/>
      <c r="F44" s="343"/>
      <c r="G44" s="343"/>
      <c r="H44" s="343"/>
      <c r="I44" s="344"/>
      <c r="J44" s="302" t="e">
        <f>IF(AND('Mapa final'!#REF!="Muy Baja",'Mapa final'!#REF!="Leve"),CONCATENATE("R",'Mapa final'!#REF!),"")</f>
        <v>#REF!</v>
      </c>
      <c r="K44" s="303"/>
      <c r="L44" s="303" t="str">
        <f>IF(AND('Mapa final'!$N$27="Muy Baja",'Mapa final'!$R$27="Leve"),CONCATENATE("R",'Mapa final'!$A$27),"")</f>
        <v/>
      </c>
      <c r="M44" s="303"/>
      <c r="N44" s="303" t="e">
        <f>IF(AND('Mapa final'!#REF!="Muy Baja",'Mapa final'!#REF!="Leve"),CONCATENATE("R",'Mapa final'!#REF!),"")</f>
        <v>#REF!</v>
      </c>
      <c r="O44" s="304"/>
      <c r="P44" s="302" t="e">
        <f>IF(AND('Mapa final'!#REF!="Muy Baja",'Mapa final'!#REF!="Menor"),CONCATENATE("R",'Mapa final'!#REF!),"")</f>
        <v>#REF!</v>
      </c>
      <c r="Q44" s="303"/>
      <c r="R44" s="303" t="str">
        <f>IF(AND('Mapa final'!$N$27="Muy Baja",'Mapa final'!$R$27="Menor"),CONCATENATE("R",'Mapa final'!$A$27),"")</f>
        <v/>
      </c>
      <c r="S44" s="303"/>
      <c r="T44" s="303" t="e">
        <f>IF(AND('Mapa final'!#REF!="Muy Baja",'Mapa final'!#REF!="Menor"),CONCATENATE("R",'Mapa final'!#REF!),"")</f>
        <v>#REF!</v>
      </c>
      <c r="U44" s="304"/>
      <c r="V44" s="311" t="e">
        <f>IF(AND('Mapa final'!#REF!="Muy Baja",'Mapa final'!#REF!="Moderado"),CONCATENATE("R",'Mapa final'!#REF!),"")</f>
        <v>#REF!</v>
      </c>
      <c r="W44" s="312"/>
      <c r="X44" s="312" t="str">
        <f>IF(AND('Mapa final'!$N$27="Muy Baja",'Mapa final'!$R$27="Moderado"),CONCATENATE("R",'Mapa final'!$A$27),"")</f>
        <v/>
      </c>
      <c r="Y44" s="312"/>
      <c r="Z44" s="312" t="e">
        <f>IF(AND('Mapa final'!#REF!="Muy Baja",'Mapa final'!#REF!="Moderado"),CONCATENATE("R",'Mapa final'!#REF!),"")</f>
        <v>#REF!</v>
      </c>
      <c r="AA44" s="313"/>
      <c r="AB44" s="329" t="e">
        <f>IF(AND('Mapa final'!#REF!="Muy Baja",'Mapa final'!#REF!="Mayor"),CONCATENATE("R",'Mapa final'!#REF!),"")</f>
        <v>#REF!</v>
      </c>
      <c r="AC44" s="330"/>
      <c r="AD44" s="330" t="str">
        <f>IF(AND('Mapa final'!$N$27="Muy Baja",'Mapa final'!$R$27="Mayor"),CONCATENATE("R",'Mapa final'!$A$27),"")</f>
        <v/>
      </c>
      <c r="AE44" s="330"/>
      <c r="AF44" s="330" t="e">
        <f>IF(AND('Mapa final'!#REF!="Muy Baja",'Mapa final'!#REF!="Mayor"),CONCATENATE("R",'Mapa final'!#REF!),"")</f>
        <v>#REF!</v>
      </c>
      <c r="AG44" s="331"/>
      <c r="AH44" s="320" t="e">
        <f>IF(AND('Mapa final'!#REF!="Muy Baja",'Mapa final'!#REF!="Catastrófico"),CONCATENATE("R",'Mapa final'!#REF!),"")</f>
        <v>#REF!</v>
      </c>
      <c r="AI44" s="321"/>
      <c r="AJ44" s="321" t="str">
        <f>IF(AND('Mapa final'!$N$27="Muy Baja",'Mapa final'!$R$27="Catastrófico"),CONCATENATE("R",'Mapa final'!$A$27),"")</f>
        <v/>
      </c>
      <c r="AK44" s="321"/>
      <c r="AL44" s="321" t="e">
        <f>IF(AND('Mapa final'!#REF!="Muy Baja",'Mapa final'!#REF!="Catastrófico"),CONCATENATE("R",'Mapa final'!#REF!),"")</f>
        <v>#REF!</v>
      </c>
      <c r="AM44" s="322"/>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75" thickBot="1" x14ac:dyDescent="0.3">
      <c r="A45" s="75"/>
      <c r="B45" s="349"/>
      <c r="C45" s="349"/>
      <c r="D45" s="350"/>
      <c r="E45" s="345"/>
      <c r="F45" s="346"/>
      <c r="G45" s="346"/>
      <c r="H45" s="346"/>
      <c r="I45" s="347"/>
      <c r="J45" s="305"/>
      <c r="K45" s="306"/>
      <c r="L45" s="306"/>
      <c r="M45" s="306"/>
      <c r="N45" s="306"/>
      <c r="O45" s="307"/>
      <c r="P45" s="305"/>
      <c r="Q45" s="306"/>
      <c r="R45" s="306"/>
      <c r="S45" s="306"/>
      <c r="T45" s="306"/>
      <c r="U45" s="307"/>
      <c r="V45" s="314"/>
      <c r="W45" s="315"/>
      <c r="X45" s="315"/>
      <c r="Y45" s="315"/>
      <c r="Z45" s="315"/>
      <c r="AA45" s="316"/>
      <c r="AB45" s="332"/>
      <c r="AC45" s="333"/>
      <c r="AD45" s="333"/>
      <c r="AE45" s="333"/>
      <c r="AF45" s="333"/>
      <c r="AG45" s="334"/>
      <c r="AH45" s="323"/>
      <c r="AI45" s="324"/>
      <c r="AJ45" s="324"/>
      <c r="AK45" s="324"/>
      <c r="AL45" s="324"/>
      <c r="AM45" s="32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25">
      <c r="A46" s="75"/>
      <c r="B46" s="75"/>
      <c r="C46" s="75"/>
      <c r="D46" s="75"/>
      <c r="E46" s="75"/>
      <c r="F46" s="75"/>
      <c r="G46" s="75"/>
      <c r="H46" s="75"/>
      <c r="I46" s="75"/>
      <c r="J46" s="339" t="s">
        <v>254</v>
      </c>
      <c r="K46" s="340"/>
      <c r="L46" s="340"/>
      <c r="M46" s="340"/>
      <c r="N46" s="340"/>
      <c r="O46" s="341"/>
      <c r="P46" s="339" t="s">
        <v>255</v>
      </c>
      <c r="Q46" s="340"/>
      <c r="R46" s="340"/>
      <c r="S46" s="340"/>
      <c r="T46" s="340"/>
      <c r="U46" s="341"/>
      <c r="V46" s="339" t="s">
        <v>256</v>
      </c>
      <c r="W46" s="340"/>
      <c r="X46" s="340"/>
      <c r="Y46" s="340"/>
      <c r="Z46" s="340"/>
      <c r="AA46" s="341"/>
      <c r="AB46" s="339" t="s">
        <v>257</v>
      </c>
      <c r="AC46" s="348"/>
      <c r="AD46" s="340"/>
      <c r="AE46" s="340"/>
      <c r="AF46" s="340"/>
      <c r="AG46" s="341"/>
      <c r="AH46" s="339" t="s">
        <v>258</v>
      </c>
      <c r="AI46" s="340"/>
      <c r="AJ46" s="340"/>
      <c r="AK46" s="340"/>
      <c r="AL46" s="340"/>
      <c r="AM46" s="341"/>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25">
      <c r="A47" s="75"/>
      <c r="B47" s="75"/>
      <c r="C47" s="75"/>
      <c r="D47" s="75"/>
      <c r="E47" s="75"/>
      <c r="F47" s="75"/>
      <c r="G47" s="75"/>
      <c r="H47" s="75"/>
      <c r="I47" s="75"/>
      <c r="J47" s="342"/>
      <c r="K47" s="343"/>
      <c r="L47" s="343"/>
      <c r="M47" s="343"/>
      <c r="N47" s="343"/>
      <c r="O47" s="344"/>
      <c r="P47" s="342"/>
      <c r="Q47" s="343"/>
      <c r="R47" s="343"/>
      <c r="S47" s="343"/>
      <c r="T47" s="343"/>
      <c r="U47" s="344"/>
      <c r="V47" s="342"/>
      <c r="W47" s="343"/>
      <c r="X47" s="343"/>
      <c r="Y47" s="343"/>
      <c r="Z47" s="343"/>
      <c r="AA47" s="344"/>
      <c r="AB47" s="342"/>
      <c r="AC47" s="343"/>
      <c r="AD47" s="343"/>
      <c r="AE47" s="343"/>
      <c r="AF47" s="343"/>
      <c r="AG47" s="344"/>
      <c r="AH47" s="342"/>
      <c r="AI47" s="343"/>
      <c r="AJ47" s="343"/>
      <c r="AK47" s="343"/>
      <c r="AL47" s="343"/>
      <c r="AM47" s="344"/>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25">
      <c r="A48" s="75"/>
      <c r="B48" s="75"/>
      <c r="C48" s="75"/>
      <c r="D48" s="75"/>
      <c r="E48" s="75"/>
      <c r="F48" s="75"/>
      <c r="G48" s="75"/>
      <c r="H48" s="75"/>
      <c r="I48" s="75"/>
      <c r="J48" s="342"/>
      <c r="K48" s="343"/>
      <c r="L48" s="343"/>
      <c r="M48" s="343"/>
      <c r="N48" s="343"/>
      <c r="O48" s="344"/>
      <c r="P48" s="342"/>
      <c r="Q48" s="343"/>
      <c r="R48" s="343"/>
      <c r="S48" s="343"/>
      <c r="T48" s="343"/>
      <c r="U48" s="344"/>
      <c r="V48" s="342"/>
      <c r="W48" s="343"/>
      <c r="X48" s="343"/>
      <c r="Y48" s="343"/>
      <c r="Z48" s="343"/>
      <c r="AA48" s="344"/>
      <c r="AB48" s="342"/>
      <c r="AC48" s="343"/>
      <c r="AD48" s="343"/>
      <c r="AE48" s="343"/>
      <c r="AF48" s="343"/>
      <c r="AG48" s="344"/>
      <c r="AH48" s="342"/>
      <c r="AI48" s="343"/>
      <c r="AJ48" s="343"/>
      <c r="AK48" s="343"/>
      <c r="AL48" s="343"/>
      <c r="AM48" s="344"/>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25">
      <c r="A49" s="75"/>
      <c r="B49" s="75"/>
      <c r="C49" s="75"/>
      <c r="D49" s="75"/>
      <c r="E49" s="75"/>
      <c r="F49" s="75"/>
      <c r="G49" s="75"/>
      <c r="H49" s="75"/>
      <c r="I49" s="75"/>
      <c r="J49" s="342"/>
      <c r="K49" s="343"/>
      <c r="L49" s="343"/>
      <c r="M49" s="343"/>
      <c r="N49" s="343"/>
      <c r="O49" s="344"/>
      <c r="P49" s="342"/>
      <c r="Q49" s="343"/>
      <c r="R49" s="343"/>
      <c r="S49" s="343"/>
      <c r="T49" s="343"/>
      <c r="U49" s="344"/>
      <c r="V49" s="342"/>
      <c r="W49" s="343"/>
      <c r="X49" s="343"/>
      <c r="Y49" s="343"/>
      <c r="Z49" s="343"/>
      <c r="AA49" s="344"/>
      <c r="AB49" s="342"/>
      <c r="AC49" s="343"/>
      <c r="AD49" s="343"/>
      <c r="AE49" s="343"/>
      <c r="AF49" s="343"/>
      <c r="AG49" s="344"/>
      <c r="AH49" s="342"/>
      <c r="AI49" s="343"/>
      <c r="AJ49" s="343"/>
      <c r="AK49" s="343"/>
      <c r="AL49" s="343"/>
      <c r="AM49" s="344"/>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25">
      <c r="A50" s="75"/>
      <c r="B50" s="75"/>
      <c r="C50" s="75"/>
      <c r="D50" s="75"/>
      <c r="E50" s="75"/>
      <c r="F50" s="75"/>
      <c r="G50" s="75"/>
      <c r="H50" s="75"/>
      <c r="I50" s="75"/>
      <c r="J50" s="342"/>
      <c r="K50" s="343"/>
      <c r="L50" s="343"/>
      <c r="M50" s="343"/>
      <c r="N50" s="343"/>
      <c r="O50" s="344"/>
      <c r="P50" s="342"/>
      <c r="Q50" s="343"/>
      <c r="R50" s="343"/>
      <c r="S50" s="343"/>
      <c r="T50" s="343"/>
      <c r="U50" s="344"/>
      <c r="V50" s="342"/>
      <c r="W50" s="343"/>
      <c r="X50" s="343"/>
      <c r="Y50" s="343"/>
      <c r="Z50" s="343"/>
      <c r="AA50" s="344"/>
      <c r="AB50" s="342"/>
      <c r="AC50" s="343"/>
      <c r="AD50" s="343"/>
      <c r="AE50" s="343"/>
      <c r="AF50" s="343"/>
      <c r="AG50" s="344"/>
      <c r="AH50" s="342"/>
      <c r="AI50" s="343"/>
      <c r="AJ50" s="343"/>
      <c r="AK50" s="343"/>
      <c r="AL50" s="343"/>
      <c r="AM50" s="344"/>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75" thickBot="1" x14ac:dyDescent="0.3">
      <c r="A51" s="75"/>
      <c r="B51" s="75"/>
      <c r="C51" s="75"/>
      <c r="D51" s="75"/>
      <c r="E51" s="75"/>
      <c r="F51" s="75"/>
      <c r="G51" s="75"/>
      <c r="H51" s="75"/>
      <c r="I51" s="75"/>
      <c r="J51" s="345"/>
      <c r="K51" s="346"/>
      <c r="L51" s="346"/>
      <c r="M51" s="346"/>
      <c r="N51" s="346"/>
      <c r="O51" s="347"/>
      <c r="P51" s="345"/>
      <c r="Q51" s="346"/>
      <c r="R51" s="346"/>
      <c r="S51" s="346"/>
      <c r="T51" s="346"/>
      <c r="U51" s="347"/>
      <c r="V51" s="345"/>
      <c r="W51" s="346"/>
      <c r="X51" s="346"/>
      <c r="Y51" s="346"/>
      <c r="Z51" s="346"/>
      <c r="AA51" s="347"/>
      <c r="AB51" s="345"/>
      <c r="AC51" s="346"/>
      <c r="AD51" s="346"/>
      <c r="AE51" s="346"/>
      <c r="AF51" s="346"/>
      <c r="AG51" s="347"/>
      <c r="AH51" s="345"/>
      <c r="AI51" s="346"/>
      <c r="AJ51" s="346"/>
      <c r="AK51" s="346"/>
      <c r="AL51" s="346"/>
      <c r="AM51" s="347"/>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2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2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2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2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2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25">
      <c r="B137" s="75"/>
      <c r="C137" s="75"/>
      <c r="D137" s="75"/>
      <c r="E137" s="75"/>
      <c r="F137" s="75"/>
      <c r="G137" s="75"/>
      <c r="H137" s="75"/>
      <c r="I137" s="75"/>
    </row>
    <row r="138" spans="2:63" x14ac:dyDescent="0.25">
      <c r="B138" s="75"/>
      <c r="C138" s="75"/>
      <c r="D138" s="75"/>
      <c r="E138" s="75"/>
      <c r="F138" s="75"/>
      <c r="G138" s="75"/>
      <c r="H138" s="75"/>
      <c r="I138" s="75"/>
    </row>
    <row r="139" spans="2:63" x14ac:dyDescent="0.25">
      <c r="B139" s="75"/>
      <c r="C139" s="75"/>
      <c r="D139" s="75"/>
      <c r="E139" s="75"/>
      <c r="F139" s="75"/>
      <c r="G139" s="75"/>
      <c r="H139" s="75"/>
      <c r="I139" s="75"/>
    </row>
    <row r="140" spans="2:63" x14ac:dyDescent="0.25">
      <c r="B140" s="75"/>
      <c r="C140" s="75"/>
      <c r="D140" s="75"/>
      <c r="E140" s="75"/>
      <c r="F140" s="75"/>
      <c r="G140" s="75"/>
      <c r="H140" s="75"/>
      <c r="I140" s="7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S36" sqref="S36"/>
    </sheetView>
  </sheetViews>
  <sheetFormatPr baseColWidth="10" defaultColWidth="11.42578125"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25">
      <c r="A2" s="75"/>
      <c r="B2" s="416" t="s">
        <v>259</v>
      </c>
      <c r="C2" s="417"/>
      <c r="D2" s="417"/>
      <c r="E2" s="417"/>
      <c r="F2" s="417"/>
      <c r="G2" s="417"/>
      <c r="H2" s="417"/>
      <c r="I2" s="417"/>
      <c r="J2" s="338" t="s">
        <v>15</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25">
      <c r="A3" s="75"/>
      <c r="B3" s="417"/>
      <c r="C3" s="417"/>
      <c r="D3" s="417"/>
      <c r="E3" s="417"/>
      <c r="F3" s="417"/>
      <c r="G3" s="417"/>
      <c r="H3" s="417"/>
      <c r="I3" s="417"/>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25">
      <c r="A4" s="75"/>
      <c r="B4" s="417"/>
      <c r="C4" s="417"/>
      <c r="D4" s="417"/>
      <c r="E4" s="417"/>
      <c r="F4" s="417"/>
      <c r="G4" s="417"/>
      <c r="H4" s="417"/>
      <c r="I4" s="417"/>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75" thickBot="1" x14ac:dyDescent="0.3">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25">
      <c r="A6" s="75"/>
      <c r="B6" s="349" t="s">
        <v>116</v>
      </c>
      <c r="C6" s="349"/>
      <c r="D6" s="350"/>
      <c r="E6" s="387" t="s">
        <v>247</v>
      </c>
      <c r="F6" s="388"/>
      <c r="G6" s="388"/>
      <c r="H6" s="388"/>
      <c r="I6" s="389"/>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407" t="s">
        <v>248</v>
      </c>
      <c r="AP6" s="408"/>
      <c r="AQ6" s="408"/>
      <c r="AR6" s="408"/>
      <c r="AS6" s="408"/>
      <c r="AT6" s="409"/>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25">
      <c r="A7" s="75"/>
      <c r="B7" s="349"/>
      <c r="C7" s="349"/>
      <c r="D7" s="350"/>
      <c r="E7" s="390"/>
      <c r="F7" s="391"/>
      <c r="G7" s="391"/>
      <c r="H7" s="391"/>
      <c r="I7" s="392"/>
      <c r="J7" s="44" t="str">
        <f>IF(AND('Mapa final'!$AF$13="Muy Alta",'Mapa final'!$AH$13="Leve"),CONCATENATE("R2C",'Mapa final'!$U$13),"")</f>
        <v/>
      </c>
      <c r="K7" s="45" t="str">
        <f>IF(AND('Mapa final'!$AF$24="Muy Alta",'Mapa final'!$AH$24="Leve"),CONCATENATE("R2C",'Mapa final'!$U$24),"")</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final'!$AF$13="Muy Alta",'Mapa final'!$AH$13="Menor"),CONCATENATE("R2C",'Mapa final'!$U$13),"")</f>
        <v/>
      </c>
      <c r="Q7" s="45" t="str">
        <f>IF(AND('Mapa final'!$AF$24="Muy Alta",'Mapa final'!$AH$24="Menor"),CONCATENATE("R2C",'Mapa final'!$U$24),"")</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final'!$AF$13="Muy Alta",'Mapa final'!$AH$13="Moderado"),CONCATENATE("R2C",'Mapa final'!$U$13),"")</f>
        <v/>
      </c>
      <c r="W7" s="45" t="str">
        <f>IF(AND('Mapa final'!$AF$24="Muy Alta",'Mapa final'!$AH$24="Moderado"),CONCATENATE("R2C",'Mapa final'!$U$24),"")</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final'!$AF$13="Muy Alta",'Mapa final'!$AH$13="Mayor"),CONCATENATE("R2C",'Mapa final'!$U$13),"")</f>
        <v/>
      </c>
      <c r="AC7" s="45" t="str">
        <f>IF(AND('Mapa final'!$AF$24="Muy Alta",'Mapa final'!$AH$24="Mayor"),CONCATENATE("R2C",'Mapa final'!$U$24),"")</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final'!$AF$13="Muy Alta",'Mapa final'!$AH$13="Catastrófico"),CONCATENATE("R2C",'Mapa final'!$U$13),"")</f>
        <v/>
      </c>
      <c r="AI7" s="48" t="str">
        <f>IF(AND('Mapa final'!$AF$24="Muy Alta",'Mapa final'!$AH$24="Catastrófico"),CONCATENATE("R2C",'Mapa final'!$U$24),"")</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410"/>
      <c r="AP7" s="411"/>
      <c r="AQ7" s="411"/>
      <c r="AR7" s="411"/>
      <c r="AS7" s="411"/>
      <c r="AT7" s="412"/>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25">
      <c r="A8" s="75"/>
      <c r="B8" s="349"/>
      <c r="C8" s="349"/>
      <c r="D8" s="350"/>
      <c r="E8" s="390"/>
      <c r="F8" s="391"/>
      <c r="G8" s="391"/>
      <c r="H8" s="391"/>
      <c r="I8" s="392"/>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410"/>
      <c r="AP8" s="411"/>
      <c r="AQ8" s="411"/>
      <c r="AR8" s="411"/>
      <c r="AS8" s="411"/>
      <c r="AT8" s="412"/>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25">
      <c r="A9" s="75"/>
      <c r="B9" s="349"/>
      <c r="C9" s="349"/>
      <c r="D9" s="350"/>
      <c r="E9" s="390"/>
      <c r="F9" s="391"/>
      <c r="G9" s="391"/>
      <c r="H9" s="391"/>
      <c r="I9" s="392"/>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410"/>
      <c r="AP9" s="411"/>
      <c r="AQ9" s="411"/>
      <c r="AR9" s="411"/>
      <c r="AS9" s="411"/>
      <c r="AT9" s="412"/>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25">
      <c r="A10" s="75"/>
      <c r="B10" s="349"/>
      <c r="C10" s="349"/>
      <c r="D10" s="350"/>
      <c r="E10" s="390"/>
      <c r="F10" s="391"/>
      <c r="G10" s="391"/>
      <c r="H10" s="391"/>
      <c r="I10" s="392"/>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410"/>
      <c r="AP10" s="411"/>
      <c r="AQ10" s="411"/>
      <c r="AR10" s="411"/>
      <c r="AS10" s="411"/>
      <c r="AT10" s="412"/>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25">
      <c r="A11" s="75"/>
      <c r="B11" s="349"/>
      <c r="C11" s="349"/>
      <c r="D11" s="350"/>
      <c r="E11" s="390"/>
      <c r="F11" s="391"/>
      <c r="G11" s="391"/>
      <c r="H11" s="391"/>
      <c r="I11" s="392"/>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410"/>
      <c r="AP11" s="411"/>
      <c r="AQ11" s="411"/>
      <c r="AR11" s="411"/>
      <c r="AS11" s="411"/>
      <c r="AT11" s="412"/>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25">
      <c r="A12" s="75"/>
      <c r="B12" s="349"/>
      <c r="C12" s="349"/>
      <c r="D12" s="350"/>
      <c r="E12" s="390"/>
      <c r="F12" s="391"/>
      <c r="G12" s="391"/>
      <c r="H12" s="391"/>
      <c r="I12" s="392"/>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410"/>
      <c r="AP12" s="411"/>
      <c r="AQ12" s="411"/>
      <c r="AR12" s="411"/>
      <c r="AS12" s="411"/>
      <c r="AT12" s="412"/>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25">
      <c r="A13" s="75"/>
      <c r="B13" s="349"/>
      <c r="C13" s="349"/>
      <c r="D13" s="350"/>
      <c r="E13" s="390"/>
      <c r="F13" s="391"/>
      <c r="G13" s="391"/>
      <c r="H13" s="391"/>
      <c r="I13" s="392"/>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410"/>
      <c r="AP13" s="411"/>
      <c r="AQ13" s="411"/>
      <c r="AR13" s="411"/>
      <c r="AS13" s="411"/>
      <c r="AT13" s="412"/>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25">
      <c r="A14" s="75"/>
      <c r="B14" s="349"/>
      <c r="C14" s="349"/>
      <c r="D14" s="350"/>
      <c r="E14" s="390"/>
      <c r="F14" s="391"/>
      <c r="G14" s="391"/>
      <c r="H14" s="391"/>
      <c r="I14" s="392"/>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410"/>
      <c r="AP14" s="411"/>
      <c r="AQ14" s="411"/>
      <c r="AR14" s="411"/>
      <c r="AS14" s="411"/>
      <c r="AT14" s="412"/>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
      <c r="A15" s="75"/>
      <c r="B15" s="349"/>
      <c r="C15" s="349"/>
      <c r="D15" s="350"/>
      <c r="E15" s="393"/>
      <c r="F15" s="394"/>
      <c r="G15" s="394"/>
      <c r="H15" s="394"/>
      <c r="I15" s="395"/>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413"/>
      <c r="AP15" s="414"/>
      <c r="AQ15" s="414"/>
      <c r="AR15" s="414"/>
      <c r="AS15" s="414"/>
      <c r="AT15" s="41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25">
      <c r="A16" s="75"/>
      <c r="B16" s="349"/>
      <c r="C16" s="349"/>
      <c r="D16" s="350"/>
      <c r="E16" s="387" t="s">
        <v>249</v>
      </c>
      <c r="F16" s="388"/>
      <c r="G16" s="388"/>
      <c r="H16" s="388"/>
      <c r="I16" s="388"/>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97" t="s">
        <v>146</v>
      </c>
      <c r="AP16" s="398"/>
      <c r="AQ16" s="398"/>
      <c r="AR16" s="398"/>
      <c r="AS16" s="398"/>
      <c r="AT16" s="399"/>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25">
      <c r="A17" s="75"/>
      <c r="B17" s="349"/>
      <c r="C17" s="349"/>
      <c r="D17" s="350"/>
      <c r="E17" s="406"/>
      <c r="F17" s="391"/>
      <c r="G17" s="391"/>
      <c r="H17" s="391"/>
      <c r="I17" s="391"/>
      <c r="J17" s="59" t="str">
        <f>IF(AND('Mapa final'!$AF$13="Alta",'Mapa final'!$AH$13="Leve"),CONCATENATE("R2C",'Mapa final'!$U$13),"")</f>
        <v/>
      </c>
      <c r="K17" s="60" t="str">
        <f>IF(AND('Mapa final'!$AF$24="Alta",'Mapa final'!$AH$24="Leve"),CONCATENATE("R2C",'Mapa final'!$U$24),"")</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final'!$AF$13="Alta",'Mapa final'!$AH$13="Menor"),CONCATENATE("R2C",'Mapa final'!$U$13),"")</f>
        <v/>
      </c>
      <c r="Q17" s="60" t="str">
        <f>IF(AND('Mapa final'!$AF$24="Alta",'Mapa final'!$AH$24="Menor"),CONCATENATE("R2C",'Mapa final'!$U$24),"")</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final'!$AF$13="Alta",'Mapa final'!$AH$13="Moderado"),CONCATENATE("R2C",'Mapa final'!$U$13),"")</f>
        <v/>
      </c>
      <c r="W17" s="45" t="str">
        <f>IF(AND('Mapa final'!$AF$24="Alta",'Mapa final'!$AH$24="Moderado"),CONCATENATE("R2C",'Mapa final'!$U$24),"")</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final'!$AF$13="Alta",'Mapa final'!$AH$13="Mayor"),CONCATENATE("R2C",'Mapa final'!$U$13),"")</f>
        <v/>
      </c>
      <c r="AC17" s="45" t="str">
        <f>IF(AND('Mapa final'!$AF$24="Alta",'Mapa final'!$AH$24="Mayor"),CONCATENATE("R2C",'Mapa final'!$U$24),"")</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final'!$AF$13="Alta",'Mapa final'!$AH$13="Catastrófico"),CONCATENATE("R2C",'Mapa final'!$U$13),"")</f>
        <v/>
      </c>
      <c r="AI17" s="48" t="str">
        <f>IF(AND('Mapa final'!$AF$24="Alta",'Mapa final'!$AH$24="Catastrófico"),CONCATENATE("R2C",'Mapa final'!$U$24),"")</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400"/>
      <c r="AP17" s="401"/>
      <c r="AQ17" s="401"/>
      <c r="AR17" s="401"/>
      <c r="AS17" s="401"/>
      <c r="AT17" s="402"/>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25">
      <c r="A18" s="75"/>
      <c r="B18" s="349"/>
      <c r="C18" s="349"/>
      <c r="D18" s="350"/>
      <c r="E18" s="390"/>
      <c r="F18" s="391"/>
      <c r="G18" s="391"/>
      <c r="H18" s="391"/>
      <c r="I18" s="391"/>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400"/>
      <c r="AP18" s="401"/>
      <c r="AQ18" s="401"/>
      <c r="AR18" s="401"/>
      <c r="AS18" s="401"/>
      <c r="AT18" s="402"/>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25">
      <c r="A19" s="75"/>
      <c r="B19" s="349"/>
      <c r="C19" s="349"/>
      <c r="D19" s="350"/>
      <c r="E19" s="390"/>
      <c r="F19" s="391"/>
      <c r="G19" s="391"/>
      <c r="H19" s="391"/>
      <c r="I19" s="391"/>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400"/>
      <c r="AP19" s="401"/>
      <c r="AQ19" s="401"/>
      <c r="AR19" s="401"/>
      <c r="AS19" s="401"/>
      <c r="AT19" s="402"/>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25">
      <c r="A20" s="75"/>
      <c r="B20" s="349"/>
      <c r="C20" s="349"/>
      <c r="D20" s="350"/>
      <c r="E20" s="390"/>
      <c r="F20" s="391"/>
      <c r="G20" s="391"/>
      <c r="H20" s="391"/>
      <c r="I20" s="391"/>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400"/>
      <c r="AP20" s="401"/>
      <c r="AQ20" s="401"/>
      <c r="AR20" s="401"/>
      <c r="AS20" s="401"/>
      <c r="AT20" s="402"/>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25">
      <c r="A21" s="75"/>
      <c r="B21" s="349"/>
      <c r="C21" s="349"/>
      <c r="D21" s="350"/>
      <c r="E21" s="390"/>
      <c r="F21" s="391"/>
      <c r="G21" s="391"/>
      <c r="H21" s="391"/>
      <c r="I21" s="391"/>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400"/>
      <c r="AP21" s="401"/>
      <c r="AQ21" s="401"/>
      <c r="AR21" s="401"/>
      <c r="AS21" s="401"/>
      <c r="AT21" s="402"/>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25">
      <c r="A22" s="75"/>
      <c r="B22" s="349"/>
      <c r="C22" s="349"/>
      <c r="D22" s="350"/>
      <c r="E22" s="390"/>
      <c r="F22" s="391"/>
      <c r="G22" s="391"/>
      <c r="H22" s="391"/>
      <c r="I22" s="391"/>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400"/>
      <c r="AP22" s="401"/>
      <c r="AQ22" s="401"/>
      <c r="AR22" s="401"/>
      <c r="AS22" s="401"/>
      <c r="AT22" s="402"/>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25">
      <c r="A23" s="75"/>
      <c r="B23" s="349"/>
      <c r="C23" s="349"/>
      <c r="D23" s="350"/>
      <c r="E23" s="390"/>
      <c r="F23" s="391"/>
      <c r="G23" s="391"/>
      <c r="H23" s="391"/>
      <c r="I23" s="391"/>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400"/>
      <c r="AP23" s="401"/>
      <c r="AQ23" s="401"/>
      <c r="AR23" s="401"/>
      <c r="AS23" s="401"/>
      <c r="AT23" s="402"/>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25">
      <c r="A24" s="75"/>
      <c r="B24" s="349"/>
      <c r="C24" s="349"/>
      <c r="D24" s="350"/>
      <c r="E24" s="390"/>
      <c r="F24" s="391"/>
      <c r="G24" s="391"/>
      <c r="H24" s="391"/>
      <c r="I24" s="391"/>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400"/>
      <c r="AP24" s="401"/>
      <c r="AQ24" s="401"/>
      <c r="AR24" s="401"/>
      <c r="AS24" s="401"/>
      <c r="AT24" s="402"/>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
      <c r="A25" s="75"/>
      <c r="B25" s="349"/>
      <c r="C25" s="349"/>
      <c r="D25" s="350"/>
      <c r="E25" s="393"/>
      <c r="F25" s="394"/>
      <c r="G25" s="394"/>
      <c r="H25" s="394"/>
      <c r="I25" s="394"/>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403"/>
      <c r="AP25" s="404"/>
      <c r="AQ25" s="404"/>
      <c r="AR25" s="404"/>
      <c r="AS25" s="404"/>
      <c r="AT25" s="40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25">
      <c r="A26" s="75"/>
      <c r="B26" s="349"/>
      <c r="C26" s="349"/>
      <c r="D26" s="350"/>
      <c r="E26" s="387" t="s">
        <v>250</v>
      </c>
      <c r="F26" s="388"/>
      <c r="G26" s="388"/>
      <c r="H26" s="388"/>
      <c r="I26" s="389"/>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427" t="s">
        <v>145</v>
      </c>
      <c r="AP26" s="428"/>
      <c r="AQ26" s="428"/>
      <c r="AR26" s="428"/>
      <c r="AS26" s="428"/>
      <c r="AT26" s="429"/>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25">
      <c r="A27" s="75"/>
      <c r="B27" s="349"/>
      <c r="C27" s="349"/>
      <c r="D27" s="350"/>
      <c r="E27" s="406"/>
      <c r="F27" s="391"/>
      <c r="G27" s="391"/>
      <c r="H27" s="391"/>
      <c r="I27" s="392"/>
      <c r="J27" s="59" t="str">
        <f>IF(AND('Mapa final'!$AF$13="Media",'Mapa final'!$AH$13="Leve"),CONCATENATE("R2C",'Mapa final'!$U$13),"")</f>
        <v/>
      </c>
      <c r="K27" s="60" t="str">
        <f>IF(AND('Mapa final'!$AF$24="Media",'Mapa final'!$AH$24="Leve"),CONCATENATE("R2C",'Mapa final'!$U$24),"")</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final'!$AF$13="Media",'Mapa final'!$AH$13="Menor"),CONCATENATE("R2C",'Mapa final'!$U$13),"")</f>
        <v/>
      </c>
      <c r="Q27" s="60" t="str">
        <f>IF(AND('Mapa final'!$AF$24="Media",'Mapa final'!$AH$24="Menor"),CONCATENATE("R2C",'Mapa final'!$U$24),"")</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final'!$AF$13="Media",'Mapa final'!$AH$13="Moderado"),CONCATENATE("R2C",'Mapa final'!$U$13),"")</f>
        <v/>
      </c>
      <c r="W27" s="60" t="str">
        <f>IF(AND('Mapa final'!$AF$24="Media",'Mapa final'!$AH$24="Moderado"),CONCATENATE("R2C",'Mapa final'!$U$24),"")</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final'!$AF$13="Media",'Mapa final'!$AH$13="Mayor"),CONCATENATE("R2C",'Mapa final'!$U$13),"")</f>
        <v/>
      </c>
      <c r="AC27" s="45" t="str">
        <f>IF(AND('Mapa final'!$AF$24="Media",'Mapa final'!$AH$24="Mayor"),CONCATENATE("R2C",'Mapa final'!$U$24),"")</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final'!$AF$13="Media",'Mapa final'!$AH$13="Catastrófico"),CONCATENATE("R2C",'Mapa final'!$U$13),"")</f>
        <v/>
      </c>
      <c r="AI27" s="48" t="str">
        <f>IF(AND('Mapa final'!$AF$24="Media",'Mapa final'!$AH$24="Catastrófico"),CONCATENATE("R2C",'Mapa final'!$U$24),"")</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430"/>
      <c r="AP27" s="431"/>
      <c r="AQ27" s="431"/>
      <c r="AR27" s="431"/>
      <c r="AS27" s="431"/>
      <c r="AT27" s="432"/>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25">
      <c r="A28" s="75"/>
      <c r="B28" s="349"/>
      <c r="C28" s="349"/>
      <c r="D28" s="350"/>
      <c r="E28" s="390"/>
      <c r="F28" s="391"/>
      <c r="G28" s="391"/>
      <c r="H28" s="391"/>
      <c r="I28" s="392"/>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430"/>
      <c r="AP28" s="431"/>
      <c r="AQ28" s="431"/>
      <c r="AR28" s="431"/>
      <c r="AS28" s="431"/>
      <c r="AT28" s="432"/>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25">
      <c r="A29" s="75"/>
      <c r="B29" s="349"/>
      <c r="C29" s="349"/>
      <c r="D29" s="350"/>
      <c r="E29" s="390"/>
      <c r="F29" s="391"/>
      <c r="G29" s="391"/>
      <c r="H29" s="391"/>
      <c r="I29" s="392"/>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430"/>
      <c r="AP29" s="431"/>
      <c r="AQ29" s="431"/>
      <c r="AR29" s="431"/>
      <c r="AS29" s="431"/>
      <c r="AT29" s="432"/>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25">
      <c r="A30" s="75"/>
      <c r="B30" s="349"/>
      <c r="C30" s="349"/>
      <c r="D30" s="350"/>
      <c r="E30" s="390"/>
      <c r="F30" s="391"/>
      <c r="G30" s="391"/>
      <c r="H30" s="391"/>
      <c r="I30" s="392"/>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430"/>
      <c r="AP30" s="431"/>
      <c r="AQ30" s="431"/>
      <c r="AR30" s="431"/>
      <c r="AS30" s="431"/>
      <c r="AT30" s="432"/>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25">
      <c r="A31" s="75"/>
      <c r="B31" s="349"/>
      <c r="C31" s="349"/>
      <c r="D31" s="350"/>
      <c r="E31" s="390"/>
      <c r="F31" s="391"/>
      <c r="G31" s="391"/>
      <c r="H31" s="391"/>
      <c r="I31" s="392"/>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430"/>
      <c r="AP31" s="431"/>
      <c r="AQ31" s="431"/>
      <c r="AR31" s="431"/>
      <c r="AS31" s="431"/>
      <c r="AT31" s="432"/>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25">
      <c r="A32" s="75"/>
      <c r="B32" s="349"/>
      <c r="C32" s="349"/>
      <c r="D32" s="350"/>
      <c r="E32" s="390"/>
      <c r="F32" s="391"/>
      <c r="G32" s="391"/>
      <c r="H32" s="391"/>
      <c r="I32" s="392"/>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430"/>
      <c r="AP32" s="431"/>
      <c r="AQ32" s="431"/>
      <c r="AR32" s="431"/>
      <c r="AS32" s="431"/>
      <c r="AT32" s="432"/>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25">
      <c r="A33" s="75"/>
      <c r="B33" s="349"/>
      <c r="C33" s="349"/>
      <c r="D33" s="350"/>
      <c r="E33" s="390"/>
      <c r="F33" s="391"/>
      <c r="G33" s="391"/>
      <c r="H33" s="391"/>
      <c r="I33" s="392"/>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430"/>
      <c r="AP33" s="431"/>
      <c r="AQ33" s="431"/>
      <c r="AR33" s="431"/>
      <c r="AS33" s="431"/>
      <c r="AT33" s="432"/>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25">
      <c r="A34" s="75"/>
      <c r="B34" s="349"/>
      <c r="C34" s="349"/>
      <c r="D34" s="350"/>
      <c r="E34" s="390"/>
      <c r="F34" s="391"/>
      <c r="G34" s="391"/>
      <c r="H34" s="391"/>
      <c r="I34" s="392"/>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430"/>
      <c r="AP34" s="431"/>
      <c r="AQ34" s="431"/>
      <c r="AR34" s="431"/>
      <c r="AS34" s="431"/>
      <c r="AT34" s="432"/>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
      <c r="A35" s="75"/>
      <c r="B35" s="349"/>
      <c r="C35" s="349"/>
      <c r="D35" s="350"/>
      <c r="E35" s="393"/>
      <c r="F35" s="394"/>
      <c r="G35" s="394"/>
      <c r="H35" s="394"/>
      <c r="I35" s="395"/>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433"/>
      <c r="AP35" s="434"/>
      <c r="AQ35" s="434"/>
      <c r="AR35" s="434"/>
      <c r="AS35" s="434"/>
      <c r="AT35" s="43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25">
      <c r="A36" s="75"/>
      <c r="B36" s="349"/>
      <c r="C36" s="349"/>
      <c r="D36" s="350"/>
      <c r="E36" s="387" t="s">
        <v>251</v>
      </c>
      <c r="F36" s="388"/>
      <c r="G36" s="388"/>
      <c r="H36" s="388"/>
      <c r="I36" s="388"/>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418" t="s">
        <v>252</v>
      </c>
      <c r="AP36" s="419"/>
      <c r="AQ36" s="419"/>
      <c r="AR36" s="419"/>
      <c r="AS36" s="419"/>
      <c r="AT36" s="420"/>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25">
      <c r="A37" s="75"/>
      <c r="B37" s="349"/>
      <c r="C37" s="349"/>
      <c r="D37" s="350"/>
      <c r="E37" s="406"/>
      <c r="F37" s="391"/>
      <c r="G37" s="391"/>
      <c r="H37" s="391"/>
      <c r="I37" s="391"/>
      <c r="J37" s="68" t="str">
        <f>IF(AND('Mapa final'!$AF$13="Baja",'Mapa final'!$AH$13="Leve"),CONCATENATE("R2C",'Mapa final'!$U$13),"")</f>
        <v/>
      </c>
      <c r="K37" s="69" t="str">
        <f>IF(AND('Mapa final'!$AF$24="Baja",'Mapa final'!$AH$24="Leve"),CONCATENATE("R2C",'Mapa final'!$U$24),"")</f>
        <v>R2C1</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final'!$AF$13="Baja",'Mapa final'!$AH$13="Menor"),CONCATENATE("R2C",'Mapa final'!$U$13),"")</f>
        <v/>
      </c>
      <c r="Q37" s="60" t="str">
        <f>IF(AND('Mapa final'!$AF$24="Baja",'Mapa final'!$AH$24="Menor"),CONCATENATE("R2C",'Mapa final'!$U$24),"")</f>
        <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final'!$AF$13="Baja",'Mapa final'!$AH$13="Moderado"),CONCATENATE("R2C",'Mapa final'!$U$13),"")</f>
        <v/>
      </c>
      <c r="W37" s="60" t="str">
        <f>IF(AND('Mapa final'!$AF$24="Baja",'Mapa final'!$AH$24="Moderado"),CONCATENATE("R2C",'Mapa final'!$U$24),"")</f>
        <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final'!$AF$13="Baja",'Mapa final'!$AH$13="Mayor"),CONCATENATE("R2C",'Mapa final'!$U$13),"")</f>
        <v/>
      </c>
      <c r="AC37" s="45" t="str">
        <f>IF(AND('Mapa final'!$AF$24="Baja",'Mapa final'!$AH$24="Mayor"),CONCATENATE("R2C",'Mapa final'!$U$24),"")</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final'!$AF$13="Baja",'Mapa final'!$AH$13="Catastrófico"),CONCATENATE("R2C",'Mapa final'!$U$13),"")</f>
        <v/>
      </c>
      <c r="AI37" s="48" t="str">
        <f>IF(AND('Mapa final'!$AF$24="Baja",'Mapa final'!$AH$24="Catastrófico"),CONCATENATE("R2C",'Mapa final'!$U$24),"")</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421"/>
      <c r="AP37" s="422"/>
      <c r="AQ37" s="422"/>
      <c r="AR37" s="422"/>
      <c r="AS37" s="422"/>
      <c r="AT37" s="423"/>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25">
      <c r="A38" s="75"/>
      <c r="B38" s="349"/>
      <c r="C38" s="349"/>
      <c r="D38" s="350"/>
      <c r="E38" s="390"/>
      <c r="F38" s="391"/>
      <c r="G38" s="391"/>
      <c r="H38" s="391"/>
      <c r="I38" s="391"/>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421"/>
      <c r="AP38" s="422"/>
      <c r="AQ38" s="422"/>
      <c r="AR38" s="422"/>
      <c r="AS38" s="422"/>
      <c r="AT38" s="423"/>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25">
      <c r="A39" s="75"/>
      <c r="B39" s="349"/>
      <c r="C39" s="349"/>
      <c r="D39" s="350"/>
      <c r="E39" s="390"/>
      <c r="F39" s="391"/>
      <c r="G39" s="391"/>
      <c r="H39" s="391"/>
      <c r="I39" s="391"/>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421"/>
      <c r="AP39" s="422"/>
      <c r="AQ39" s="422"/>
      <c r="AR39" s="422"/>
      <c r="AS39" s="422"/>
      <c r="AT39" s="423"/>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25">
      <c r="A40" s="75"/>
      <c r="B40" s="349"/>
      <c r="C40" s="349"/>
      <c r="D40" s="350"/>
      <c r="E40" s="390"/>
      <c r="F40" s="391"/>
      <c r="G40" s="391"/>
      <c r="H40" s="391"/>
      <c r="I40" s="391"/>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421"/>
      <c r="AP40" s="422"/>
      <c r="AQ40" s="422"/>
      <c r="AR40" s="422"/>
      <c r="AS40" s="422"/>
      <c r="AT40" s="423"/>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25">
      <c r="A41" s="75"/>
      <c r="B41" s="349"/>
      <c r="C41" s="349"/>
      <c r="D41" s="350"/>
      <c r="E41" s="390"/>
      <c r="F41" s="391"/>
      <c r="G41" s="391"/>
      <c r="H41" s="391"/>
      <c r="I41" s="391"/>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421"/>
      <c r="AP41" s="422"/>
      <c r="AQ41" s="422"/>
      <c r="AR41" s="422"/>
      <c r="AS41" s="422"/>
      <c r="AT41" s="423"/>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25">
      <c r="A42" s="75"/>
      <c r="B42" s="349"/>
      <c r="C42" s="349"/>
      <c r="D42" s="350"/>
      <c r="E42" s="390"/>
      <c r="F42" s="391"/>
      <c r="G42" s="391"/>
      <c r="H42" s="391"/>
      <c r="I42" s="391"/>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421"/>
      <c r="AP42" s="422"/>
      <c r="AQ42" s="422"/>
      <c r="AR42" s="422"/>
      <c r="AS42" s="422"/>
      <c r="AT42" s="423"/>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25">
      <c r="A43" s="75"/>
      <c r="B43" s="349"/>
      <c r="C43" s="349"/>
      <c r="D43" s="350"/>
      <c r="E43" s="390"/>
      <c r="F43" s="391"/>
      <c r="G43" s="391"/>
      <c r="H43" s="391"/>
      <c r="I43" s="391"/>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421"/>
      <c r="AP43" s="422"/>
      <c r="AQ43" s="422"/>
      <c r="AR43" s="422"/>
      <c r="AS43" s="422"/>
      <c r="AT43" s="423"/>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25">
      <c r="A44" s="75"/>
      <c r="B44" s="349"/>
      <c r="C44" s="349"/>
      <c r="D44" s="350"/>
      <c r="E44" s="390"/>
      <c r="F44" s="391"/>
      <c r="G44" s="391"/>
      <c r="H44" s="391"/>
      <c r="I44" s="391"/>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421"/>
      <c r="AP44" s="422"/>
      <c r="AQ44" s="422"/>
      <c r="AR44" s="422"/>
      <c r="AS44" s="422"/>
      <c r="AT44" s="423"/>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
      <c r="A45" s="75"/>
      <c r="B45" s="349"/>
      <c r="C45" s="349"/>
      <c r="D45" s="350"/>
      <c r="E45" s="393"/>
      <c r="F45" s="394"/>
      <c r="G45" s="394"/>
      <c r="H45" s="394"/>
      <c r="I45" s="394"/>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424"/>
      <c r="AP45" s="425"/>
      <c r="AQ45" s="425"/>
      <c r="AR45" s="425"/>
      <c r="AS45" s="425"/>
      <c r="AT45" s="426"/>
    </row>
    <row r="46" spans="1:80" ht="46.5" customHeight="1" x14ac:dyDescent="0.35">
      <c r="A46" s="75"/>
      <c r="B46" s="349"/>
      <c r="C46" s="349"/>
      <c r="D46" s="350"/>
      <c r="E46" s="387" t="s">
        <v>253</v>
      </c>
      <c r="F46" s="388"/>
      <c r="G46" s="388"/>
      <c r="H46" s="388"/>
      <c r="I46" s="389"/>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25">
      <c r="A47" s="75"/>
      <c r="B47" s="349"/>
      <c r="C47" s="349"/>
      <c r="D47" s="350"/>
      <c r="E47" s="406"/>
      <c r="F47" s="391"/>
      <c r="G47" s="391"/>
      <c r="H47" s="391"/>
      <c r="I47" s="392"/>
      <c r="J47" s="68" t="str">
        <f>IF(AND('Mapa final'!$AF$13="Muy Baja",'Mapa final'!$AH$13="Leve"),CONCATENATE("R2C",'Mapa final'!$U$13),"")</f>
        <v>R2C1</v>
      </c>
      <c r="K47" s="69" t="str">
        <f>IF(AND('Mapa final'!$AF$24="Muy Baja",'Mapa final'!$AH$24="Leve"),CONCATENATE("R2C",'Mapa final'!$U$24),"")</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final'!$AF$13="Muy Baja",'Mapa final'!$AH$13="Menor"),CONCATENATE("R2C",'Mapa final'!$U$13),"")</f>
        <v/>
      </c>
      <c r="Q47" s="69" t="str">
        <f>IF(AND('Mapa final'!$AF$24="Muy Baja",'Mapa final'!$AH$24="Menor"),CONCATENATE("R2C",'Mapa final'!$U$24),"")</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final'!$AF$13="Muy Baja",'Mapa final'!$AH$13="Moderado"),CONCATENATE("R2C",'Mapa final'!$U$13),"")</f>
        <v/>
      </c>
      <c r="W47" s="60" t="str">
        <f>IF(AND('Mapa final'!$AF$24="Muy Baja",'Mapa final'!$AH$24="Moderado"),CONCATENATE("R2C",'Mapa final'!$U$24),"")</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final'!$AF$13="Muy Baja",'Mapa final'!$AH$13="Mayor"),CONCATENATE("R2C",'Mapa final'!$U$13),"")</f>
        <v/>
      </c>
      <c r="AC47" s="45" t="str">
        <f>IF(AND('Mapa final'!$AF$24="Muy Baja",'Mapa final'!$AH$24="Mayor"),CONCATENATE("R2C",'Mapa final'!$U$24),"")</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final'!$AF$13="Muy Baja",'Mapa final'!$AH$13="Catastrófico"),CONCATENATE("R2C",'Mapa final'!$U$13),"")</f>
        <v/>
      </c>
      <c r="AI47" s="48" t="str">
        <f>IF(AND('Mapa final'!$AF$24="Muy Baja",'Mapa final'!$AH$24="Catastrófico"),CONCATENATE("R2C",'Mapa final'!$U$24),"")</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25">
      <c r="A48" s="75"/>
      <c r="B48" s="349"/>
      <c r="C48" s="349"/>
      <c r="D48" s="350"/>
      <c r="E48" s="406"/>
      <c r="F48" s="391"/>
      <c r="G48" s="391"/>
      <c r="H48" s="391"/>
      <c r="I48" s="392"/>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25">
      <c r="A49" s="75"/>
      <c r="B49" s="349"/>
      <c r="C49" s="349"/>
      <c r="D49" s="350"/>
      <c r="E49" s="390"/>
      <c r="F49" s="391"/>
      <c r="G49" s="391"/>
      <c r="H49" s="391"/>
      <c r="I49" s="392"/>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25">
      <c r="A50" s="75"/>
      <c r="B50" s="349"/>
      <c r="C50" s="349"/>
      <c r="D50" s="350"/>
      <c r="E50" s="390"/>
      <c r="F50" s="391"/>
      <c r="G50" s="391"/>
      <c r="H50" s="391"/>
      <c r="I50" s="392"/>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25">
      <c r="A51" s="75"/>
      <c r="B51" s="349"/>
      <c r="C51" s="349"/>
      <c r="D51" s="350"/>
      <c r="E51" s="390"/>
      <c r="F51" s="391"/>
      <c r="G51" s="391"/>
      <c r="H51" s="391"/>
      <c r="I51" s="392"/>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25">
      <c r="A52" s="75"/>
      <c r="B52" s="349"/>
      <c r="C52" s="349"/>
      <c r="D52" s="350"/>
      <c r="E52" s="390"/>
      <c r="F52" s="391"/>
      <c r="G52" s="391"/>
      <c r="H52" s="391"/>
      <c r="I52" s="392"/>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25">
      <c r="A53" s="75"/>
      <c r="B53" s="349"/>
      <c r="C53" s="349"/>
      <c r="D53" s="350"/>
      <c r="E53" s="390"/>
      <c r="F53" s="391"/>
      <c r="G53" s="391"/>
      <c r="H53" s="391"/>
      <c r="I53" s="392"/>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25">
      <c r="A54" s="75"/>
      <c r="B54" s="349"/>
      <c r="C54" s="349"/>
      <c r="D54" s="350"/>
      <c r="E54" s="390"/>
      <c r="F54" s="391"/>
      <c r="G54" s="391"/>
      <c r="H54" s="391"/>
      <c r="I54" s="392"/>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
      <c r="A55" s="75"/>
      <c r="B55" s="349"/>
      <c r="C55" s="349"/>
      <c r="D55" s="350"/>
      <c r="E55" s="393"/>
      <c r="F55" s="394"/>
      <c r="G55" s="394"/>
      <c r="H55" s="394"/>
      <c r="I55" s="395"/>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25">
      <c r="A56" s="75"/>
      <c r="B56" s="75"/>
      <c r="C56" s="75"/>
      <c r="D56" s="75"/>
      <c r="E56" s="75"/>
      <c r="F56" s="75"/>
      <c r="G56" s="75"/>
      <c r="H56" s="75"/>
      <c r="I56" s="75"/>
      <c r="J56" s="387" t="s">
        <v>254</v>
      </c>
      <c r="K56" s="388"/>
      <c r="L56" s="388"/>
      <c r="M56" s="388"/>
      <c r="N56" s="388"/>
      <c r="O56" s="389"/>
      <c r="P56" s="387" t="s">
        <v>255</v>
      </c>
      <c r="Q56" s="388"/>
      <c r="R56" s="388"/>
      <c r="S56" s="388"/>
      <c r="T56" s="388"/>
      <c r="U56" s="389"/>
      <c r="V56" s="387" t="s">
        <v>256</v>
      </c>
      <c r="W56" s="388"/>
      <c r="X56" s="388"/>
      <c r="Y56" s="388"/>
      <c r="Z56" s="388"/>
      <c r="AA56" s="389"/>
      <c r="AB56" s="387" t="s">
        <v>257</v>
      </c>
      <c r="AC56" s="396"/>
      <c r="AD56" s="388"/>
      <c r="AE56" s="388"/>
      <c r="AF56" s="388"/>
      <c r="AG56" s="389"/>
      <c r="AH56" s="387" t="s">
        <v>258</v>
      </c>
      <c r="AI56" s="388"/>
      <c r="AJ56" s="388"/>
      <c r="AK56" s="388"/>
      <c r="AL56" s="388"/>
      <c r="AM56" s="389"/>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25">
      <c r="A57" s="75"/>
      <c r="B57" s="75"/>
      <c r="C57" s="75"/>
      <c r="D57" s="75"/>
      <c r="E57" s="75"/>
      <c r="F57" s="75"/>
      <c r="G57" s="75"/>
      <c r="H57" s="75"/>
      <c r="I57" s="75"/>
      <c r="J57" s="390"/>
      <c r="K57" s="391"/>
      <c r="L57" s="391"/>
      <c r="M57" s="391"/>
      <c r="N57" s="391"/>
      <c r="O57" s="392"/>
      <c r="P57" s="390"/>
      <c r="Q57" s="391"/>
      <c r="R57" s="391"/>
      <c r="S57" s="391"/>
      <c r="T57" s="391"/>
      <c r="U57" s="392"/>
      <c r="V57" s="390"/>
      <c r="W57" s="391"/>
      <c r="X57" s="391"/>
      <c r="Y57" s="391"/>
      <c r="Z57" s="391"/>
      <c r="AA57" s="392"/>
      <c r="AB57" s="390"/>
      <c r="AC57" s="391"/>
      <c r="AD57" s="391"/>
      <c r="AE57" s="391"/>
      <c r="AF57" s="391"/>
      <c r="AG57" s="392"/>
      <c r="AH57" s="390"/>
      <c r="AI57" s="391"/>
      <c r="AJ57" s="391"/>
      <c r="AK57" s="391"/>
      <c r="AL57" s="391"/>
      <c r="AM57" s="392"/>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25">
      <c r="A58" s="75"/>
      <c r="B58" s="75"/>
      <c r="C58" s="75"/>
      <c r="D58" s="75"/>
      <c r="E58" s="75"/>
      <c r="F58" s="75"/>
      <c r="G58" s="75"/>
      <c r="H58" s="75"/>
      <c r="I58" s="75"/>
      <c r="J58" s="390"/>
      <c r="K58" s="391"/>
      <c r="L58" s="391"/>
      <c r="M58" s="391"/>
      <c r="N58" s="391"/>
      <c r="O58" s="392"/>
      <c r="P58" s="390"/>
      <c r="Q58" s="391"/>
      <c r="R58" s="391"/>
      <c r="S58" s="391"/>
      <c r="T58" s="391"/>
      <c r="U58" s="392"/>
      <c r="V58" s="390"/>
      <c r="W58" s="391"/>
      <c r="X58" s="391"/>
      <c r="Y58" s="391"/>
      <c r="Z58" s="391"/>
      <c r="AA58" s="392"/>
      <c r="AB58" s="390"/>
      <c r="AC58" s="391"/>
      <c r="AD58" s="391"/>
      <c r="AE58" s="391"/>
      <c r="AF58" s="391"/>
      <c r="AG58" s="392"/>
      <c r="AH58" s="390"/>
      <c r="AI58" s="391"/>
      <c r="AJ58" s="391"/>
      <c r="AK58" s="391"/>
      <c r="AL58" s="391"/>
      <c r="AM58" s="392"/>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25">
      <c r="A59" s="75"/>
      <c r="B59" s="75"/>
      <c r="C59" s="75"/>
      <c r="D59" s="75"/>
      <c r="E59" s="75"/>
      <c r="F59" s="75"/>
      <c r="G59" s="75"/>
      <c r="H59" s="75"/>
      <c r="I59" s="75"/>
      <c r="J59" s="390"/>
      <c r="K59" s="391"/>
      <c r="L59" s="391"/>
      <c r="M59" s="391"/>
      <c r="N59" s="391"/>
      <c r="O59" s="392"/>
      <c r="P59" s="390"/>
      <c r="Q59" s="391"/>
      <c r="R59" s="391"/>
      <c r="S59" s="391"/>
      <c r="T59" s="391"/>
      <c r="U59" s="392"/>
      <c r="V59" s="390"/>
      <c r="W59" s="391"/>
      <c r="X59" s="391"/>
      <c r="Y59" s="391"/>
      <c r="Z59" s="391"/>
      <c r="AA59" s="392"/>
      <c r="AB59" s="390"/>
      <c r="AC59" s="391"/>
      <c r="AD59" s="391"/>
      <c r="AE59" s="391"/>
      <c r="AF59" s="391"/>
      <c r="AG59" s="392"/>
      <c r="AH59" s="390"/>
      <c r="AI59" s="391"/>
      <c r="AJ59" s="391"/>
      <c r="AK59" s="391"/>
      <c r="AL59" s="391"/>
      <c r="AM59" s="392"/>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25">
      <c r="A60" s="75"/>
      <c r="B60" s="75"/>
      <c r="C60" s="75"/>
      <c r="D60" s="75"/>
      <c r="E60" s="75"/>
      <c r="F60" s="75"/>
      <c r="G60" s="75"/>
      <c r="H60" s="75"/>
      <c r="I60" s="75"/>
      <c r="J60" s="390"/>
      <c r="K60" s="391"/>
      <c r="L60" s="391"/>
      <c r="M60" s="391"/>
      <c r="N60" s="391"/>
      <c r="O60" s="392"/>
      <c r="P60" s="390"/>
      <c r="Q60" s="391"/>
      <c r="R60" s="391"/>
      <c r="S60" s="391"/>
      <c r="T60" s="391"/>
      <c r="U60" s="392"/>
      <c r="V60" s="390"/>
      <c r="W60" s="391"/>
      <c r="X60" s="391"/>
      <c r="Y60" s="391"/>
      <c r="Z60" s="391"/>
      <c r="AA60" s="392"/>
      <c r="AB60" s="390"/>
      <c r="AC60" s="391"/>
      <c r="AD60" s="391"/>
      <c r="AE60" s="391"/>
      <c r="AF60" s="391"/>
      <c r="AG60" s="392"/>
      <c r="AH60" s="390"/>
      <c r="AI60" s="391"/>
      <c r="AJ60" s="391"/>
      <c r="AK60" s="391"/>
      <c r="AL60" s="391"/>
      <c r="AM60" s="392"/>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75" thickBot="1" x14ac:dyDescent="0.3">
      <c r="A61" s="75"/>
      <c r="B61" s="75"/>
      <c r="C61" s="75"/>
      <c r="D61" s="75"/>
      <c r="E61" s="75"/>
      <c r="F61" s="75"/>
      <c r="G61" s="75"/>
      <c r="H61" s="75"/>
      <c r="I61" s="75"/>
      <c r="J61" s="393"/>
      <c r="K61" s="394"/>
      <c r="L61" s="394"/>
      <c r="M61" s="394"/>
      <c r="N61" s="394"/>
      <c r="O61" s="395"/>
      <c r="P61" s="393"/>
      <c r="Q61" s="394"/>
      <c r="R61" s="394"/>
      <c r="S61" s="394"/>
      <c r="T61" s="394"/>
      <c r="U61" s="395"/>
      <c r="V61" s="393"/>
      <c r="W61" s="394"/>
      <c r="X61" s="394"/>
      <c r="Y61" s="394"/>
      <c r="Z61" s="394"/>
      <c r="AA61" s="395"/>
      <c r="AB61" s="393"/>
      <c r="AC61" s="394"/>
      <c r="AD61" s="394"/>
      <c r="AE61" s="394"/>
      <c r="AF61" s="394"/>
      <c r="AG61" s="395"/>
      <c r="AH61" s="393"/>
      <c r="AI61" s="394"/>
      <c r="AJ61" s="394"/>
      <c r="AK61" s="394"/>
      <c r="AL61" s="394"/>
      <c r="AM61" s="39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2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25">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25">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2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2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2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2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2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2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2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2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2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2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2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2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2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2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2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2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2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2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2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2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2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2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2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2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2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2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2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2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2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2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2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2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2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2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2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2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2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2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2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2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2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2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2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2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2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25">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25">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25">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25">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2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2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25">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25">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25">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25">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25">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25">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25">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25">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25">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25">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25">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25">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25">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25">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25">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2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25">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25">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25">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25">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25">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25">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25">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2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25">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25">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25">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2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25">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25">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25">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25">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2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25">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25">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25">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25">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25">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25">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25">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25">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25">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2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25">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25">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25">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25">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25">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25">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25">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25">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25">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2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25">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25">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25">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25">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25">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25">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25">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25">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25">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2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25">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25">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25">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25">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25">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25">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25">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25">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25">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25">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25">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25">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25">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25">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25">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25">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25">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25">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25">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25">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25">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25">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25">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25">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25">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25">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25">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25">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25">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25">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25">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25">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25">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25">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25">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25">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25">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25">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25">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25">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25">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25">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25">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25">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25">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25">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25">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25">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25">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25">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25">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25">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25">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25">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25">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25">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25">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25">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25">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25">
      <c r="A245" s="75"/>
    </row>
    <row r="246" spans="1:60" x14ac:dyDescent="0.25">
      <c r="A246" s="75"/>
    </row>
    <row r="247" spans="1:60" x14ac:dyDescent="0.25">
      <c r="A247" s="75"/>
    </row>
    <row r="248" spans="1:60" x14ac:dyDescent="0.25">
      <c r="A248" s="7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75"/>
      <c r="B1" s="436" t="s">
        <v>260</v>
      </c>
      <c r="C1" s="436"/>
      <c r="D1" s="436"/>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261</v>
      </c>
      <c r="D3" s="9" t="s">
        <v>116</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262</v>
      </c>
      <c r="C4" s="11" t="s">
        <v>263</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264</v>
      </c>
      <c r="C5" s="14" t="s">
        <v>265</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266</v>
      </c>
      <c r="C6" s="14" t="s">
        <v>267</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268</v>
      </c>
      <c r="C7" s="14" t="s">
        <v>269</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270</v>
      </c>
      <c r="C8" s="14" t="s">
        <v>271</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1"/>
  <sheetViews>
    <sheetView showGridLines="0" view="pageBreakPreview" zoomScale="90" zoomScaleNormal="70" zoomScaleSheetLayoutView="90" workbookViewId="0">
      <pane xSplit="4" ySplit="8" topLeftCell="E9" activePane="bottomRight" state="frozen"/>
      <selection pane="topRight" activeCell="B9" sqref="B9"/>
      <selection pane="bottomLeft" activeCell="B9" sqref="B9"/>
      <selection pane="bottomRight" activeCell="G2" sqref="G2:G8"/>
    </sheetView>
  </sheetViews>
  <sheetFormatPr baseColWidth="10" defaultColWidth="14.28515625" defaultRowHeight="12" x14ac:dyDescent="0.25"/>
  <cols>
    <col min="1" max="1" width="21.28515625" style="161" hidden="1" customWidth="1"/>
    <col min="2" max="2" width="37.85546875" style="161" hidden="1" customWidth="1"/>
    <col min="3" max="3" width="24.42578125" style="162" hidden="1" customWidth="1"/>
    <col min="4" max="4" width="16.140625" style="162" hidden="1" customWidth="1"/>
    <col min="5" max="5" width="10.28515625" style="161" customWidth="1"/>
    <col min="6" max="7" width="13.5703125" style="163" customWidth="1"/>
    <col min="8" max="24" width="13.5703125" style="161" customWidth="1"/>
    <col min="25" max="253" width="11.42578125" style="161" customWidth="1"/>
    <col min="254" max="254" width="12.7109375" style="161" customWidth="1"/>
    <col min="255" max="255" width="47" style="161" customWidth="1"/>
    <col min="256" max="256" width="35" style="161" customWidth="1"/>
    <col min="257" max="16384" width="14.28515625" style="161"/>
  </cols>
  <sheetData>
    <row r="1" spans="1:24" s="159" customFormat="1" ht="24.6" customHeight="1" x14ac:dyDescent="0.25">
      <c r="A1" s="442"/>
      <c r="B1" s="444" t="str">
        <f>+'[2]2 Contexto e Identificación'!B1</f>
        <v>MAPA DE RIESGOS DE CORRUPCIÓN</v>
      </c>
      <c r="C1" s="157" t="str">
        <f>+'[2]2 Contexto e Identificación'!C1</f>
        <v>Código:</v>
      </c>
      <c r="D1" s="158">
        <f>+'[2]2 Contexto e Identificación'!D1</f>
        <v>0</v>
      </c>
      <c r="F1" s="446" t="s">
        <v>272</v>
      </c>
      <c r="G1" s="446"/>
      <c r="H1" s="446"/>
      <c r="I1" s="446"/>
      <c r="J1" s="446"/>
      <c r="K1" s="446"/>
      <c r="L1" s="446"/>
      <c r="M1" s="446"/>
    </row>
    <row r="2" spans="1:24" s="159" customFormat="1" ht="24.6" customHeight="1" x14ac:dyDescent="0.25">
      <c r="A2" s="443"/>
      <c r="B2" s="445"/>
      <c r="C2" s="157" t="str">
        <f>+'[2]2 Contexto e Identificación'!C2</f>
        <v>Versión:</v>
      </c>
      <c r="D2" s="160">
        <f>+'[2]2 Contexto e Identificación'!D2</f>
        <v>0</v>
      </c>
      <c r="F2" s="441" t="s">
        <v>273</v>
      </c>
      <c r="G2" s="441" t="s">
        <v>274</v>
      </c>
      <c r="H2" s="441" t="s">
        <v>275</v>
      </c>
      <c r="I2" s="441" t="s">
        <v>276</v>
      </c>
      <c r="J2" s="441" t="s">
        <v>277</v>
      </c>
      <c r="K2" s="441" t="s">
        <v>278</v>
      </c>
      <c r="L2" s="441" t="s">
        <v>279</v>
      </c>
      <c r="M2" s="441" t="s">
        <v>280</v>
      </c>
      <c r="N2" s="447" t="s">
        <v>281</v>
      </c>
      <c r="O2" s="441" t="s">
        <v>282</v>
      </c>
      <c r="P2" s="441" t="s">
        <v>283</v>
      </c>
      <c r="Q2" s="441" t="s">
        <v>284</v>
      </c>
      <c r="R2" s="441" t="s">
        <v>285</v>
      </c>
      <c r="S2" s="441" t="s">
        <v>286</v>
      </c>
      <c r="T2" s="441" t="s">
        <v>287</v>
      </c>
      <c r="U2" s="446" t="s">
        <v>288</v>
      </c>
      <c r="V2" s="441" t="s">
        <v>289</v>
      </c>
      <c r="W2" s="441" t="s">
        <v>290</v>
      </c>
      <c r="X2" s="441" t="s">
        <v>291</v>
      </c>
    </row>
    <row r="3" spans="1:24" ht="3.6" customHeight="1" x14ac:dyDescent="0.25">
      <c r="E3" s="163"/>
      <c r="F3" s="441"/>
      <c r="G3" s="441"/>
      <c r="H3" s="441"/>
      <c r="I3" s="441"/>
      <c r="J3" s="441"/>
      <c r="K3" s="441"/>
      <c r="L3" s="441"/>
      <c r="M3" s="441"/>
      <c r="N3" s="447"/>
      <c r="O3" s="441"/>
      <c r="P3" s="441"/>
      <c r="Q3" s="441"/>
      <c r="R3" s="441"/>
      <c r="S3" s="441"/>
      <c r="T3" s="441"/>
      <c r="U3" s="446"/>
      <c r="V3" s="441"/>
      <c r="W3" s="441"/>
      <c r="X3" s="441"/>
    </row>
    <row r="4" spans="1:24" ht="14.45" customHeight="1" x14ac:dyDescent="0.25">
      <c r="A4" s="164" t="s">
        <v>292</v>
      </c>
      <c r="B4" s="165" t="str">
        <f>+IF('[2]2 Contexto e Identificación'!$B$4="","",'[2]2 Contexto e Identificación'!$B$4)</f>
        <v xml:space="preserve">Departamento Nacional de Planeación </v>
      </c>
      <c r="D4" s="161"/>
      <c r="F4" s="441"/>
      <c r="G4" s="441"/>
      <c r="H4" s="441"/>
      <c r="I4" s="441"/>
      <c r="J4" s="441"/>
      <c r="K4" s="441"/>
      <c r="L4" s="441"/>
      <c r="M4" s="441"/>
      <c r="N4" s="447"/>
      <c r="O4" s="441"/>
      <c r="P4" s="441"/>
      <c r="Q4" s="441"/>
      <c r="R4" s="441"/>
      <c r="S4" s="441"/>
      <c r="T4" s="441"/>
      <c r="U4" s="446"/>
      <c r="V4" s="441"/>
      <c r="W4" s="441"/>
      <c r="X4" s="441"/>
    </row>
    <row r="5" spans="1:24" x14ac:dyDescent="0.25">
      <c r="A5" s="166"/>
      <c r="D5" s="161"/>
      <c r="F5" s="441"/>
      <c r="G5" s="441"/>
      <c r="H5" s="441"/>
      <c r="I5" s="441"/>
      <c r="J5" s="441"/>
      <c r="K5" s="441"/>
      <c r="L5" s="441"/>
      <c r="M5" s="441"/>
      <c r="N5" s="447"/>
      <c r="O5" s="441"/>
      <c r="P5" s="441"/>
      <c r="Q5" s="441"/>
      <c r="R5" s="441"/>
      <c r="S5" s="441"/>
      <c r="T5" s="441"/>
      <c r="U5" s="446"/>
      <c r="V5" s="441"/>
      <c r="W5" s="441"/>
      <c r="X5" s="441"/>
    </row>
    <row r="6" spans="1:24" ht="25.5" customHeight="1" x14ac:dyDescent="0.25">
      <c r="A6" s="437" t="s">
        <v>293</v>
      </c>
      <c r="B6" s="437"/>
      <c r="C6" s="161"/>
      <c r="D6" s="161"/>
      <c r="F6" s="441"/>
      <c r="G6" s="441"/>
      <c r="H6" s="441"/>
      <c r="I6" s="441"/>
      <c r="J6" s="441"/>
      <c r="K6" s="441"/>
      <c r="L6" s="441"/>
      <c r="M6" s="441"/>
      <c r="N6" s="447"/>
      <c r="O6" s="441"/>
      <c r="P6" s="441"/>
      <c r="Q6" s="441"/>
      <c r="R6" s="441"/>
      <c r="S6" s="441"/>
      <c r="T6" s="441"/>
      <c r="U6" s="446"/>
      <c r="V6" s="441"/>
      <c r="W6" s="441"/>
      <c r="X6" s="441"/>
    </row>
    <row r="7" spans="1:24" ht="6.95" customHeight="1" x14ac:dyDescent="0.25">
      <c r="D7" s="167"/>
      <c r="F7" s="441"/>
      <c r="G7" s="441"/>
      <c r="H7" s="441"/>
      <c r="I7" s="441"/>
      <c r="J7" s="441"/>
      <c r="K7" s="441"/>
      <c r="L7" s="441"/>
      <c r="M7" s="441"/>
      <c r="N7" s="447"/>
      <c r="O7" s="441"/>
      <c r="P7" s="441"/>
      <c r="Q7" s="441"/>
      <c r="R7" s="441"/>
      <c r="S7" s="441"/>
      <c r="T7" s="441"/>
      <c r="U7" s="446"/>
      <c r="V7" s="441"/>
      <c r="W7" s="441"/>
      <c r="X7" s="441"/>
    </row>
    <row r="8" spans="1:24" ht="25.5" customHeight="1" x14ac:dyDescent="0.25">
      <c r="A8" s="168" t="s">
        <v>294</v>
      </c>
      <c r="B8" s="169" t="s">
        <v>21</v>
      </c>
      <c r="C8" s="170" t="s">
        <v>295</v>
      </c>
      <c r="D8" s="170" t="s">
        <v>296</v>
      </c>
      <c r="F8" s="441"/>
      <c r="G8" s="441"/>
      <c r="H8" s="441"/>
      <c r="I8" s="441"/>
      <c r="J8" s="441"/>
      <c r="K8" s="441"/>
      <c r="L8" s="441"/>
      <c r="M8" s="441"/>
      <c r="N8" s="447"/>
      <c r="O8" s="441"/>
      <c r="P8" s="441"/>
      <c r="Q8" s="441"/>
      <c r="R8" s="441"/>
      <c r="S8" s="441"/>
      <c r="T8" s="441"/>
      <c r="U8" s="446"/>
      <c r="V8" s="441"/>
      <c r="W8" s="441"/>
      <c r="X8" s="441"/>
    </row>
    <row r="9" spans="1:24" ht="50.45" customHeight="1" x14ac:dyDescent="0.25">
      <c r="A9" s="171" t="str">
        <f>'[2]2 Contexto e Identificación'!A9</f>
        <v>R1</v>
      </c>
      <c r="B9" s="172" t="str">
        <f>+'[2]2 Contexto e Identificación'!E9</f>
        <v>Posibilidad de recibir o solicitar cualquier dádiva o beneficio a nombre propio o de terceros Para calcular y/o distribuir los recursos del SGR</v>
      </c>
      <c r="C9" s="173" t="str">
        <f t="array" ref="C9">+_xlfn.IFS(D9=0,"",U9='[2]13 Formulas'!$J$3,'[2]13 Formulas'!$L$7,D9&gt;=12,'[2]13 Formulas'!$L$7,D9&gt;=6,'[2]13 Formulas'!$L$6,D9&gt;=1,'[2]13 Formulas'!$L$5)</f>
        <v>Catastrófico</v>
      </c>
      <c r="D9" s="174">
        <f>+COUNTIF(F9:X9,'[2]13 Formulas'!$J$3)</f>
        <v>15</v>
      </c>
      <c r="E9" s="175"/>
      <c r="F9" s="176" t="s">
        <v>297</v>
      </c>
      <c r="G9" s="176" t="s">
        <v>297</v>
      </c>
      <c r="H9" s="176" t="s">
        <v>297</v>
      </c>
      <c r="I9" s="176" t="s">
        <v>297</v>
      </c>
      <c r="J9" s="176" t="s">
        <v>297</v>
      </c>
      <c r="K9" s="176" t="s">
        <v>297</v>
      </c>
      <c r="L9" s="176" t="s">
        <v>297</v>
      </c>
      <c r="M9" s="176" t="s">
        <v>297</v>
      </c>
      <c r="N9" s="176" t="s">
        <v>298</v>
      </c>
      <c r="O9" s="176" t="s">
        <v>297</v>
      </c>
      <c r="P9" s="176" t="s">
        <v>297</v>
      </c>
      <c r="Q9" s="176" t="s">
        <v>297</v>
      </c>
      <c r="R9" s="176" t="s">
        <v>297</v>
      </c>
      <c r="S9" s="176" t="s">
        <v>297</v>
      </c>
      <c r="T9" s="176" t="s">
        <v>297</v>
      </c>
      <c r="U9" s="176" t="s">
        <v>298</v>
      </c>
      <c r="V9" s="176" t="s">
        <v>298</v>
      </c>
      <c r="W9" s="176" t="s">
        <v>297</v>
      </c>
      <c r="X9" s="176" t="s">
        <v>298</v>
      </c>
    </row>
    <row r="10" spans="1:24" ht="50.45" customHeight="1" x14ac:dyDescent="0.25">
      <c r="A10" s="171" t="str">
        <f>'[2]2 Contexto e Identificación'!A10</f>
        <v>R2</v>
      </c>
      <c r="B10" s="172" t="str">
        <f>+'[2]2 Contexto e Identificación'!E10</f>
        <v>Posibilidad de recibir o solicitar cualquier dádiva o beneficio a nombre propio o de terceros Para direccionar el resultado de la evaluación de un PPPP</v>
      </c>
      <c r="C10" s="173" t="str">
        <f t="array" ref="C10">+_xlfn.IFS(D10=0,"",U10='[2]13 Formulas'!$J$3,'[2]13 Formulas'!$L$7,D10&gt;=12,'[2]13 Formulas'!$L$7,D10&gt;=6,'[2]13 Formulas'!$L$6,D10&gt;=1,'[2]13 Formulas'!$L$5)</f>
        <v>Mayor</v>
      </c>
      <c r="D10" s="174">
        <f>+COUNTIF(F10:X10,'[2]13 Formulas'!$J$3)</f>
        <v>7</v>
      </c>
      <c r="E10" s="175"/>
      <c r="F10" s="176" t="s">
        <v>297</v>
      </c>
      <c r="G10" s="176" t="s">
        <v>298</v>
      </c>
      <c r="H10" s="176" t="s">
        <v>297</v>
      </c>
      <c r="I10" s="176" t="s">
        <v>297</v>
      </c>
      <c r="J10" s="176" t="s">
        <v>297</v>
      </c>
      <c r="K10" s="176" t="s">
        <v>298</v>
      </c>
      <c r="L10" s="176" t="s">
        <v>298</v>
      </c>
      <c r="M10" s="176" t="s">
        <v>298</v>
      </c>
      <c r="N10" s="176" t="s">
        <v>297</v>
      </c>
      <c r="O10" s="176" t="s">
        <v>298</v>
      </c>
      <c r="P10" s="176" t="s">
        <v>298</v>
      </c>
      <c r="Q10" s="176" t="s">
        <v>297</v>
      </c>
      <c r="R10" s="176" t="s">
        <v>298</v>
      </c>
      <c r="S10" s="176" t="s">
        <v>298</v>
      </c>
      <c r="T10" s="176" t="s">
        <v>298</v>
      </c>
      <c r="U10" s="176" t="s">
        <v>298</v>
      </c>
      <c r="V10" s="176" t="s">
        <v>298</v>
      </c>
      <c r="W10" s="176" t="s">
        <v>297</v>
      </c>
      <c r="X10" s="176" t="s">
        <v>298</v>
      </c>
    </row>
    <row r="11" spans="1:24" ht="50.45" customHeight="1" x14ac:dyDescent="0.25">
      <c r="A11" s="171" t="str">
        <f>'[2]2 Contexto e Identificación'!A11</f>
        <v>R3</v>
      </c>
      <c r="B11" s="172" t="str">
        <f>+'[2]2 Contexto e Identificación'!E11</f>
        <v>Posibilidad de recibir o solicitar cualquier dádiva o beneficio a nombre propio o de terceros Con el objetivo de direccionar la toma de decisiones a partir de la información consolidada y divulgada sobre los proyectos financiados con recursos del SGR</v>
      </c>
      <c r="C11" s="173" t="str">
        <f t="array" ref="C11">+_xlfn.IFS(D11=0,"",U11='[2]13 Formulas'!$J$3,'[2]13 Formulas'!$L$7,D11&gt;=12,'[2]13 Formulas'!$L$7,D11&gt;=6,'[2]13 Formulas'!$L$6,D11&gt;=1,'[2]13 Formulas'!$L$5)</f>
        <v>Catastrófico</v>
      </c>
      <c r="D11" s="174">
        <f>+COUNTIF(F11:X11,'[2]13 Formulas'!$J$3)</f>
        <v>14</v>
      </c>
      <c r="E11" s="175"/>
      <c r="F11" s="176" t="s">
        <v>297</v>
      </c>
      <c r="G11" s="176" t="s">
        <v>297</v>
      </c>
      <c r="H11" s="176" t="s">
        <v>297</v>
      </c>
      <c r="I11" s="176" t="s">
        <v>297</v>
      </c>
      <c r="J11" s="176" t="s">
        <v>297</v>
      </c>
      <c r="K11" s="176" t="s">
        <v>298</v>
      </c>
      <c r="L11" s="176" t="s">
        <v>297</v>
      </c>
      <c r="M11" s="176" t="s">
        <v>298</v>
      </c>
      <c r="N11" s="176" t="s">
        <v>297</v>
      </c>
      <c r="O11" s="176" t="s">
        <v>297</v>
      </c>
      <c r="P11" s="176" t="s">
        <v>297</v>
      </c>
      <c r="Q11" s="176" t="s">
        <v>297</v>
      </c>
      <c r="R11" s="176" t="s">
        <v>297</v>
      </c>
      <c r="S11" s="176" t="s">
        <v>297</v>
      </c>
      <c r="T11" s="176" t="s">
        <v>297</v>
      </c>
      <c r="U11" s="176" t="s">
        <v>298</v>
      </c>
      <c r="V11" s="176" t="s">
        <v>298</v>
      </c>
      <c r="W11" s="176" t="s">
        <v>297</v>
      </c>
      <c r="X11" s="176" t="s">
        <v>298</v>
      </c>
    </row>
    <row r="12" spans="1:24" ht="50.45" customHeight="1" x14ac:dyDescent="0.25">
      <c r="A12" s="171" t="str">
        <f>'[2]2 Contexto e Identificación'!A12</f>
        <v>R4</v>
      </c>
      <c r="B12" s="172" t="str">
        <f>+'[2]2 Contexto e Identificación'!E12</f>
        <v>Posibilidad de recibir o solicitar cualquier dádiva o beneficio a nombre propio o de terceros Para emitir un Concepto Técnico Único Sectorial sobre un proyecto a ser financiado con recursos del SGR</v>
      </c>
      <c r="C12" s="173" t="str">
        <f t="array" ref="C12">+_xlfn.IFS(D12=0,"",U12='[2]13 Formulas'!$J$3,'[2]13 Formulas'!$L$7,D12&gt;=12,'[2]13 Formulas'!$L$7,D12&gt;=6,'[2]13 Formulas'!$L$6,D12&gt;=1,'[2]13 Formulas'!$L$5)</f>
        <v>Mayor</v>
      </c>
      <c r="D12" s="174">
        <f>+COUNTIF(F12:X12,'[2]13 Formulas'!$J$3)</f>
        <v>9</v>
      </c>
      <c r="E12" s="175"/>
      <c r="F12" s="176" t="s">
        <v>297</v>
      </c>
      <c r="G12" s="176" t="s">
        <v>298</v>
      </c>
      <c r="H12" s="176" t="s">
        <v>298</v>
      </c>
      <c r="I12" s="176" t="s">
        <v>297</v>
      </c>
      <c r="J12" s="176" t="s">
        <v>297</v>
      </c>
      <c r="K12" s="176" t="s">
        <v>298</v>
      </c>
      <c r="L12" s="176" t="s">
        <v>297</v>
      </c>
      <c r="M12" s="176" t="s">
        <v>298</v>
      </c>
      <c r="N12" s="176" t="s">
        <v>298</v>
      </c>
      <c r="O12" s="176" t="s">
        <v>297</v>
      </c>
      <c r="P12" s="176" t="s">
        <v>297</v>
      </c>
      <c r="Q12" s="176" t="s">
        <v>297</v>
      </c>
      <c r="R12" s="176" t="s">
        <v>298</v>
      </c>
      <c r="S12" s="176" t="s">
        <v>298</v>
      </c>
      <c r="T12" s="176" t="s">
        <v>297</v>
      </c>
      <c r="U12" s="176" t="s">
        <v>298</v>
      </c>
      <c r="V12" s="176" t="s">
        <v>298</v>
      </c>
      <c r="W12" s="176" t="s">
        <v>297</v>
      </c>
      <c r="X12" s="176" t="s">
        <v>298</v>
      </c>
    </row>
    <row r="13" spans="1:24" ht="50.45" customHeight="1" x14ac:dyDescent="0.25">
      <c r="A13" s="171" t="str">
        <f>'[2]2 Contexto e Identificación'!A13</f>
        <v>R5</v>
      </c>
      <c r="B13" s="172" t="str">
        <f>+'[2]2 Contexto e Identificación'!E13</f>
        <v>Posibilidad de recibir o solicitar cualquier dádiva o beneficio a nombre propio o de terceros Para agilizar la emisión de la ficha de verificación de requisitos de los proyectos a ser financiados con recursos de Asignación Paz del SGR</v>
      </c>
      <c r="C13" s="173" t="str">
        <f t="array" ref="C13">+_xlfn.IFS(D13=0,"",U13='[2]13 Formulas'!$J$3,'[2]13 Formulas'!$L$7,D13&gt;=12,'[2]13 Formulas'!$L$7,D13&gt;=6,'[2]13 Formulas'!$L$6,D13&gt;=1,'[2]13 Formulas'!$L$5)</f>
        <v>Mayor</v>
      </c>
      <c r="D13" s="174">
        <f>+COUNTIF(F13:X13,'[2]13 Formulas'!$J$3)</f>
        <v>9</v>
      </c>
      <c r="E13" s="175"/>
      <c r="F13" s="176" t="s">
        <v>297</v>
      </c>
      <c r="G13" s="176" t="s">
        <v>298</v>
      </c>
      <c r="H13" s="176" t="s">
        <v>298</v>
      </c>
      <c r="I13" s="176" t="s">
        <v>297</v>
      </c>
      <c r="J13" s="176" t="s">
        <v>297</v>
      </c>
      <c r="K13" s="176" t="s">
        <v>298</v>
      </c>
      <c r="L13" s="176" t="s">
        <v>297</v>
      </c>
      <c r="M13" s="176" t="s">
        <v>298</v>
      </c>
      <c r="N13" s="176" t="s">
        <v>298</v>
      </c>
      <c r="O13" s="176" t="s">
        <v>297</v>
      </c>
      <c r="P13" s="176" t="s">
        <v>297</v>
      </c>
      <c r="Q13" s="176" t="s">
        <v>297</v>
      </c>
      <c r="R13" s="176" t="s">
        <v>298</v>
      </c>
      <c r="S13" s="176" t="s">
        <v>298</v>
      </c>
      <c r="T13" s="176" t="s">
        <v>297</v>
      </c>
      <c r="U13" s="176" t="s">
        <v>298</v>
      </c>
      <c r="V13" s="176" t="s">
        <v>298</v>
      </c>
      <c r="W13" s="176" t="s">
        <v>297</v>
      </c>
      <c r="X13" s="176" t="s">
        <v>298</v>
      </c>
    </row>
    <row r="14" spans="1:24" ht="50.45" customHeight="1" x14ac:dyDescent="0.25">
      <c r="A14" s="171" t="str">
        <f>'[2]2 Contexto e Identificación'!A14</f>
        <v>R6</v>
      </c>
      <c r="B14" s="172" t="str">
        <f>+'[2]2 Contexto e Identificación'!E14</f>
        <v>Posibilidad de recibir o solicitar cualquier dádiva o beneficio a nombre propio o de terceros Para validar el cumplimiento de requisitos normativos de un proyecto a  ser financiado con recursos del SGR</v>
      </c>
      <c r="C14" s="173" t="str">
        <f t="array" ref="C14">+_xlfn.IFS(D14=0,"",U14='[2]13 Formulas'!$J$3,'[2]13 Formulas'!$L$7,D14&gt;=12,'[2]13 Formulas'!$L$7,D14&gt;=6,'[2]13 Formulas'!$L$6,D14&gt;=1,'[2]13 Formulas'!$L$5)</f>
        <v>Mayor</v>
      </c>
      <c r="D14" s="174">
        <f>+COUNTIF(F14:X14,'[2]13 Formulas'!$J$3)</f>
        <v>9</v>
      </c>
      <c r="E14" s="175"/>
      <c r="F14" s="176" t="s">
        <v>297</v>
      </c>
      <c r="G14" s="176" t="s">
        <v>298</v>
      </c>
      <c r="H14" s="176" t="s">
        <v>298</v>
      </c>
      <c r="I14" s="176" t="s">
        <v>297</v>
      </c>
      <c r="J14" s="176" t="s">
        <v>297</v>
      </c>
      <c r="K14" s="176" t="s">
        <v>298</v>
      </c>
      <c r="L14" s="176" t="s">
        <v>297</v>
      </c>
      <c r="M14" s="176" t="s">
        <v>298</v>
      </c>
      <c r="N14" s="176" t="s">
        <v>298</v>
      </c>
      <c r="O14" s="176" t="s">
        <v>297</v>
      </c>
      <c r="P14" s="176" t="s">
        <v>297</v>
      </c>
      <c r="Q14" s="176" t="s">
        <v>297</v>
      </c>
      <c r="R14" s="176" t="s">
        <v>298</v>
      </c>
      <c r="S14" s="176" t="s">
        <v>298</v>
      </c>
      <c r="T14" s="176" t="s">
        <v>297</v>
      </c>
      <c r="U14" s="176" t="s">
        <v>298</v>
      </c>
      <c r="V14" s="176" t="s">
        <v>298</v>
      </c>
      <c r="W14" s="176" t="s">
        <v>297</v>
      </c>
      <c r="X14" s="176" t="s">
        <v>298</v>
      </c>
    </row>
    <row r="15" spans="1:24" ht="50.45" customHeight="1" x14ac:dyDescent="0.25">
      <c r="A15" s="171" t="str">
        <f>'[2]2 Contexto e Identificación'!A15</f>
        <v>R7</v>
      </c>
      <c r="B15" s="172" t="str">
        <f>+'[2]2 Contexto e Identificación'!E15</f>
        <v>Posibilidad de recibir o solicitar cualquier dádiva o beneficio a nombre propio o de terceros Para formular un proyecto a ser financiado con recursos del SGR por parte del profesional que brinda asistencia técnica o un tercero</v>
      </c>
      <c r="C15" s="173" t="str">
        <f t="array" ref="C15">+_xlfn.IFS(D15=0,"",U15='[2]13 Formulas'!$J$3,'[2]13 Formulas'!$L$7,D15&gt;=12,'[2]13 Formulas'!$L$7,D15&gt;=6,'[2]13 Formulas'!$L$6,D15&gt;=1,'[2]13 Formulas'!$L$5)</f>
        <v>Mayor</v>
      </c>
      <c r="D15" s="174">
        <f>+COUNTIF(F15:X15,'[2]13 Formulas'!$J$3)</f>
        <v>6</v>
      </c>
      <c r="E15" s="175"/>
      <c r="F15" s="176" t="s">
        <v>297</v>
      </c>
      <c r="G15" s="176" t="s">
        <v>298</v>
      </c>
      <c r="H15" s="176" t="s">
        <v>298</v>
      </c>
      <c r="I15" s="176" t="s">
        <v>298</v>
      </c>
      <c r="J15" s="176" t="s">
        <v>297</v>
      </c>
      <c r="K15" s="176" t="s">
        <v>298</v>
      </c>
      <c r="L15" s="176" t="s">
        <v>298</v>
      </c>
      <c r="M15" s="176" t="s">
        <v>298</v>
      </c>
      <c r="N15" s="176" t="s">
        <v>298</v>
      </c>
      <c r="O15" s="176" t="s">
        <v>298</v>
      </c>
      <c r="P15" s="176" t="s">
        <v>297</v>
      </c>
      <c r="Q15" s="176" t="s">
        <v>297</v>
      </c>
      <c r="R15" s="176" t="s">
        <v>298</v>
      </c>
      <c r="S15" s="176" t="s">
        <v>298</v>
      </c>
      <c r="T15" s="176" t="s">
        <v>297</v>
      </c>
      <c r="U15" s="176" t="s">
        <v>298</v>
      </c>
      <c r="V15" s="176" t="s">
        <v>297</v>
      </c>
      <c r="W15" s="176" t="s">
        <v>298</v>
      </c>
      <c r="X15" s="176" t="s">
        <v>298</v>
      </c>
    </row>
    <row r="16" spans="1:24" ht="50.45" customHeight="1" x14ac:dyDescent="0.25">
      <c r="A16" s="171" t="str">
        <f>'[2]2 Contexto e Identificación'!A16</f>
        <v>R8</v>
      </c>
      <c r="B16" s="172" t="str">
        <f>+'[2]2 Contexto e Identificación'!E16</f>
        <v>Posibilidad de recibir o solicitar cualquier dádiva o beneficio a nombre propio o de terceros Con el fin de  direccionar el resultado del informe de seguimiento de los proyectos de inversión financiados con recursos del SGR que son objeto de las visitas de verificación de avances y resultados.</v>
      </c>
      <c r="C16" s="173" t="str">
        <f t="array" ref="C16">+_xlfn.IFS(D16=0,"",U16='[2]13 Formulas'!$J$3,'[2]13 Formulas'!$L$7,D16&gt;=12,'[2]13 Formulas'!$L$7,D16&gt;=6,'[2]13 Formulas'!$L$6,D16&gt;=1,'[2]13 Formulas'!$L$5)</f>
        <v>Catastrófico</v>
      </c>
      <c r="D16" s="174">
        <f>+COUNTIF(F16:X16,'[2]13 Formulas'!$J$3)</f>
        <v>15</v>
      </c>
      <c r="E16" s="175"/>
      <c r="F16" s="176" t="s">
        <v>297</v>
      </c>
      <c r="G16" s="176" t="s">
        <v>298</v>
      </c>
      <c r="H16" s="176" t="s">
        <v>297</v>
      </c>
      <c r="I16" s="176" t="s">
        <v>297</v>
      </c>
      <c r="J16" s="176" t="s">
        <v>297</v>
      </c>
      <c r="K16" s="176" t="s">
        <v>297</v>
      </c>
      <c r="L16" s="176" t="s">
        <v>297</v>
      </c>
      <c r="M16" s="176" t="s">
        <v>297</v>
      </c>
      <c r="N16" s="176" t="s">
        <v>297</v>
      </c>
      <c r="O16" s="176" t="s">
        <v>298</v>
      </c>
      <c r="P16" s="176" t="s">
        <v>297</v>
      </c>
      <c r="Q16" s="176" t="s">
        <v>297</v>
      </c>
      <c r="R16" s="176" t="s">
        <v>297</v>
      </c>
      <c r="S16" s="176" t="s">
        <v>297</v>
      </c>
      <c r="T16" s="176" t="s">
        <v>297</v>
      </c>
      <c r="U16" s="176" t="s">
        <v>298</v>
      </c>
      <c r="V16" s="176" t="s">
        <v>297</v>
      </c>
      <c r="W16" s="176" t="s">
        <v>297</v>
      </c>
      <c r="X16" s="176" t="s">
        <v>298</v>
      </c>
    </row>
    <row r="17" spans="1:24" ht="50.45" customHeight="1" x14ac:dyDescent="0.25">
      <c r="A17" s="171" t="str">
        <f>'[2]2 Contexto e Identificación'!A17</f>
        <v>R9</v>
      </c>
      <c r="B17" s="172" t="str">
        <f>+'[2]2 Contexto e Identificación'!E17</f>
        <v>Posibilidad de recibir o solicitar cualquier dádiva o beneficio a nombre propio o de terceros Para dilatar o evitar la decisión sobre la imposición de medidas administrativas en el procedimiento de control sobre los proyectos del Sistema General de Regalías</v>
      </c>
      <c r="C17" s="173" t="str">
        <f t="array" ref="C17">+_xlfn.IFS(D17=0,"",U17='[2]13 Formulas'!$J$3,'[2]13 Formulas'!$L$7,D17&gt;=12,'[2]13 Formulas'!$L$7,D17&gt;=6,'[2]13 Formulas'!$L$6,D17&gt;=1,'[2]13 Formulas'!$L$5)</f>
        <v>Catastrófico</v>
      </c>
      <c r="D17" s="174">
        <f>+COUNTIF(F17:X17,'[2]13 Formulas'!$J$3)</f>
        <v>13</v>
      </c>
      <c r="E17" s="175"/>
      <c r="F17" s="176" t="s">
        <v>297</v>
      </c>
      <c r="G17" s="176" t="s">
        <v>298</v>
      </c>
      <c r="H17" s="176" t="s">
        <v>297</v>
      </c>
      <c r="I17" s="176" t="s">
        <v>298</v>
      </c>
      <c r="J17" s="176" t="s">
        <v>297</v>
      </c>
      <c r="K17" s="176" t="s">
        <v>297</v>
      </c>
      <c r="L17" s="176" t="s">
        <v>298</v>
      </c>
      <c r="M17" s="176" t="s">
        <v>297</v>
      </c>
      <c r="N17" s="176" t="s">
        <v>298</v>
      </c>
      <c r="O17" s="176" t="s">
        <v>297</v>
      </c>
      <c r="P17" s="176" t="s">
        <v>297</v>
      </c>
      <c r="Q17" s="176" t="s">
        <v>297</v>
      </c>
      <c r="R17" s="176" t="s">
        <v>297</v>
      </c>
      <c r="S17" s="176" t="s">
        <v>297</v>
      </c>
      <c r="T17" s="176" t="s">
        <v>297</v>
      </c>
      <c r="U17" s="176" t="s">
        <v>298</v>
      </c>
      <c r="V17" s="176" t="s">
        <v>297</v>
      </c>
      <c r="W17" s="176" t="s">
        <v>297</v>
      </c>
      <c r="X17" s="176" t="s">
        <v>298</v>
      </c>
    </row>
    <row r="18" spans="1:24" ht="50.45" customHeight="1" x14ac:dyDescent="0.25">
      <c r="A18" s="171" t="str">
        <f>'[2]2 Contexto e Identificación'!A18</f>
        <v>R10</v>
      </c>
      <c r="B18" s="172" t="str">
        <f>+'[2]2 Contexto e Identificación'!E18</f>
        <v xml:space="preserve">  </v>
      </c>
      <c r="C18" s="173" t="str">
        <f t="array" ref="C18">+_xlfn.IFS(D18=0,"",U18='[2]13 Formulas'!$J$3,'[2]13 Formulas'!$L$7,D18&gt;=12,'[2]13 Formulas'!$L$7,D18&gt;=6,'[2]13 Formulas'!$L$6,D18&gt;=1,'[2]13 Formulas'!$L$5)</f>
        <v/>
      </c>
      <c r="D18" s="174">
        <f>+COUNTIF(F18:X18,'[2]13 Formulas'!$J$3)</f>
        <v>0</v>
      </c>
      <c r="E18" s="175"/>
      <c r="F18" s="176"/>
      <c r="G18" s="176"/>
      <c r="H18" s="176"/>
      <c r="I18" s="176"/>
      <c r="J18" s="176"/>
      <c r="K18" s="176"/>
      <c r="L18" s="176"/>
      <c r="M18" s="176"/>
      <c r="N18" s="176"/>
      <c r="O18" s="176"/>
      <c r="P18" s="176"/>
      <c r="Q18" s="176"/>
      <c r="R18" s="176"/>
      <c r="S18" s="176"/>
      <c r="T18" s="176"/>
      <c r="U18" s="176"/>
      <c r="V18" s="176"/>
      <c r="W18" s="176"/>
      <c r="X18" s="176"/>
    </row>
    <row r="19" spans="1:24" ht="50.45" customHeight="1" x14ac:dyDescent="0.25">
      <c r="A19" s="171" t="str">
        <f>'[2]2 Contexto e Identificación'!A19</f>
        <v>R11</v>
      </c>
      <c r="B19" s="172" t="str">
        <f>+'[2]2 Contexto e Identificación'!E19</f>
        <v xml:space="preserve">  </v>
      </c>
      <c r="C19" s="173" t="str">
        <f t="array" ref="C19">+_xlfn.IFS(D19=0,"",U19='[2]13 Formulas'!$J$3,'[2]13 Formulas'!$L$7,D19&gt;=12,'[2]13 Formulas'!$L$7,D19&gt;=6,'[2]13 Formulas'!$L$6,D19&gt;=1,'[2]13 Formulas'!$L$5)</f>
        <v/>
      </c>
      <c r="D19" s="174">
        <f>+COUNTIF(F19:X19,'[2]13 Formulas'!$J$3)</f>
        <v>0</v>
      </c>
      <c r="E19" s="175"/>
      <c r="F19" s="176"/>
      <c r="G19" s="176"/>
      <c r="H19" s="176"/>
      <c r="I19" s="176"/>
      <c r="J19" s="176"/>
      <c r="K19" s="176"/>
      <c r="L19" s="176"/>
      <c r="M19" s="176"/>
      <c r="N19" s="176"/>
      <c r="O19" s="176"/>
      <c r="P19" s="176"/>
      <c r="Q19" s="176"/>
      <c r="R19" s="176"/>
      <c r="S19" s="176"/>
      <c r="T19" s="176"/>
      <c r="U19" s="176"/>
      <c r="V19" s="176"/>
      <c r="W19" s="176"/>
      <c r="X19" s="176"/>
    </row>
    <row r="20" spans="1:24" ht="50.45" customHeight="1" x14ac:dyDescent="0.25">
      <c r="A20" s="171" t="str">
        <f>'[2]2 Contexto e Identificación'!A20</f>
        <v>R12</v>
      </c>
      <c r="B20" s="172" t="str">
        <f>+'[2]2 Contexto e Identificación'!E20</f>
        <v xml:space="preserve">  </v>
      </c>
      <c r="C20" s="173" t="str">
        <f t="array" ref="C20">+_xlfn.IFS(D20=0,"",U20='[2]13 Formulas'!$J$3,'[2]13 Formulas'!$L$7,D20&gt;=12,'[2]13 Formulas'!$L$7,D20&gt;=6,'[2]13 Formulas'!$L$6,D20&gt;=1,'[2]13 Formulas'!$L$5)</f>
        <v/>
      </c>
      <c r="D20" s="174">
        <f>+COUNTIF(F20:X20,'[2]13 Formulas'!$J$3)</f>
        <v>0</v>
      </c>
      <c r="E20" s="175"/>
      <c r="F20" s="176"/>
      <c r="G20" s="176"/>
      <c r="H20" s="176"/>
      <c r="I20" s="176"/>
      <c r="J20" s="176"/>
      <c r="K20" s="176"/>
      <c r="L20" s="176"/>
      <c r="M20" s="176"/>
      <c r="N20" s="176"/>
      <c r="O20" s="176"/>
      <c r="P20" s="176"/>
      <c r="Q20" s="176"/>
      <c r="R20" s="176"/>
      <c r="S20" s="176"/>
      <c r="T20" s="176"/>
      <c r="U20" s="176"/>
      <c r="V20" s="176"/>
      <c r="W20" s="176"/>
      <c r="X20" s="176"/>
    </row>
    <row r="21" spans="1:24" ht="50.45" customHeight="1" x14ac:dyDescent="0.25">
      <c r="A21" s="171" t="str">
        <f>'[2]2 Contexto e Identificación'!A21</f>
        <v>R13</v>
      </c>
      <c r="B21" s="172" t="str">
        <f>+'[2]2 Contexto e Identificación'!E21</f>
        <v xml:space="preserve">  </v>
      </c>
      <c r="C21" s="173" t="str">
        <f t="array" ref="C21">+_xlfn.IFS(D21=0,"",U21='[2]13 Formulas'!$J$3,'[2]13 Formulas'!$L$7,D21&gt;=12,'[2]13 Formulas'!$L$7,D21&gt;=6,'[2]13 Formulas'!$L$6,D21&gt;=1,'[2]13 Formulas'!$L$5)</f>
        <v/>
      </c>
      <c r="D21" s="174">
        <f>+COUNTIF(F21:X21,'[2]13 Formulas'!$J$3)</f>
        <v>0</v>
      </c>
      <c r="E21" s="175"/>
      <c r="F21" s="176"/>
      <c r="G21" s="176"/>
      <c r="H21" s="176"/>
      <c r="I21" s="176"/>
      <c r="J21" s="176"/>
      <c r="K21" s="176"/>
      <c r="L21" s="176"/>
      <c r="M21" s="176"/>
      <c r="N21" s="176"/>
      <c r="O21" s="176"/>
      <c r="P21" s="176"/>
      <c r="Q21" s="176"/>
      <c r="R21" s="176"/>
      <c r="S21" s="176"/>
      <c r="T21" s="176"/>
      <c r="U21" s="176"/>
      <c r="V21" s="176"/>
      <c r="W21" s="176"/>
      <c r="X21" s="176"/>
    </row>
    <row r="22" spans="1:24" ht="50.45" customHeight="1" x14ac:dyDescent="0.25">
      <c r="A22" s="171" t="str">
        <f>'[2]2 Contexto e Identificación'!A22</f>
        <v>R14</v>
      </c>
      <c r="B22" s="172" t="str">
        <f>+'[2]2 Contexto e Identificación'!E22</f>
        <v xml:space="preserve">  </v>
      </c>
      <c r="C22" s="173" t="str">
        <f t="array" ref="C22">+_xlfn.IFS(D22=0,"",U22='[2]13 Formulas'!$J$3,'[2]13 Formulas'!$L$7,D22&gt;=12,'[2]13 Formulas'!$L$7,D22&gt;=6,'[2]13 Formulas'!$L$6,D22&gt;=1,'[2]13 Formulas'!$L$5)</f>
        <v/>
      </c>
      <c r="D22" s="174">
        <f>+COUNTIF(F22:X22,'[2]13 Formulas'!$J$3)</f>
        <v>0</v>
      </c>
      <c r="E22" s="175"/>
      <c r="F22" s="176"/>
      <c r="G22" s="176"/>
      <c r="H22" s="176"/>
      <c r="I22" s="176"/>
      <c r="J22" s="176"/>
      <c r="K22" s="176"/>
      <c r="L22" s="176"/>
      <c r="M22" s="176"/>
      <c r="N22" s="176"/>
      <c r="O22" s="176"/>
      <c r="P22" s="176"/>
      <c r="Q22" s="176"/>
      <c r="R22" s="176"/>
      <c r="S22" s="176"/>
      <c r="T22" s="176"/>
      <c r="U22" s="176"/>
      <c r="V22" s="176"/>
      <c r="W22" s="176"/>
      <c r="X22" s="176"/>
    </row>
    <row r="23" spans="1:24" ht="50.45" customHeight="1" x14ac:dyDescent="0.25">
      <c r="A23" s="171" t="str">
        <f>'[2]2 Contexto e Identificación'!A23</f>
        <v>R15</v>
      </c>
      <c r="B23" s="172" t="str">
        <f>+'[2]2 Contexto e Identificación'!E23</f>
        <v xml:space="preserve">  </v>
      </c>
      <c r="C23" s="173" t="str">
        <f t="array" ref="C23">+_xlfn.IFS(D23=0,"",U23='[2]13 Formulas'!$J$3,'[2]13 Formulas'!$L$7,D23&gt;=12,'[2]13 Formulas'!$L$7,D23&gt;=6,'[2]13 Formulas'!$L$6,D23&gt;=1,'[2]13 Formulas'!$L$5)</f>
        <v/>
      </c>
      <c r="D23" s="174">
        <f>+COUNTIF(F23:X23,'[2]13 Formulas'!$J$3)</f>
        <v>0</v>
      </c>
      <c r="E23" s="175"/>
      <c r="F23" s="176"/>
      <c r="G23" s="176"/>
      <c r="H23" s="176"/>
      <c r="I23" s="176"/>
      <c r="J23" s="176"/>
      <c r="K23" s="176"/>
      <c r="L23" s="176"/>
      <c r="M23" s="176"/>
      <c r="N23" s="176"/>
      <c r="O23" s="176"/>
      <c r="P23" s="176"/>
      <c r="Q23" s="176"/>
      <c r="R23" s="176"/>
      <c r="S23" s="176"/>
      <c r="T23" s="176"/>
      <c r="U23" s="176"/>
      <c r="V23" s="176"/>
      <c r="W23" s="176"/>
      <c r="X23" s="176"/>
    </row>
    <row r="24" spans="1:24" ht="50.45" customHeight="1" x14ac:dyDescent="0.25">
      <c r="A24" s="171" t="str">
        <f>'[2]2 Contexto e Identificación'!A24</f>
        <v>R16</v>
      </c>
      <c r="B24" s="172" t="str">
        <f>+'[2]2 Contexto e Identificación'!E24</f>
        <v xml:space="preserve">  </v>
      </c>
      <c r="C24" s="173" t="str">
        <f t="array" ref="C24">+_xlfn.IFS(D24=0,"",U24='[2]13 Formulas'!$J$3,'[2]13 Formulas'!$L$7,D24&gt;=12,'[2]13 Formulas'!$L$7,D24&gt;=6,'[2]13 Formulas'!$L$6,D24&gt;=1,'[2]13 Formulas'!$L$5)</f>
        <v/>
      </c>
      <c r="D24" s="174">
        <f>+COUNTIF(F24:X24,'[2]13 Formulas'!$J$3)</f>
        <v>0</v>
      </c>
      <c r="E24" s="175"/>
      <c r="F24" s="176"/>
      <c r="G24" s="176"/>
      <c r="H24" s="176"/>
      <c r="I24" s="176"/>
      <c r="J24" s="176"/>
      <c r="K24" s="176"/>
      <c r="L24" s="176"/>
      <c r="M24" s="176"/>
      <c r="N24" s="176"/>
      <c r="O24" s="176"/>
      <c r="P24" s="176"/>
      <c r="Q24" s="176"/>
      <c r="R24" s="176"/>
      <c r="S24" s="176"/>
      <c r="T24" s="176"/>
      <c r="U24" s="176"/>
      <c r="V24" s="176"/>
      <c r="W24" s="176"/>
      <c r="X24" s="176"/>
    </row>
    <row r="25" spans="1:24" ht="50.45" customHeight="1" x14ac:dyDescent="0.25">
      <c r="A25" s="171" t="str">
        <f>'[2]2 Contexto e Identificación'!A25</f>
        <v>R17</v>
      </c>
      <c r="B25" s="172" t="str">
        <f>+'[2]2 Contexto e Identificación'!E25</f>
        <v xml:space="preserve">  </v>
      </c>
      <c r="C25" s="173" t="str">
        <f t="array" ref="C25">+_xlfn.IFS(D25=0,"",U25='[2]13 Formulas'!$J$3,'[2]13 Formulas'!$L$7,D25&gt;=12,'[2]13 Formulas'!$L$7,D25&gt;=6,'[2]13 Formulas'!$L$6,D25&gt;=1,'[2]13 Formulas'!$L$5)</f>
        <v/>
      </c>
      <c r="D25" s="174">
        <f>+COUNTIF(F25:X25,'[2]13 Formulas'!$J$3)</f>
        <v>0</v>
      </c>
      <c r="E25" s="175"/>
      <c r="F25" s="176"/>
      <c r="G25" s="176"/>
      <c r="H25" s="176"/>
      <c r="I25" s="176"/>
      <c r="J25" s="176"/>
      <c r="K25" s="176"/>
      <c r="L25" s="176"/>
      <c r="M25" s="176"/>
      <c r="N25" s="176"/>
      <c r="O25" s="176"/>
      <c r="P25" s="176"/>
      <c r="Q25" s="176"/>
      <c r="R25" s="176"/>
      <c r="S25" s="176"/>
      <c r="T25" s="176"/>
      <c r="U25" s="176"/>
      <c r="V25" s="176"/>
      <c r="W25" s="176"/>
      <c r="X25" s="176"/>
    </row>
    <row r="26" spans="1:24" ht="50.45" customHeight="1" x14ac:dyDescent="0.25">
      <c r="A26" s="171" t="str">
        <f>'[2]2 Contexto e Identificación'!A26</f>
        <v>R18</v>
      </c>
      <c r="B26" s="172" t="str">
        <f>+'[2]2 Contexto e Identificación'!E26</f>
        <v xml:space="preserve">  </v>
      </c>
      <c r="C26" s="173" t="str">
        <f t="array" ref="C26">+_xlfn.IFS(D26=0,"",U26='[2]13 Formulas'!$J$3,'[2]13 Formulas'!$L$7,D26&gt;=12,'[2]13 Formulas'!$L$7,D26&gt;=6,'[2]13 Formulas'!$L$6,D26&gt;=1,'[2]13 Formulas'!$L$5)</f>
        <v/>
      </c>
      <c r="D26" s="174">
        <f>+COUNTIF(F26:X26,'[2]13 Formulas'!$J$3)</f>
        <v>0</v>
      </c>
      <c r="E26" s="175"/>
      <c r="F26" s="176"/>
      <c r="G26" s="176"/>
      <c r="H26" s="176"/>
      <c r="I26" s="176"/>
      <c r="J26" s="176"/>
      <c r="K26" s="176"/>
      <c r="L26" s="176"/>
      <c r="M26" s="176"/>
      <c r="N26" s="176"/>
      <c r="O26" s="176"/>
      <c r="P26" s="176"/>
      <c r="Q26" s="176"/>
      <c r="R26" s="176"/>
      <c r="S26" s="176"/>
      <c r="T26" s="176"/>
      <c r="U26" s="176"/>
      <c r="V26" s="176"/>
      <c r="W26" s="176"/>
      <c r="X26" s="176"/>
    </row>
    <row r="27" spans="1:24" ht="50.45" customHeight="1" x14ac:dyDescent="0.25">
      <c r="A27" s="171" t="str">
        <f>'[2]2 Contexto e Identificación'!A27</f>
        <v>R19</v>
      </c>
      <c r="B27" s="172" t="str">
        <f>+'[2]2 Contexto e Identificación'!E27</f>
        <v xml:space="preserve">  </v>
      </c>
      <c r="C27" s="173" t="str">
        <f t="array" ref="C27">+_xlfn.IFS(D27=0,"",U27='[2]13 Formulas'!$J$3,'[2]13 Formulas'!$L$7,D27&gt;=12,'[2]13 Formulas'!$L$7,D27&gt;=6,'[2]13 Formulas'!$L$6,D27&gt;=1,'[2]13 Formulas'!$L$5)</f>
        <v/>
      </c>
      <c r="D27" s="174">
        <f>+COUNTIF(F27:X27,'[2]13 Formulas'!$J$3)</f>
        <v>0</v>
      </c>
      <c r="E27" s="175"/>
      <c r="F27" s="176"/>
      <c r="G27" s="176"/>
      <c r="H27" s="176"/>
      <c r="I27" s="176"/>
      <c r="J27" s="176"/>
      <c r="K27" s="176"/>
      <c r="L27" s="176"/>
      <c r="M27" s="176"/>
      <c r="N27" s="176"/>
      <c r="O27" s="176"/>
      <c r="P27" s="176"/>
      <c r="Q27" s="176"/>
      <c r="R27" s="176"/>
      <c r="S27" s="176"/>
      <c r="T27" s="176"/>
      <c r="U27" s="176"/>
      <c r="V27" s="176"/>
      <c r="W27" s="176"/>
      <c r="X27" s="176"/>
    </row>
    <row r="28" spans="1:24" ht="50.45" customHeight="1" x14ac:dyDescent="0.25">
      <c r="A28" s="171" t="str">
        <f>'[2]2 Contexto e Identificación'!A28</f>
        <v>R20</v>
      </c>
      <c r="B28" s="172" t="str">
        <f>+'[2]2 Contexto e Identificación'!E28</f>
        <v xml:space="preserve">  </v>
      </c>
      <c r="C28" s="173" t="str">
        <f t="array" ref="C28">+_xlfn.IFS(D28=0,"",U28='[2]13 Formulas'!$J$3,'[2]13 Formulas'!$L$7,D28&gt;=12,'[2]13 Formulas'!$L$7,D28&gt;=6,'[2]13 Formulas'!$L$6,D28&gt;=1,'[2]13 Formulas'!$L$5)</f>
        <v/>
      </c>
      <c r="D28" s="174">
        <f>+COUNTIF(F28:X28,'[2]13 Formulas'!$J$3)</f>
        <v>0</v>
      </c>
      <c r="E28" s="175"/>
      <c r="F28" s="176"/>
      <c r="G28" s="176"/>
      <c r="H28" s="176"/>
      <c r="I28" s="176"/>
      <c r="J28" s="176"/>
      <c r="K28" s="176"/>
      <c r="L28" s="176"/>
      <c r="M28" s="176"/>
      <c r="N28" s="176"/>
      <c r="O28" s="176"/>
      <c r="P28" s="176"/>
      <c r="Q28" s="176"/>
      <c r="R28" s="176"/>
      <c r="S28" s="176"/>
      <c r="T28" s="176"/>
      <c r="U28" s="176"/>
      <c r="V28" s="176"/>
      <c r="W28" s="176"/>
      <c r="X28" s="176"/>
    </row>
    <row r="29" spans="1:24" ht="18.95" customHeight="1" thickBot="1" x14ac:dyDescent="0.3">
      <c r="E29" s="438"/>
      <c r="F29" s="439"/>
      <c r="G29" s="177"/>
      <c r="H29" s="178"/>
      <c r="I29" s="179"/>
      <c r="J29" s="180"/>
      <c r="K29" s="181"/>
      <c r="L29" s="181"/>
      <c r="N29" s="182"/>
      <c r="O29" s="183"/>
      <c r="S29" s="182"/>
      <c r="T29" s="183"/>
    </row>
    <row r="30" spans="1:24" ht="24.95" customHeight="1" x14ac:dyDescent="0.25">
      <c r="A30" s="173" t="s">
        <v>145</v>
      </c>
      <c r="B30" s="184" t="s">
        <v>299</v>
      </c>
      <c r="C30" s="185" t="s">
        <v>300</v>
      </c>
      <c r="E30" s="162"/>
      <c r="G30" s="186"/>
      <c r="H30" s="186"/>
      <c r="I30" s="186"/>
      <c r="J30" s="186"/>
      <c r="K30" s="187"/>
    </row>
    <row r="31" spans="1:24" ht="36" customHeight="1" x14ac:dyDescent="0.25">
      <c r="A31" s="173" t="s">
        <v>301</v>
      </c>
      <c r="B31" s="184" t="s">
        <v>302</v>
      </c>
      <c r="C31" s="185" t="s">
        <v>303</v>
      </c>
      <c r="E31" s="162"/>
      <c r="G31" s="186"/>
      <c r="H31" s="186"/>
      <c r="I31" s="186"/>
      <c r="J31" s="186"/>
      <c r="K31" s="187"/>
    </row>
    <row r="32" spans="1:24" ht="56.1" customHeight="1" x14ac:dyDescent="0.25">
      <c r="A32" s="173" t="s">
        <v>304</v>
      </c>
      <c r="B32" s="184" t="s">
        <v>305</v>
      </c>
      <c r="C32" s="185" t="s">
        <v>306</v>
      </c>
      <c r="E32" s="162"/>
      <c r="G32" s="186"/>
      <c r="H32" s="186"/>
      <c r="I32" s="186"/>
      <c r="J32" s="186"/>
      <c r="K32" s="187"/>
    </row>
    <row r="33" spans="1:7" x14ac:dyDescent="0.25">
      <c r="E33" s="163"/>
      <c r="G33" s="161"/>
    </row>
    <row r="34" spans="1:7" x14ac:dyDescent="0.25">
      <c r="A34" s="440" t="s">
        <v>307</v>
      </c>
      <c r="B34" s="440"/>
      <c r="C34" s="440"/>
      <c r="D34" s="440"/>
      <c r="E34" s="163"/>
      <c r="G34" s="161"/>
    </row>
    <row r="35" spans="1:7" x14ac:dyDescent="0.25">
      <c r="E35" s="163"/>
      <c r="G35" s="161"/>
    </row>
    <row r="36" spans="1:7" x14ac:dyDescent="0.25">
      <c r="E36" s="163"/>
      <c r="G36" s="161"/>
    </row>
    <row r="37" spans="1:7" x14ac:dyDescent="0.25">
      <c r="E37" s="163"/>
      <c r="G37" s="161"/>
    </row>
    <row r="38" spans="1:7" x14ac:dyDescent="0.25">
      <c r="E38" s="163"/>
      <c r="G38" s="161"/>
    </row>
    <row r="39" spans="1:7" x14ac:dyDescent="0.25">
      <c r="E39" s="163"/>
      <c r="G39" s="161"/>
    </row>
    <row r="40" spans="1:7" x14ac:dyDescent="0.25">
      <c r="E40" s="163"/>
      <c r="G40" s="161"/>
    </row>
    <row r="41" spans="1:7" x14ac:dyDescent="0.25">
      <c r="E41" s="163"/>
      <c r="G41" s="161"/>
    </row>
  </sheetData>
  <sheetProtection sheet="1" formatColumns="0" formatRows="0" sort="0" autoFilter="0" pivotTables="0"/>
  <autoFilter ref="A8:X28" xr:uid="{00000000-0009-0000-0000-000006000000}"/>
  <dataConsolidate/>
  <mergeCells count="25">
    <mergeCell ref="U2:U8"/>
    <mergeCell ref="V2:V8"/>
    <mergeCell ref="W2:W8"/>
    <mergeCell ref="X2:X8"/>
    <mergeCell ref="M2:M8"/>
    <mergeCell ref="N2:N8"/>
    <mergeCell ref="O2:O8"/>
    <mergeCell ref="P2:P8"/>
    <mergeCell ref="Q2:Q8"/>
    <mergeCell ref="R2:R8"/>
    <mergeCell ref="A6:B6"/>
    <mergeCell ref="E29:F29"/>
    <mergeCell ref="A34:D34"/>
    <mergeCell ref="S2:S8"/>
    <mergeCell ref="T2:T8"/>
    <mergeCell ref="A1:A2"/>
    <mergeCell ref="B1:B2"/>
    <mergeCell ref="F1:M1"/>
    <mergeCell ref="F2:F8"/>
    <mergeCell ref="G2:G8"/>
    <mergeCell ref="H2:H8"/>
    <mergeCell ref="I2:I8"/>
    <mergeCell ref="J2:J8"/>
    <mergeCell ref="K2:K8"/>
    <mergeCell ref="L2:L8"/>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E18E969F-E34E-442A-B531-9994DA71CDC1}">
            <xm:f>'https://itceduco-my.sharepoint.com/Users/calidad/AppData/Local/Microsoft/Windows/INetCache/Content.Outlook/SL0QA57X/[MRC - SGR consolidada.xlsx]13 Formulas'!#REF!</xm:f>
            <x14:dxf>
              <fill>
                <patternFill>
                  <bgColor rgb="FFFFFF00"/>
                </patternFill>
              </fill>
            </x14:dxf>
          </x14:cfRule>
          <x14:cfRule type="cellIs" priority="5" operator="equal" id="{7F31DEE1-8A9F-42FD-8F6C-DC37D1E9F293}">
            <xm:f>'https://itceduco-my.sharepoint.com/Users/calidad/AppData/Local/Microsoft/Windows/INetCache/Content.Outlook/SL0QA57X/[MRC - SGR consolidada.xlsx]13 Formulas'!#REF!</xm:f>
            <x14:dxf>
              <fill>
                <patternFill>
                  <bgColor rgb="FFFFC000"/>
                </patternFill>
              </fill>
            </x14:dxf>
          </x14:cfRule>
          <x14:cfRule type="cellIs" priority="6" operator="equal" id="{6F31B1A5-55A3-4633-B8B2-370A78F84A05}">
            <xm:f>'https://itceduco-my.sharepoint.com/Users/calidad/AppData/Local/Microsoft/Windows/INetCache/Content.Outlook/SL0QA57X/[MRC - SGR consolidada.xlsx]13 Formulas'!#REF!</xm:f>
            <x14:dxf>
              <fill>
                <patternFill>
                  <bgColor rgb="FFFF0000"/>
                </patternFill>
              </fill>
            </x14:dxf>
          </x14:cfRule>
          <xm:sqref>C9:C28</xm:sqref>
        </x14:conditionalFormatting>
        <x14:conditionalFormatting xmlns:xm="http://schemas.microsoft.com/office/excel/2006/main">
          <x14:cfRule type="cellIs" priority="1" operator="equal" id="{A9863CB0-617E-49A2-9B05-C342F4BA535C}">
            <xm:f>'https://itceduco-my.sharepoint.com/Users/calidad/AppData/Local/Microsoft/Windows/INetCache/Content.Outlook/SL0QA57X/[MRC - SGR consolidada.xlsx]13 Formulas'!#REF!</xm:f>
            <x14:dxf>
              <fill>
                <patternFill>
                  <bgColor rgb="FFFFFF00"/>
                </patternFill>
              </fill>
            </x14:dxf>
          </x14:cfRule>
          <x14:cfRule type="cellIs" priority="2" operator="equal" id="{463D30E2-5EF1-40A0-8426-336D78656037}">
            <xm:f>'https://itceduco-my.sharepoint.com/Users/calidad/AppData/Local/Microsoft/Windows/INetCache/Content.Outlook/SL0QA57X/[MRC - SGR consolidada.xlsx]13 Formulas'!#REF!</xm:f>
            <x14:dxf>
              <fill>
                <patternFill>
                  <bgColor rgb="FFFFC000"/>
                </patternFill>
              </fill>
            </x14:dxf>
          </x14:cfRule>
          <x14:cfRule type="cellIs" priority="3" operator="equal" id="{95842CEC-9B1B-4582-ADAF-9BB77B37F57A}">
            <xm:f>'https://itceduco-my.sharepoint.com/Users/calidad/AppData/Local/Microsoft/Windows/INetCache/Content.Outlook/SL0QA57X/[MRC - SGR consolidada.xlsx]13 Formulas'!#REF!</xm:f>
            <x14:dxf>
              <fill>
                <patternFill>
                  <bgColor rgb="FFFF0000"/>
                </patternFill>
              </fill>
            </x14:dxf>
          </x14:cfRule>
          <xm:sqref>A30:B32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'C:\Users\calidad\AppData\Local\Microsoft\Windows\INetCache\Content.Outlook\SL0QA57X\[MRC - SGR consolidada.xlsx]13 Formulas'!#REF!</xm:f>
          </x14:formula1>
          <xm:sqref>F9:X28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448" t="s">
        <v>308</v>
      </c>
      <c r="C1" s="448"/>
      <c r="D1" s="448"/>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30" x14ac:dyDescent="0.25">
      <c r="A3" s="75"/>
      <c r="B3" s="96"/>
      <c r="C3" s="28" t="s">
        <v>309</v>
      </c>
      <c r="D3" s="28" t="s">
        <v>310</v>
      </c>
      <c r="E3" s="75"/>
      <c r="F3" s="75"/>
      <c r="G3" s="75"/>
      <c r="H3" s="75"/>
      <c r="I3" s="75"/>
      <c r="J3" s="75"/>
      <c r="K3" s="75"/>
      <c r="L3" s="75"/>
      <c r="M3" s="75"/>
      <c r="N3" s="75"/>
      <c r="O3" s="75"/>
      <c r="P3" s="75"/>
      <c r="Q3" s="75"/>
      <c r="R3" s="75"/>
      <c r="S3" s="75"/>
      <c r="T3" s="75"/>
      <c r="U3" s="75"/>
    </row>
    <row r="4" spans="1:21" ht="33.75" x14ac:dyDescent="0.25">
      <c r="A4" s="95" t="s">
        <v>311</v>
      </c>
      <c r="B4" s="31" t="s">
        <v>312</v>
      </c>
      <c r="C4" s="36" t="s">
        <v>313</v>
      </c>
      <c r="D4" s="29" t="s">
        <v>314</v>
      </c>
      <c r="E4" s="75"/>
      <c r="F4" s="75"/>
      <c r="G4" s="75"/>
      <c r="H4" s="75"/>
      <c r="I4" s="75"/>
      <c r="J4" s="75"/>
      <c r="K4" s="75"/>
      <c r="L4" s="75"/>
      <c r="M4" s="75"/>
      <c r="N4" s="75"/>
      <c r="O4" s="75"/>
      <c r="P4" s="75"/>
      <c r="Q4" s="75"/>
      <c r="R4" s="75"/>
      <c r="S4" s="75"/>
      <c r="T4" s="75"/>
      <c r="U4" s="75"/>
    </row>
    <row r="5" spans="1:21" ht="67.5" x14ac:dyDescent="0.25">
      <c r="A5" s="95" t="s">
        <v>315</v>
      </c>
      <c r="B5" s="32" t="s">
        <v>316</v>
      </c>
      <c r="C5" s="37" t="s">
        <v>317</v>
      </c>
      <c r="D5" s="30" t="s">
        <v>318</v>
      </c>
      <c r="E5" s="75"/>
      <c r="F5" s="75"/>
      <c r="G5" s="75"/>
      <c r="H5" s="75"/>
      <c r="I5" s="75"/>
      <c r="J5" s="75"/>
      <c r="K5" s="75"/>
      <c r="L5" s="75"/>
      <c r="M5" s="75"/>
      <c r="N5" s="75"/>
      <c r="O5" s="75"/>
      <c r="P5" s="75"/>
      <c r="Q5" s="75"/>
      <c r="R5" s="75"/>
      <c r="S5" s="75"/>
      <c r="T5" s="75"/>
      <c r="U5" s="75"/>
    </row>
    <row r="6" spans="1:21" ht="67.5" x14ac:dyDescent="0.25">
      <c r="A6" s="95" t="s">
        <v>145</v>
      </c>
      <c r="B6" s="33" t="s">
        <v>319</v>
      </c>
      <c r="C6" s="37" t="s">
        <v>320</v>
      </c>
      <c r="D6" s="30" t="s">
        <v>321</v>
      </c>
      <c r="E6" s="75"/>
      <c r="F6" s="75"/>
      <c r="G6" s="75"/>
      <c r="H6" s="75"/>
      <c r="I6" s="75"/>
      <c r="J6" s="75"/>
      <c r="K6" s="75"/>
      <c r="L6" s="75"/>
      <c r="M6" s="75"/>
      <c r="N6" s="75"/>
      <c r="O6" s="75"/>
      <c r="P6" s="75"/>
      <c r="Q6" s="75"/>
      <c r="R6" s="75"/>
      <c r="S6" s="75"/>
      <c r="T6" s="75"/>
      <c r="U6" s="75"/>
    </row>
    <row r="7" spans="1:21" ht="101.25" x14ac:dyDescent="0.25">
      <c r="A7" s="95" t="s">
        <v>301</v>
      </c>
      <c r="B7" s="34" t="s">
        <v>322</v>
      </c>
      <c r="C7" s="37" t="s">
        <v>323</v>
      </c>
      <c r="D7" s="30" t="s">
        <v>324</v>
      </c>
      <c r="E7" s="75"/>
      <c r="F7" s="75"/>
      <c r="G7" s="75"/>
      <c r="H7" s="75"/>
      <c r="I7" s="75"/>
      <c r="J7" s="75"/>
      <c r="K7" s="75"/>
      <c r="L7" s="75"/>
      <c r="M7" s="75"/>
      <c r="N7" s="75"/>
      <c r="O7" s="75"/>
      <c r="P7" s="75"/>
      <c r="Q7" s="75"/>
      <c r="R7" s="75"/>
      <c r="S7" s="75"/>
      <c r="T7" s="75"/>
      <c r="U7" s="75"/>
    </row>
    <row r="8" spans="1:21" ht="67.5" x14ac:dyDescent="0.25">
      <c r="A8" s="95" t="s">
        <v>304</v>
      </c>
      <c r="B8" s="35" t="s">
        <v>325</v>
      </c>
      <c r="C8" s="37" t="s">
        <v>326</v>
      </c>
      <c r="D8" s="30" t="s">
        <v>327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328</v>
      </c>
      <c r="C11" s="95" t="s">
        <v>329</v>
      </c>
      <c r="D11" s="95" t="s">
        <v>330</v>
      </c>
      <c r="E11" s="75"/>
      <c r="F11" s="75"/>
      <c r="G11" s="75"/>
      <c r="H11" s="75"/>
      <c r="I11" s="75"/>
      <c r="J11" s="75"/>
      <c r="K11" s="75"/>
      <c r="L11" s="75"/>
      <c r="M11" s="75"/>
      <c r="N11" s="75"/>
      <c r="O11" s="75"/>
      <c r="P11" s="75"/>
      <c r="Q11" s="75"/>
      <c r="R11" s="75"/>
      <c r="S11" s="75"/>
      <c r="T11" s="75"/>
      <c r="U11" s="75"/>
    </row>
    <row r="12" spans="1:21" x14ac:dyDescent="0.25">
      <c r="A12" s="95"/>
      <c r="B12" s="95" t="s">
        <v>331</v>
      </c>
      <c r="C12" s="95" t="s">
        <v>332</v>
      </c>
      <c r="D12" s="95" t="s">
        <v>333</v>
      </c>
      <c r="E12" s="75"/>
      <c r="F12" s="75"/>
      <c r="G12" s="75"/>
      <c r="H12" s="75"/>
      <c r="I12" s="75"/>
      <c r="J12" s="75"/>
      <c r="K12" s="75"/>
      <c r="L12" s="75"/>
      <c r="M12" s="75"/>
      <c r="N12" s="75"/>
      <c r="O12" s="75"/>
      <c r="P12" s="75"/>
      <c r="Q12" s="75"/>
      <c r="R12" s="75"/>
      <c r="S12" s="75"/>
      <c r="T12" s="75"/>
      <c r="U12" s="75"/>
    </row>
    <row r="13" spans="1:21" x14ac:dyDescent="0.25">
      <c r="A13" s="95"/>
      <c r="B13" s="95"/>
      <c r="C13" s="95" t="s">
        <v>334</v>
      </c>
      <c r="D13" s="95" t="s">
        <v>113</v>
      </c>
      <c r="E13" s="75"/>
      <c r="F13" s="75"/>
      <c r="G13" s="75"/>
      <c r="H13" s="75"/>
      <c r="I13" s="75"/>
      <c r="J13" s="75"/>
      <c r="K13" s="75"/>
      <c r="L13" s="75"/>
      <c r="M13" s="75"/>
      <c r="N13" s="75"/>
      <c r="O13" s="75"/>
      <c r="P13" s="75"/>
      <c r="Q13" s="75"/>
      <c r="R13" s="75"/>
      <c r="S13" s="75"/>
      <c r="T13" s="75"/>
      <c r="U13" s="75"/>
    </row>
    <row r="14" spans="1:21" x14ac:dyDescent="0.25">
      <c r="A14" s="95"/>
      <c r="B14" s="95"/>
      <c r="C14" s="95" t="s">
        <v>335</v>
      </c>
      <c r="D14" s="95" t="s">
        <v>132</v>
      </c>
      <c r="E14" s="75"/>
      <c r="F14" s="75"/>
      <c r="G14" s="75"/>
      <c r="H14" s="75"/>
      <c r="I14" s="75"/>
      <c r="J14" s="75"/>
      <c r="K14" s="75"/>
      <c r="L14" s="75"/>
      <c r="M14" s="75"/>
      <c r="N14" s="75"/>
      <c r="O14" s="75"/>
      <c r="P14" s="75"/>
      <c r="Q14" s="75"/>
      <c r="R14" s="75"/>
      <c r="S14" s="75"/>
      <c r="T14" s="75"/>
      <c r="U14" s="75"/>
    </row>
    <row r="15" spans="1:21" x14ac:dyDescent="0.25">
      <c r="A15" s="95"/>
      <c r="B15" s="95"/>
      <c r="C15" s="95" t="s">
        <v>192</v>
      </c>
      <c r="D15" s="95" t="s">
        <v>144</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336</v>
      </c>
      <c r="C209" s="22" t="s">
        <v>337</v>
      </c>
      <c r="D209" s="25" t="s">
        <v>336</v>
      </c>
      <c r="E209" s="25" t="s">
        <v>337</v>
      </c>
    </row>
    <row r="210" spans="1:8" ht="21" x14ac:dyDescent="0.35">
      <c r="A210" s="75"/>
      <c r="B210" s="23" t="s">
        <v>162</v>
      </c>
      <c r="C210" s="23" t="s">
        <v>338</v>
      </c>
      <c r="D210" t="s">
        <v>162</v>
      </c>
      <c r="F210" t="str">
        <f>IF(NOT(ISBLANK(D210)),D210,IF(NOT(ISBLANK(E210)),"     "&amp;E210,FALSE))</f>
        <v>Afectación Económica o presupuestal</v>
      </c>
      <c r="G210" t="s">
        <v>162</v>
      </c>
      <c r="H210" t="str">
        <f>IF(NOT(ISERROR(MATCH(G210,_xlfn.ANCHORARRAY(B221),0))),F223&amp;"Por favor no seleccionar los criterios de impacto",G210)</f>
        <v>❌Por favor no seleccionar los criterios de impacto</v>
      </c>
    </row>
    <row r="211" spans="1:8" ht="21" x14ac:dyDescent="0.35">
      <c r="A211" s="75"/>
      <c r="B211" s="23" t="s">
        <v>162</v>
      </c>
      <c r="C211" s="23" t="s">
        <v>317</v>
      </c>
      <c r="E211" t="s">
        <v>338</v>
      </c>
      <c r="F211" t="str">
        <f t="shared" ref="F211:F221" si="0">IF(NOT(ISBLANK(D211)),D211,IF(NOT(ISBLANK(E211)),"     "&amp;E211,FALSE))</f>
        <v xml:space="preserve">     Afectación menor a 10 SMLMV .</v>
      </c>
    </row>
    <row r="212" spans="1:8" ht="21" x14ac:dyDescent="0.35">
      <c r="A212" s="75"/>
      <c r="B212" s="23" t="s">
        <v>162</v>
      </c>
      <c r="C212" s="23" t="s">
        <v>320</v>
      </c>
      <c r="E212" t="s">
        <v>317</v>
      </c>
      <c r="F212" t="str">
        <f t="shared" si="0"/>
        <v xml:space="preserve">     Entre 10 y 50 SMLMV </v>
      </c>
    </row>
    <row r="213" spans="1:8" ht="21" x14ac:dyDescent="0.35">
      <c r="A213" s="75"/>
      <c r="B213" s="23" t="s">
        <v>162</v>
      </c>
      <c r="C213" s="23" t="s">
        <v>323</v>
      </c>
      <c r="E213" t="s">
        <v>320</v>
      </c>
      <c r="F213" t="str">
        <f t="shared" si="0"/>
        <v xml:space="preserve">     Entre 50 y 100 SMLMV </v>
      </c>
    </row>
    <row r="214" spans="1:8" ht="21" x14ac:dyDescent="0.35">
      <c r="A214" s="75"/>
      <c r="B214" s="23" t="s">
        <v>162</v>
      </c>
      <c r="C214" s="23" t="s">
        <v>326</v>
      </c>
      <c r="E214" t="s">
        <v>323</v>
      </c>
      <c r="F214" t="str">
        <f t="shared" si="0"/>
        <v xml:space="preserve">     Entre 100 y 500 SMLMV </v>
      </c>
    </row>
    <row r="215" spans="1:8" ht="21" x14ac:dyDescent="0.35">
      <c r="A215" s="75"/>
      <c r="B215" s="23" t="s">
        <v>310</v>
      </c>
      <c r="C215" s="23" t="s">
        <v>314</v>
      </c>
      <c r="E215" t="s">
        <v>326</v>
      </c>
      <c r="F215" t="str">
        <f t="shared" si="0"/>
        <v xml:space="preserve">     Mayor a 500 SMLMV </v>
      </c>
    </row>
    <row r="216" spans="1:8" ht="21" x14ac:dyDescent="0.35">
      <c r="A216" s="75"/>
      <c r="B216" s="23" t="s">
        <v>310</v>
      </c>
      <c r="C216" s="23" t="s">
        <v>318</v>
      </c>
      <c r="D216" t="s">
        <v>310</v>
      </c>
      <c r="F216" t="str">
        <f t="shared" si="0"/>
        <v>Pérdida Reputacional</v>
      </c>
    </row>
    <row r="217" spans="1:8" ht="21" x14ac:dyDescent="0.35">
      <c r="A217" s="75"/>
      <c r="B217" s="23" t="s">
        <v>310</v>
      </c>
      <c r="C217" s="23" t="s">
        <v>321</v>
      </c>
      <c r="E217" t="s">
        <v>314</v>
      </c>
      <c r="F217" t="str">
        <f t="shared" si="0"/>
        <v xml:space="preserve">     El riesgo afecta la imagen de alguna área de la organización</v>
      </c>
    </row>
    <row r="218" spans="1:8" ht="21" x14ac:dyDescent="0.35">
      <c r="A218" s="75"/>
      <c r="B218" s="23" t="s">
        <v>310</v>
      </c>
      <c r="C218" s="23" t="s">
        <v>339</v>
      </c>
      <c r="E218" t="s">
        <v>318</v>
      </c>
      <c r="F218" t="str">
        <f t="shared" si="0"/>
        <v xml:space="preserve">     El riesgo afecta la imagen de la entidad internamente, de conocimiento general, nivel interno, de junta dircetiva y accionistas y/o de provedores</v>
      </c>
    </row>
    <row r="219" spans="1:8" ht="21" x14ac:dyDescent="0.35">
      <c r="A219" s="75"/>
      <c r="B219" s="23" t="s">
        <v>310</v>
      </c>
      <c r="C219" s="23" t="s">
        <v>327</v>
      </c>
      <c r="E219" t="s">
        <v>321</v>
      </c>
      <c r="F219" t="str">
        <f t="shared" si="0"/>
        <v xml:space="preserve">     El riesgo afecta la imagen de la entidad con algunos usuarios de relevancia frente al logro de los objetivos</v>
      </c>
    </row>
    <row r="220" spans="1:8" x14ac:dyDescent="0.25">
      <c r="A220" s="75"/>
      <c r="B220" s="24"/>
      <c r="C220" s="24"/>
      <c r="E220" t="s">
        <v>339</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327</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340</v>
      </c>
    </row>
    <row r="224" spans="1:8" x14ac:dyDescent="0.25">
      <c r="B224" s="19"/>
      <c r="C224" s="19"/>
      <c r="F224" s="27" t="s">
        <v>341</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449" t="s">
        <v>342</v>
      </c>
      <c r="C1" s="450"/>
      <c r="D1" s="450"/>
      <c r="E1" s="450"/>
      <c r="F1" s="451"/>
    </row>
    <row r="2" spans="2:6" ht="16.5" thickBot="1" x14ac:dyDescent="0.3">
      <c r="B2" s="81"/>
      <c r="C2" s="81"/>
      <c r="D2" s="81"/>
      <c r="E2" s="81"/>
      <c r="F2" s="81"/>
    </row>
    <row r="3" spans="2:6" ht="16.5" thickBot="1" x14ac:dyDescent="0.25">
      <c r="B3" s="453" t="s">
        <v>343</v>
      </c>
      <c r="C3" s="454"/>
      <c r="D3" s="454"/>
      <c r="E3" s="93" t="s">
        <v>344</v>
      </c>
      <c r="F3" s="94" t="s">
        <v>345</v>
      </c>
    </row>
    <row r="4" spans="2:6" ht="31.5" x14ac:dyDescent="0.2">
      <c r="B4" s="455" t="s">
        <v>346</v>
      </c>
      <c r="C4" s="457" t="s">
        <v>74</v>
      </c>
      <c r="D4" s="82" t="s">
        <v>135</v>
      </c>
      <c r="E4" s="83" t="s">
        <v>347</v>
      </c>
      <c r="F4" s="84">
        <v>0.25</v>
      </c>
    </row>
    <row r="5" spans="2:6" ht="47.25" x14ac:dyDescent="0.2">
      <c r="B5" s="456"/>
      <c r="C5" s="458"/>
      <c r="D5" s="85" t="s">
        <v>117</v>
      </c>
      <c r="E5" s="86" t="s">
        <v>348</v>
      </c>
      <c r="F5" s="87">
        <v>0.15</v>
      </c>
    </row>
    <row r="6" spans="2:6" ht="47.25" x14ac:dyDescent="0.2">
      <c r="B6" s="456"/>
      <c r="C6" s="458"/>
      <c r="D6" s="85" t="s">
        <v>349</v>
      </c>
      <c r="E6" s="86" t="s">
        <v>350</v>
      </c>
      <c r="F6" s="87">
        <v>0.1</v>
      </c>
    </row>
    <row r="7" spans="2:6" ht="63" x14ac:dyDescent="0.2">
      <c r="B7" s="456"/>
      <c r="C7" s="458" t="s">
        <v>97</v>
      </c>
      <c r="D7" s="85" t="s">
        <v>211</v>
      </c>
      <c r="E7" s="86" t="s">
        <v>351</v>
      </c>
      <c r="F7" s="87">
        <v>0.25</v>
      </c>
    </row>
    <row r="8" spans="2:6" ht="31.5" x14ac:dyDescent="0.2">
      <c r="B8" s="456"/>
      <c r="C8" s="458"/>
      <c r="D8" s="85" t="s">
        <v>118</v>
      </c>
      <c r="E8" s="86" t="s">
        <v>352</v>
      </c>
      <c r="F8" s="87">
        <v>0.15</v>
      </c>
    </row>
    <row r="9" spans="2:6" ht="47.25" x14ac:dyDescent="0.2">
      <c r="B9" s="456" t="s">
        <v>353</v>
      </c>
      <c r="C9" s="458" t="s">
        <v>99</v>
      </c>
      <c r="D9" s="85" t="s">
        <v>119</v>
      </c>
      <c r="E9" s="86" t="s">
        <v>354</v>
      </c>
      <c r="F9" s="88" t="s">
        <v>355</v>
      </c>
    </row>
    <row r="10" spans="2:6" ht="63" x14ac:dyDescent="0.2">
      <c r="B10" s="456"/>
      <c r="C10" s="458"/>
      <c r="D10" s="85" t="s">
        <v>150</v>
      </c>
      <c r="E10" s="86" t="s">
        <v>356</v>
      </c>
      <c r="F10" s="88" t="s">
        <v>355</v>
      </c>
    </row>
    <row r="11" spans="2:6" ht="47.25" x14ac:dyDescent="0.2">
      <c r="B11" s="456"/>
      <c r="C11" s="458" t="s">
        <v>100</v>
      </c>
      <c r="D11" s="85" t="s">
        <v>120</v>
      </c>
      <c r="E11" s="86" t="s">
        <v>357</v>
      </c>
      <c r="F11" s="88" t="s">
        <v>355</v>
      </c>
    </row>
    <row r="12" spans="2:6" ht="47.25" x14ac:dyDescent="0.2">
      <c r="B12" s="456"/>
      <c r="C12" s="458"/>
      <c r="D12" s="85" t="s">
        <v>151</v>
      </c>
      <c r="E12" s="86" t="s">
        <v>358</v>
      </c>
      <c r="F12" s="88" t="s">
        <v>355</v>
      </c>
    </row>
    <row r="13" spans="2:6" ht="31.5" x14ac:dyDescent="0.2">
      <c r="B13" s="456"/>
      <c r="C13" s="458" t="s">
        <v>101</v>
      </c>
      <c r="D13" s="85" t="s">
        <v>121</v>
      </c>
      <c r="E13" s="86" t="s">
        <v>359</v>
      </c>
      <c r="F13" s="88" t="s">
        <v>355</v>
      </c>
    </row>
    <row r="14" spans="2:6" ht="32.25" thickBot="1" x14ac:dyDescent="0.25">
      <c r="B14" s="459"/>
      <c r="C14" s="460"/>
      <c r="D14" s="89" t="s">
        <v>152</v>
      </c>
      <c r="E14" s="90" t="s">
        <v>360</v>
      </c>
      <c r="F14" s="91" t="s">
        <v>355</v>
      </c>
    </row>
    <row r="15" spans="2:6" ht="49.5" customHeight="1" x14ac:dyDescent="0.2">
      <c r="B15" s="452" t="s">
        <v>361</v>
      </c>
      <c r="C15" s="452"/>
      <c r="D15" s="452"/>
      <c r="E15" s="452"/>
      <c r="F15" s="452"/>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362</v>
      </c>
      <c r="E2" t="s">
        <v>363</v>
      </c>
    </row>
    <row r="3" spans="2:5" x14ac:dyDescent="0.25">
      <c r="B3" t="s">
        <v>122</v>
      </c>
      <c r="E3" t="s">
        <v>106</v>
      </c>
    </row>
    <row r="4" spans="2:5" x14ac:dyDescent="0.25">
      <c r="B4" t="s">
        <v>364</v>
      </c>
      <c r="E4" t="s">
        <v>365</v>
      </c>
    </row>
    <row r="5" spans="2:5" x14ac:dyDescent="0.25">
      <c r="B5" t="s">
        <v>366</v>
      </c>
    </row>
    <row r="8" spans="2:5" x14ac:dyDescent="0.25">
      <c r="B8" t="s">
        <v>367</v>
      </c>
    </row>
    <row r="9" spans="2:5" x14ac:dyDescent="0.25">
      <c r="B9" t="s">
        <v>368</v>
      </c>
    </row>
    <row r="10" spans="2:5" x14ac:dyDescent="0.25">
      <c r="B10" t="s">
        <v>369</v>
      </c>
    </row>
    <row r="13" spans="2:5" x14ac:dyDescent="0.25">
      <c r="B13" t="s">
        <v>370</v>
      </c>
    </row>
    <row r="14" spans="2:5" x14ac:dyDescent="0.25">
      <c r="B14" t="s">
        <v>143</v>
      </c>
    </row>
    <row r="15" spans="2:5" x14ac:dyDescent="0.25">
      <c r="B15" t="s">
        <v>371</v>
      </c>
    </row>
    <row r="16" spans="2:5" x14ac:dyDescent="0.25">
      <c r="B16" t="s">
        <v>372</v>
      </c>
    </row>
    <row r="17" spans="2:2" x14ac:dyDescent="0.25">
      <c r="B17" t="s">
        <v>130</v>
      </c>
    </row>
    <row r="18" spans="2:2" x14ac:dyDescent="0.25">
      <c r="B18" t="s">
        <v>373</v>
      </c>
    </row>
    <row r="19" spans="2:2" x14ac:dyDescent="0.25">
      <c r="B19" t="s">
        <v>110</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135</v>
      </c>
    </row>
    <row r="4" spans="1:1" x14ac:dyDescent="0.2">
      <c r="A4" s="7" t="s">
        <v>117</v>
      </c>
    </row>
    <row r="5" spans="1:1" x14ac:dyDescent="0.2">
      <c r="A5" s="7" t="s">
        <v>349</v>
      </c>
    </row>
    <row r="6" spans="1:1" x14ac:dyDescent="0.2">
      <c r="A6" s="7" t="s">
        <v>211</v>
      </c>
    </row>
    <row r="7" spans="1:1" x14ac:dyDescent="0.2">
      <c r="A7" s="7" t="s">
        <v>118</v>
      </c>
    </row>
    <row r="8" spans="1:1" x14ac:dyDescent="0.2">
      <c r="A8" s="7" t="s">
        <v>119</v>
      </c>
    </row>
    <row r="9" spans="1:1" x14ac:dyDescent="0.2">
      <c r="A9" s="7" t="s">
        <v>150</v>
      </c>
    </row>
    <row r="10" spans="1:1" x14ac:dyDescent="0.2">
      <c r="A10" s="7" t="s">
        <v>120</v>
      </c>
    </row>
    <row r="11" spans="1:1" x14ac:dyDescent="0.2">
      <c r="A11" s="7" t="s">
        <v>151</v>
      </c>
    </row>
    <row r="12" spans="1:1" x14ac:dyDescent="0.2">
      <c r="A12" s="7" t="s">
        <v>374</v>
      </c>
    </row>
    <row r="13" spans="1:1" x14ac:dyDescent="0.2">
      <c r="A13" s="7" t="s">
        <v>375</v>
      </c>
    </row>
    <row r="14" spans="1:1" x14ac:dyDescent="0.2">
      <c r="A14" s="7" t="s">
        <v>376</v>
      </c>
    </row>
    <row r="16" spans="1:1" x14ac:dyDescent="0.2">
      <c r="A16" s="7" t="s">
        <v>377</v>
      </c>
    </row>
    <row r="17" spans="1:1" x14ac:dyDescent="0.2">
      <c r="A17" s="7" t="s">
        <v>362</v>
      </c>
    </row>
    <row r="18" spans="1:1" x14ac:dyDescent="0.2">
      <c r="A18" s="7" t="s">
        <v>122</v>
      </c>
    </row>
    <row r="20" spans="1:1" x14ac:dyDescent="0.2">
      <c r="A20" s="7" t="s">
        <v>368</v>
      </c>
    </row>
    <row r="21" spans="1:1" x14ac:dyDescent="0.2">
      <c r="A21" s="7" t="s">
        <v>369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1F21C6993B14A8B53F261172598CF" ma:contentTypeVersion="12" ma:contentTypeDescription="Create a new document." ma:contentTypeScope="" ma:versionID="2283c9a22e7d51dcc4ce9ce11d898f9f">
  <xsd:schema xmlns:xsd="http://www.w3.org/2001/XMLSchema" xmlns:xs="http://www.w3.org/2001/XMLSchema" xmlns:p="http://schemas.microsoft.com/office/2006/metadata/properties" xmlns:ns3="1127acbe-e978-470f-969f-333cb0dcd145" xmlns:ns4="b55ffc4c-b392-4610-b856-514911c59727" targetNamespace="http://schemas.microsoft.com/office/2006/metadata/properties" ma:root="true" ma:fieldsID="67ee3f37c04cf7cd8c2ba8a105d54741" ns3:_="" ns4:_="">
    <xsd:import namespace="1127acbe-e978-470f-969f-333cb0dcd145"/>
    <xsd:import namespace="b55ffc4c-b392-4610-b856-514911c597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7acbe-e978-470f-969f-333cb0dcd14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ffc4c-b392-4610-b856-514911c5972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4FF7AF-A18F-42CE-BC80-CC175964C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7acbe-e978-470f-969f-333cb0dcd145"/>
    <ds:schemaRef ds:uri="b55ffc4c-b392-4610-b856-514911c59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FB91BA-711E-482A-A7AD-13CF465B953C}">
  <ds:schemaRefs>
    <ds:schemaRef ds:uri="http://schemas.microsoft.com/sharepoint/v3/contenttype/forms"/>
  </ds:schemaRefs>
</ds:datastoreItem>
</file>

<file path=customXml/itemProps3.xml><?xml version="1.0" encoding="utf-8"?>
<ds:datastoreItem xmlns:ds="http://schemas.openxmlformats.org/officeDocument/2006/customXml" ds:itemID="{6FE15AEB-009A-4B38-BAB3-79F7B460A69B}">
  <ds:schemaRefs>
    <ds:schemaRef ds:uri="http://schemas.microsoft.com/office/infopath/2007/PartnerControls"/>
    <ds:schemaRef ds:uri="http://purl.org/dc/terms/"/>
    <ds:schemaRef ds:uri="1127acbe-e978-470f-969f-333cb0dcd145"/>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b55ffc4c-b392-4610-b856-514911c5972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Intructivo</vt:lpstr>
      <vt:lpstr>Mapa final</vt:lpstr>
      <vt:lpstr>Listas</vt:lpstr>
      <vt:lpstr>Matriz Calor Inherente</vt:lpstr>
      <vt:lpstr>Matriz Calor Residual</vt:lpstr>
      <vt:lpstr>Tabla probabilidad</vt:lpstr>
      <vt:lpstr>Impacto C.</vt:lpstr>
      <vt:lpstr>Tabla Impacto</vt:lpstr>
      <vt:lpstr>Tabla Valoración controles</vt:lpstr>
      <vt:lpstr>Opciones Tratamiento</vt:lpstr>
      <vt:lpstr>Hoja1</vt:lpstr>
      <vt:lpstr>'Impacto C.'!Títulos_a_imprimir</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2022-10-02T03:22:58Z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0x01010013C1F21C6993B14A8B53F261172598CF</vt:lpwstr>
  </property>
</Properties>
</file>