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codeName="ThisWorkbook" autoCompressPictures="0"/>
  <xr:revisionPtr revIDLastSave="0" documentId="13_ncr:1_{E6AF8CBA-E57C-4EBE-8921-6A780F3E7516}" xr6:coauthVersionLast="47" xr6:coauthVersionMax="47" xr10:uidLastSave="{00000000-0000-0000-0000-000000000000}"/>
  <bookViews>
    <workbookView xWindow="-120" yWindow="-120" windowWidth="29040" windowHeight="15840" xr2:uid="{00000000-000D-0000-FFFF-FFFF00000000}"/>
  </bookViews>
  <sheets>
    <sheet name="SGSI_Ing. Sandra_Guerrero_2022" sheetId="8" r:id="rId1"/>
    <sheet name="Hoja1" sheetId="18" state="hidden" r:id="rId2"/>
    <sheet name="Hoja2" sheetId="17" state="hidden" r:id="rId3"/>
    <sheet name="Tablero Eficacia - Eficiencia" sheetId="12" state="hidden" r:id="rId4"/>
    <sheet name="Tablero Objeivos de Calidad" sheetId="13" state="hidden" r:id="rId5"/>
    <sheet name="Hoja3" sheetId="16" state="hidden" r:id="rId6"/>
    <sheet name="Hoja4" sheetId="14" state="hidden" r:id="rId7"/>
    <sheet name="Tablero Maestro (2)" sheetId="11" state="hidden" r:id="rId8"/>
    <sheet name="DE" sheetId="9" state="hidden" r:id="rId9"/>
  </sheets>
  <externalReferences>
    <externalReference r:id="rId10"/>
    <externalReference r:id="rId11"/>
  </externalReferences>
  <definedNames>
    <definedName name="_xlnm._FilterDatabase" localSheetId="0" hidden="1">'SGSI_Ing. Sandra_Guerrero_2022'!$A$4:$BO$11</definedName>
    <definedName name="_xlnm._FilterDatabase" localSheetId="3" hidden="1">'Tablero Eficacia - Eficiencia'!$A$7:$BL$54</definedName>
    <definedName name="_xlnm.Print_Area" localSheetId="0">'SGSI_Ing. Sandra_Guerrero_2022'!$A$1:$AI$11</definedName>
    <definedName name="_xlnm.Print_Area" localSheetId="3">'Tablero Eficacia - Eficiencia'!$A$1:$AL$51</definedName>
    <definedName name="_xlnm.Print_Area" localSheetId="4">'Tablero Objeivos de Calidad'!$C$3:$F$29</definedName>
    <definedName name="CUMPLIMIENTO_METAS" localSheetId="8">#REF!</definedName>
    <definedName name="CUMPLIMIENTO_METAS" localSheetId="7">#REF!</definedName>
    <definedName name="CUMPLIMIENTO_METAS">#REF!</definedName>
    <definedName name="Datos_Nutricional" localSheetId="8">#REF!</definedName>
    <definedName name="Datos_Nutricional" localSheetId="7">#REF!</definedName>
    <definedName name="Datos_Nutricional">#REF!</definedName>
    <definedName name="EFICACIA_DEL_SGC" localSheetId="8">#REF!</definedName>
    <definedName name="EFICACIA_DEL_SGC" localSheetId="7">#REF!</definedName>
    <definedName name="EFICACIA_DEL_SGC">#REF!</definedName>
    <definedName name="Tabla_de_datos" localSheetId="8">'[1]Cubrimiento Cupos'!#REF!</definedName>
    <definedName name="Tabla_de_datos" localSheetId="7">'[1]Cubrimiento Cupos'!#REF!</definedName>
    <definedName name="Tabla_de_datos">'[1]Cubrimiento Cupos'!#REF!</definedName>
    <definedName name="Tabla_Logros" localSheetId="8">'[1]Logros alcanzados'!#REF!</definedName>
    <definedName name="Tabla_Logros" localSheetId="7">'[1]Logros alcanzados'!#REF!</definedName>
    <definedName name="Tabla_Logros">'[1]Logros alcanzados'!#REF!</definedName>
    <definedName name="_xlnm.Print_Titles" localSheetId="0">'SGSI_Ing. Sandra_Guerrero_2022'!$1:$6</definedName>
  </definedNames>
  <calcPr calcId="191029"/>
  <fileRecoveryPr autoRecover="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J11" i="8" l="1"/>
  <c r="AJ10" i="8"/>
  <c r="AJ9" i="8"/>
  <c r="AJ8" i="8"/>
  <c r="AJ7" i="8"/>
  <c r="G8" i="18"/>
  <c r="F8" i="18"/>
  <c r="F18" i="18"/>
  <c r="E18" i="18"/>
  <c r="AH6" i="12"/>
  <c r="AG6" i="12"/>
  <c r="AE6" i="12"/>
  <c r="N6" i="12"/>
  <c r="L6" i="12"/>
  <c r="G40" i="12"/>
  <c r="AJ48" i="12"/>
  <c r="AJ46" i="12"/>
  <c r="AL48" i="12"/>
  <c r="AL46" i="12"/>
  <c r="J46" i="12"/>
  <c r="I46" i="12"/>
  <c r="AL33" i="12"/>
  <c r="AJ33" i="12"/>
  <c r="O33" i="12"/>
  <c r="AB33" i="12"/>
  <c r="AG33" i="12"/>
  <c r="AJ29" i="12"/>
  <c r="G15" i="17"/>
  <c r="E15" i="17"/>
  <c r="G17" i="17"/>
  <c r="F15" i="17"/>
  <c r="F17" i="17" s="1"/>
  <c r="AJ30" i="12"/>
  <c r="L13" i="16"/>
  <c r="M13" i="16"/>
  <c r="H13" i="16"/>
  <c r="I12" i="16"/>
  <c r="I8" i="16"/>
  <c r="I9" i="16"/>
  <c r="I10" i="16"/>
  <c r="I11" i="16"/>
  <c r="I13" i="16"/>
  <c r="F12" i="16"/>
  <c r="E12" i="16"/>
  <c r="F11" i="16"/>
  <c r="E11" i="16"/>
  <c r="F10" i="16"/>
  <c r="E10" i="16"/>
  <c r="F9" i="16"/>
  <c r="E9" i="16"/>
  <c r="F8" i="16"/>
  <c r="E8" i="16"/>
  <c r="AJ27" i="12"/>
  <c r="O25" i="12"/>
  <c r="F14" i="13" s="1"/>
  <c r="E5" i="13"/>
  <c r="E4" i="13"/>
  <c r="D5" i="13"/>
  <c r="D4" i="13"/>
  <c r="D19" i="13"/>
  <c r="F29" i="13"/>
  <c r="F28" i="13"/>
  <c r="E29" i="13"/>
  <c r="E28" i="13"/>
  <c r="D29" i="13"/>
  <c r="D28" i="13"/>
  <c r="F27" i="13"/>
  <c r="E27" i="13"/>
  <c r="D27" i="13"/>
  <c r="F26" i="13"/>
  <c r="E26" i="13"/>
  <c r="D26" i="13"/>
  <c r="F25" i="13"/>
  <c r="E25" i="13"/>
  <c r="D25" i="13"/>
  <c r="D24" i="13"/>
  <c r="F23" i="13"/>
  <c r="E23" i="13"/>
  <c r="F22" i="13"/>
  <c r="E22" i="13"/>
  <c r="D23" i="13"/>
  <c r="D22" i="13"/>
  <c r="F21" i="13"/>
  <c r="E21" i="13"/>
  <c r="D21" i="13"/>
  <c r="F20" i="13"/>
  <c r="E20" i="13"/>
  <c r="D20" i="13"/>
  <c r="F19" i="13"/>
  <c r="E19" i="13"/>
  <c r="F18" i="13"/>
  <c r="E18" i="13"/>
  <c r="D18" i="13"/>
  <c r="F17" i="13"/>
  <c r="F16" i="13"/>
  <c r="F15" i="13"/>
  <c r="E17" i="13"/>
  <c r="E16" i="13"/>
  <c r="E15" i="13"/>
  <c r="D17" i="13"/>
  <c r="D16" i="13"/>
  <c r="D15" i="13"/>
  <c r="F5" i="13"/>
  <c r="F4" i="13"/>
  <c r="F13" i="13"/>
  <c r="F12" i="13"/>
  <c r="I25" i="12"/>
  <c r="E14" i="13" s="1"/>
  <c r="I24" i="12"/>
  <c r="E13" i="13"/>
  <c r="E12" i="13"/>
  <c r="D14" i="13"/>
  <c r="D13" i="13"/>
  <c r="D12" i="13"/>
  <c r="F11" i="13"/>
  <c r="E11" i="13"/>
  <c r="D11" i="13"/>
  <c r="F9" i="13"/>
  <c r="F8" i="13"/>
  <c r="F10" i="13"/>
  <c r="E10" i="13"/>
  <c r="D10" i="13"/>
  <c r="O49" i="12"/>
  <c r="O40" i="12"/>
  <c r="F24" i="13" s="1"/>
  <c r="I40" i="12"/>
  <c r="E24" i="13" s="1"/>
  <c r="AB36" i="12"/>
  <c r="AG36" i="12"/>
  <c r="AD36" i="12"/>
  <c r="I33" i="12"/>
  <c r="AB19" i="12"/>
  <c r="AH19" i="12"/>
  <c r="AD19" i="12"/>
  <c r="E9" i="13"/>
  <c r="D9" i="13"/>
  <c r="E8" i="13"/>
  <c r="D8" i="13"/>
  <c r="F7" i="13"/>
  <c r="E7" i="13"/>
  <c r="D7" i="13"/>
  <c r="E6" i="13"/>
  <c r="D6" i="13"/>
  <c r="O21" i="12"/>
  <c r="I16" i="12"/>
  <c r="O9" i="12"/>
  <c r="F6" i="13" s="1"/>
  <c r="AE54" i="12"/>
  <c r="AF52" i="12"/>
  <c r="B50" i="12"/>
  <c r="AD48" i="12"/>
  <c r="AB48" i="12"/>
  <c r="AH48" i="12" s="1"/>
  <c r="AD47" i="12"/>
  <c r="AB47" i="12"/>
  <c r="AG47" i="12"/>
  <c r="B47" i="12"/>
  <c r="B48" i="12" s="1"/>
  <c r="B49" i="12" s="1"/>
  <c r="AD46" i="12"/>
  <c r="AB46" i="12"/>
  <c r="AH46" i="12" s="1"/>
  <c r="B46" i="12"/>
  <c r="AD44" i="12"/>
  <c r="AB44" i="12"/>
  <c r="AG44" i="12" s="1"/>
  <c r="AD43" i="12"/>
  <c r="AB43" i="12"/>
  <c r="AH43" i="12" s="1"/>
  <c r="AD42" i="12"/>
  <c r="AB42" i="12"/>
  <c r="AH42" i="12"/>
  <c r="AD41" i="12"/>
  <c r="AB41" i="12"/>
  <c r="AH41" i="12" s="1"/>
  <c r="AD40" i="12"/>
  <c r="AB40" i="12"/>
  <c r="AD39" i="12"/>
  <c r="AC39" i="12"/>
  <c r="AB39" i="12"/>
  <c r="AH39" i="12" s="1"/>
  <c r="AD38" i="12"/>
  <c r="AB38" i="12"/>
  <c r="AH38" i="12" s="1"/>
  <c r="AD37" i="12"/>
  <c r="AB37" i="12"/>
  <c r="AH37" i="12"/>
  <c r="AD35" i="12"/>
  <c r="AB35" i="12"/>
  <c r="AH35" i="12" s="1"/>
  <c r="AD33" i="12"/>
  <c r="B33" i="12"/>
  <c r="B35" i="12"/>
  <c r="AD32" i="12"/>
  <c r="AB32" i="12"/>
  <c r="AH32" i="12" s="1"/>
  <c r="AD31" i="12"/>
  <c r="AB31" i="12"/>
  <c r="AH31" i="12"/>
  <c r="AD30" i="12"/>
  <c r="AB30" i="12"/>
  <c r="AH30" i="12" s="1"/>
  <c r="AD29" i="12"/>
  <c r="AB29" i="12"/>
  <c r="AG29" i="12" s="1"/>
  <c r="AD27" i="12"/>
  <c r="AB27" i="12"/>
  <c r="AH27" i="12" s="1"/>
  <c r="AD26" i="12"/>
  <c r="AB26" i="12"/>
  <c r="AH26" i="12" s="1"/>
  <c r="B26" i="12"/>
  <c r="B27" i="12" s="1"/>
  <c r="B28" i="12" s="1"/>
  <c r="B29" i="12" s="1"/>
  <c r="B30" i="12" s="1"/>
  <c r="B31" i="12" s="1"/>
  <c r="B32" i="12" s="1"/>
  <c r="AD25" i="12"/>
  <c r="AB25" i="12"/>
  <c r="AD24" i="12"/>
  <c r="AB24" i="12"/>
  <c r="AG24" i="12" s="1"/>
  <c r="AD23" i="12"/>
  <c r="AB23" i="12"/>
  <c r="AH23" i="12" s="1"/>
  <c r="B23" i="12"/>
  <c r="B24" i="12" s="1"/>
  <c r="B25" i="12" s="1"/>
  <c r="AH22" i="12"/>
  <c r="AG22" i="12"/>
  <c r="AD20" i="12"/>
  <c r="AB20" i="12"/>
  <c r="AD18" i="12"/>
  <c r="AB18" i="12"/>
  <c r="AG18" i="12" s="1"/>
  <c r="AD17" i="12"/>
  <c r="AB17" i="12"/>
  <c r="AG17" i="12" s="1"/>
  <c r="AD16" i="12"/>
  <c r="AB16" i="12"/>
  <c r="AG16" i="12" s="1"/>
  <c r="AD14" i="12"/>
  <c r="AB14" i="12"/>
  <c r="AG14" i="12"/>
  <c r="AD13" i="12"/>
  <c r="AB13" i="12"/>
  <c r="AG13" i="12" s="1"/>
  <c r="AD12" i="12"/>
  <c r="AB12" i="12"/>
  <c r="AG12" i="12" s="1"/>
  <c r="AD11" i="12"/>
  <c r="AB11" i="12"/>
  <c r="AH11" i="12" s="1"/>
  <c r="AD10" i="12"/>
  <c r="AB10" i="12"/>
  <c r="AH10" i="12" s="1"/>
  <c r="AD9" i="12"/>
  <c r="AB9" i="12"/>
  <c r="AG9" i="12"/>
  <c r="AD8" i="12"/>
  <c r="AB8" i="12"/>
  <c r="AG8" i="12"/>
  <c r="B36" i="12"/>
  <c r="B37" i="12" s="1"/>
  <c r="B38" i="12" s="1"/>
  <c r="B39" i="12"/>
  <c r="B40" i="12"/>
  <c r="B41" i="12" s="1"/>
  <c r="B42" i="12"/>
  <c r="B43" i="12"/>
  <c r="B44" i="12"/>
  <c r="AG37" i="12"/>
  <c r="AH18" i="12"/>
  <c r="AH47" i="12"/>
  <c r="AG32" i="12"/>
  <c r="AG31" i="12"/>
  <c r="AG41" i="12"/>
  <c r="AH12" i="12"/>
  <c r="AG43" i="12"/>
  <c r="AG46" i="12"/>
  <c r="AH13" i="12"/>
  <c r="AG26" i="12"/>
  <c r="AG38" i="12"/>
  <c r="AG42" i="12"/>
  <c r="AG48" i="12"/>
  <c r="I49" i="12"/>
  <c r="AC19" i="11"/>
  <c r="AD17" i="11"/>
  <c r="AB16" i="11"/>
  <c r="Z16" i="11"/>
  <c r="AF16" i="11"/>
  <c r="AB15" i="11"/>
  <c r="Z15" i="11"/>
  <c r="AE15" i="11" s="1"/>
  <c r="AB14" i="11"/>
  <c r="Z14" i="11"/>
  <c r="AF14" i="11" s="1"/>
  <c r="AB13" i="11"/>
  <c r="Z13" i="11"/>
  <c r="AF13" i="11"/>
  <c r="AB12" i="11"/>
  <c r="Z12" i="11"/>
  <c r="AF12" i="11" s="1"/>
  <c r="AB11" i="11"/>
  <c r="Z11" i="11"/>
  <c r="AF11" i="11" s="1"/>
  <c r="AE11" i="11"/>
  <c r="AB10" i="11"/>
  <c r="Z10" i="11"/>
  <c r="AE10" i="11"/>
  <c r="AB9" i="11"/>
  <c r="Z9" i="11"/>
  <c r="AE9" i="11" s="1"/>
  <c r="Z8" i="11"/>
  <c r="AB8" i="11"/>
  <c r="AF8" i="11"/>
  <c r="B8" i="11"/>
  <c r="B9" i="11" s="1"/>
  <c r="B10" i="11" s="1"/>
  <c r="B11" i="11" s="1"/>
  <c r="B12" i="11" s="1"/>
  <c r="B13" i="11" s="1"/>
  <c r="B14" i="11" s="1"/>
  <c r="B15" i="11" s="1"/>
  <c r="B16" i="11" s="1"/>
  <c r="F39" i="9"/>
  <c r="F38" i="9"/>
  <c r="F37" i="9"/>
  <c r="F36" i="9"/>
  <c r="F35" i="9"/>
  <c r="F34" i="9"/>
  <c r="F33" i="9"/>
  <c r="F32" i="9"/>
  <c r="F31" i="9"/>
  <c r="F30" i="9"/>
  <c r="F29" i="9"/>
  <c r="F28" i="9"/>
  <c r="AF10" i="11"/>
  <c r="AE16" i="11"/>
  <c r="C39" i="9"/>
  <c r="AH17" i="12"/>
  <c r="D37" i="9"/>
  <c r="E37" i="9" s="1"/>
  <c r="AG27" i="12"/>
  <c r="AG30" i="12"/>
  <c r="AE8" i="11"/>
  <c r="AH36" i="12"/>
  <c r="M14" i="16"/>
  <c r="AE13" i="11"/>
  <c r="AH9" i="12"/>
  <c r="D36" i="9"/>
  <c r="E36" i="9" s="1"/>
  <c r="D29" i="9"/>
  <c r="E29" i="9" s="1"/>
  <c r="D30" i="9"/>
  <c r="E30" i="9" s="1"/>
  <c r="D35" i="9"/>
  <c r="E35" i="9" s="1"/>
  <c r="AH14" i="12"/>
  <c r="AG19" i="12"/>
  <c r="D28" i="9"/>
  <c r="E28" i="9" s="1"/>
  <c r="D34" i="9"/>
  <c r="E34" i="9" s="1"/>
  <c r="AF9" i="11"/>
  <c r="D38" i="9"/>
  <c r="E38" i="9" s="1"/>
  <c r="D33" i="9"/>
  <c r="E33" i="9" s="1"/>
  <c r="D31" i="9"/>
  <c r="E31" i="9" s="1"/>
  <c r="D32" i="9"/>
  <c r="E32" i="9" s="1"/>
  <c r="D39" i="9"/>
  <c r="AH33" i="12"/>
  <c r="AH8" i="12"/>
  <c r="AF54" i="12"/>
  <c r="AG54" i="12"/>
  <c r="AG25" i="12"/>
  <c r="AG10" i="12"/>
  <c r="AG35" i="12"/>
  <c r="AH44" i="12"/>
  <c r="AH25" i="12" l="1"/>
  <c r="G30" i="9"/>
  <c r="AG40" i="12"/>
  <c r="AH40" i="12"/>
  <c r="G33" i="9"/>
  <c r="G31" i="9"/>
  <c r="G36" i="9"/>
  <c r="E39" i="9"/>
  <c r="G39" i="9" s="1"/>
  <c r="G38" i="9"/>
  <c r="G37" i="9"/>
  <c r="G35" i="9"/>
  <c r="G34" i="9"/>
  <c r="G29" i="9"/>
  <c r="AE12" i="11"/>
  <c r="AE17" i="11" s="1"/>
  <c r="AG23" i="12"/>
  <c r="AH29" i="12"/>
  <c r="G32" i="9"/>
  <c r="AD19" i="11"/>
  <c r="AE19" i="11" s="1"/>
  <c r="AF15" i="11"/>
  <c r="AF17" i="11" s="1"/>
  <c r="AG11" i="12"/>
  <c r="AG52" i="12" s="1"/>
  <c r="AH24" i="12"/>
  <c r="AG39" i="12"/>
  <c r="AE14" i="11"/>
  <c r="AH16" i="12"/>
  <c r="AH52" i="12" s="1"/>
  <c r="E40" i="9" l="1"/>
</calcChain>
</file>

<file path=xl/sharedStrings.xml><?xml version="1.0" encoding="utf-8"?>
<sst xmlns="http://schemas.openxmlformats.org/spreadsheetml/2006/main" count="640" uniqueCount="385">
  <si>
    <t>TABLERO INDICADORES 2017</t>
  </si>
  <si>
    <t>OBJETIVO ESTRATÉGICO</t>
  </si>
  <si>
    <t>PROCESO</t>
  </si>
  <si>
    <t>PLAN DE ACCIÓN ASOCIADO</t>
  </si>
  <si>
    <t>INDICADOR</t>
  </si>
  <si>
    <t>TIPO DE INDICADOR</t>
  </si>
  <si>
    <t>FÓRMULA</t>
  </si>
  <si>
    <t>DESCRIPCIÓN</t>
  </si>
  <si>
    <t>MEJOR SI</t>
  </si>
  <si>
    <t>PERIODO</t>
  </si>
  <si>
    <t>LÍNEA BASE</t>
  </si>
  <si>
    <t>RESULTADO (ANTERIORES)</t>
  </si>
  <si>
    <t>META</t>
  </si>
  <si>
    <t>RANGO</t>
  </si>
  <si>
    <t>MEDICIÓN Y ANÁLISIS</t>
  </si>
  <si>
    <t>Bajo</t>
  </si>
  <si>
    <t>Medio</t>
  </si>
  <si>
    <t>Óptimo</t>
  </si>
  <si>
    <t>Agosto</t>
  </si>
  <si>
    <t>Febrero</t>
  </si>
  <si>
    <t>Marzo</t>
  </si>
  <si>
    <t>Abril</t>
  </si>
  <si>
    <t>Mayo</t>
  </si>
  <si>
    <t>Junio</t>
  </si>
  <si>
    <t>Julio</t>
  </si>
  <si>
    <t>Septiembre</t>
  </si>
  <si>
    <t>Octubre</t>
  </si>
  <si>
    <t>Noviembre</t>
  </si>
  <si>
    <t>Diciembre</t>
  </si>
  <si>
    <t>Observaciones</t>
  </si>
  <si>
    <t>Continuar con el proceso de acreditación de los programas</t>
  </si>
  <si>
    <t>Docencia PES</t>
  </si>
  <si>
    <t>- Proceso de autoevaluación institucional 2018-2019
- Continuidad al proceso de acreditación de programas de pregrado
- Ejecución de planes de mejoramiento
- Gestión de autoevaluación 
- Gestión de acreditación</t>
  </si>
  <si>
    <t>Eficacia</t>
  </si>
  <si>
    <t>Tendencia Media</t>
  </si>
  <si>
    <t>Anual</t>
  </si>
  <si>
    <t>NA</t>
  </si>
  <si>
    <t>Efectividad</t>
  </si>
  <si>
    <t>Baja</t>
  </si>
  <si>
    <t>Semestral</t>
  </si>
  <si>
    <t>Garantizar la pertinencia de los programas de ES ofrecidos por la ETITC, a partir de la identificación de las tendencias y necesidades de la sociedad, del mercado laboral y de los procesos de ES, tanto a nivel nacional como internacional</t>
  </si>
  <si>
    <t>Fortalecimiento del proceso de docencia</t>
  </si>
  <si>
    <t>El indicador permite medir la aplicación de los temas sensibilizados en seguridad de la información por  parte  de  los  usuarios  finales.</t>
  </si>
  <si>
    <t>Sube</t>
  </si>
  <si>
    <t>Docencia Bachillerato</t>
  </si>
  <si>
    <t>Trimestral</t>
  </si>
  <si>
    <t>- Evaluación y seguimiento
- Disciplina</t>
  </si>
  <si>
    <t>Porcentaje de cumplimiento de la declaración de aplicabilidad.</t>
  </si>
  <si>
    <t>Investigación</t>
  </si>
  <si>
    <t>Bienestar Universitario</t>
  </si>
  <si>
    <t>Gestión del Talento Humano</t>
  </si>
  <si>
    <t>Extensión y proyección social</t>
  </si>
  <si>
    <t>Gestión Financiera</t>
  </si>
  <si>
    <t>Gestión de Informática y comunicaciones</t>
  </si>
  <si>
    <t>((195+323+318)/3810)-((232+431+250)/3868)</t>
  </si>
  <si>
    <t>hay</t>
  </si>
  <si>
    <t>reparar</t>
  </si>
  <si>
    <t>uso</t>
  </si>
  <si>
    <t>Escuela Tecnológica
 Instituto Técnico Central</t>
  </si>
  <si>
    <t>TABLERO MAESTRO DE INDICADORES</t>
  </si>
  <si>
    <t>Version: 01</t>
  </si>
  <si>
    <t>SGC-Registro</t>
  </si>
  <si>
    <t>Pagina 1 de 1</t>
  </si>
  <si>
    <t>Proceso</t>
  </si>
  <si>
    <t>Indicador</t>
  </si>
  <si>
    <t>Tipo de indicador</t>
  </si>
  <si>
    <t>M</t>
  </si>
  <si>
    <t>V</t>
  </si>
  <si>
    <t>Formula</t>
  </si>
  <si>
    <t>Descripción</t>
  </si>
  <si>
    <t>Línea Base</t>
  </si>
  <si>
    <t>Frecuencia</t>
  </si>
  <si>
    <t>Mejor si…</t>
  </si>
  <si>
    <t>BAJO</t>
  </si>
  <si>
    <t>MEDIO</t>
  </si>
  <si>
    <t>ALTO</t>
  </si>
  <si>
    <t>Meta</t>
  </si>
  <si>
    <t>Resultado del Indicador</t>
  </si>
  <si>
    <t>EVOLUCIÓN</t>
  </si>
  <si>
    <t>Tendencia Acumulada</t>
  </si>
  <si>
    <t>Reporta</t>
  </si>
  <si>
    <t>Peso Relativo</t>
  </si>
  <si>
    <t>% Relativo de Cumplimiento</t>
  </si>
  <si>
    <t>% Cumplimiento - CUMPLIMIENTO METAS</t>
  </si>
  <si>
    <t>Responsable</t>
  </si>
  <si>
    <t>Fuente de datos</t>
  </si>
  <si>
    <t>Direccionamiento Institucional</t>
  </si>
  <si>
    <t>Programas acreditados</t>
  </si>
  <si>
    <t>( # Programas acreditados /  # programas acreditables )</t>
  </si>
  <si>
    <t xml:space="preserve">Medir el % de programas acreditados </t>
  </si>
  <si>
    <t>Si</t>
  </si>
  <si>
    <t xml:space="preserve">Variación de pruebas saber pro </t>
  </si>
  <si>
    <t xml:space="preserve">según fuente -MEN </t>
  </si>
  <si>
    <t>Medir desempeño de los estudiantes</t>
  </si>
  <si>
    <t>9.9925(2016)/9,9204(2015)</t>
  </si>
  <si>
    <t>Índice de empleabilidad</t>
  </si>
  <si>
    <t>Fuente observatorio laboral</t>
  </si>
  <si>
    <t>Medir el número  de egresados laborando</t>
  </si>
  <si>
    <t>95,7% (Medición del 2015, no hay datos 2016)</t>
  </si>
  <si>
    <t>&gt;= 96%</t>
  </si>
  <si>
    <t>Cumplimiento de actividades de movilidad</t>
  </si>
  <si>
    <t xml:space="preserve">Eficacia </t>
  </si>
  <si>
    <t>Actividades ejecutadas / actividades programadas</t>
  </si>
  <si>
    <t>Medir el cumplimiento de las actividades de movilidad.</t>
  </si>
  <si>
    <t xml:space="preserve">mensual </t>
  </si>
  <si>
    <t>Se recibieron 5 solicitudes de movilidad Internacional, se ven pocas solicitudes debido al receso académico de la entidad</t>
  </si>
  <si>
    <t>ORII</t>
  </si>
  <si>
    <t>Cumplimiento del Plan de Desarrollo Institucional</t>
  </si>
  <si>
    <t>% avance de cumplimiento del plan estratégico de desarrollo</t>
  </si>
  <si>
    <t>Medir el cumplimiento del plan estratégico de desarrollo a partir del informe presentado por los responsables de cada uno de los ejes estratégicos</t>
  </si>
  <si>
    <t>anual</t>
  </si>
  <si>
    <t>Satisfacción de los cursos de extensión</t>
  </si>
  <si>
    <t>Promedio de las evaluaciones de los cursos</t>
  </si>
  <si>
    <t>Medir la satisfacción de los estudiantes frente a los programas ofertados en el área</t>
  </si>
  <si>
    <t>No tiene, es la primera vez que se mide este impacto</t>
  </si>
  <si>
    <t>Semestre</t>
  </si>
  <si>
    <t xml:space="preserve">Egresados </t>
  </si>
  <si>
    <t>#de egresados vinculados / # de egresados totales *100</t>
  </si>
  <si>
    <t>Conocer la participación de los egresados en actividades de la ETITC.</t>
  </si>
  <si>
    <t>Permanencia en los cursos de extensión</t>
  </si>
  <si>
    <t>#Total de estudiantes que culminan / # de estudiantes que se matriculan *100</t>
  </si>
  <si>
    <t>Conocer la permanencia académica</t>
  </si>
  <si>
    <t>Presupuesto de ingresos de extensión</t>
  </si>
  <si>
    <t>Ingresos ejecutados / Ingresos programados</t>
  </si>
  <si>
    <t>Medir el cumplimiento del presupuesto de ingresos de extensión</t>
  </si>
  <si>
    <t xml:space="preserve">Anual </t>
  </si>
  <si>
    <t xml:space="preserve">Trabajos de grado con reconocimiento </t>
  </si>
  <si>
    <t xml:space="preserve"># trabajos de grado con distinciones  / # total, trabajos de grado  </t>
  </si>
  <si>
    <t>Medir la pertinencia de los trabajos de grado</t>
  </si>
  <si>
    <t>Un trabajo por cada facultad</t>
  </si>
  <si>
    <t>Participación en comunidades académicas</t>
  </si>
  <si>
    <t>Facultades con al menos 1 participación/ total de facultades</t>
  </si>
  <si>
    <t xml:space="preserve">Medir la visibilidad de la institución en comunidades académicas </t>
  </si>
  <si>
    <t xml:space="preserve">Promoción y participación de esas redes para la acreditación (Todas las facultades pertenezcan en cada una de la sredes), componente de redes </t>
  </si>
  <si>
    <t>Uso de talleres y laboratorios</t>
  </si>
  <si>
    <t>#de horas de uso de talleres y laboratorios/ #total de horas dispuestas por el taller</t>
  </si>
  <si>
    <t>Medir el uso de los talleres y laboratorios</t>
  </si>
  <si>
    <t>Uso de talleres al 100%</t>
  </si>
  <si>
    <t>Revisión de syllabus</t>
  </si>
  <si>
    <t># Syllabus revisados / # total de syllabus</t>
  </si>
  <si>
    <t>Medir la pertenecía de los syllabus</t>
  </si>
  <si>
    <t>75% (11/15)</t>
  </si>
  <si>
    <t>Variación pruebas saber PRO</t>
  </si>
  <si>
    <t xml:space="preserve">Pruebas saber pro vigencia actual  respecto Pruebas saber pro vigencia anterior </t>
  </si>
  <si>
    <t xml:space="preserve">Medir desempeño de los estudiantes </t>
  </si>
  <si>
    <t>Indice de empleabilidad</t>
  </si>
  <si>
    <t>Fuente MEN</t>
  </si>
  <si>
    <t>Medir la pertenencia de los programas con la industria</t>
  </si>
  <si>
    <t>&lt;= 96%</t>
  </si>
  <si>
    <t>Rendimiento académico periódico</t>
  </si>
  <si>
    <t>Eficiencia</t>
  </si>
  <si>
    <t>Nivel de desempeño de aprobación del bimestre actual vs. Nivel de desempeño de aprobación del bimestre anterior.</t>
  </si>
  <si>
    <t>Mejorar el desempeño académico de los estudiantes periódico</t>
  </si>
  <si>
    <t xml:space="preserve">Bimestral </t>
  </si>
  <si>
    <t>Por ser la primera medición, el rendimiento de 3,64 (Desempeño básico) es nuestra línea base para la siguiente evaluación</t>
  </si>
  <si>
    <t xml:space="preserve">Promoción escolar </t>
  </si>
  <si>
    <t>Estudiantes que pasaron el año n / Estudiantes matriculados en el año n</t>
  </si>
  <si>
    <t xml:space="preserve">Medir el avance de la promoción escolar </t>
  </si>
  <si>
    <t xml:space="preserve">Desempeño pruebas saber </t>
  </si>
  <si>
    <t>Desviación estándar año 2017 / Desviación estándar año 2016  - 1</t>
  </si>
  <si>
    <t>Mejorar el desempeño común de los estudiantes  (a mayor disminución, mejor desempeño)</t>
  </si>
  <si>
    <t>Proyectos de formación en actividades</t>
  </si>
  <si>
    <t># Proyectos de formación  actividad  en ejecución/ # de proyectos de formación actividad  programados*100</t>
  </si>
  <si>
    <t>Diseñar un programa de formación investigativa  que prepare  a la comunidad de investigación  para el desarrollo de actividad en el periodo  2017-  2019 a través de vínculos con el SNCTI</t>
  </si>
  <si>
    <t>Proyectos  de  apoyo a las actividades</t>
  </si>
  <si>
    <t># Proyectos  de apoyo a las ACTI  en ejecución/ # de proyectos de apoyo a las actividad programados*100</t>
  </si>
  <si>
    <t>Elaborar un  plan de apoyo a las actividades 2017- 2019  para los grupos de investigación  que responda a las políticas nacionales de ciencia, tecnología e innovación.</t>
  </si>
  <si>
    <t>En este índicador se da cumplimiento al 100%</t>
  </si>
  <si>
    <t>Programa  de transferencia de conocimiento</t>
  </si>
  <si>
    <t># de programas de transferencia de conocimiento en ejecución/ # de programas de transferencia de conocimiento  planeados*100</t>
  </si>
  <si>
    <t>Implementar  en 2018 un programa de  gestión  de transferencia del conocimiento  que provea a la ETITC   de  instrumentos para el uso, distribución y protección  del conocimiento.</t>
  </si>
  <si>
    <t>Ejecución presupuestal investigaciones</t>
  </si>
  <si>
    <t>Presupuesto ejecutado del plan de acción/ presupuesto aprobado en el plan de acción *100</t>
  </si>
  <si>
    <t>Conocer la ejecución del plan de acción</t>
  </si>
  <si>
    <t>Se lleva ejecutado 24% del presupuesto.</t>
  </si>
  <si>
    <t>Nivel de satisfacción</t>
  </si>
  <si>
    <t>Promedio de las encuestas de satisfacción</t>
  </si>
  <si>
    <t xml:space="preserve">Determinar el impacto de las actividad de bienestar en los estudiantes </t>
  </si>
  <si>
    <t>&lt;=97,6</t>
  </si>
  <si>
    <t>Última medición, Junio del 2017</t>
  </si>
  <si>
    <t xml:space="preserve">Beneficiados de actividad </t>
  </si>
  <si>
    <t xml:space="preserve">( # formato de asistencia o  actividades semestre vigente/asistente actividad semestre anterior) - 1 </t>
  </si>
  <si>
    <t>Identificar las participaciones de # de beneficiados en la actividad de bienestar</t>
  </si>
  <si>
    <t>Medición del mes de Junio del 2017, se toma este dato como línea base para la próxima medición</t>
  </si>
  <si>
    <t>Actividades de formación integral</t>
  </si>
  <si>
    <t xml:space="preserve"> # actividad formación integral ejecutadas/ + actividades formación integral planeadas</t>
  </si>
  <si>
    <t>Determinar el % de ejecución de actividades con base en plan de acción</t>
  </si>
  <si>
    <t>De las 64 actividades programadas se cumplen 52</t>
  </si>
  <si>
    <t>PQRSD atendidas oportunamente</t>
  </si>
  <si>
    <t xml:space="preserve">PQRSD atendidas oportunamente/ PQRSD recepcionadas </t>
  </si>
  <si>
    <t>atender oportunamente la PQRSD en la ETITC</t>
  </si>
  <si>
    <t xml:space="preserve">Mensual </t>
  </si>
  <si>
    <t>Entre 15 y 15 de cada periodo</t>
  </si>
  <si>
    <t>Mejorar la Seguridad en los sistemas de información y comunicacioés</t>
  </si>
  <si>
    <t xml:space="preserve">Sistemas de información y comunicación administrados vs Estandáres de seguridad </t>
  </si>
  <si>
    <t>Mantener los sistemas de información y comunicación con estándares de seguridad</t>
  </si>
  <si>
    <t>&lt;=80</t>
  </si>
  <si>
    <t>Se ha realizado el tema de la implementación del marco de seguridad de información y análisis de riesgo.</t>
  </si>
  <si>
    <t>TRD validadas</t>
  </si>
  <si>
    <t>TRD validadas / total TRD</t>
  </si>
  <si>
    <t xml:space="preserve">Mantener las TRD de la ETITC validadas y actualizadas </t>
  </si>
  <si>
    <t>Se aprobaron y validaron las tablas de retencipon documental al 100% en el consejo</t>
  </si>
  <si>
    <t>Gestión de recursos fisicos</t>
  </si>
  <si>
    <t>Nivel de satisfacciób a las solicitudes de planta física</t>
  </si>
  <si>
    <t>Promedio % de satisfacción</t>
  </si>
  <si>
    <t>Garantizar la calidad del servicio prestado</t>
  </si>
  <si>
    <t>&lt;=85</t>
  </si>
  <si>
    <t>Medición se realiza a Junio 30 del 2017</t>
  </si>
  <si>
    <t xml:space="preserve">Funcionalidad de máquinas, equipos y herramientas </t>
  </si>
  <si>
    <t xml:space="preserve">Eficiencia </t>
  </si>
  <si>
    <t xml:space="preserve">cantidad de equipos en operación / cantidad de equipos existentes </t>
  </si>
  <si>
    <t xml:space="preserve">Garantizar la operabilidad de máquinas, equipos, y herramientas </t>
  </si>
  <si>
    <t xml:space="preserve">Cuatrimestral </t>
  </si>
  <si>
    <t>Gestión de Control Interno</t>
  </si>
  <si>
    <t>Seguimiento a las hojas de vida de los funcionarios</t>
  </si>
  <si>
    <t xml:space="preserve"> # Hojas de vida actualizadas * 100/  # de funcionarios </t>
  </si>
  <si>
    <t>Realizar el seguimiento a las hojas de vida registradas en el Sigep (incluídos contratistas)</t>
  </si>
  <si>
    <t xml:space="preserve">Semestral </t>
  </si>
  <si>
    <t>x&lt;75%</t>
  </si>
  <si>
    <t>75%&lt;=x&lt;90%</t>
  </si>
  <si>
    <t>x&gt;=90%</t>
  </si>
  <si>
    <t>De auerdo al lider del proceso, este indicador se medira en el mes de Julio.</t>
  </si>
  <si>
    <t xml:space="preserve">Seguimiento al servicio permanente </t>
  </si>
  <si>
    <t># Seguimientos realizados * 100/ # Seguimientos establecidaos</t>
  </si>
  <si>
    <t>Satisfacer expectativas de usuarios asociados al servicio educativo</t>
  </si>
  <si>
    <t>Se evidencia este índicador a través de las actas realizadas a los seguimientos realizados de las PQRDS por el área</t>
  </si>
  <si>
    <t xml:space="preserve">Clima laboral </t>
  </si>
  <si>
    <t>Determinar el clima laboral a partir de mediciones anteriores</t>
  </si>
  <si>
    <t xml:space="preserve">Evaluación del desempeño laboral </t>
  </si>
  <si>
    <t xml:space="preserve"># Evaluaciones realizadas /# Total de funciones </t>
  </si>
  <si>
    <t>Evaluar las competencias de los servidores públicos de la ETITC</t>
  </si>
  <si>
    <t>Programas de seguridad y salud en el trabajo</t>
  </si>
  <si>
    <t xml:space="preserve"># actividades proyectados/ # actividades ejecutados </t>
  </si>
  <si>
    <t>medir el avance de los programas de SST</t>
  </si>
  <si>
    <t xml:space="preserve">Cumplimiento del programa de bienestar laboral </t>
  </si>
  <si>
    <t># actividades ejecutadas en el año/ # actividades programadas</t>
  </si>
  <si>
    <t xml:space="preserve">medir el cumplimiento de las actividades programadas </t>
  </si>
  <si>
    <t xml:space="preserve">Reinducción de funcionarios </t>
  </si>
  <si>
    <t># funcionarios que recibieron reinducción en el año  / # total de funcionarios vinculados a la entidad</t>
  </si>
  <si>
    <t>medir el número de personas capacitadas</t>
  </si>
  <si>
    <t>Cumplimiento del plan de capacitación</t>
  </si>
  <si>
    <t># servidores publicos capacitados  / # de servidores de la entidad * 100</t>
  </si>
  <si>
    <t>medir la participación de los servidores publicos en los PI-C</t>
  </si>
  <si>
    <t>Gestión de Adquisiciones</t>
  </si>
  <si>
    <t>Tasa de ejecución plan de compras</t>
  </si>
  <si>
    <t>Plan de compras ejecutado / Valor total de compras</t>
  </si>
  <si>
    <t>Priorizar el gasto</t>
  </si>
  <si>
    <t>Traslado cuenta única nacional -CUN</t>
  </si>
  <si>
    <t>Valor ingresos recibido cuenta bancaria / valor traslados CUN</t>
  </si>
  <si>
    <t>Medir la eficiencia en la identificación y traslado de recursos a la CUN</t>
  </si>
  <si>
    <t xml:space="preserve">Uso de recursos </t>
  </si>
  <si>
    <t>Pagos / Recaudo total * 100</t>
  </si>
  <si>
    <t xml:space="preserve">Verificar el ingreso recibido vs, pagos ejecutados </t>
  </si>
  <si>
    <t>Destinación del ingreso</t>
  </si>
  <si>
    <t>Recaudo / Compromisos</t>
  </si>
  <si>
    <t>Medir la efectividad en el recaudo para el respaldo de los compromisos</t>
  </si>
  <si>
    <t>Gestión de autoevaluación</t>
  </si>
  <si>
    <t>Avace del plan de trabajo de la coordinación</t>
  </si>
  <si>
    <t>(ACTIVIDADES DESARROLLADAS EN PERIODO / TOTAL DE ACTIVIDADES PLANEADAS *100 )</t>
  </si>
  <si>
    <t xml:space="preserve">MEDIR COMO AVANZA EL PLAN DE AUTOEVALUACIÓN </t>
  </si>
  <si>
    <t>Levantamiento de información física para los programas, identificación de % de deserción usando  como base la metodología SPADIES, calsificación de recursos bibliográficos por facultad.</t>
  </si>
  <si>
    <t>Avance de las actividades de la autoevaluación</t>
  </si>
  <si>
    <t>(Actividades desarrolladas en periodo / actividades programadas en el periodo *100 )</t>
  </si>
  <si>
    <t xml:space="preserve">Medir el avance del procesos de autoevaluación </t>
  </si>
  <si>
    <t>Cargue de de condiciones iniciales en un 80%  de la informaciómn</t>
  </si>
  <si>
    <t>TOTAL</t>
  </si>
  <si>
    <t>Indicador que reporta</t>
  </si>
  <si>
    <t>Indicador Reportado</t>
  </si>
  <si>
    <t>Porcentaje de indicador reportado</t>
  </si>
  <si>
    <t>Optimo</t>
  </si>
  <si>
    <t>(85-100)%</t>
  </si>
  <si>
    <t>Bueno</t>
  </si>
  <si>
    <t>(65-84)%</t>
  </si>
  <si>
    <t>Deficiente</t>
  </si>
  <si>
    <t>(0-64)%</t>
  </si>
  <si>
    <t>OBJETIVO DE CALIDAD</t>
  </si>
  <si>
    <t>Incrementar las actividades de formación en valores, vivenciando la práctica de los derechos humanos y deberes para lograr formación integral de calidad.</t>
  </si>
  <si>
    <t>Incrementar el mejoramiento académico y comportamental de los estudiantes con el fin de afianzar competencias necesarias para ser más productivos y competitivos.</t>
  </si>
  <si>
    <t>Desarrollar capacidades científicas, técnicas y tecnológicas que garanticen la formación de excelentes profesionales.</t>
  </si>
  <si>
    <t>Lograr la acreditación de los programas académicos e institucional en alta calidad.</t>
  </si>
  <si>
    <t>Incrementar las relaciones con el sector productivo, comunidades académicas y la sociedad, como soporte de una educación de calidad por ciclos propedéuticos.</t>
  </si>
  <si>
    <t>Promover el cambio en los integrantes de la comunidad educativa para lograr la eficacia en los procesos de gestión de calidad.</t>
  </si>
  <si>
    <t>Garantizar espacios de crecimiento personal y profesional que ayuden a mejorar la calidad de vida de los estudiantes</t>
  </si>
  <si>
    <t>Actividades</t>
  </si>
  <si>
    <t>Satisfaccion</t>
  </si>
  <si>
    <t>Beneficiados</t>
  </si>
  <si>
    <t>Realizadas</t>
  </si>
  <si>
    <t>Propuestas</t>
  </si>
  <si>
    <t>Artes</t>
  </si>
  <si>
    <t>Salud</t>
  </si>
  <si>
    <t>T Social</t>
  </si>
  <si>
    <t>Psicología</t>
  </si>
  <si>
    <t>Rec Deportes</t>
  </si>
  <si>
    <t>Pastoral PES</t>
  </si>
  <si>
    <t>Pastoral IBTI</t>
  </si>
  <si>
    <t>Movilidad internacional (1) 
Cantidad: 1 Docente, Destino: México
Movilidad nacional (2)
Cantidad: 1 Decano, 1 estudiante, Destino: Medellín</t>
  </si>
  <si>
    <t>Promedio del resultado de las encuestas de satisfacción</t>
  </si>
  <si>
    <t xml:space="preserve">Determinar el impacto de las actividades de bienestar en los estudiantes </t>
  </si>
  <si>
    <t>(Asistentes semestre actual / Asistentes semestre anterior) - 1 * 100</t>
  </si>
  <si>
    <t>Identificar la variación en el número de beneficiados en la actividad de bienestar</t>
  </si>
  <si>
    <t>Avance de las actividades del plan de Bienestar</t>
  </si>
  <si>
    <t>Determinar el porcentaje de ejecución de actividades con base en plan de acción</t>
  </si>
  <si>
    <t>Mensual</t>
  </si>
  <si>
    <t>Gestión Control Disciplinario</t>
  </si>
  <si>
    <t>TABLERO DE INDICADORES</t>
  </si>
  <si>
    <t>Direccionamiento Estrategico</t>
  </si>
  <si>
    <t>INDICADOR (ES)</t>
  </si>
  <si>
    <t>Efectividad del Sistema</t>
  </si>
  <si>
    <t>OBJETIVO ESTRATEGICO ASOCIADO</t>
  </si>
  <si>
    <t>Garantizar la participación de los docentes en comunidades academicas para la construcción, transferencia y socialización del conocimiento</t>
  </si>
  <si>
    <t>FÓRMULA (S)</t>
  </si>
  <si>
    <t>Sumatoria de indicadores de efectividad de todos los procesos</t>
  </si>
  <si>
    <t>FRECUENCIA</t>
  </si>
  <si>
    <t>Convenios activos de Internacionalización</t>
  </si>
  <si>
    <t>Numero de alianzas y convenios activos / numero total de alianzas y convenios de internacionalización</t>
  </si>
  <si>
    <t>Cumplimiento Plan de mejoramiento</t>
  </si>
  <si>
    <t>Porcentaje de cumplimiento del plan de mejoramiento definido</t>
  </si>
  <si>
    <t>Convenios Activos</t>
  </si>
  <si>
    <t>Numero de convenios que presentaron actividad / Numero de convenios vigentes</t>
  </si>
  <si>
    <t>Participación en eventos de Internacionalización</t>
  </si>
  <si>
    <t>Numero de eventos en los que ha participado la ORI</t>
  </si>
  <si>
    <t>Nuevos Proyectos</t>
  </si>
  <si>
    <t xml:space="preserve">Numero de proyectos nuevos ejecutados/numero de proyectos planteados </t>
  </si>
  <si>
    <t>RESPONSABLE</t>
  </si>
  <si>
    <t>Cumplimiento Plan de Acción</t>
  </si>
  <si>
    <t>Porcentaje de avance del plan de acción</t>
  </si>
  <si>
    <t>FUENTE DE DATOS</t>
  </si>
  <si>
    <t>Docentes participantes de Internacionalizaciòn</t>
  </si>
  <si>
    <t>Numero de docentes que participan activamente en comunidades academicas relacionadas con internacionalización / Numero total de docentes</t>
  </si>
  <si>
    <t>FECHA DE ELABORACION</t>
  </si>
  <si>
    <t>Oferta de cursos ORI</t>
  </si>
  <si>
    <t>Numero de cursos ofertados/Numero de cursos planeados</t>
  </si>
  <si>
    <t>Efect Sist</t>
  </si>
  <si>
    <t>ÓPTIMO</t>
  </si>
  <si>
    <t>ALARMA</t>
  </si>
  <si>
    <t>CRITICO</t>
  </si>
  <si>
    <t>SUBE</t>
  </si>
  <si>
    <t>Conv Internac</t>
  </si>
  <si>
    <t>Cump Plan Mej</t>
  </si>
  <si>
    <t>Conv Activos</t>
  </si>
  <si>
    <t>Eventos</t>
  </si>
  <si>
    <t>Nuevos proy</t>
  </si>
  <si>
    <t>Cump Plan acción</t>
  </si>
  <si>
    <t>Docent partic inter</t>
  </si>
  <si>
    <t>Oferta ORI</t>
  </si>
  <si>
    <t>Mes</t>
  </si>
  <si>
    <t>Σ Cumplim. ponderado de metas</t>
  </si>
  <si>
    <t xml:space="preserve"> Total indicadores reportados</t>
  </si>
  <si>
    <t>Tendencia</t>
  </si>
  <si>
    <t>N.A.</t>
  </si>
  <si>
    <t>ANALISIS DE RESULTADOS</t>
  </si>
  <si>
    <t>PROYECTO</t>
  </si>
  <si>
    <t>ACCIONES A TOMAR</t>
  </si>
  <si>
    <t>FECHA</t>
  </si>
  <si>
    <t>AC / AP</t>
  </si>
  <si>
    <t>SEGUIMIENTO</t>
  </si>
  <si>
    <t>CLASIF. DE CONFIDENCIALIDAD</t>
  </si>
  <si>
    <t>IPB</t>
  </si>
  <si>
    <t>CLASIF. DE INTEGRIDAD</t>
  </si>
  <si>
    <t>A</t>
  </si>
  <si>
    <t>CLASIF. DE DISPONIBILIDAD</t>
  </si>
  <si>
    <t>Gestión de Seguridad de la Información</t>
  </si>
  <si>
    <t>INDICADORES  DEL SISTEMA DE GESTIÓN DE LA SEGURIDAD DE LA INFORMACIÓN 2022</t>
  </si>
  <si>
    <t>POLÍTICA GENERAL DE SEGURIDAD DE LA INFORMACIÓN</t>
  </si>
  <si>
    <t>Elaboró: Ing. Sandra J. Guerrero G.</t>
  </si>
  <si>
    <t>Monitorear el cumplimiento de los requisitos de Seguridad de la Información, mediante el uso de herramientas de diagnóstico, revisiones por parte de la Alta Dirección y auditorías internas planificadas a intervalos regulares.</t>
  </si>
  <si>
    <t>Sensibilizar y capacitar a los servidores públicos, proveedores y partes interesadas acerca del SGSI y el MSPI de Gobierno en Línea, fortaleciendo el nivel de conciencia de los mismos, en cuanto a la necesidad de salvaguardar los activos de información institucionales.</t>
  </si>
  <si>
    <t>Administrar los riesgos de seguridad de la información para mantenerlos en niveles aceptables.</t>
  </si>
  <si>
    <t>Proteger los activos de información de la ETITC, con base en los criterios de confidencialidad, integridad y disponibiidad.</t>
  </si>
  <si>
    <t>El indicador permite determinar y hacer seguimiento al cubrimiento que se realiza a nivel de activos críticos de información de la entidad.</t>
  </si>
  <si>
    <t>El indicador permite medir el impacto que generan los incidentes de Seguridad de la Información en la ETITC.</t>
  </si>
  <si>
    <t>Total de incidentes de Seguridad de la Información con base a los registros, clasificados por su nivel de criticidad de acuerdo a la metodología aplicada en el PHVA del SGSI.</t>
  </si>
  <si>
    <t>Revisión y Actualización de Activos de Información</t>
  </si>
  <si>
    <t>Actividades de sensibilización y entrenamiento realizadas a los funcionarios públicos y al avance de entrenamiento especializado para el área de SGSI.</t>
  </si>
  <si>
    <t>Auditar los diferentes Sistemas de Información, realizar y/o sugerir recomendaciones pertinentes; así mismo participar en las auditorías internas y externas propias del SGSI.</t>
  </si>
  <si>
    <t>El indicador permite medir el nivel de protección de los Sistema de Información de la entidad.</t>
  </si>
  <si>
    <t>El indicador permite visualizar el grado de avance en la implementación de controles de Seguridad de la Información.</t>
  </si>
  <si>
    <t xml:space="preserve">Se adelantan procesos de análisis de vulnerabilidades. En este primer trimestre se realizó escaneo a los Sistemas de Información y va en un avance del 50% de las actividades por ejecutar. Durante el segundo semestre se finaliza las actividades de análisis de vulnerabilidades a un 100% y se realizaron actividades de auditoría interna a controles del proceso de Informática y Comunicaciones y efectivamente auditoría a la aplicación de ETITC ID (Carné Digital). En el tercer semestre se adelantaron procesos de auditoría interna al proceso de Seguridad Física y se brindá charlas de sensibilización a los funcionarios. Se adelantaron procesos de auditoría interna al proceso de Gestión de Infraestructura Eléctrica. </t>
  </si>
  <si>
    <t>Durante el primer trimestre de la vigencia 2022, se presentaron 2 incidentes tipo Spam y un incidente de tipo Phishing; los cuales con un nivel de criticidad de un 0.10% correspondiente a alertas a nivel inferior.Durante el segundo semestre se presento una alerta de tipo phishing. En el tercer semestre se presentaron 2 incidentes: 1 de tipo Spam y otro de tipo Phishing ambos con un nivel de criticidad inferior de un 0,25% sin afectación alguna a nuestros activos de información.</t>
  </si>
  <si>
    <t>La Escuela Tecnológica Instituto Técnico Central (ETITC), es un establecimiento público de Educación Superior, de carácter académico, de Orden Nacional, con personería jurídica, autonomía administrativa y patrimonio independiente, adscrito al Ministerio de Educación Nacional. Adicional, consciente de la importancia que la seguridad digital tiene para el desarrollo y buen funcionamiento de sus procesos internos, ha decidido implementar un Sistema de Gestión de Seguridad de la Información (SGSI), basado en la norma internacional NTC-ISO-IEC 27001 de 2013 y un Modelo de Seguridad y Privacidad de la Información (MSPI), de Gobierno Digital, suscribiendo la presente política alineando sus procesos en cumplimiento a la resolución 1519 del 2020 donde se definen los requisitos en materia de acceso a la información pública, accesibilidad web, seguridad digital, y datos abiertos” y al artículo 3. Directrices de accesibilidad web, dando cumplimiento a los estándares AA de la guía de accesibilidad de contenidos web (WCAG), y al anexo 3 condiciones técnicas y de seguridad digital. "Ver en línea la continuidad de la Política General del Sistema de Gestión de Seguridad de la Información: https://www.etitc.edu.co/archives/politicaobjetgsimspi.pdf"</t>
  </si>
  <si>
    <t>Actualización Diciembre 2022</t>
  </si>
  <si>
    <t>Los inventarios de activos de información tipo hardware, software y servicios se encuentran actualizados durante el primer trimestre del 2022.
El inventario de activos de información tipo documental se encuentran actualizados.                                 El inventario de activos móviles se realizó satisfactoriamente.                                                                      Durante el tercer trimestre se actualizo el inventario de activos de equipos de audio y video (Emisora).                                                                                                                             Durante el cuarto trimestre se actualizo el registro de activos de la información y se publicaron en el espacio web.</t>
  </si>
  <si>
    <t>Implementar acciones correctivas y de mejora para el Sistema de Gestión de Seguridad de la Información y el MSPI, de Gobierno Digital.</t>
  </si>
  <si>
    <t>Se realizaron actividades de sensibilización en temas relacionados a las Políticas de Seguridad de la Información, Escritorio limpio y pantalla limpia, equipos desatendidos así como generar contraseñas seguras y protección de datos personales con piezas gráficas en medios comunicativos y fondos de pantalla, adicional se realizaron talleres de sensibilización a los funcionarios que cuentan con móviles institucionales y el buen uso de los mismos. Durante el segundo trimestre se realizaron campañas de sensibilización a los estudiantes de educación superior y personal administrativo. Durante el tercer trimestre se obtiene un avance de 93% de las actividades proyectadas en el Plan de Entrenamiento. Finalmente en el último trimestre se dió avance total al  Plan de Entrenamiento y de Sensibilización del SGSI proyectado para la vigencia 2022.</t>
  </si>
  <si>
    <t xml:space="preserve">Se cuenta con un avance de un 100% ejecución de actividades de controles de la declaración de aplicabilidad de la ETITC. Para la vigencia 2023 se implementar acciones correctivas de acuerdo a las recomendaciones dadas en la auditoría externa.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</si>
</sst>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 #,##0.00_);_(&quot;$&quot;\ * \(#,##0.00\);_(&quot;$&quot;\ * &quot;-&quot;??_);_(@_)"/>
    <numFmt numFmtId="165" formatCode="0.0%"/>
    <numFmt numFmtId="166" formatCode="0.000%"/>
    <numFmt numFmtId="167" formatCode="0.0"/>
    <numFmt numFmtId="168" formatCode="_-* #,##0.00_-;\-* #,##0.00_-;_-* &quot;-&quot;_-;_-@_-"/>
    <numFmt numFmtId="169" formatCode="0.000"/>
  </numFmts>
  <fonts count="4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b/>
      <sz val="11"/>
      <name val="Calibri"/>
      <family val="2"/>
      <scheme val="minor"/>
    </font>
    <font>
      <sz val="12"/>
      <color rgb="FF000000"/>
      <name val="Calibri"/>
      <family val="2"/>
      <scheme val="minor"/>
    </font>
    <font>
      <b/>
      <sz val="9.9"/>
      <color theme="1"/>
      <name val="RobotoLight"/>
    </font>
    <font>
      <b/>
      <sz val="16"/>
      <color theme="1"/>
      <name val="Calibri"/>
      <family val="2"/>
      <scheme val="minor"/>
    </font>
    <font>
      <b/>
      <sz val="16"/>
      <name val="Arial"/>
      <family val="2"/>
    </font>
    <font>
      <b/>
      <sz val="16"/>
      <color theme="1"/>
      <name val="Arial"/>
      <family val="2"/>
    </font>
    <font>
      <sz val="16"/>
      <color theme="1"/>
      <name val="Arial"/>
      <family val="2"/>
    </font>
    <font>
      <sz val="16"/>
      <name val="Arial"/>
      <family val="2"/>
    </font>
    <font>
      <sz val="16"/>
      <color rgb="FF000000"/>
      <name val="Arial"/>
      <family val="2"/>
    </font>
    <font>
      <sz val="16"/>
      <name val="Calibri"/>
      <family val="2"/>
      <scheme val="minor"/>
    </font>
    <font>
      <sz val="16"/>
      <color rgb="FF000000"/>
      <name val="Lucida Sans"/>
      <family val="2"/>
    </font>
    <font>
      <sz val="16"/>
      <color theme="1"/>
      <name val="Calibri"/>
      <family val="2"/>
      <scheme val="minor"/>
    </font>
    <font>
      <sz val="16"/>
      <color rgb="FF000000"/>
      <name val="Calibri"/>
      <family val="2"/>
      <scheme val="minor"/>
    </font>
    <font>
      <sz val="20"/>
      <color theme="1"/>
      <name val="Calibri"/>
      <family val="2"/>
      <scheme val="minor"/>
    </font>
    <font>
      <b/>
      <sz val="20"/>
      <color theme="1"/>
      <name val="Calibri"/>
      <family val="2"/>
      <scheme val="minor"/>
    </font>
    <font>
      <b/>
      <sz val="20"/>
      <color theme="0"/>
      <name val="Calibri"/>
      <family val="2"/>
      <scheme val="minor"/>
    </font>
    <font>
      <sz val="20"/>
      <name val="Calibri"/>
      <family val="2"/>
      <scheme val="minor"/>
    </font>
    <font>
      <sz val="20"/>
      <color rgb="FF000000"/>
      <name val="Calibri"/>
      <family val="2"/>
      <scheme val="minor"/>
    </font>
    <font>
      <b/>
      <sz val="15"/>
      <name val="Arial"/>
      <family val="2"/>
    </font>
    <font>
      <b/>
      <sz val="15"/>
      <color theme="1"/>
      <name val="Arial"/>
      <family val="2"/>
    </font>
    <font>
      <b/>
      <sz val="25"/>
      <color theme="1"/>
      <name val="Calibri"/>
      <family val="2"/>
      <scheme val="minor"/>
    </font>
    <font>
      <b/>
      <sz val="20"/>
      <name val="Century Gothic"/>
      <family val="1"/>
    </font>
    <font>
      <b/>
      <sz val="17"/>
      <color theme="1"/>
      <name val="Century Gothic"/>
      <family val="1"/>
    </font>
    <font>
      <b/>
      <sz val="30"/>
      <name val="Century Gothic"/>
      <family val="1"/>
    </font>
    <font>
      <sz val="18"/>
      <color theme="1"/>
      <name val="Calibri"/>
      <family val="2"/>
      <scheme val="minor"/>
    </font>
    <font>
      <sz val="22"/>
      <color theme="1"/>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499984740745262"/>
        <bgColor indexed="64"/>
      </patternFill>
    </fill>
    <fill>
      <patternFill patternType="solid">
        <fgColor theme="6" tint="0.39997558519241921"/>
        <bgColor indexed="64"/>
      </patternFill>
    </fill>
    <fill>
      <gradientFill>
        <stop position="0">
          <color rgb="FFFF3300"/>
        </stop>
        <stop position="1">
          <color theme="6" tint="-0.25098422193060094"/>
        </stop>
      </gradientFill>
    </fill>
    <fill>
      <patternFill patternType="solid">
        <fgColor theme="6" tint="-0.249977111117893"/>
        <bgColor indexed="64"/>
      </patternFill>
    </fill>
  </fills>
  <borders count="8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top/>
      <bottom style="medium">
        <color auto="1"/>
      </bottom>
      <diagonal/>
    </border>
    <border>
      <left/>
      <right style="medium">
        <color auto="1"/>
      </right>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dashed">
        <color auto="1"/>
      </right>
      <top style="medium">
        <color auto="1"/>
      </top>
      <bottom/>
      <diagonal/>
    </border>
    <border>
      <left/>
      <right style="dashed">
        <color auto="1"/>
      </right>
      <top/>
      <bottom style="medium">
        <color auto="1"/>
      </bottom>
      <diagonal/>
    </border>
    <border>
      <left/>
      <right style="dashed">
        <color auto="1"/>
      </right>
      <top style="medium">
        <color auto="1"/>
      </top>
      <bottom style="medium">
        <color auto="1"/>
      </bottom>
      <diagonal/>
    </border>
  </borders>
  <cellStyleXfs count="43">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cellStyleXfs>
  <cellXfs count="726">
    <xf numFmtId="0" fontId="0" fillId="0" borderId="0" xfId="0"/>
    <xf numFmtId="0" fontId="0" fillId="0" borderId="0" xfId="0" applyAlignment="1">
      <alignment horizontal="center" vertical="center" wrapText="1"/>
    </xf>
    <xf numFmtId="165" fontId="0" fillId="0" borderId="0" xfId="0" applyNumberFormat="1" applyAlignment="1">
      <alignment vertical="center" wrapText="1"/>
    </xf>
    <xf numFmtId="9" fontId="7" fillId="0" borderId="7" xfId="1" applyFont="1" applyBorder="1" applyAlignment="1">
      <alignment horizontal="center" vertical="center" wrapText="1"/>
    </xf>
    <xf numFmtId="0" fontId="10" fillId="0" borderId="0" xfId="0" applyFont="1"/>
    <xf numFmtId="0" fontId="10" fillId="0" borderId="0" xfId="0" applyFont="1" applyAlignment="1">
      <alignment wrapText="1"/>
    </xf>
    <xf numFmtId="0" fontId="9" fillId="0" borderId="0" xfId="0" applyFont="1" applyAlignment="1">
      <alignment horizontal="center" vertical="center" textRotation="90"/>
    </xf>
    <xf numFmtId="0" fontId="2" fillId="0" borderId="0" xfId="0" applyFont="1"/>
    <xf numFmtId="1" fontId="0" fillId="0" borderId="7" xfId="0" applyNumberFormat="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wrapText="1"/>
    </xf>
    <xf numFmtId="0" fontId="14" fillId="0" borderId="7" xfId="0" applyFont="1" applyBorder="1" applyAlignment="1">
      <alignment vertical="center" wrapText="1"/>
    </xf>
    <xf numFmtId="9" fontId="14" fillId="0" borderId="7" xfId="0" applyNumberFormat="1" applyFont="1" applyBorder="1" applyAlignment="1">
      <alignment horizontal="center" vertical="center" wrapText="1"/>
    </xf>
    <xf numFmtId="0" fontId="14" fillId="0" borderId="18" xfId="0" applyFont="1" applyBorder="1" applyAlignment="1">
      <alignment vertical="center" wrapText="1"/>
    </xf>
    <xf numFmtId="0" fontId="14" fillId="0" borderId="0" xfId="0" applyFont="1" applyAlignment="1">
      <alignment horizontal="center" vertical="center" wrapText="1"/>
    </xf>
    <xf numFmtId="165"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5"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5"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5"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5"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Border="1" applyAlignment="1">
      <alignment horizontal="center" wrapText="1"/>
    </xf>
    <xf numFmtId="0" fontId="14" fillId="0" borderId="35" xfId="0" applyFont="1" applyBorder="1" applyAlignment="1">
      <alignment horizontal="center" wrapText="1"/>
    </xf>
    <xf numFmtId="0" fontId="14" fillId="0" borderId="42" xfId="0" applyFont="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Border="1" applyAlignment="1">
      <alignment horizontal="center" vertical="center" wrapText="1"/>
    </xf>
    <xf numFmtId="0" fontId="14" fillId="0" borderId="0" xfId="0" applyFont="1" applyAlignment="1">
      <alignment vertical="center" wrapText="1"/>
    </xf>
    <xf numFmtId="9" fontId="14" fillId="0" borderId="7" xfId="1" applyFont="1" applyFill="1" applyBorder="1" applyAlignment="1">
      <alignment horizontal="center" vertical="center" wrapText="1"/>
    </xf>
    <xf numFmtId="0" fontId="0" fillId="0" borderId="0" xfId="0" applyAlignment="1">
      <alignment horizontal="center"/>
    </xf>
    <xf numFmtId="17" fontId="7" fillId="0" borderId="15" xfId="2" applyNumberFormat="1" applyBorder="1" applyAlignment="1">
      <alignment horizontal="center" vertical="center" wrapText="1"/>
    </xf>
    <xf numFmtId="0" fontId="8" fillId="0" borderId="33" xfId="2" applyFont="1" applyBorder="1" applyAlignment="1">
      <alignment horizontal="center" vertical="center" wrapText="1"/>
    </xf>
    <xf numFmtId="0" fontId="14" fillId="0" borderId="45" xfId="0" applyFont="1" applyBorder="1" applyAlignment="1">
      <alignment horizontal="center" vertical="center" wrapText="1"/>
    </xf>
    <xf numFmtId="165"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Border="1" applyAlignment="1">
      <alignment horizontal="center" vertical="center" wrapText="1"/>
    </xf>
    <xf numFmtId="0" fontId="8" fillId="6" borderId="17" xfId="2" applyFont="1" applyFill="1" applyBorder="1" applyAlignment="1">
      <alignment horizontal="center" vertical="center" wrapText="1"/>
    </xf>
    <xf numFmtId="0" fontId="8" fillId="6" borderId="7" xfId="2" applyFont="1" applyFill="1" applyBorder="1" applyAlignment="1">
      <alignment horizontal="center" vertical="center" wrapText="1"/>
    </xf>
    <xf numFmtId="0" fontId="8" fillId="6" borderId="34" xfId="0" applyFont="1" applyFill="1" applyBorder="1" applyAlignment="1">
      <alignment horizontal="center" wrapText="1"/>
    </xf>
    <xf numFmtId="0" fontId="14" fillId="0" borderId="15" xfId="0" applyFont="1" applyBorder="1" applyAlignment="1">
      <alignment vertical="center" wrapText="1"/>
    </xf>
    <xf numFmtId="165"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6" fontId="14" fillId="0" borderId="7" xfId="0" applyNumberFormat="1" applyFont="1" applyBorder="1" applyAlignment="1">
      <alignment vertical="center" wrapText="1"/>
    </xf>
    <xf numFmtId="0" fontId="20" fillId="0" borderId="7" xfId="0" applyFont="1" applyBorder="1" applyAlignment="1">
      <alignment horizontal="left" vertical="center" wrapText="1"/>
    </xf>
    <xf numFmtId="0" fontId="20" fillId="0" borderId="7" xfId="0" applyFont="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Border="1" applyAlignment="1">
      <alignment vertical="center" wrapText="1"/>
    </xf>
    <xf numFmtId="0" fontId="20" fillId="0" borderId="14" xfId="0" applyFont="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Alignment="1">
      <alignment horizontal="center" wrapText="1"/>
    </xf>
    <xf numFmtId="9" fontId="7" fillId="0" borderId="29" xfId="0" applyNumberFormat="1" applyFont="1" applyBorder="1" applyAlignment="1">
      <alignment horizontal="center" wrapText="1"/>
    </xf>
    <xf numFmtId="9" fontId="7" fillId="0" borderId="31" xfId="0" applyNumberFormat="1" applyFont="1" applyBorder="1" applyAlignment="1">
      <alignment horizontal="center" wrapText="1"/>
    </xf>
    <xf numFmtId="9" fontId="7" fillId="0" borderId="32" xfId="0" applyNumberFormat="1" applyFont="1" applyBorder="1" applyAlignment="1">
      <alignment horizontal="center" wrapText="1"/>
    </xf>
    <xf numFmtId="0" fontId="7" fillId="0" borderId="0" xfId="0" applyFont="1" applyAlignment="1">
      <alignment horizontal="center" vertical="center" wrapText="1"/>
    </xf>
    <xf numFmtId="0" fontId="8" fillId="0" borderId="0" xfId="0" applyFont="1" applyAlignment="1">
      <alignment wrapText="1"/>
    </xf>
    <xf numFmtId="9" fontId="7" fillId="0" borderId="0" xfId="1" applyFont="1" applyFill="1" applyBorder="1" applyAlignment="1">
      <alignment vertical="center" wrapText="1"/>
    </xf>
    <xf numFmtId="9" fontId="7" fillId="0" borderId="0" xfId="0" applyNumberFormat="1" applyFont="1" applyAlignment="1">
      <alignment wrapText="1"/>
    </xf>
    <xf numFmtId="0" fontId="8" fillId="0" borderId="0" xfId="2" applyFont="1" applyAlignment="1">
      <alignment horizontal="center" vertical="center" wrapText="1"/>
    </xf>
    <xf numFmtId="9" fontId="7" fillId="0" borderId="16" xfId="1" applyFont="1" applyFill="1" applyBorder="1" applyAlignment="1">
      <alignment horizontal="center" vertical="center" wrapText="1"/>
    </xf>
    <xf numFmtId="0" fontId="8" fillId="0" borderId="0" xfId="2" applyFont="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6" xfId="0" applyFont="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Border="1" applyAlignment="1">
      <alignment horizontal="center" vertical="center" wrapText="1"/>
    </xf>
    <xf numFmtId="9" fontId="14" fillId="0" borderId="48" xfId="0" applyNumberFormat="1" applyFont="1" applyBorder="1" applyAlignment="1">
      <alignment horizontal="center" vertical="center" wrapText="1"/>
    </xf>
    <xf numFmtId="9" fontId="14" fillId="0" borderId="48" xfId="1" applyFont="1" applyFill="1" applyBorder="1" applyAlignment="1">
      <alignment horizontal="center" vertical="center" wrapText="1"/>
    </xf>
    <xf numFmtId="166" fontId="14" fillId="0" borderId="48" xfId="0" applyNumberFormat="1" applyFont="1" applyBorder="1" applyAlignment="1">
      <alignment vertical="center" wrapText="1"/>
    </xf>
    <xf numFmtId="165"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52" xfId="0" applyFont="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Border="1" applyAlignment="1">
      <alignment horizontal="center" vertical="center" wrapText="1"/>
    </xf>
    <xf numFmtId="9" fontId="14" fillId="0" borderId="10" xfId="0" applyNumberFormat="1" applyFont="1" applyBorder="1" applyAlignment="1">
      <alignment horizontal="center" vertical="center" wrapText="1"/>
    </xf>
    <xf numFmtId="9" fontId="14" fillId="0" borderId="10" xfId="1" applyFont="1" applyFill="1" applyBorder="1" applyAlignment="1">
      <alignment horizontal="center" vertical="center" wrapText="1"/>
    </xf>
    <xf numFmtId="166" fontId="14" fillId="0" borderId="10" xfId="0" applyNumberFormat="1" applyFont="1" applyBorder="1" applyAlignment="1">
      <alignment vertical="center" wrapText="1"/>
    </xf>
    <xf numFmtId="165"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54" xfId="0" applyFont="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Border="1" applyAlignment="1">
      <alignment horizontal="center" vertical="center" wrapText="1"/>
    </xf>
    <xf numFmtId="9" fontId="14" fillId="0" borderId="13" xfId="0" applyNumberFormat="1" applyFont="1" applyBorder="1" applyAlignment="1">
      <alignment horizontal="center" vertical="center" wrapText="1"/>
    </xf>
    <xf numFmtId="9" fontId="14" fillId="0" borderId="13" xfId="1" applyFont="1" applyFill="1" applyBorder="1" applyAlignment="1">
      <alignment horizontal="center" vertical="center" wrapText="1"/>
    </xf>
    <xf numFmtId="166" fontId="14" fillId="0" borderId="13" xfId="0" applyNumberFormat="1" applyFont="1" applyBorder="1" applyAlignment="1">
      <alignment vertical="center" wrapText="1"/>
    </xf>
    <xf numFmtId="165"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Border="1" applyAlignment="1">
      <alignment horizontal="center" vertical="center" wrapText="1"/>
    </xf>
    <xf numFmtId="9" fontId="14" fillId="0" borderId="15" xfId="0" applyNumberFormat="1" applyFont="1" applyBorder="1" applyAlignment="1">
      <alignment horizontal="center" vertical="center" wrapText="1"/>
    </xf>
    <xf numFmtId="9" fontId="14" fillId="0" borderId="15" xfId="1" applyFont="1" applyFill="1" applyBorder="1" applyAlignment="1">
      <alignment horizontal="center" vertical="center" wrapText="1"/>
    </xf>
    <xf numFmtId="166" fontId="14" fillId="0" borderId="15" xfId="0" applyNumberFormat="1" applyFont="1" applyBorder="1" applyAlignment="1">
      <alignment vertical="center" wrapText="1"/>
    </xf>
    <xf numFmtId="165"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wrapText="1"/>
    </xf>
    <xf numFmtId="0" fontId="3" fillId="5" borderId="59" xfId="0" applyFont="1" applyFill="1" applyBorder="1" applyAlignment="1">
      <alignment horizontal="center" vertical="center" wrapText="1"/>
    </xf>
    <xf numFmtId="9" fontId="0" fillId="0" borderId="0" xfId="1" applyFont="1"/>
    <xf numFmtId="0" fontId="24" fillId="0" borderId="33" xfId="0" applyFont="1" applyBorder="1" applyAlignment="1">
      <alignment vertical="center" wrapText="1"/>
    </xf>
    <xf numFmtId="10" fontId="0" fillId="8" borderId="7" xfId="0" applyNumberFormat="1" applyFill="1" applyBorder="1" applyAlignment="1">
      <alignment horizontal="center" vertical="center"/>
    </xf>
    <xf numFmtId="10" fontId="0" fillId="8" borderId="26" xfId="0" applyNumberFormat="1" applyFill="1" applyBorder="1" applyAlignment="1">
      <alignment horizontal="center" vertical="center"/>
    </xf>
    <xf numFmtId="0" fontId="22" fillId="0" borderId="52" xfId="0" applyFont="1" applyBorder="1"/>
    <xf numFmtId="0" fontId="0" fillId="0" borderId="0" xfId="0" applyAlignment="1">
      <alignment horizontal="left"/>
    </xf>
    <xf numFmtId="0" fontId="14" fillId="0" borderId="0" xfId="0" applyFont="1" applyAlignment="1">
      <alignment horizontal="left" vertical="center" wrapText="1"/>
    </xf>
    <xf numFmtId="0" fontId="0" fillId="0" borderId="14" xfId="0" applyBorder="1" applyAlignment="1">
      <alignment horizontal="left"/>
    </xf>
    <xf numFmtId="0" fontId="0" fillId="0" borderId="52" xfId="0" applyBorder="1"/>
    <xf numFmtId="0" fontId="0" fillId="0" borderId="66" xfId="0" applyBorder="1"/>
    <xf numFmtId="0" fontId="0" fillId="0" borderId="54" xfId="0" applyBorder="1"/>
    <xf numFmtId="0" fontId="0" fillId="0" borderId="0" xfId="0" applyAlignment="1">
      <alignment wrapText="1"/>
    </xf>
    <xf numFmtId="0" fontId="0" fillId="0" borderId="61" xfId="0" applyBorder="1"/>
    <xf numFmtId="165" fontId="14" fillId="0" borderId="0" xfId="0" applyNumberFormat="1" applyFont="1" applyAlignment="1">
      <alignment horizontal="center" vertical="center" wrapText="1"/>
    </xf>
    <xf numFmtId="12" fontId="0" fillId="0" borderId="0" xfId="0" applyNumberFormat="1"/>
    <xf numFmtId="9" fontId="0" fillId="0" borderId="0" xfId="0" applyNumberFormat="1"/>
    <xf numFmtId="0" fontId="3" fillId="5" borderId="61" xfId="0" applyFont="1" applyFill="1" applyBorder="1" applyAlignment="1">
      <alignment horizontal="center" vertical="center" wrapText="1"/>
    </xf>
    <xf numFmtId="10" fontId="0" fillId="0" borderId="7" xfId="0" applyNumberFormat="1" applyBorder="1" applyAlignment="1">
      <alignment horizontal="left" wrapText="1"/>
    </xf>
    <xf numFmtId="13" fontId="0" fillId="0" borderId="7" xfId="0" applyNumberFormat="1" applyBorder="1" applyAlignment="1">
      <alignment horizontal="left" wrapText="1"/>
    </xf>
    <xf numFmtId="9" fontId="0" fillId="0" borderId="7" xfId="0" applyNumberFormat="1" applyBorder="1" applyAlignment="1">
      <alignment horizontal="left" wrapText="1"/>
    </xf>
    <xf numFmtId="0" fontId="0" fillId="0" borderId="7" xfId="0" applyBorder="1" applyAlignment="1">
      <alignment horizontal="left" wrapText="1"/>
    </xf>
    <xf numFmtId="0" fontId="0" fillId="0" borderId="7" xfId="0" applyBorder="1" applyAlignment="1">
      <alignment horizontal="left" vertical="center"/>
    </xf>
    <xf numFmtId="0" fontId="3" fillId="5" borderId="67" xfId="0" applyFont="1" applyFill="1" applyBorder="1" applyAlignment="1">
      <alignment horizontal="center" vertical="center" wrapText="1"/>
    </xf>
    <xf numFmtId="13" fontId="0" fillId="0" borderId="10" xfId="0" applyNumberFormat="1" applyBorder="1" applyAlignment="1">
      <alignment horizontal="left" vertical="center" wrapText="1"/>
    </xf>
    <xf numFmtId="0" fontId="0" fillId="0" borderId="10" xfId="0" applyBorder="1" applyAlignment="1">
      <alignment horizontal="left" vertical="center"/>
    </xf>
    <xf numFmtId="13" fontId="0" fillId="0" borderId="10" xfId="0" applyNumberFormat="1" applyBorder="1" applyAlignment="1">
      <alignment horizontal="left" wrapText="1"/>
    </xf>
    <xf numFmtId="0" fontId="0" fillId="0" borderId="13" xfId="0" applyBorder="1" applyAlignment="1">
      <alignment horizontal="left" vertical="center"/>
    </xf>
    <xf numFmtId="0" fontId="0" fillId="0" borderId="7" xfId="0" applyBorder="1" applyAlignment="1">
      <alignment horizontal="left"/>
    </xf>
    <xf numFmtId="0" fontId="0" fillId="0" borderId="13" xfId="0" applyBorder="1" applyAlignment="1">
      <alignment horizontal="left"/>
    </xf>
    <xf numFmtId="0" fontId="0" fillId="0" borderId="13" xfId="0" applyBorder="1" applyAlignment="1">
      <alignment horizontal="left" wrapText="1"/>
    </xf>
    <xf numFmtId="0" fontId="0" fillId="0" borderId="10" xfId="0" applyBorder="1" applyAlignment="1">
      <alignment horizontal="left"/>
    </xf>
    <xf numFmtId="0" fontId="0" fillId="0" borderId="10" xfId="0" applyBorder="1" applyAlignment="1">
      <alignment horizontal="left" wrapText="1"/>
    </xf>
    <xf numFmtId="0" fontId="0" fillId="0" borderId="61" xfId="0" applyBorder="1" applyAlignment="1">
      <alignment horizontal="left" vertical="center"/>
    </xf>
    <xf numFmtId="13" fontId="0" fillId="0" borderId="61" xfId="0" applyNumberFormat="1" applyBorder="1" applyAlignment="1">
      <alignment horizontal="left" vertical="center" wrapText="1"/>
    </xf>
    <xf numFmtId="0" fontId="25" fillId="0" borderId="59" xfId="0" applyFont="1" applyBorder="1" applyAlignment="1">
      <alignment horizontal="left" vertical="center" wrapText="1"/>
    </xf>
    <xf numFmtId="9" fontId="0" fillId="0" borderId="26" xfId="0" applyNumberFormat="1" applyBorder="1" applyAlignment="1">
      <alignment horizontal="left"/>
    </xf>
    <xf numFmtId="9" fontId="0" fillId="0" borderId="14" xfId="0" applyNumberFormat="1" applyBorder="1" applyAlignment="1">
      <alignment horizontal="left"/>
    </xf>
    <xf numFmtId="9" fontId="0" fillId="0" borderId="11" xfId="0" applyNumberFormat="1" applyBorder="1" applyAlignment="1">
      <alignment horizontal="left"/>
    </xf>
    <xf numFmtId="9" fontId="0" fillId="0" borderId="67" xfId="0" applyNumberFormat="1" applyBorder="1" applyAlignment="1">
      <alignment horizontal="left" vertical="center"/>
    </xf>
    <xf numFmtId="0" fontId="0" fillId="0" borderId="26" xfId="0" applyBorder="1" applyAlignment="1">
      <alignment horizontal="left"/>
    </xf>
    <xf numFmtId="9" fontId="0" fillId="0" borderId="26" xfId="0" applyNumberFormat="1" applyBorder="1" applyAlignment="1">
      <alignment horizontal="left" vertical="center"/>
    </xf>
    <xf numFmtId="10" fontId="0" fillId="0" borderId="11" xfId="0" applyNumberFormat="1" applyBorder="1" applyAlignment="1">
      <alignment horizontal="left" vertical="center"/>
    </xf>
    <xf numFmtId="10" fontId="0" fillId="0" borderId="13" xfId="0" applyNumberFormat="1" applyBorder="1" applyAlignment="1">
      <alignment horizontal="left" wrapText="1"/>
    </xf>
    <xf numFmtId="9" fontId="0" fillId="0" borderId="10" xfId="1" applyFont="1" applyBorder="1" applyAlignment="1">
      <alignment horizontal="left" wrapText="1"/>
    </xf>
    <xf numFmtId="9" fontId="0" fillId="0" borderId="7" xfId="1" applyFont="1" applyBorder="1" applyAlignment="1">
      <alignment horizontal="left" vertical="center" wrapText="1"/>
    </xf>
    <xf numFmtId="9" fontId="0" fillId="0" borderId="13" xfId="1" applyFont="1" applyBorder="1" applyAlignment="1">
      <alignment horizontal="left" wrapText="1"/>
    </xf>
    <xf numFmtId="9" fontId="0" fillId="0" borderId="7" xfId="1" applyFont="1" applyBorder="1" applyAlignment="1">
      <alignment horizontal="left" wrapText="1"/>
    </xf>
    <xf numFmtId="9" fontId="0" fillId="0" borderId="10" xfId="0" applyNumberFormat="1" applyBorder="1" applyAlignment="1">
      <alignment horizontal="left" vertical="center" wrapText="1"/>
    </xf>
    <xf numFmtId="0" fontId="22" fillId="0" borderId="11" xfId="0" applyFont="1" applyBorder="1"/>
    <xf numFmtId="0" fontId="22" fillId="0" borderId="0" xfId="0" applyFont="1"/>
    <xf numFmtId="0" fontId="7" fillId="0" borderId="0" xfId="0" applyFont="1" applyAlignment="1">
      <alignment vertical="center" wrapText="1"/>
    </xf>
    <xf numFmtId="0" fontId="22" fillId="0" borderId="14" xfId="0" applyFont="1" applyBorder="1"/>
    <xf numFmtId="0" fontId="23" fillId="0" borderId="0" xfId="0" applyFont="1"/>
    <xf numFmtId="0" fontId="0" fillId="0" borderId="19" xfId="0" applyBorder="1"/>
    <xf numFmtId="165" fontId="3" fillId="5" borderId="21" xfId="0" applyNumberFormat="1" applyFont="1" applyFill="1" applyBorder="1" applyAlignment="1">
      <alignment horizontal="center" vertical="center" wrapText="1"/>
    </xf>
    <xf numFmtId="0" fontId="0" fillId="0" borderId="18" xfId="0" applyBorder="1"/>
    <xf numFmtId="0" fontId="0" fillId="0" borderId="54" xfId="0" applyBorder="1" applyAlignment="1">
      <alignment horizontal="left"/>
    </xf>
    <xf numFmtId="0" fontId="0" fillId="0" borderId="21" xfId="0" applyBorder="1"/>
    <xf numFmtId="0" fontId="22" fillId="0" borderId="54" xfId="0" applyFont="1" applyBorder="1"/>
    <xf numFmtId="0" fontId="0" fillId="0" borderId="60" xfId="0" applyBorder="1"/>
    <xf numFmtId="168" fontId="0" fillId="0" borderId="7" xfId="40" applyNumberFormat="1" applyFont="1" applyBorder="1" applyAlignment="1">
      <alignment horizontal="left" wrapText="1"/>
    </xf>
    <xf numFmtId="0" fontId="0" fillId="0" borderId="18" xfId="0" applyBorder="1" applyAlignment="1">
      <alignment horizontal="center" vertical="center"/>
    </xf>
    <xf numFmtId="0" fontId="0" fillId="0" borderId="47" xfId="0" applyBorder="1"/>
    <xf numFmtId="0" fontId="0" fillId="0" borderId="25" xfId="0" applyBorder="1"/>
    <xf numFmtId="1" fontId="0" fillId="0" borderId="0" xfId="0" applyNumberFormat="1"/>
    <xf numFmtId="0" fontId="26" fillId="5" borderId="59" xfId="0" applyFont="1" applyFill="1" applyBorder="1" applyAlignment="1">
      <alignment horizontal="center" vertical="center" wrapText="1"/>
    </xf>
    <xf numFmtId="0" fontId="26" fillId="5" borderId="61" xfId="0" applyFont="1" applyFill="1" applyBorder="1" applyAlignment="1">
      <alignment horizontal="center" vertical="center" wrapText="1"/>
    </xf>
    <xf numFmtId="17" fontId="27" fillId="5" borderId="61" xfId="2" applyNumberFormat="1" applyFont="1" applyFill="1" applyBorder="1" applyAlignment="1">
      <alignment horizontal="center" vertical="center" wrapText="1"/>
    </xf>
    <xf numFmtId="165" fontId="26" fillId="5" borderId="61" xfId="0" applyNumberFormat="1" applyFont="1" applyFill="1" applyBorder="1" applyAlignment="1">
      <alignment horizontal="center" vertical="center" wrapText="1"/>
    </xf>
    <xf numFmtId="165" fontId="26" fillId="5" borderId="67" xfId="0" applyNumberFormat="1" applyFont="1" applyFill="1" applyBorder="1" applyAlignment="1">
      <alignment horizontal="center" vertical="center" wrapText="1"/>
    </xf>
    <xf numFmtId="165" fontId="26" fillId="5" borderId="33" xfId="0" applyNumberFormat="1" applyFont="1" applyFill="1" applyBorder="1" applyAlignment="1">
      <alignment horizontal="center" vertical="center" wrapText="1"/>
    </xf>
    <xf numFmtId="0" fontId="29" fillId="0" borderId="34" xfId="0" applyFont="1" applyBorder="1" applyAlignment="1">
      <alignment horizontal="center" vertical="center" wrapText="1"/>
    </xf>
    <xf numFmtId="0" fontId="30" fillId="0" borderId="10" xfId="0" applyFont="1" applyBorder="1" applyAlignment="1">
      <alignment vertical="center" wrapText="1"/>
    </xf>
    <xf numFmtId="0" fontId="31" fillId="0" borderId="10" xfId="0" applyFont="1" applyBorder="1" applyAlignment="1">
      <alignment vertical="center" wrapText="1"/>
    </xf>
    <xf numFmtId="0" fontId="32" fillId="0" borderId="52" xfId="0" applyFont="1" applyBorder="1"/>
    <xf numFmtId="0" fontId="32" fillId="0" borderId="56" xfId="0" applyFont="1" applyBorder="1"/>
    <xf numFmtId="13" fontId="30" fillId="0" borderId="52" xfId="0" applyNumberFormat="1" applyFont="1" applyBorder="1" applyAlignment="1">
      <alignment horizontal="center" vertical="center" wrapText="1"/>
    </xf>
    <xf numFmtId="0" fontId="30" fillId="0" borderId="52" xfId="0" applyFont="1" applyBorder="1" applyAlignment="1">
      <alignment horizontal="center" vertical="center" wrapText="1"/>
    </xf>
    <xf numFmtId="0" fontId="30" fillId="7" borderId="10" xfId="0" applyFont="1" applyFill="1" applyBorder="1" applyAlignment="1">
      <alignment horizontal="center" vertical="center" wrapText="1"/>
    </xf>
    <xf numFmtId="9" fontId="27" fillId="0" borderId="10" xfId="0" applyNumberFormat="1" applyFont="1" applyBorder="1" applyAlignment="1">
      <alignment horizontal="center" vertical="center" wrapText="1"/>
    </xf>
    <xf numFmtId="9" fontId="30" fillId="0" borderId="10" xfId="0" applyNumberFormat="1" applyFont="1" applyBorder="1" applyAlignment="1">
      <alignment horizontal="center" vertical="center" wrapText="1"/>
    </xf>
    <xf numFmtId="9" fontId="30" fillId="0" borderId="10" xfId="1" applyFont="1" applyFill="1" applyBorder="1" applyAlignment="1">
      <alignment horizontal="center" vertical="center" wrapText="1"/>
    </xf>
    <xf numFmtId="0" fontId="30" fillId="0" borderId="10" xfId="0" applyFont="1" applyBorder="1" applyAlignment="1">
      <alignment horizontal="center" vertical="center" wrapText="1"/>
    </xf>
    <xf numFmtId="166" fontId="30" fillId="0" borderId="10" xfId="0" applyNumberFormat="1" applyFont="1" applyBorder="1" applyAlignment="1">
      <alignment horizontal="center" vertical="center" wrapText="1"/>
    </xf>
    <xf numFmtId="165" fontId="30" fillId="0" borderId="10" xfId="0" applyNumberFormat="1" applyFont="1" applyBorder="1" applyAlignment="1">
      <alignment vertical="center" wrapText="1"/>
    </xf>
    <xf numFmtId="1" fontId="30" fillId="0" borderId="10" xfId="0" applyNumberFormat="1" applyFont="1" applyBorder="1" applyAlignment="1">
      <alignment horizontal="center" vertical="center" wrapText="1"/>
    </xf>
    <xf numFmtId="1" fontId="30" fillId="0" borderId="56" xfId="0" applyNumberFormat="1" applyFont="1" applyBorder="1" applyAlignment="1">
      <alignment horizontal="center" vertical="center" wrapText="1"/>
    </xf>
    <xf numFmtId="1" fontId="29" fillId="0" borderId="11" xfId="0" applyNumberFormat="1" applyFont="1" applyBorder="1" applyAlignment="1">
      <alignment horizontal="center" vertical="center" wrapText="1"/>
    </xf>
    <xf numFmtId="0" fontId="29" fillId="0" borderId="0" xfId="0" applyFont="1" applyAlignment="1">
      <alignment horizontal="center" vertical="center" wrapText="1"/>
    </xf>
    <xf numFmtId="0" fontId="30" fillId="0" borderId="7" xfId="0" applyFont="1" applyBorder="1" applyAlignment="1">
      <alignment vertical="center" wrapText="1"/>
    </xf>
    <xf numFmtId="0" fontId="31" fillId="0" borderId="7" xfId="0" applyFont="1" applyBorder="1" applyAlignment="1">
      <alignment vertical="center" wrapText="1"/>
    </xf>
    <xf numFmtId="0" fontId="32" fillId="0" borderId="18" xfId="0" applyFont="1" applyBorder="1"/>
    <xf numFmtId="0" fontId="32" fillId="0" borderId="16" xfId="0" applyFont="1" applyBorder="1"/>
    <xf numFmtId="0" fontId="30" fillId="0" borderId="18" xfId="0" applyFont="1" applyBorder="1" applyAlignment="1">
      <alignment horizontal="center" vertical="center" wrapText="1"/>
    </xf>
    <xf numFmtId="0" fontId="30" fillId="7" borderId="7" xfId="0" applyFont="1" applyFill="1" applyBorder="1" applyAlignment="1">
      <alignment horizontal="center" vertical="center" wrapText="1"/>
    </xf>
    <xf numFmtId="10" fontId="27" fillId="0" borderId="7" xfId="0" applyNumberFormat="1" applyFont="1" applyBorder="1" applyAlignment="1">
      <alignment horizontal="center" vertical="center" wrapText="1"/>
    </xf>
    <xf numFmtId="9" fontId="30" fillId="0" borderId="7" xfId="0" applyNumberFormat="1" applyFont="1" applyBorder="1" applyAlignment="1">
      <alignment horizontal="center" vertical="center" wrapText="1"/>
    </xf>
    <xf numFmtId="9" fontId="30" fillId="0" borderId="7" xfId="1" applyFont="1" applyFill="1" applyBorder="1" applyAlignment="1">
      <alignment horizontal="center" vertical="center" wrapText="1"/>
    </xf>
    <xf numFmtId="0" fontId="30" fillId="0" borderId="7" xfId="0" applyFont="1" applyBorder="1" applyAlignment="1">
      <alignment horizontal="center" vertical="center" wrapText="1"/>
    </xf>
    <xf numFmtId="166" fontId="30" fillId="0" borderId="7" xfId="0" applyNumberFormat="1" applyFont="1" applyBorder="1" applyAlignment="1">
      <alignment horizontal="center" vertical="center" wrapText="1"/>
    </xf>
    <xf numFmtId="165" fontId="30" fillId="0" borderId="7" xfId="0" applyNumberFormat="1" applyFont="1" applyBorder="1" applyAlignment="1">
      <alignment vertical="center" wrapText="1"/>
    </xf>
    <xf numFmtId="1" fontId="30" fillId="0" borderId="7" xfId="0" applyNumberFormat="1" applyFont="1" applyBorder="1" applyAlignment="1">
      <alignment horizontal="center" vertical="center" wrapText="1"/>
    </xf>
    <xf numFmtId="1" fontId="30" fillId="0" borderId="16" xfId="0" applyNumberFormat="1" applyFont="1" applyBorder="1" applyAlignment="1">
      <alignment horizontal="center" vertical="center" wrapText="1"/>
    </xf>
    <xf numFmtId="1" fontId="29" fillId="0" borderId="26" xfId="0" applyNumberFormat="1" applyFont="1" applyBorder="1" applyAlignment="1">
      <alignment horizontal="center" vertical="center" wrapText="1"/>
    </xf>
    <xf numFmtId="10" fontId="33" fillId="0" borderId="0" xfId="0" applyNumberFormat="1" applyFont="1" applyAlignment="1">
      <alignment horizontal="center" vertical="center" wrapText="1"/>
    </xf>
    <xf numFmtId="9" fontId="27" fillId="0" borderId="7" xfId="0" applyNumberFormat="1" applyFont="1" applyBorder="1" applyAlignment="1">
      <alignment horizontal="center" vertical="center" wrapText="1"/>
    </xf>
    <xf numFmtId="0" fontId="30" fillId="0" borderId="16" xfId="0" applyFont="1" applyBorder="1" applyAlignment="1">
      <alignment horizontal="center" vertical="center" wrapText="1"/>
    </xf>
    <xf numFmtId="9" fontId="30" fillId="0" borderId="7" xfId="1" applyFont="1" applyBorder="1" applyAlignment="1">
      <alignment horizontal="center" vertical="center" wrapText="1"/>
    </xf>
    <xf numFmtId="9" fontId="29" fillId="0" borderId="26" xfId="1" applyFont="1" applyBorder="1" applyAlignment="1">
      <alignment horizontal="center" vertical="center" wrapText="1"/>
    </xf>
    <xf numFmtId="0" fontId="29" fillId="0" borderId="55" xfId="0" applyFont="1" applyBorder="1" applyAlignment="1">
      <alignment horizontal="left" vertical="center" wrapText="1"/>
    </xf>
    <xf numFmtId="0" fontId="29" fillId="0" borderId="13" xfId="0" applyFont="1" applyBorder="1" applyAlignment="1">
      <alignment horizontal="left" vertical="center" wrapText="1"/>
    </xf>
    <xf numFmtId="0" fontId="31" fillId="0" borderId="13" xfId="0" applyFont="1" applyBorder="1" applyAlignment="1">
      <alignment vertical="center" wrapText="1"/>
    </xf>
    <xf numFmtId="9" fontId="29"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0" fontId="30" fillId="7" borderId="13" xfId="0" applyFont="1" applyFill="1" applyBorder="1" applyAlignment="1">
      <alignment horizontal="center" vertical="center" wrapText="1"/>
    </xf>
    <xf numFmtId="9" fontId="27" fillId="0" borderId="13" xfId="0" applyNumberFormat="1" applyFont="1" applyBorder="1" applyAlignment="1">
      <alignment horizontal="center" vertical="center" wrapText="1"/>
    </xf>
    <xf numFmtId="9" fontId="30" fillId="0" borderId="13" xfId="0" applyNumberFormat="1" applyFont="1" applyBorder="1" applyAlignment="1">
      <alignment horizontal="left" vertical="center" wrapText="1"/>
    </xf>
    <xf numFmtId="9" fontId="30" fillId="0" borderId="13" xfId="1" applyFont="1" applyFill="1" applyBorder="1" applyAlignment="1">
      <alignment horizontal="left" vertical="center" wrapText="1"/>
    </xf>
    <xf numFmtId="0" fontId="30" fillId="0" borderId="13" xfId="0" applyFont="1" applyBorder="1" applyAlignment="1">
      <alignment horizontal="left" vertical="center" wrapText="1"/>
    </xf>
    <xf numFmtId="166" fontId="30" fillId="0" borderId="13" xfId="0" applyNumberFormat="1" applyFont="1" applyBorder="1" applyAlignment="1">
      <alignment horizontal="center" vertical="center" wrapText="1"/>
    </xf>
    <xf numFmtId="165" fontId="30" fillId="0" borderId="13" xfId="0" applyNumberFormat="1" applyFont="1" applyBorder="1" applyAlignment="1">
      <alignment horizontal="left" vertical="center" wrapText="1"/>
    </xf>
    <xf numFmtId="1" fontId="30" fillId="0" borderId="13" xfId="0" applyNumberFormat="1" applyFont="1" applyBorder="1" applyAlignment="1">
      <alignment horizontal="left" vertical="center" wrapText="1"/>
    </xf>
    <xf numFmtId="1" fontId="30" fillId="0" borderId="64" xfId="0" applyNumberFormat="1" applyFont="1" applyBorder="1" applyAlignment="1">
      <alignment horizontal="left" vertical="center" wrapText="1"/>
    </xf>
    <xf numFmtId="1" fontId="29" fillId="0" borderId="14" xfId="0" applyNumberFormat="1" applyFont="1" applyBorder="1" applyAlignment="1">
      <alignment horizontal="left" vertical="center" wrapText="1"/>
    </xf>
    <xf numFmtId="0" fontId="34" fillId="0" borderId="7" xfId="0" applyFont="1" applyBorder="1"/>
    <xf numFmtId="0" fontId="29" fillId="0" borderId="13" xfId="0" applyFont="1" applyBorder="1" applyAlignment="1">
      <alignment horizontal="center" vertical="center" wrapText="1"/>
    </xf>
    <xf numFmtId="166" fontId="30" fillId="0" borderId="7" xfId="0" applyNumberFormat="1" applyFont="1" applyBorder="1" applyAlignment="1">
      <alignment vertical="center" wrapText="1"/>
    </xf>
    <xf numFmtId="0" fontId="31" fillId="0" borderId="15" xfId="0" applyFont="1" applyBorder="1" applyAlignment="1">
      <alignment vertical="center" wrapText="1"/>
    </xf>
    <xf numFmtId="0" fontId="34" fillId="0" borderId="15" xfId="0" applyFont="1" applyBorder="1"/>
    <xf numFmtId="0" fontId="30" fillId="7" borderId="15" xfId="0" applyFont="1" applyFill="1" applyBorder="1" applyAlignment="1">
      <alignment horizontal="center" vertical="center" wrapText="1"/>
    </xf>
    <xf numFmtId="9" fontId="27" fillId="0" borderId="15" xfId="0" applyNumberFormat="1" applyFont="1" applyBorder="1" applyAlignment="1">
      <alignment horizontal="center" vertical="center" wrapText="1"/>
    </xf>
    <xf numFmtId="9" fontId="30" fillId="0" borderId="15" xfId="0" applyNumberFormat="1" applyFont="1" applyBorder="1" applyAlignment="1">
      <alignment horizontal="center" vertical="center" wrapText="1"/>
    </xf>
    <xf numFmtId="9" fontId="30" fillId="0" borderId="15" xfId="1" applyFont="1" applyFill="1" applyBorder="1" applyAlignment="1">
      <alignment horizontal="center" vertical="center" wrapText="1"/>
    </xf>
    <xf numFmtId="0" fontId="30" fillId="0" borderId="15" xfId="0" applyFont="1" applyBorder="1" applyAlignment="1">
      <alignment vertical="center" wrapText="1"/>
    </xf>
    <xf numFmtId="0" fontId="30" fillId="0" borderId="15" xfId="0" applyFont="1" applyBorder="1" applyAlignment="1">
      <alignment horizontal="center" vertical="center" wrapText="1"/>
    </xf>
    <xf numFmtId="166" fontId="30" fillId="0" borderId="15" xfId="0" applyNumberFormat="1" applyFont="1" applyBorder="1" applyAlignment="1">
      <alignment vertical="center" wrapText="1"/>
    </xf>
    <xf numFmtId="165" fontId="30" fillId="0" borderId="15" xfId="0" applyNumberFormat="1" applyFont="1" applyBorder="1" applyAlignment="1">
      <alignment vertical="center" wrapText="1"/>
    </xf>
    <xf numFmtId="1" fontId="30" fillId="0" borderId="15" xfId="0" applyNumberFormat="1" applyFont="1" applyBorder="1" applyAlignment="1">
      <alignment horizontal="center" vertical="center" wrapText="1"/>
    </xf>
    <xf numFmtId="1" fontId="30" fillId="0" borderId="20" xfId="0" applyNumberFormat="1" applyFont="1" applyBorder="1" applyAlignment="1">
      <alignment horizontal="center" vertical="center" wrapText="1"/>
    </xf>
    <xf numFmtId="1" fontId="29" fillId="0" borderId="66" xfId="0" applyNumberFormat="1" applyFont="1" applyBorder="1" applyAlignment="1">
      <alignment horizontal="center" vertical="center" wrapText="1"/>
    </xf>
    <xf numFmtId="0" fontId="29" fillId="0" borderId="28" xfId="0" applyFont="1" applyBorder="1" applyAlignment="1">
      <alignment horizontal="center" vertical="center" wrapText="1"/>
    </xf>
    <xf numFmtId="0" fontId="34" fillId="0" borderId="13" xfId="0" applyFont="1" applyBorder="1"/>
    <xf numFmtId="165" fontId="28" fillId="0" borderId="13" xfId="0" applyNumberFormat="1" applyFont="1" applyBorder="1" applyAlignment="1">
      <alignment horizontal="center" vertical="center" wrapText="1"/>
    </xf>
    <xf numFmtId="165" fontId="27" fillId="0" borderId="13" xfId="0" applyNumberFormat="1" applyFont="1" applyBorder="1" applyAlignment="1">
      <alignment horizontal="center" vertical="center" wrapText="1"/>
    </xf>
    <xf numFmtId="9" fontId="30" fillId="0" borderId="13" xfId="0" applyNumberFormat="1" applyFont="1" applyBorder="1" applyAlignment="1">
      <alignment horizontal="center" vertical="center" wrapText="1"/>
    </xf>
    <xf numFmtId="9" fontId="30" fillId="0" borderId="13" xfId="1" applyFont="1" applyFill="1" applyBorder="1" applyAlignment="1">
      <alignment horizontal="center" vertical="center" wrapText="1"/>
    </xf>
    <xf numFmtId="0" fontId="30" fillId="0" borderId="13" xfId="0" applyFont="1" applyBorder="1" applyAlignment="1">
      <alignment vertical="center" wrapText="1"/>
    </xf>
    <xf numFmtId="166" fontId="30" fillId="0" borderId="13" xfId="0" applyNumberFormat="1" applyFont="1" applyBorder="1" applyAlignment="1">
      <alignment vertical="center" wrapText="1"/>
    </xf>
    <xf numFmtId="165" fontId="30" fillId="0" borderId="13" xfId="0" applyNumberFormat="1" applyFont="1" applyBorder="1" applyAlignment="1">
      <alignment vertical="center" wrapText="1"/>
    </xf>
    <xf numFmtId="1" fontId="30" fillId="0" borderId="13" xfId="0" applyNumberFormat="1" applyFont="1" applyBorder="1" applyAlignment="1">
      <alignment horizontal="center" vertical="center" wrapText="1"/>
    </xf>
    <xf numFmtId="1" fontId="30" fillId="0" borderId="64" xfId="0" applyNumberFormat="1" applyFont="1" applyBorder="1" applyAlignment="1">
      <alignment horizontal="center" vertical="center" wrapText="1"/>
    </xf>
    <xf numFmtId="1" fontId="29" fillId="0" borderId="14" xfId="0" applyNumberFormat="1" applyFont="1" applyBorder="1" applyAlignment="1">
      <alignment horizontal="center" vertical="center" wrapText="1"/>
    </xf>
    <xf numFmtId="0" fontId="29" fillId="0" borderId="34" xfId="0" applyFont="1" applyBorder="1" applyAlignment="1">
      <alignment horizontal="center" vertical="center"/>
    </xf>
    <xf numFmtId="0" fontId="34" fillId="0" borderId="52" xfId="0" applyFont="1" applyBorder="1"/>
    <xf numFmtId="0" fontId="34" fillId="0" borderId="56" xfId="0" applyFont="1" applyBorder="1"/>
    <xf numFmtId="0" fontId="31" fillId="0" borderId="52" xfId="0" applyFont="1" applyBorder="1" applyAlignment="1">
      <alignment horizontal="center" vertical="center" wrapText="1"/>
    </xf>
    <xf numFmtId="166" fontId="30" fillId="0" borderId="10" xfId="0" applyNumberFormat="1" applyFont="1" applyBorder="1" applyAlignment="1">
      <alignment vertical="center" wrapText="1"/>
    </xf>
    <xf numFmtId="0" fontId="29" fillId="0" borderId="0" xfId="0" applyFont="1" applyAlignment="1">
      <alignment horizontal="center" vertical="center"/>
    </xf>
    <xf numFmtId="0" fontId="30" fillId="8" borderId="7" xfId="0" applyFont="1" applyFill="1" applyBorder="1" applyAlignment="1">
      <alignment vertical="center" wrapText="1"/>
    </xf>
    <xf numFmtId="0" fontId="34" fillId="0" borderId="16" xfId="0" applyFont="1" applyBorder="1"/>
    <xf numFmtId="0" fontId="31" fillId="0" borderId="7" xfId="0" applyFont="1" applyBorder="1" applyAlignment="1">
      <alignment horizontal="center" vertical="center" wrapText="1"/>
    </xf>
    <xf numFmtId="0" fontId="31" fillId="8" borderId="7" xfId="0" applyFont="1" applyFill="1" applyBorder="1" applyAlignment="1">
      <alignment vertical="center" wrapText="1"/>
    </xf>
    <xf numFmtId="0" fontId="34" fillId="0" borderId="20" xfId="0" applyFont="1" applyBorder="1"/>
    <xf numFmtId="9" fontId="31" fillId="0" borderId="7" xfId="0" applyNumberFormat="1" applyFont="1" applyBorder="1" applyAlignment="1">
      <alignment horizontal="center" vertical="center" wrapText="1"/>
    </xf>
    <xf numFmtId="0" fontId="29" fillId="0" borderId="28" xfId="0" applyFont="1" applyBorder="1" applyAlignment="1">
      <alignment horizontal="center" vertical="center"/>
    </xf>
    <xf numFmtId="0" fontId="34" fillId="0" borderId="64" xfId="0" applyFont="1" applyBorder="1"/>
    <xf numFmtId="0" fontId="34" fillId="0" borderId="10" xfId="0" applyFont="1" applyBorder="1"/>
    <xf numFmtId="0" fontId="31" fillId="0" borderId="10" xfId="0" applyFont="1" applyBorder="1" applyAlignment="1">
      <alignment horizontal="center" vertical="center" wrapText="1"/>
    </xf>
    <xf numFmtId="167" fontId="29" fillId="0" borderId="11" xfId="0" applyNumberFormat="1" applyFont="1" applyBorder="1" applyAlignment="1">
      <alignment horizontal="center" vertical="center" wrapText="1"/>
    </xf>
    <xf numFmtId="0" fontId="29" fillId="0" borderId="44" xfId="0" applyFont="1" applyBorder="1" applyAlignment="1">
      <alignment horizontal="center" vertical="center" wrapText="1"/>
    </xf>
    <xf numFmtId="0" fontId="31" fillId="0" borderId="48" xfId="0" applyFont="1" applyBorder="1" applyAlignment="1">
      <alignment vertical="center" wrapText="1"/>
    </xf>
    <xf numFmtId="0" fontId="35" fillId="0" borderId="13" xfId="0" applyFont="1" applyBorder="1" applyAlignment="1">
      <alignment vertical="center" wrapText="1"/>
    </xf>
    <xf numFmtId="10" fontId="34" fillId="0" borderId="8" xfId="1" applyNumberFormat="1" applyFont="1" applyBorder="1" applyAlignment="1">
      <alignment horizontal="center" vertical="center" wrapText="1"/>
    </xf>
    <xf numFmtId="0" fontId="29" fillId="0" borderId="50" xfId="0" applyFont="1" applyBorder="1" applyAlignment="1">
      <alignment horizontal="center" vertical="center" wrapText="1"/>
    </xf>
    <xf numFmtId="0" fontId="31" fillId="0" borderId="65" xfId="0" applyFont="1" applyBorder="1" applyAlignment="1">
      <alignment vertical="center" wrapText="1"/>
    </xf>
    <xf numFmtId="0" fontId="35" fillId="0" borderId="7" xfId="0" applyFont="1" applyBorder="1" applyAlignment="1">
      <alignment vertical="center" wrapText="1"/>
    </xf>
    <xf numFmtId="10" fontId="34" fillId="0" borderId="36" xfId="1" applyNumberFormat="1" applyFont="1" applyFill="1" applyBorder="1" applyAlignment="1">
      <alignment horizontal="center" vertical="center" wrapText="1"/>
    </xf>
    <xf numFmtId="0" fontId="32" fillId="0" borderId="10" xfId="0" applyFont="1" applyBorder="1"/>
    <xf numFmtId="0" fontId="32" fillId="0" borderId="7" xfId="0" applyFont="1" applyBorder="1"/>
    <xf numFmtId="165" fontId="29" fillId="0" borderId="26" xfId="1" applyNumberFormat="1" applyFont="1" applyBorder="1" applyAlignment="1">
      <alignment horizontal="center" vertical="center" wrapText="1"/>
    </xf>
    <xf numFmtId="0" fontId="30" fillId="8" borderId="13" xfId="0" applyFont="1" applyFill="1" applyBorder="1" applyAlignment="1">
      <alignment vertical="center" wrapText="1"/>
    </xf>
    <xf numFmtId="0" fontId="32" fillId="0" borderId="13" xfId="0" applyFont="1" applyBorder="1"/>
    <xf numFmtId="165" fontId="31" fillId="0" borderId="13" xfId="0" applyNumberFormat="1" applyFont="1" applyBorder="1" applyAlignment="1">
      <alignment horizontal="center" vertical="center" wrapText="1"/>
    </xf>
    <xf numFmtId="9" fontId="29" fillId="0" borderId="14" xfId="1" applyFont="1" applyBorder="1" applyAlignment="1">
      <alignment horizontal="center" vertical="center" wrapText="1"/>
    </xf>
    <xf numFmtId="0" fontId="29" fillId="0" borderId="10" xfId="0" applyFont="1" applyBorder="1" applyAlignment="1">
      <alignment horizontal="center" vertical="center" wrapText="1"/>
    </xf>
    <xf numFmtId="0" fontId="31" fillId="0" borderId="56" xfId="0" applyFont="1" applyBorder="1" applyAlignment="1">
      <alignment vertical="center" wrapText="1"/>
    </xf>
    <xf numFmtId="10" fontId="31" fillId="0" borderId="52" xfId="0" applyNumberFormat="1" applyFont="1" applyBorder="1" applyAlignment="1">
      <alignment horizontal="center" vertical="center" wrapText="1"/>
    </xf>
    <xf numFmtId="9" fontId="29" fillId="0" borderId="11" xfId="1" applyFont="1" applyBorder="1" applyAlignment="1">
      <alignment horizontal="center" vertical="center" wrapText="1"/>
    </xf>
    <xf numFmtId="0" fontId="29" fillId="0" borderId="7" xfId="0" applyFont="1" applyBorder="1" applyAlignment="1">
      <alignment horizontal="center" vertical="center" wrapText="1"/>
    </xf>
    <xf numFmtId="0" fontId="31" fillId="0" borderId="18" xfId="0" applyFont="1" applyBorder="1" applyAlignment="1">
      <alignment horizontal="center" vertical="center" wrapText="1"/>
    </xf>
    <xf numFmtId="0" fontId="29" fillId="0" borderId="15" xfId="0" applyFont="1" applyBorder="1" applyAlignment="1">
      <alignment horizontal="center" vertical="center" wrapText="1"/>
    </xf>
    <xf numFmtId="9" fontId="31" fillId="0" borderId="21" xfId="0" applyNumberFormat="1" applyFont="1" applyBorder="1" applyAlignment="1">
      <alignment horizontal="center" vertical="center" wrapText="1"/>
    </xf>
    <xf numFmtId="0" fontId="30" fillId="0" borderId="21" xfId="0" applyFont="1" applyBorder="1" applyAlignment="1">
      <alignment horizontal="center" vertical="center" wrapText="1"/>
    </xf>
    <xf numFmtId="9" fontId="29" fillId="0" borderId="66" xfId="1" applyFont="1" applyBorder="1" applyAlignment="1">
      <alignment horizontal="center" vertical="center" wrapText="1"/>
    </xf>
    <xf numFmtId="10" fontId="29" fillId="0" borderId="70" xfId="1" applyNumberFormat="1" applyFont="1" applyBorder="1" applyAlignment="1">
      <alignment horizontal="center" vertical="center" wrapText="1"/>
    </xf>
    <xf numFmtId="0" fontId="29" fillId="0" borderId="47" xfId="0" applyFont="1" applyBorder="1" applyAlignment="1">
      <alignment horizontal="center" vertical="center" wrapText="1"/>
    </xf>
    <xf numFmtId="0" fontId="31" fillId="0" borderId="47" xfId="0" applyFont="1" applyBorder="1" applyAlignment="1">
      <alignment vertical="center" wrapText="1"/>
    </xf>
    <xf numFmtId="0" fontId="34" fillId="0" borderId="47" xfId="0" applyFont="1" applyBorder="1"/>
    <xf numFmtId="0" fontId="31" fillId="0" borderId="19" xfId="0" applyFont="1" applyBorder="1" applyAlignment="1">
      <alignment vertical="center" wrapText="1"/>
    </xf>
    <xf numFmtId="10" fontId="31" fillId="0" borderId="25" xfId="0" applyNumberFormat="1" applyFont="1" applyBorder="1" applyAlignment="1">
      <alignment horizontal="center" vertical="center" wrapText="1"/>
    </xf>
    <xf numFmtId="0" fontId="30" fillId="0" borderId="25" xfId="0" applyFont="1" applyBorder="1" applyAlignment="1">
      <alignment horizontal="center" vertical="center" wrapText="1"/>
    </xf>
    <xf numFmtId="0" fontId="30" fillId="7" borderId="47" xfId="0" applyFont="1" applyFill="1" applyBorder="1" applyAlignment="1">
      <alignment horizontal="center" vertical="center" wrapText="1"/>
    </xf>
    <xf numFmtId="9" fontId="30" fillId="0" borderId="47" xfId="0" applyNumberFormat="1" applyFont="1" applyBorder="1" applyAlignment="1">
      <alignment horizontal="center" vertical="center" wrapText="1"/>
    </xf>
    <xf numFmtId="9" fontId="30" fillId="0" borderId="47" xfId="1" applyFont="1" applyFill="1" applyBorder="1" applyAlignment="1">
      <alignment horizontal="center" vertical="center" wrapText="1"/>
    </xf>
    <xf numFmtId="0" fontId="30" fillId="0" borderId="47" xfId="0" applyFont="1" applyBorder="1" applyAlignment="1">
      <alignment vertical="center" wrapText="1"/>
    </xf>
    <xf numFmtId="0" fontId="30" fillId="0" borderId="47" xfId="0" applyFont="1" applyBorder="1" applyAlignment="1">
      <alignment horizontal="center" vertical="center" wrapText="1"/>
    </xf>
    <xf numFmtId="166" fontId="30" fillId="0" borderId="47" xfId="0" applyNumberFormat="1" applyFont="1" applyBorder="1" applyAlignment="1">
      <alignment vertical="center" wrapText="1"/>
    </xf>
    <xf numFmtId="165" fontId="30" fillId="0" borderId="47" xfId="0" applyNumberFormat="1" applyFont="1" applyBorder="1" applyAlignment="1">
      <alignment vertical="center" wrapText="1"/>
    </xf>
    <xf numFmtId="1" fontId="30" fillId="0" borderId="47" xfId="0" applyNumberFormat="1" applyFont="1" applyBorder="1" applyAlignment="1">
      <alignment horizontal="center" vertical="center" wrapText="1"/>
    </xf>
    <xf numFmtId="1" fontId="30" fillId="0" borderId="19" xfId="0" applyNumberFormat="1" applyFont="1" applyBorder="1" applyAlignment="1">
      <alignment horizontal="center" vertical="center" wrapText="1"/>
    </xf>
    <xf numFmtId="9" fontId="29" fillId="0" borderId="70" xfId="1" applyFont="1" applyBorder="1" applyAlignment="1">
      <alignment horizontal="center" vertical="center" wrapText="1"/>
    </xf>
    <xf numFmtId="0" fontId="31" fillId="0" borderId="64" xfId="0" applyFont="1" applyBorder="1" applyAlignment="1">
      <alignment vertical="center" wrapText="1"/>
    </xf>
    <xf numFmtId="0" fontId="31" fillId="0" borderId="54" xfId="0" applyFont="1" applyBorder="1" applyAlignment="1">
      <alignment horizontal="center" vertical="center" wrapText="1"/>
    </xf>
    <xf numFmtId="0" fontId="30" fillId="0" borderId="54" xfId="0" applyFont="1" applyBorder="1" applyAlignment="1">
      <alignment horizontal="center" vertical="center" wrapText="1"/>
    </xf>
    <xf numFmtId="0" fontId="30" fillId="0" borderId="49" xfId="0" applyFont="1" applyBorder="1" applyAlignment="1">
      <alignment horizontal="center" vertical="center" wrapText="1"/>
    </xf>
    <xf numFmtId="9" fontId="30" fillId="0" borderId="52" xfId="0" applyNumberFormat="1" applyFont="1" applyBorder="1" applyAlignment="1">
      <alignment horizontal="center" vertical="center" wrapText="1"/>
    </xf>
    <xf numFmtId="0" fontId="30" fillId="0" borderId="50" xfId="0" applyFont="1" applyBorder="1" applyAlignment="1">
      <alignment horizontal="center" vertical="center" wrapText="1"/>
    </xf>
    <xf numFmtId="1" fontId="30" fillId="0" borderId="14" xfId="0" applyNumberFormat="1" applyFont="1" applyBorder="1" applyAlignment="1">
      <alignment horizontal="center" vertical="center" wrapText="1"/>
    </xf>
    <xf numFmtId="0" fontId="30" fillId="0" borderId="56" xfId="0" applyFont="1" applyBorder="1" applyAlignment="1">
      <alignment vertical="center" wrapText="1"/>
    </xf>
    <xf numFmtId="0" fontId="34" fillId="0" borderId="54" xfId="0" applyFont="1" applyBorder="1"/>
    <xf numFmtId="0" fontId="29" fillId="0" borderId="49" xfId="0" applyFont="1" applyBorder="1" applyAlignment="1">
      <alignment horizontal="center" vertical="center" wrapText="1"/>
    </xf>
    <xf numFmtId="0" fontId="30" fillId="8" borderId="10" xfId="0" applyFont="1" applyFill="1" applyBorder="1" applyAlignment="1">
      <alignment vertical="center" wrapText="1"/>
    </xf>
    <xf numFmtId="0" fontId="32" fillId="8" borderId="52" xfId="0" applyFont="1" applyFill="1" applyBorder="1" applyAlignment="1">
      <alignment horizontal="left"/>
    </xf>
    <xf numFmtId="0" fontId="32" fillId="8" borderId="10" xfId="0" applyFont="1" applyFill="1" applyBorder="1" applyAlignment="1">
      <alignment horizontal="left"/>
    </xf>
    <xf numFmtId="0" fontId="32" fillId="8" borderId="10" xfId="0" applyFont="1" applyFill="1" applyBorder="1" applyAlignment="1">
      <alignment vertical="center" wrapText="1"/>
    </xf>
    <xf numFmtId="0" fontId="27" fillId="0" borderId="10" xfId="1" applyNumberFormat="1" applyFont="1" applyFill="1" applyBorder="1" applyAlignment="1">
      <alignment horizontal="center" vertical="center" wrapText="1"/>
    </xf>
    <xf numFmtId="0" fontId="29" fillId="0" borderId="17" xfId="0" applyFont="1" applyBorder="1" applyAlignment="1">
      <alignment horizontal="center" vertical="center" wrapText="1"/>
    </xf>
    <xf numFmtId="0" fontId="32" fillId="8" borderId="18" xfId="0" applyFont="1" applyFill="1" applyBorder="1"/>
    <xf numFmtId="0" fontId="32" fillId="8" borderId="7" xfId="0" applyFont="1" applyFill="1" applyBorder="1"/>
    <xf numFmtId="0" fontId="32" fillId="8" borderId="7" xfId="0" applyFont="1" applyFill="1" applyBorder="1" applyAlignment="1">
      <alignment vertical="center" wrapText="1"/>
    </xf>
    <xf numFmtId="0" fontId="30" fillId="8" borderId="15" xfId="0" applyFont="1" applyFill="1" applyBorder="1" applyAlignment="1">
      <alignment vertical="center" wrapText="1"/>
    </xf>
    <xf numFmtId="0" fontId="32" fillId="0" borderId="15" xfId="0" applyFont="1" applyBorder="1"/>
    <xf numFmtId="0" fontId="28" fillId="0" borderId="59" xfId="0" applyFont="1" applyBorder="1" applyAlignment="1">
      <alignment horizontal="left" vertical="center" wrapText="1"/>
    </xf>
    <xf numFmtId="0" fontId="29" fillId="0" borderId="2" xfId="0" applyFont="1" applyBorder="1" applyAlignment="1">
      <alignment horizontal="center" vertical="center" wrapText="1"/>
    </xf>
    <xf numFmtId="0" fontId="31" fillId="0" borderId="61" xfId="0" applyFont="1" applyBorder="1" applyAlignment="1">
      <alignment vertical="center" wrapText="1"/>
    </xf>
    <xf numFmtId="0" fontId="34" fillId="0" borderId="61" xfId="0" applyFont="1" applyBorder="1"/>
    <xf numFmtId="9" fontId="27" fillId="0" borderId="61" xfId="0" applyNumberFormat="1" applyFont="1" applyBorder="1" applyAlignment="1">
      <alignment horizontal="center" vertical="center" wrapText="1"/>
    </xf>
    <xf numFmtId="9" fontId="30" fillId="0" borderId="61" xfId="0" applyNumberFormat="1" applyFont="1" applyBorder="1" applyAlignment="1">
      <alignment horizontal="center" vertical="center" wrapText="1"/>
    </xf>
    <xf numFmtId="9" fontId="30" fillId="0" borderId="61" xfId="1" applyFont="1" applyFill="1" applyBorder="1" applyAlignment="1">
      <alignment horizontal="center" vertical="center" wrapText="1"/>
    </xf>
    <xf numFmtId="0" fontId="30" fillId="0" borderId="61" xfId="0" applyFont="1" applyBorder="1" applyAlignment="1">
      <alignment vertical="center" wrapText="1"/>
    </xf>
    <xf numFmtId="0" fontId="30" fillId="0" borderId="61" xfId="0" applyFont="1" applyBorder="1" applyAlignment="1">
      <alignment horizontal="center" vertical="center" wrapText="1"/>
    </xf>
    <xf numFmtId="166" fontId="30" fillId="0" borderId="61" xfId="0" applyNumberFormat="1" applyFont="1" applyBorder="1" applyAlignment="1">
      <alignment vertical="center" wrapText="1"/>
    </xf>
    <xf numFmtId="165" fontId="30" fillId="0" borderId="61" xfId="0" applyNumberFormat="1" applyFont="1" applyBorder="1" applyAlignment="1">
      <alignment vertical="center" wrapText="1"/>
    </xf>
    <xf numFmtId="1" fontId="30" fillId="0" borderId="61" xfId="0" applyNumberFormat="1" applyFont="1" applyBorder="1" applyAlignment="1">
      <alignment horizontal="center" vertical="center" wrapText="1"/>
    </xf>
    <xf numFmtId="1" fontId="30" fillId="0" borderId="62" xfId="0" applyNumberFormat="1" applyFont="1" applyBorder="1" applyAlignment="1">
      <alignment horizontal="center" vertical="center" wrapText="1"/>
    </xf>
    <xf numFmtId="1" fontId="29" fillId="0" borderId="67" xfId="0" applyNumberFormat="1" applyFont="1" applyBorder="1" applyAlignment="1">
      <alignment horizontal="center" vertical="center" wrapText="1"/>
    </xf>
    <xf numFmtId="169" fontId="29" fillId="0" borderId="26" xfId="0" applyNumberFormat="1" applyFont="1" applyBorder="1" applyAlignment="1">
      <alignment horizontal="center" vertical="center" wrapText="1"/>
    </xf>
    <xf numFmtId="0" fontId="29" fillId="0" borderId="6" xfId="0" applyFont="1" applyBorder="1" applyAlignment="1">
      <alignment horizontal="center" vertical="center" wrapText="1"/>
    </xf>
    <xf numFmtId="0" fontId="29" fillId="0" borderId="48" xfId="0" applyFont="1" applyBorder="1" applyAlignment="1">
      <alignment horizontal="left" vertical="center" wrapText="1"/>
    </xf>
    <xf numFmtId="0" fontId="29" fillId="0" borderId="48" xfId="0" applyFont="1" applyBorder="1" applyAlignment="1">
      <alignment vertical="center" wrapText="1"/>
    </xf>
    <xf numFmtId="0" fontId="34" fillId="0" borderId="48" xfId="0" applyFont="1" applyBorder="1"/>
    <xf numFmtId="9" fontId="27" fillId="0" borderId="47" xfId="0" applyNumberFormat="1" applyFont="1" applyBorder="1" applyAlignment="1">
      <alignment horizontal="center" vertical="center" wrapText="1"/>
    </xf>
    <xf numFmtId="9" fontId="30" fillId="0" borderId="48" xfId="0" applyNumberFormat="1" applyFont="1" applyBorder="1" applyAlignment="1">
      <alignment horizontal="center" vertical="center" wrapText="1"/>
    </xf>
    <xf numFmtId="9" fontId="30" fillId="0" borderId="48" xfId="1" applyFont="1" applyFill="1" applyBorder="1" applyAlignment="1">
      <alignment horizontal="center" vertical="center" wrapText="1"/>
    </xf>
    <xf numFmtId="0" fontId="30" fillId="0" borderId="48" xfId="0" applyFont="1" applyBorder="1" applyAlignment="1">
      <alignment vertical="center" wrapText="1"/>
    </xf>
    <xf numFmtId="0" fontId="30" fillId="0" borderId="48" xfId="0" applyFont="1" applyBorder="1" applyAlignment="1">
      <alignment horizontal="center" vertical="center" wrapText="1"/>
    </xf>
    <xf numFmtId="166" fontId="30" fillId="0" borderId="48" xfId="0" applyNumberFormat="1" applyFont="1" applyBorder="1" applyAlignment="1">
      <alignment vertical="center" wrapText="1"/>
    </xf>
    <xf numFmtId="165" fontId="30" fillId="0" borderId="48" xfId="0" applyNumberFormat="1" applyFont="1" applyBorder="1" applyAlignment="1">
      <alignment vertical="center" wrapText="1"/>
    </xf>
    <xf numFmtId="1" fontId="30" fillId="0" borderId="48" xfId="0" applyNumberFormat="1" applyFont="1" applyBorder="1" applyAlignment="1">
      <alignment horizontal="center" vertical="center" wrapText="1"/>
    </xf>
    <xf numFmtId="1" fontId="30" fillId="0" borderId="4" xfId="0" applyNumberFormat="1" applyFont="1" applyBorder="1" applyAlignment="1">
      <alignment horizontal="center" vertical="center" wrapText="1"/>
    </xf>
    <xf numFmtId="9" fontId="29" fillId="0" borderId="68" xfId="1" applyFont="1" applyBorder="1" applyAlignment="1">
      <alignment horizontal="center" vertical="center" wrapText="1"/>
    </xf>
    <xf numFmtId="0" fontId="29" fillId="0" borderId="54" xfId="0" applyFont="1" applyBorder="1" applyAlignment="1">
      <alignment horizontal="center" vertical="center" wrapText="1"/>
    </xf>
    <xf numFmtId="0" fontId="29" fillId="0" borderId="13" xfId="0" applyFont="1" applyBorder="1" applyAlignment="1">
      <alignment vertical="center" wrapText="1"/>
    </xf>
    <xf numFmtId="9" fontId="30" fillId="0" borderId="54" xfId="0" applyNumberFormat="1" applyFont="1" applyBorder="1" applyAlignment="1">
      <alignment horizontal="center" vertical="center" wrapText="1"/>
    </xf>
    <xf numFmtId="165" fontId="3" fillId="5" borderId="3" xfId="0" applyNumberFormat="1" applyFont="1" applyFill="1" applyBorder="1" applyAlignment="1">
      <alignment horizontal="center" vertical="center" wrapText="1"/>
    </xf>
    <xf numFmtId="1" fontId="29" fillId="0" borderId="41" xfId="0" applyNumberFormat="1" applyFont="1" applyBorder="1" applyAlignment="1">
      <alignment horizontal="center" vertical="center" wrapText="1"/>
    </xf>
    <xf numFmtId="1" fontId="29" fillId="0" borderId="37" xfId="0" applyNumberFormat="1" applyFont="1" applyBorder="1" applyAlignment="1">
      <alignment horizontal="center" vertical="center" wrapText="1"/>
    </xf>
    <xf numFmtId="1" fontId="29" fillId="0" borderId="37" xfId="0" applyNumberFormat="1" applyFont="1" applyBorder="1" applyAlignment="1">
      <alignment horizontal="left" vertical="center" wrapText="1"/>
    </xf>
    <xf numFmtId="1" fontId="29" fillId="0" borderId="43" xfId="0" applyNumberFormat="1" applyFont="1" applyBorder="1" applyAlignment="1">
      <alignment horizontal="left" vertical="center" wrapText="1"/>
    </xf>
    <xf numFmtId="1" fontId="29" fillId="0" borderId="73" xfId="0" applyNumberFormat="1" applyFont="1" applyBorder="1" applyAlignment="1">
      <alignment horizontal="center" vertical="center" wrapText="1"/>
    </xf>
    <xf numFmtId="1" fontId="29" fillId="0" borderId="43" xfId="0" applyNumberFormat="1" applyFont="1" applyBorder="1" applyAlignment="1">
      <alignment horizontal="center" vertical="center" wrapText="1"/>
    </xf>
    <xf numFmtId="1" fontId="29" fillId="0" borderId="41" xfId="0" applyNumberFormat="1" applyFont="1" applyBorder="1" applyAlignment="1">
      <alignment horizontal="left" vertical="center" wrapText="1"/>
    </xf>
    <xf numFmtId="1" fontId="29" fillId="0" borderId="73" xfId="0" applyNumberFormat="1" applyFont="1" applyBorder="1" applyAlignment="1">
      <alignment horizontal="left" vertical="center" wrapText="1"/>
    </xf>
    <xf numFmtId="1" fontId="29" fillId="0" borderId="72" xfId="0" applyNumberFormat="1" applyFont="1" applyBorder="1" applyAlignment="1">
      <alignment horizontal="left" vertical="center" wrapText="1"/>
    </xf>
    <xf numFmtId="1" fontId="30" fillId="0" borderId="41" xfId="0" applyNumberFormat="1" applyFont="1" applyBorder="1" applyAlignment="1">
      <alignment horizontal="left" vertical="center" wrapText="1"/>
    </xf>
    <xf numFmtId="1" fontId="30" fillId="0" borderId="43"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1" fontId="29" fillId="0" borderId="74" xfId="0" applyNumberFormat="1" applyFont="1" applyBorder="1" applyAlignment="1">
      <alignment horizontal="left" vertical="center" wrapText="1"/>
    </xf>
    <xf numFmtId="9" fontId="27" fillId="0" borderId="63" xfId="0" applyNumberFormat="1" applyFont="1" applyBorder="1" applyAlignment="1">
      <alignment horizontal="center" vertical="center" wrapText="1"/>
    </xf>
    <xf numFmtId="0" fontId="30" fillId="7" borderId="63" xfId="0" applyFont="1" applyFill="1" applyBorder="1" applyAlignment="1">
      <alignment horizontal="center" vertical="center" wrapText="1"/>
    </xf>
    <xf numFmtId="0" fontId="30" fillId="0" borderId="64" xfId="0" applyFont="1" applyBorder="1" applyAlignment="1">
      <alignment horizontal="center" vertical="center" wrapText="1"/>
    </xf>
    <xf numFmtId="10" fontId="34" fillId="4" borderId="57" xfId="0" applyNumberFormat="1" applyFont="1" applyFill="1" applyBorder="1" applyAlignment="1">
      <alignment horizontal="center" vertical="center"/>
    </xf>
    <xf numFmtId="10" fontId="34" fillId="3" borderId="7" xfId="0" applyNumberFormat="1" applyFont="1" applyFill="1" applyBorder="1" applyAlignment="1">
      <alignment horizontal="center" vertical="center"/>
    </xf>
    <xf numFmtId="10" fontId="34" fillId="2" borderId="26" xfId="0" applyNumberFormat="1" applyFont="1" applyFill="1" applyBorder="1" applyAlignment="1">
      <alignment horizontal="center" vertical="center"/>
    </xf>
    <xf numFmtId="0" fontId="32" fillId="0" borderId="10" xfId="0" applyFont="1" applyBorder="1" applyAlignment="1">
      <alignment vertical="center" wrapText="1"/>
    </xf>
    <xf numFmtId="9" fontId="32" fillId="0" borderId="52" xfId="0" applyNumberFormat="1" applyFont="1" applyBorder="1" applyAlignment="1">
      <alignment horizontal="center" vertical="center" wrapText="1"/>
    </xf>
    <xf numFmtId="0" fontId="32" fillId="0" borderId="52" xfId="0" applyFont="1" applyBorder="1" applyAlignment="1">
      <alignment horizontal="center" vertical="center" wrapText="1"/>
    </xf>
    <xf numFmtId="0" fontId="32" fillId="7" borderId="10" xfId="0" applyFont="1" applyFill="1" applyBorder="1" applyAlignment="1">
      <alignment horizontal="center" vertical="center" wrapText="1"/>
    </xf>
    <xf numFmtId="0" fontId="34" fillId="0" borderId="64" xfId="0" applyFont="1" applyBorder="1" applyAlignment="1">
      <alignment vertical="center" wrapText="1"/>
    </xf>
    <xf numFmtId="9" fontId="35" fillId="0" borderId="54" xfId="0" applyNumberFormat="1" applyFont="1" applyBorder="1" applyAlignment="1">
      <alignment horizontal="center" vertical="center" wrapText="1"/>
    </xf>
    <xf numFmtId="0" fontId="32" fillId="0" borderId="54" xfId="0" applyFont="1" applyBorder="1" applyAlignment="1">
      <alignment horizontal="center" vertical="center" wrapText="1"/>
    </xf>
    <xf numFmtId="0" fontId="32" fillId="7" borderId="13" xfId="0" applyFont="1" applyFill="1" applyBorder="1" applyAlignment="1">
      <alignment horizontal="center" vertical="center" wrapText="1"/>
    </xf>
    <xf numFmtId="0" fontId="32" fillId="8" borderId="52" xfId="0" applyFont="1" applyFill="1" applyBorder="1" applyAlignment="1">
      <alignment horizontal="center" vertical="center" wrapText="1"/>
    </xf>
    <xf numFmtId="0" fontId="32" fillId="8" borderId="18"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0" borderId="18" xfId="0" applyFont="1" applyBorder="1" applyAlignment="1">
      <alignment horizontal="center" vertical="center" wrapText="1"/>
    </xf>
    <xf numFmtId="9" fontId="32" fillId="8" borderId="18" xfId="0" applyNumberFormat="1" applyFont="1" applyFill="1" applyBorder="1" applyAlignment="1">
      <alignment horizontal="center" vertical="center" wrapText="1"/>
    </xf>
    <xf numFmtId="0" fontId="32" fillId="0" borderId="15" xfId="0" applyFont="1" applyBorder="1" applyAlignment="1">
      <alignment vertical="center" wrapText="1"/>
    </xf>
    <xf numFmtId="9" fontId="32" fillId="0" borderId="21" xfId="0" applyNumberFormat="1" applyFont="1" applyBorder="1" applyAlignment="1">
      <alignment horizontal="center" vertical="center" wrapText="1"/>
    </xf>
    <xf numFmtId="0" fontId="32" fillId="8" borderId="21"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35" fillId="0" borderId="61" xfId="0" applyFont="1" applyBorder="1" applyAlignment="1">
      <alignment vertical="center" wrapText="1"/>
    </xf>
    <xf numFmtId="10" fontId="35" fillId="0" borderId="60" xfId="0" applyNumberFormat="1" applyFont="1" applyBorder="1" applyAlignment="1">
      <alignment horizontal="center" vertical="center" wrapText="1"/>
    </xf>
    <xf numFmtId="0" fontId="32" fillId="0" borderId="60" xfId="0" applyFont="1" applyBorder="1" applyAlignment="1">
      <alignment horizontal="center" vertical="center" wrapText="1"/>
    </xf>
    <xf numFmtId="0" fontId="32" fillId="7" borderId="61" xfId="0" applyFont="1" applyFill="1" applyBorder="1" applyAlignment="1">
      <alignment horizontal="center" vertical="center" wrapText="1"/>
    </xf>
    <xf numFmtId="0" fontId="35" fillId="0" borderId="10" xfId="0" applyFont="1" applyBorder="1" applyAlignment="1">
      <alignment vertical="center" wrapText="1"/>
    </xf>
    <xf numFmtId="0" fontId="35" fillId="0" borderId="52" xfId="0" applyFont="1" applyBorder="1" applyAlignment="1">
      <alignment horizontal="center" vertical="center" wrapText="1"/>
    </xf>
    <xf numFmtId="0" fontId="35" fillId="0" borderId="18" xfId="0" applyFont="1" applyBorder="1" applyAlignment="1">
      <alignment horizontal="center" vertical="center" wrapText="1"/>
    </xf>
    <xf numFmtId="2" fontId="35" fillId="0" borderId="54" xfId="0" applyNumberFormat="1" applyFont="1" applyBorder="1" applyAlignment="1">
      <alignment horizontal="center" vertical="center" wrapText="1"/>
    </xf>
    <xf numFmtId="0" fontId="34" fillId="0" borderId="48" xfId="0" applyFont="1" applyBorder="1" applyAlignment="1">
      <alignment vertical="center" wrapText="1"/>
    </xf>
    <xf numFmtId="9" fontId="34" fillId="0" borderId="48" xfId="0" applyNumberFormat="1" applyFont="1" applyBorder="1" applyAlignment="1">
      <alignment horizontal="center" vertical="center" wrapText="1"/>
    </xf>
    <xf numFmtId="0" fontId="32" fillId="0" borderId="48" xfId="0" applyFont="1" applyBorder="1" applyAlignment="1">
      <alignment horizontal="center" vertical="center" wrapText="1"/>
    </xf>
    <xf numFmtId="0" fontId="32" fillId="7" borderId="48" xfId="0" applyFont="1" applyFill="1" applyBorder="1" applyAlignment="1">
      <alignment horizontal="center" vertical="center" wrapText="1"/>
    </xf>
    <xf numFmtId="0" fontId="34" fillId="0" borderId="13" xfId="0" applyFont="1" applyBorder="1" applyAlignment="1">
      <alignment vertical="center" wrapText="1"/>
    </xf>
    <xf numFmtId="9" fontId="34" fillId="0" borderId="54" xfId="0" applyNumberFormat="1" applyFont="1" applyBorder="1" applyAlignment="1">
      <alignment horizontal="center" vertical="center" wrapText="1"/>
    </xf>
    <xf numFmtId="0" fontId="32" fillId="8" borderId="54" xfId="0" applyFont="1" applyFill="1" applyBorder="1" applyAlignment="1">
      <alignment horizontal="center" vertical="center" wrapText="1"/>
    </xf>
    <xf numFmtId="0" fontId="32" fillId="7" borderId="64" xfId="0" applyFont="1" applyFill="1" applyBorder="1" applyAlignment="1">
      <alignment horizontal="center" vertical="center" wrapText="1"/>
    </xf>
    <xf numFmtId="165" fontId="26" fillId="5" borderId="3" xfId="0" applyNumberFormat="1" applyFont="1" applyFill="1" applyBorder="1" applyAlignment="1">
      <alignment horizontal="center" vertical="center" wrapText="1"/>
    </xf>
    <xf numFmtId="9" fontId="29" fillId="0" borderId="37" xfId="1" applyFont="1" applyBorder="1" applyAlignment="1">
      <alignment horizontal="center" vertical="center" wrapText="1"/>
    </xf>
    <xf numFmtId="167" fontId="29" fillId="0" borderId="41" xfId="0" applyNumberFormat="1" applyFont="1" applyBorder="1" applyAlignment="1">
      <alignment horizontal="center" vertical="center" wrapText="1"/>
    </xf>
    <xf numFmtId="165" fontId="29" fillId="0" borderId="37" xfId="1" applyNumberFormat="1" applyFont="1" applyBorder="1" applyAlignment="1">
      <alignment horizontal="center" vertical="center" wrapText="1"/>
    </xf>
    <xf numFmtId="9" fontId="29" fillId="0" borderId="43" xfId="1" applyFont="1" applyBorder="1" applyAlignment="1">
      <alignment horizontal="center" vertical="center" wrapText="1"/>
    </xf>
    <xf numFmtId="9" fontId="29" fillId="0" borderId="41" xfId="1" applyFont="1" applyBorder="1" applyAlignment="1">
      <alignment horizontal="center" vertical="center" wrapText="1"/>
    </xf>
    <xf numFmtId="9" fontId="29" fillId="0" borderId="73" xfId="1" applyFont="1" applyBorder="1" applyAlignment="1">
      <alignment horizontal="center" vertical="center" wrapText="1"/>
    </xf>
    <xf numFmtId="10" fontId="29" fillId="0" borderId="72" xfId="1" applyNumberFormat="1" applyFont="1" applyBorder="1" applyAlignment="1">
      <alignment horizontal="center" vertical="center" wrapText="1"/>
    </xf>
    <xf numFmtId="9" fontId="29" fillId="0" borderId="72" xfId="1" applyFont="1" applyBorder="1" applyAlignment="1">
      <alignment horizontal="center" vertical="center" wrapText="1"/>
    </xf>
    <xf numFmtId="169" fontId="29" fillId="0" borderId="37" xfId="0" applyNumberFormat="1" applyFont="1" applyBorder="1" applyAlignment="1">
      <alignment horizontal="center" vertical="center" wrapText="1"/>
    </xf>
    <xf numFmtId="9" fontId="29" fillId="0" borderId="74" xfId="1" applyFont="1" applyBorder="1" applyAlignment="1">
      <alignment horizontal="center" vertical="center" wrapText="1"/>
    </xf>
    <xf numFmtId="0" fontId="36" fillId="0" borderId="0" xfId="0" applyFont="1"/>
    <xf numFmtId="0" fontId="36" fillId="0" borderId="0" xfId="0" applyFont="1" applyAlignment="1">
      <alignment horizontal="center"/>
    </xf>
    <xf numFmtId="0" fontId="36" fillId="0" borderId="0" xfId="0" applyFont="1" applyAlignment="1">
      <alignment wrapText="1"/>
    </xf>
    <xf numFmtId="0" fontId="36" fillId="0" borderId="0" xfId="0" applyFont="1" applyAlignment="1">
      <alignment horizontal="center" vertical="center"/>
    </xf>
    <xf numFmtId="0" fontId="36" fillId="0" borderId="0" xfId="0" applyFont="1" applyAlignment="1">
      <alignment vertical="center" wrapText="1"/>
    </xf>
    <xf numFmtId="10" fontId="36" fillId="6" borderId="67" xfId="1" applyNumberFormat="1" applyFont="1" applyFill="1" applyBorder="1" applyAlignment="1">
      <alignment horizontal="center" vertical="center"/>
    </xf>
    <xf numFmtId="164" fontId="36" fillId="0" borderId="0" xfId="1" applyNumberFormat="1" applyFont="1"/>
    <xf numFmtId="10" fontId="36" fillId="0" borderId="0" xfId="1" applyNumberFormat="1" applyFont="1"/>
    <xf numFmtId="165" fontId="36" fillId="0" borderId="33" xfId="0" applyNumberFormat="1" applyFont="1" applyBorder="1" applyAlignment="1">
      <alignment horizontal="center" vertical="center" wrapText="1"/>
    </xf>
    <xf numFmtId="10" fontId="36" fillId="0" borderId="33" xfId="1" applyNumberFormat="1" applyFont="1" applyBorder="1" applyAlignment="1">
      <alignment horizontal="center" vertical="center" wrapText="1"/>
    </xf>
    <xf numFmtId="10" fontId="36" fillId="0" borderId="59" xfId="0" applyNumberFormat="1" applyFont="1" applyBorder="1" applyAlignment="1">
      <alignment horizontal="center" vertical="center"/>
    </xf>
    <xf numFmtId="10" fontId="36" fillId="0" borderId="61" xfId="0" applyNumberFormat="1" applyFont="1" applyBorder="1" applyAlignment="1">
      <alignment horizontal="center" vertical="center"/>
    </xf>
    <xf numFmtId="0" fontId="36" fillId="0" borderId="3" xfId="0" applyFont="1" applyBorder="1" applyAlignment="1">
      <alignment vertical="center" wrapText="1"/>
    </xf>
    <xf numFmtId="10" fontId="36" fillId="0" borderId="31" xfId="1" applyNumberFormat="1" applyFont="1" applyBorder="1" applyAlignment="1">
      <alignment horizontal="center" vertical="center" wrapText="1"/>
    </xf>
    <xf numFmtId="10" fontId="36" fillId="6" borderId="70" xfId="1" applyNumberFormat="1" applyFont="1" applyFill="1" applyBorder="1" applyAlignment="1">
      <alignment horizontal="center" vertical="center"/>
    </xf>
    <xf numFmtId="0" fontId="36" fillId="0" borderId="72" xfId="0" applyFont="1" applyBorder="1" applyAlignment="1">
      <alignment vertical="center" wrapText="1"/>
    </xf>
    <xf numFmtId="165" fontId="36" fillId="0" borderId="31" xfId="0" applyNumberFormat="1" applyFont="1" applyBorder="1" applyAlignment="1">
      <alignment horizontal="center" vertical="center" wrapText="1"/>
    </xf>
    <xf numFmtId="0" fontId="36" fillId="0" borderId="80" xfId="0" applyFont="1" applyBorder="1" applyAlignment="1">
      <alignment horizontal="center" vertical="center" wrapText="1"/>
    </xf>
    <xf numFmtId="10" fontId="36" fillId="6" borderId="69" xfId="1" applyNumberFormat="1" applyFont="1" applyFill="1" applyBorder="1" applyAlignment="1">
      <alignment horizontal="center" vertical="center"/>
    </xf>
    <xf numFmtId="9" fontId="36" fillId="4" borderId="51" xfId="0" applyNumberFormat="1" applyFont="1" applyFill="1" applyBorder="1" applyAlignment="1">
      <alignment horizontal="center" vertical="center" wrapText="1"/>
    </xf>
    <xf numFmtId="0" fontId="36" fillId="0" borderId="30" xfId="0" applyFont="1" applyBorder="1" applyAlignment="1">
      <alignment vertical="center" wrapText="1"/>
    </xf>
    <xf numFmtId="165" fontId="37" fillId="12" borderId="12" xfId="0" applyNumberFormat="1" applyFont="1" applyFill="1" applyBorder="1" applyAlignment="1">
      <alignment horizontal="center" vertical="center"/>
    </xf>
    <xf numFmtId="165" fontId="37" fillId="12" borderId="13" xfId="0" applyNumberFormat="1" applyFont="1" applyFill="1" applyBorder="1" applyAlignment="1">
      <alignment horizontal="center" vertical="center"/>
    </xf>
    <xf numFmtId="165" fontId="37" fillId="12" borderId="14" xfId="0" applyNumberFormat="1" applyFont="1" applyFill="1" applyBorder="1" applyAlignment="1">
      <alignment horizontal="center" vertical="center"/>
    </xf>
    <xf numFmtId="9" fontId="36" fillId="2" borderId="59" xfId="0" applyNumberFormat="1" applyFont="1" applyFill="1" applyBorder="1" applyAlignment="1">
      <alignment horizontal="center" vertical="center"/>
    </xf>
    <xf numFmtId="9" fontId="36" fillId="2" borderId="67" xfId="0" applyNumberFormat="1" applyFont="1" applyFill="1" applyBorder="1" applyAlignment="1">
      <alignment horizontal="center" vertical="center"/>
    </xf>
    <xf numFmtId="9" fontId="36" fillId="3" borderId="63" xfId="0" applyNumberFormat="1" applyFont="1" applyFill="1" applyBorder="1" applyAlignment="1">
      <alignment horizontal="center" vertical="center" wrapText="1"/>
    </xf>
    <xf numFmtId="9" fontId="36" fillId="4" borderId="59" xfId="0" applyNumberFormat="1" applyFont="1" applyFill="1" applyBorder="1" applyAlignment="1">
      <alignment horizontal="center" vertical="center" wrapText="1"/>
    </xf>
    <xf numFmtId="9" fontId="36" fillId="3" borderId="61" xfId="0" applyNumberFormat="1" applyFont="1" applyFill="1" applyBorder="1" applyAlignment="1">
      <alignment horizontal="center" vertical="center" wrapText="1"/>
    </xf>
    <xf numFmtId="9" fontId="36" fillId="0" borderId="61" xfId="1" applyFont="1" applyBorder="1" applyAlignment="1">
      <alignment horizontal="center" vertical="center"/>
    </xf>
    <xf numFmtId="3" fontId="36" fillId="0" borderId="0" xfId="0" applyNumberFormat="1" applyFont="1"/>
    <xf numFmtId="41" fontId="36" fillId="0" borderId="0" xfId="40" applyFont="1"/>
    <xf numFmtId="9" fontId="36" fillId="0" borderId="33" xfId="1" applyFont="1" applyBorder="1" applyAlignment="1">
      <alignment horizontal="center" vertical="center" wrapText="1"/>
    </xf>
    <xf numFmtId="9" fontId="36" fillId="4" borderId="53" xfId="0" applyNumberFormat="1" applyFont="1" applyFill="1" applyBorder="1" applyAlignment="1">
      <alignment horizontal="center" vertical="center" wrapText="1"/>
    </xf>
    <xf numFmtId="9" fontId="36" fillId="3" borderId="47" xfId="0" applyNumberFormat="1" applyFont="1" applyFill="1" applyBorder="1" applyAlignment="1">
      <alignment horizontal="center" vertical="center" wrapText="1"/>
    </xf>
    <xf numFmtId="0" fontId="39" fillId="0" borderId="63" xfId="0" applyFont="1" applyBorder="1" applyAlignment="1">
      <alignment horizontal="center" vertical="center" wrapText="1"/>
    </xf>
    <xf numFmtId="0" fontId="39" fillId="0" borderId="61" xfId="0" applyFont="1" applyBorder="1" applyAlignment="1">
      <alignment horizontal="center" vertical="center" wrapText="1"/>
    </xf>
    <xf numFmtId="0" fontId="40" fillId="0" borderId="65"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38" xfId="0" applyFont="1" applyBorder="1" applyAlignment="1">
      <alignment horizontal="center" vertical="center" wrapText="1"/>
    </xf>
    <xf numFmtId="0" fontId="39" fillId="7" borderId="29" xfId="0" applyFont="1" applyFill="1" applyBorder="1" applyAlignment="1">
      <alignment horizontal="center" vertical="center" wrapText="1"/>
    </xf>
    <xf numFmtId="0" fontId="39" fillId="0" borderId="60" xfId="0" applyFont="1" applyBorder="1" applyAlignment="1">
      <alignment horizontal="center" vertical="center" wrapText="1"/>
    </xf>
    <xf numFmtId="0" fontId="39" fillId="0" borderId="62" xfId="0" applyFont="1" applyBorder="1" applyAlignment="1">
      <alignment horizontal="center" vertical="center" wrapText="1"/>
    </xf>
    <xf numFmtId="0" fontId="39" fillId="7" borderId="33" xfId="0" applyFont="1" applyFill="1" applyBorder="1" applyAlignment="1">
      <alignment horizontal="center" vertical="center" wrapText="1"/>
    </xf>
    <xf numFmtId="0" fontId="40" fillId="0" borderId="55" xfId="0" applyFont="1" applyBorder="1" applyAlignment="1">
      <alignment horizontal="center" vertical="center" wrapText="1"/>
    </xf>
    <xf numFmtId="0" fontId="40" fillId="0" borderId="71" xfId="0" applyFont="1" applyBorder="1" applyAlignment="1">
      <alignment horizontal="center" vertical="center" wrapText="1"/>
    </xf>
    <xf numFmtId="0" fontId="36" fillId="7" borderId="32" xfId="0" applyFont="1" applyFill="1" applyBorder="1" applyAlignment="1">
      <alignment horizontal="center" vertical="center" wrapText="1"/>
    </xf>
    <xf numFmtId="10" fontId="36" fillId="0" borderId="29" xfId="1" applyNumberFormat="1" applyFont="1" applyBorder="1" applyAlignment="1">
      <alignment horizontal="center" vertical="center" wrapText="1"/>
    </xf>
    <xf numFmtId="10" fontId="36" fillId="0" borderId="32" xfId="1" applyNumberFormat="1" applyFont="1" applyBorder="1" applyAlignment="1">
      <alignment horizontal="center" vertical="center" wrapText="1"/>
    </xf>
    <xf numFmtId="165" fontId="36" fillId="0" borderId="29" xfId="0" applyNumberFormat="1" applyFont="1" applyBorder="1" applyAlignment="1">
      <alignment horizontal="center" vertical="center" wrapText="1"/>
    </xf>
    <xf numFmtId="165" fontId="36" fillId="0" borderId="32" xfId="0" applyNumberFormat="1" applyFont="1" applyBorder="1" applyAlignment="1">
      <alignment horizontal="center" vertical="center" wrapText="1"/>
    </xf>
    <xf numFmtId="0" fontId="36" fillId="0" borderId="32" xfId="0" quotePrefix="1" applyFont="1" applyBorder="1" applyAlignment="1">
      <alignment horizontal="left" vertical="center" wrapText="1"/>
    </xf>
    <xf numFmtId="10" fontId="36" fillId="0" borderId="61" xfId="1" applyNumberFormat="1" applyFont="1" applyBorder="1" applyAlignment="1">
      <alignment horizontal="center" vertical="center"/>
    </xf>
    <xf numFmtId="0" fontId="36" fillId="0" borderId="78" xfId="0" applyFont="1" applyBorder="1" applyAlignment="1">
      <alignment horizontal="center" vertical="center" wrapText="1"/>
    </xf>
    <xf numFmtId="0" fontId="36" fillId="0" borderId="79" xfId="0" applyFont="1" applyBorder="1" applyAlignment="1">
      <alignment horizontal="center" vertical="center" wrapText="1"/>
    </xf>
    <xf numFmtId="9" fontId="36" fillId="6" borderId="46" xfId="1" applyFont="1" applyFill="1" applyBorder="1" applyAlignment="1">
      <alignment horizontal="center" vertical="center"/>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7" xfId="1" applyNumberFormat="1" applyFont="1" applyFill="1" applyBorder="1" applyAlignment="1">
      <alignment horizontal="center" vertical="center"/>
    </xf>
    <xf numFmtId="0" fontId="21" fillId="6" borderId="32" xfId="0" applyFont="1" applyFill="1" applyBorder="1" applyAlignment="1">
      <alignment horizontal="center" vertical="center" wrapText="1"/>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9" fontId="36" fillId="0" borderId="3" xfId="1" applyFont="1" applyBorder="1" applyAlignment="1">
      <alignment vertical="center" wrapText="1"/>
    </xf>
    <xf numFmtId="9" fontId="36" fillId="0" borderId="58" xfId="1" applyFont="1" applyBorder="1" applyAlignment="1">
      <alignment vertical="center" wrapText="1"/>
    </xf>
    <xf numFmtId="0" fontId="37" fillId="0" borderId="0" xfId="0" applyFont="1"/>
    <xf numFmtId="0" fontId="37" fillId="0" borderId="0" xfId="0" applyFont="1" applyAlignment="1">
      <alignment wrapText="1"/>
    </xf>
    <xf numFmtId="0" fontId="41" fillId="0" borderId="7" xfId="0" applyFont="1" applyBorder="1" applyAlignment="1">
      <alignment horizontal="center" vertical="center" wrapText="1"/>
    </xf>
    <xf numFmtId="0" fontId="42" fillId="0" borderId="7" xfId="0" applyFont="1" applyBorder="1" applyAlignment="1">
      <alignment horizontal="center" vertical="center"/>
    </xf>
    <xf numFmtId="0" fontId="37" fillId="0" borderId="7" xfId="0" applyFont="1" applyBorder="1" applyAlignment="1">
      <alignment horizontal="center" wrapText="1"/>
    </xf>
    <xf numFmtId="41" fontId="37" fillId="0" borderId="0" xfId="40" applyFont="1"/>
    <xf numFmtId="0" fontId="36" fillId="0" borderId="42" xfId="0" applyFont="1" applyBorder="1" applyAlignment="1">
      <alignment horizontal="left" vertical="center" wrapText="1"/>
    </xf>
    <xf numFmtId="165" fontId="45" fillId="11" borderId="9" xfId="0" applyNumberFormat="1" applyFont="1" applyFill="1" applyBorder="1" applyAlignment="1">
      <alignment horizontal="center" vertical="center"/>
    </xf>
    <xf numFmtId="165" fontId="45" fillId="11" borderId="10" xfId="0" applyNumberFormat="1" applyFont="1" applyFill="1" applyBorder="1" applyAlignment="1">
      <alignment horizontal="center" vertical="center"/>
    </xf>
    <xf numFmtId="165" fontId="45" fillId="11" borderId="11" xfId="0" applyNumberFormat="1" applyFont="1" applyFill="1" applyBorder="1" applyAlignment="1">
      <alignment horizontal="center" vertical="center"/>
    </xf>
    <xf numFmtId="9" fontId="36" fillId="13" borderId="69" xfId="0" applyNumberFormat="1" applyFont="1" applyFill="1" applyBorder="1" applyAlignment="1">
      <alignment horizontal="center" vertical="center" wrapText="1"/>
    </xf>
    <xf numFmtId="9" fontId="36" fillId="13" borderId="67" xfId="0" applyNumberFormat="1" applyFont="1" applyFill="1" applyBorder="1" applyAlignment="1">
      <alignment horizontal="center" vertical="center" wrapText="1"/>
    </xf>
    <xf numFmtId="9" fontId="36" fillId="13" borderId="70" xfId="0" applyNumberFormat="1" applyFont="1" applyFill="1" applyBorder="1" applyAlignment="1">
      <alignment horizontal="center" vertical="center" wrapText="1"/>
    </xf>
    <xf numFmtId="0" fontId="43" fillId="0" borderId="0" xfId="0" applyFont="1"/>
    <xf numFmtId="0" fontId="48" fillId="0" borderId="0" xfId="0" applyFont="1"/>
    <xf numFmtId="0" fontId="47" fillId="0" borderId="0" xfId="0" applyFont="1" applyAlignment="1">
      <alignment wrapText="1"/>
    </xf>
    <xf numFmtId="0" fontId="37" fillId="0" borderId="7" xfId="0" applyFont="1" applyBorder="1" applyAlignment="1">
      <alignment horizontal="center"/>
    </xf>
    <xf numFmtId="0" fontId="44" fillId="2" borderId="38" xfId="0" applyFont="1" applyFill="1" applyBorder="1" applyAlignment="1">
      <alignment horizontal="center" vertical="center" wrapText="1"/>
    </xf>
    <xf numFmtId="0" fontId="44" fillId="2" borderId="19" xfId="0" applyFont="1" applyFill="1" applyBorder="1" applyAlignment="1">
      <alignment horizontal="center" vertical="center" wrapText="1"/>
    </xf>
    <xf numFmtId="0" fontId="36" fillId="0" borderId="28" xfId="0" applyFont="1" applyBorder="1" applyAlignment="1">
      <alignment horizontal="center" wrapText="1"/>
    </xf>
    <xf numFmtId="0" fontId="36" fillId="0" borderId="55" xfId="0" applyFont="1" applyBorder="1" applyAlignment="1">
      <alignment horizontal="center" wrapText="1"/>
    </xf>
    <xf numFmtId="165" fontId="37" fillId="5" borderId="22" xfId="0" applyNumberFormat="1" applyFont="1" applyFill="1" applyBorder="1" applyAlignment="1">
      <alignment horizontal="center" vertical="center"/>
    </xf>
    <xf numFmtId="165" fontId="37" fillId="5" borderId="34" xfId="0" applyNumberFormat="1" applyFont="1" applyFill="1" applyBorder="1" applyAlignment="1">
      <alignment horizontal="center" vertical="center"/>
    </xf>
    <xf numFmtId="165" fontId="37" fillId="5" borderId="30" xfId="0" applyNumberFormat="1" applyFont="1" applyFill="1" applyBorder="1" applyAlignment="1">
      <alignment horizontal="center" vertical="center"/>
    </xf>
    <xf numFmtId="165" fontId="37" fillId="5" borderId="24" xfId="0" applyNumberFormat="1" applyFont="1" applyFill="1" applyBorder="1" applyAlignment="1">
      <alignment horizontal="center" vertical="center"/>
    </xf>
    <xf numFmtId="165" fontId="37" fillId="5" borderId="0" xfId="0" applyNumberFormat="1" applyFont="1" applyFill="1" applyAlignment="1">
      <alignment horizontal="center" vertical="center"/>
    </xf>
    <xf numFmtId="165" fontId="37" fillId="5" borderId="72" xfId="0" applyNumberFormat="1" applyFont="1" applyFill="1" applyBorder="1" applyAlignment="1">
      <alignment horizontal="center" vertical="center"/>
    </xf>
    <xf numFmtId="165" fontId="37" fillId="5" borderId="27" xfId="0" applyNumberFormat="1" applyFont="1" applyFill="1" applyBorder="1" applyAlignment="1">
      <alignment horizontal="center" vertical="center"/>
    </xf>
    <xf numFmtId="165" fontId="37" fillId="5" borderId="28" xfId="0" applyNumberFormat="1" applyFont="1" applyFill="1" applyBorder="1" applyAlignment="1">
      <alignment horizontal="center" vertical="center"/>
    </xf>
    <xf numFmtId="165" fontId="37" fillId="5" borderId="58" xfId="0" applyNumberFormat="1" applyFont="1" applyFill="1" applyBorder="1" applyAlignment="1">
      <alignment horizontal="center" vertical="center"/>
    </xf>
    <xf numFmtId="0" fontId="37" fillId="0" borderId="7" xfId="0" applyFont="1" applyBorder="1" applyAlignment="1">
      <alignment horizontal="center" wrapText="1"/>
    </xf>
    <xf numFmtId="165" fontId="37" fillId="12" borderId="77" xfId="0" applyNumberFormat="1" applyFont="1" applyFill="1" applyBorder="1" applyAlignment="1">
      <alignment horizontal="center" vertical="center"/>
    </xf>
    <xf numFmtId="165" fontId="37" fillId="12" borderId="44" xfId="0" applyNumberFormat="1" applyFont="1" applyFill="1" applyBorder="1" applyAlignment="1">
      <alignment horizontal="center" vertical="center"/>
    </xf>
    <xf numFmtId="165" fontId="37" fillId="12" borderId="73" xfId="0" applyNumberFormat="1" applyFont="1" applyFill="1" applyBorder="1" applyAlignment="1">
      <alignment horizontal="center" vertical="center"/>
    </xf>
    <xf numFmtId="0" fontId="44" fillId="2" borderId="62" xfId="0" applyFont="1" applyFill="1" applyBorder="1" applyAlignment="1">
      <alignment horizontal="center" vertical="center" wrapText="1"/>
    </xf>
    <xf numFmtId="0" fontId="44" fillId="2" borderId="2"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37" fillId="9" borderId="1" xfId="0" applyFont="1" applyFill="1" applyBorder="1" applyAlignment="1">
      <alignment horizontal="center" vertical="center"/>
    </xf>
    <xf numFmtId="0" fontId="37" fillId="9" borderId="2" xfId="0" applyFont="1" applyFill="1" applyBorder="1" applyAlignment="1">
      <alignment horizontal="center" vertical="center"/>
    </xf>
    <xf numFmtId="0" fontId="37" fillId="9" borderId="3" xfId="0" applyFont="1" applyFill="1" applyBorder="1" applyAlignment="1">
      <alignment horizontal="center" vertical="center"/>
    </xf>
    <xf numFmtId="0" fontId="36" fillId="0" borderId="39" xfId="0" applyFont="1" applyBorder="1" applyAlignment="1">
      <alignment horizontal="left" vertical="center" wrapText="1"/>
    </xf>
    <xf numFmtId="0" fontId="36" fillId="0" borderId="76" xfId="0" applyFont="1" applyBorder="1" applyAlignment="1">
      <alignment horizontal="left" vertical="center" wrapText="1"/>
    </xf>
    <xf numFmtId="0" fontId="36" fillId="0" borderId="35" xfId="0" applyFont="1" applyBorder="1" applyAlignment="1">
      <alignment horizontal="left" vertical="center" wrapText="1"/>
    </xf>
    <xf numFmtId="0" fontId="36" fillId="0" borderId="42" xfId="0" applyFont="1" applyBorder="1" applyAlignment="1">
      <alignment horizontal="left" vertical="center" wrapText="1"/>
    </xf>
    <xf numFmtId="0" fontId="36" fillId="0" borderId="75" xfId="0" applyFont="1" applyBorder="1" applyAlignment="1">
      <alignment horizontal="left" vertical="center" wrapText="1"/>
    </xf>
    <xf numFmtId="0" fontId="36" fillId="0" borderId="36" xfId="0" applyFont="1" applyBorder="1" applyAlignment="1">
      <alignment horizontal="left" vertical="center" wrapText="1"/>
    </xf>
    <xf numFmtId="0" fontId="36" fillId="0" borderId="8" xfId="0" applyFont="1" applyBorder="1" applyAlignment="1">
      <alignment horizontal="left" vertical="center" wrapText="1"/>
    </xf>
    <xf numFmtId="0" fontId="38" fillId="10" borderId="29" xfId="0" applyFont="1" applyFill="1" applyBorder="1" applyAlignment="1">
      <alignment horizontal="center" vertical="center" wrapText="1"/>
    </xf>
    <xf numFmtId="0" fontId="38" fillId="10" borderId="31" xfId="0" applyFont="1" applyFill="1" applyBorder="1" applyAlignment="1">
      <alignment horizontal="center" vertical="center" wrapText="1"/>
    </xf>
    <xf numFmtId="0" fontId="38" fillId="10" borderId="32" xfId="0" applyFont="1" applyFill="1" applyBorder="1" applyAlignment="1">
      <alignment horizontal="center" vertical="center" wrapText="1"/>
    </xf>
    <xf numFmtId="0" fontId="44" fillId="2" borderId="38" xfId="0" applyFont="1" applyFill="1" applyBorder="1" applyAlignment="1">
      <alignment horizontal="center" vertical="center"/>
    </xf>
    <xf numFmtId="0" fontId="44" fillId="2" borderId="23" xfId="0" applyFont="1" applyFill="1" applyBorder="1" applyAlignment="1">
      <alignment horizontal="center" vertical="center"/>
    </xf>
    <xf numFmtId="0" fontId="44" fillId="2" borderId="19" xfId="0" applyFont="1" applyFill="1" applyBorder="1" applyAlignment="1">
      <alignment horizontal="center" vertical="center"/>
    </xf>
    <xf numFmtId="0" fontId="44" fillId="2" borderId="25" xfId="0" applyFont="1" applyFill="1" applyBorder="1" applyAlignment="1">
      <alignment horizontal="center" vertical="center"/>
    </xf>
    <xf numFmtId="0" fontId="36" fillId="0" borderId="29" xfId="0" applyFont="1" applyBorder="1" applyAlignment="1">
      <alignment horizontal="left" vertical="center" wrapText="1"/>
    </xf>
    <xf numFmtId="0" fontId="36" fillId="0" borderId="33" xfId="0" applyFont="1" applyBorder="1" applyAlignment="1">
      <alignment horizontal="left" vertical="center" wrapText="1"/>
    </xf>
    <xf numFmtId="0" fontId="38" fillId="10" borderId="51" xfId="0" applyFont="1" applyFill="1" applyBorder="1" applyAlignment="1">
      <alignment horizontal="center" vertical="center"/>
    </xf>
    <xf numFmtId="0" fontId="38" fillId="10" borderId="53" xfId="0" applyFont="1" applyFill="1" applyBorder="1" applyAlignment="1">
      <alignment horizontal="center" vertical="center"/>
    </xf>
    <xf numFmtId="0" fontId="38" fillId="10" borderId="51" xfId="0" applyFont="1" applyFill="1" applyBorder="1" applyAlignment="1">
      <alignment horizontal="center" vertical="center" wrapText="1"/>
    </xf>
    <xf numFmtId="0" fontId="38" fillId="10" borderId="53" xfId="0" applyFont="1" applyFill="1" applyBorder="1" applyAlignment="1">
      <alignment horizontal="center" vertical="center" wrapText="1"/>
    </xf>
    <xf numFmtId="0" fontId="36" fillId="0" borderId="29" xfId="0" quotePrefix="1" applyFont="1" applyBorder="1" applyAlignment="1">
      <alignment horizontal="left" vertical="center" wrapText="1"/>
    </xf>
    <xf numFmtId="0" fontId="36" fillId="0" borderId="32" xfId="0" quotePrefix="1" applyFont="1" applyBorder="1" applyAlignment="1">
      <alignment horizontal="left" vertical="center" wrapText="1"/>
    </xf>
    <xf numFmtId="0" fontId="36" fillId="0" borderId="31" xfId="0" applyFont="1" applyBorder="1" applyAlignment="1">
      <alignment horizontal="left" vertical="center" wrapText="1"/>
    </xf>
    <xf numFmtId="0" fontId="36" fillId="0" borderId="32" xfId="0" applyFont="1" applyBorder="1" applyAlignment="1">
      <alignment horizontal="left" vertical="center" wrapText="1"/>
    </xf>
    <xf numFmtId="0" fontId="46" fillId="0" borderId="62" xfId="0" applyFont="1" applyBorder="1" applyAlignment="1">
      <alignment horizontal="center" vertical="center" wrapText="1"/>
    </xf>
    <xf numFmtId="0" fontId="46" fillId="0" borderId="2" xfId="0" applyFont="1" applyBorder="1" applyAlignment="1">
      <alignment horizontal="center" vertical="center" wrapText="1"/>
    </xf>
    <xf numFmtId="165" fontId="37" fillId="11" borderId="30" xfId="0" applyNumberFormat="1" applyFont="1" applyFill="1" applyBorder="1" applyAlignment="1">
      <alignment horizontal="center" vertical="center"/>
    </xf>
    <xf numFmtId="165" fontId="37" fillId="11" borderId="72" xfId="0" applyNumberFormat="1" applyFont="1" applyFill="1" applyBorder="1" applyAlignment="1">
      <alignment horizontal="center" vertical="center"/>
    </xf>
    <xf numFmtId="0" fontId="28" fillId="0" borderId="53" xfId="0" applyFont="1" applyBorder="1" applyAlignment="1">
      <alignment horizontal="left" vertical="center" wrapText="1"/>
    </xf>
    <xf numFmtId="0" fontId="28" fillId="0" borderId="45" xfId="0" applyFont="1" applyBorder="1" applyAlignment="1">
      <alignment horizontal="left" vertical="center" wrapText="1"/>
    </xf>
    <xf numFmtId="0" fontId="15" fillId="0" borderId="7" xfId="0" applyFont="1" applyBorder="1" applyAlignment="1">
      <alignment horizontal="center" wrapText="1"/>
    </xf>
    <xf numFmtId="0" fontId="15" fillId="0" borderId="7" xfId="0" applyFont="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7" fillId="0" borderId="51" xfId="0" applyFont="1" applyBorder="1" applyAlignment="1">
      <alignment horizontal="left" vertical="center" wrapText="1"/>
    </xf>
    <xf numFmtId="0" fontId="27" fillId="0" borderId="45" xfId="0" applyFont="1" applyBorder="1" applyAlignment="1">
      <alignment horizontal="left" vertical="center" wrapText="1"/>
    </xf>
    <xf numFmtId="0" fontId="28" fillId="0" borderId="9" xfId="0" applyFont="1" applyBorder="1" applyAlignment="1">
      <alignment horizontal="left" vertical="center" wrapText="1"/>
    </xf>
    <xf numFmtId="0" fontId="28" fillId="0" borderId="12" xfId="0" applyFont="1" applyBorder="1" applyAlignment="1">
      <alignment horizontal="left" vertical="center" wrapText="1"/>
    </xf>
    <xf numFmtId="0" fontId="28" fillId="0" borderId="57" xfId="0" applyFont="1" applyBorder="1" applyAlignment="1">
      <alignment horizontal="left" vertical="center" wrapText="1"/>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14" fontId="6" fillId="0" borderId="7" xfId="0" applyNumberFormat="1" applyFont="1" applyBorder="1" applyAlignment="1">
      <alignment horizontal="center" vertical="center"/>
    </xf>
    <xf numFmtId="0" fontId="28" fillId="0" borderId="51" xfId="0" applyFont="1" applyBorder="1" applyAlignment="1">
      <alignment horizontal="left" vertical="center" wrapText="1"/>
    </xf>
    <xf numFmtId="0" fontId="28" fillId="0" borderId="9" xfId="0" applyFont="1" applyBorder="1" applyAlignment="1">
      <alignment horizontal="left" vertical="center"/>
    </xf>
    <xf numFmtId="0" fontId="28" fillId="0" borderId="57" xfId="0" applyFont="1" applyBorder="1" applyAlignment="1">
      <alignment horizontal="left" vertical="center"/>
    </xf>
    <xf numFmtId="0" fontId="28" fillId="0" borderId="12" xfId="0" applyFont="1" applyBorder="1" applyAlignment="1">
      <alignment horizontal="left" vertical="center"/>
    </xf>
    <xf numFmtId="0" fontId="28" fillId="0" borderId="51"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45" xfId="0" applyFont="1" applyBorder="1" applyAlignment="1">
      <alignment horizontal="center" vertical="center" wrapText="1"/>
    </xf>
    <xf numFmtId="0" fontId="25" fillId="0" borderId="9" xfId="0" applyFont="1" applyBorder="1" applyAlignment="1">
      <alignment horizontal="left" vertical="center" wrapText="1"/>
    </xf>
    <xf numFmtId="0" fontId="25" fillId="0" borderId="57" xfId="0" applyFont="1" applyBorder="1" applyAlignment="1">
      <alignment horizontal="left" vertical="center" wrapText="1"/>
    </xf>
    <xf numFmtId="0" fontId="25" fillId="0" borderId="12" xfId="0" applyFont="1" applyBorder="1" applyAlignment="1">
      <alignment horizontal="left"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7" xfId="0" applyFont="1" applyBorder="1" applyAlignment="1">
      <alignment horizontal="center" vertical="center" wrapText="1"/>
    </xf>
    <xf numFmtId="0" fontId="0" fillId="0" borderId="0" xfId="0" applyAlignment="1">
      <alignment horizontal="center"/>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5" fillId="0" borderId="22" xfId="0" applyFont="1" applyBorder="1" applyAlignment="1">
      <alignment horizontal="center" wrapText="1"/>
    </xf>
    <xf numFmtId="0" fontId="15" fillId="0" borderId="23" xfId="0" applyFont="1" applyBorder="1" applyAlignment="1">
      <alignment horizontal="center"/>
    </xf>
    <xf numFmtId="0" fontId="15" fillId="0" borderId="24" xfId="0" applyFont="1" applyBorder="1" applyAlignment="1">
      <alignment horizontal="center"/>
    </xf>
    <xf numFmtId="0" fontId="15" fillId="0" borderId="25" xfId="0" applyFont="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14" fontId="14" fillId="0" borderId="13" xfId="0" applyNumberFormat="1" applyFont="1" applyBorder="1" applyAlignment="1">
      <alignment horizontal="center" vertical="center" wrapText="1"/>
    </xf>
    <xf numFmtId="14" fontId="14" fillId="0" borderId="14" xfId="0" applyNumberFormat="1" applyFont="1" applyBorder="1" applyAlignment="1">
      <alignment horizontal="center" vertical="center" wrapText="1"/>
    </xf>
    <xf numFmtId="0" fontId="4" fillId="0" borderId="31" xfId="0" applyFont="1" applyBorder="1" applyAlignment="1">
      <alignment horizontal="center" vertical="center" textRotation="90"/>
    </xf>
    <xf numFmtId="0" fontId="4" fillId="0" borderId="32" xfId="0" applyFont="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Alignment="1">
      <alignment horizontal="center" vertical="center" wrapText="1"/>
    </xf>
    <xf numFmtId="0" fontId="7" fillId="0" borderId="28" xfId="0" applyFont="1" applyBorder="1" applyAlignment="1">
      <alignment horizontal="center"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36" fillId="0" borderId="29" xfId="0" quotePrefix="1" applyFont="1" applyBorder="1" applyAlignment="1">
      <alignment horizontal="center" vertical="center" wrapText="1"/>
    </xf>
    <xf numFmtId="0" fontId="36" fillId="0" borderId="31" xfId="0" quotePrefix="1" applyFont="1" applyBorder="1" applyAlignment="1">
      <alignment horizontal="center" vertical="center" wrapText="1"/>
    </xf>
    <xf numFmtId="0" fontId="36" fillId="0" borderId="32" xfId="0" quotePrefix="1" applyFont="1" applyBorder="1" applyAlignment="1">
      <alignment horizontal="center" vertical="center" wrapText="1"/>
    </xf>
  </cellXfs>
  <cellStyles count="43">
    <cellStyle name="Hipervínculo" xfId="29" builtinId="8" hidden="1"/>
    <cellStyle name="Hipervínculo" xfId="31" builtinId="8" hidden="1"/>
    <cellStyle name="Hipervínculo" xfId="33" builtinId="8" hidden="1"/>
    <cellStyle name="Hipervínculo" xfId="37" builtinId="8" hidden="1"/>
    <cellStyle name="Hipervínculo" xfId="35" builtinId="8" hidden="1"/>
    <cellStyle name="Hipervínculo" xfId="27" builtinId="8" hidden="1"/>
    <cellStyle name="Hipervínculo" xfId="15" builtinId="8" hidden="1"/>
    <cellStyle name="Hipervínculo" xfId="17" builtinId="8" hidden="1"/>
    <cellStyle name="Hipervínculo" xfId="21" builtinId="8" hidden="1"/>
    <cellStyle name="Hipervínculo" xfId="23" builtinId="8" hidden="1"/>
    <cellStyle name="Hipervínculo" xfId="25" builtinId="8" hidden="1"/>
    <cellStyle name="Hipervínculo" xfId="19" builtinId="8" hidden="1"/>
    <cellStyle name="Hipervínculo" xfId="11" builtinId="8" hidden="1"/>
    <cellStyle name="Hipervínculo" xfId="13" builtinId="8" hidden="1"/>
    <cellStyle name="Hipervínculo" xfId="9" builtinId="8" hidden="1"/>
    <cellStyle name="Hipervínculo" xfId="7" builtinId="8" hidden="1"/>
    <cellStyle name="Hipervínculo 2" xfId="4" xr:uid="{00000000-0005-0000-0000-000010000000}"/>
    <cellStyle name="Hipervínculo visitado" xfId="36" builtinId="9" hidden="1"/>
    <cellStyle name="Hipervínculo visitado" xfId="38"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2" builtinId="9" hidden="1"/>
    <cellStyle name="Hipervínculo visitado" xfId="34" builtinId="9" hidden="1"/>
    <cellStyle name="Hipervínculo visitado" xfId="30"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6" builtinId="9" hidden="1"/>
    <cellStyle name="Hipervínculo visitado" xfId="8" builtinId="9" hidden="1"/>
    <cellStyle name="Hipervínculo visitado" xfId="5" builtinId="9" hidden="1"/>
    <cellStyle name="Millares [0]" xfId="40" builtinId="6"/>
    <cellStyle name="Millares [0] 2" xfId="42" xr:uid="{00000000-0005-0000-0000-000024000000}"/>
    <cellStyle name="Millares 2" xfId="39" xr:uid="{00000000-0005-0000-0000-000025000000}"/>
    <cellStyle name="Millares 2 2" xfId="41" xr:uid="{00000000-0005-0000-0000-000026000000}"/>
    <cellStyle name="Normal" xfId="0" builtinId="0"/>
    <cellStyle name="Normal 2" xfId="2" xr:uid="{00000000-0005-0000-0000-000028000000}"/>
    <cellStyle name="Porcentaje" xfId="1" builtinId="5"/>
    <cellStyle name="Porcentual 2" xfId="3" xr:uid="{00000000-0005-0000-0000-00002A000000}"/>
  </cellStyles>
  <dxfs count="19">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FF3300"/>
      <color rgb="FFFFFF99"/>
      <color rgb="FFDEEE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1398697088"/>
        <c:axId val="-1386076864"/>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1398697088"/>
        <c:axId val="-1386076864"/>
      </c:lineChart>
      <c:dateAx>
        <c:axId val="-1398697088"/>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86076864"/>
        <c:crosses val="autoZero"/>
        <c:auto val="1"/>
        <c:lblOffset val="100"/>
        <c:baseTimeUnit val="months"/>
      </c:dateAx>
      <c:valAx>
        <c:axId val="-13860768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986970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432706</xdr:colOff>
      <xdr:row>0</xdr:row>
      <xdr:rowOff>81642</xdr:rowOff>
    </xdr:from>
    <xdr:to>
      <xdr:col>3</xdr:col>
      <xdr:colOff>4691952</xdr:colOff>
      <xdr:row>0</xdr:row>
      <xdr:rowOff>4827761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706" y="81642"/>
          <a:ext cx="4634594" cy="4746119"/>
        </a:xfrm>
        <a:prstGeom prst="rect">
          <a:avLst/>
        </a:prstGeom>
      </xdr:spPr>
    </xdr:pic>
    <xdr:clientData/>
  </xdr:twoCellAnchor>
  <xdr:twoCellAnchor editAs="oneCell">
    <xdr:from>
      <xdr:col>3</xdr:col>
      <xdr:colOff>3069167</xdr:colOff>
      <xdr:row>2</xdr:row>
      <xdr:rowOff>29632</xdr:rowOff>
    </xdr:from>
    <xdr:to>
      <xdr:col>7</xdr:col>
      <xdr:colOff>79375</xdr:colOff>
      <xdr:row>2</xdr:row>
      <xdr:rowOff>2158999</xdr:rowOff>
    </xdr:to>
    <xdr:pic>
      <xdr:nvPicPr>
        <xdr:cNvPr id="7" name="Imagen 6">
          <a:extLst>
            <a:ext uri="{FF2B5EF4-FFF2-40B4-BE49-F238E27FC236}">
              <a16:creationId xmlns:a16="http://schemas.microsoft.com/office/drawing/2014/main" id="{D25666BD-F180-5F44-9F34-1DCBDDE1A179}"/>
            </a:ext>
          </a:extLst>
        </xdr:cNvPr>
        <xdr:cNvPicPr>
          <a:picLocks noChangeAspect="1"/>
        </xdr:cNvPicPr>
      </xdr:nvPicPr>
      <xdr:blipFill>
        <a:blip xmlns:r="http://schemas.openxmlformats.org/officeDocument/2006/relationships" r:embed="rId2"/>
        <a:stretch>
          <a:fillRect/>
        </a:stretch>
      </xdr:blipFill>
      <xdr:spPr>
        <a:xfrm>
          <a:off x="3069167" y="5585882"/>
          <a:ext cx="6455833" cy="21293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0</xdr:col>
      <xdr:colOff>2145094</xdr:colOff>
      <xdr:row>3</xdr:row>
      <xdr:rowOff>127000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C:/Users/Zoonambulo/Documents/ETITC/2017/Presupuesto/D:/C/Registros_Calidad/INDICADORES/Guia_indicadores_Proc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plandeaccion/Downloads/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
      <sheetName val="ARTES-MUSICA "/>
      <sheetName val="SALUD "/>
      <sheetName val="TRABAJO SOCIAL"/>
      <sheetName val="PSICOLOGIA "/>
      <sheetName val="REC. DEPORTES "/>
      <sheetName val="PASTORAL PES"/>
      <sheetName val="PASTORAL BTO "/>
    </sheetNames>
    <sheetDataSet>
      <sheetData sheetId="0"/>
      <sheetData sheetId="1">
        <row r="30">
          <cell r="AC30">
            <v>0.98</v>
          </cell>
          <cell r="AE30">
            <v>14677</v>
          </cell>
        </row>
      </sheetData>
      <sheetData sheetId="2">
        <row r="15">
          <cell r="AC15">
            <v>1</v>
          </cell>
          <cell r="AE15">
            <v>74</v>
          </cell>
        </row>
      </sheetData>
      <sheetData sheetId="3">
        <row r="20">
          <cell r="AC20">
            <v>97.6</v>
          </cell>
          <cell r="AE20">
            <v>1741</v>
          </cell>
        </row>
      </sheetData>
      <sheetData sheetId="4">
        <row r="22">
          <cell r="AC22">
            <v>92.142857142857139</v>
          </cell>
          <cell r="AE22">
            <v>1056</v>
          </cell>
        </row>
      </sheetData>
      <sheetData sheetId="5">
        <row r="18">
          <cell r="AC18">
            <v>99</v>
          </cell>
          <cell r="AE18">
            <v>154</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BG25"/>
  <sheetViews>
    <sheetView tabSelected="1" topLeftCell="A3" zoomScale="60" zoomScaleNormal="60" zoomScalePageLayoutView="40" workbookViewId="0">
      <pane xSplit="8" ySplit="4" topLeftCell="I11" activePane="bottomRight" state="frozen"/>
      <selection pane="topRight" activeCell="I3" sqref="I3"/>
      <selection pane="bottomLeft" activeCell="A6" sqref="A6"/>
      <selection pane="bottomRight" activeCell="D19" sqref="D19"/>
    </sheetView>
  </sheetViews>
  <sheetFormatPr baseColWidth="10" defaultColWidth="10.85546875" defaultRowHeight="26.25"/>
  <cols>
    <col min="1" max="1" width="36.28515625" style="482" hidden="1" customWidth="1"/>
    <col min="2" max="2" width="48" style="482" hidden="1" customWidth="1"/>
    <col min="3" max="3" width="58.42578125" style="484" hidden="1" customWidth="1"/>
    <col min="4" max="4" width="75.85546875" style="484" customWidth="1"/>
    <col min="5" max="5" width="6.42578125" style="482" customWidth="1"/>
    <col min="6" max="6" width="35.85546875" style="482" customWidth="1"/>
    <col min="7" max="7" width="23.42578125" style="483" customWidth="1"/>
    <col min="8" max="8" width="47.42578125" style="482" customWidth="1"/>
    <col min="9" max="9" width="72.42578125" style="482" customWidth="1"/>
    <col min="10" max="10" width="38.85546875" style="482" customWidth="1"/>
    <col min="11" max="11" width="19.7109375" style="482" customWidth="1"/>
    <col min="12" max="12" width="23.28515625" style="482" customWidth="1"/>
    <col min="13" max="13" width="30.140625" style="482" bestFit="1" customWidth="1"/>
    <col min="14" max="14" width="20.42578125" style="482" customWidth="1"/>
    <col min="15" max="15" width="18.85546875" style="484" customWidth="1"/>
    <col min="16" max="16" width="23.42578125" style="484" customWidth="1"/>
    <col min="17" max="17" width="20.7109375" style="484" customWidth="1"/>
    <col min="18" max="20" width="17.42578125" style="482" hidden="1" customWidth="1"/>
    <col min="21" max="22" width="31.7109375" style="482" customWidth="1"/>
    <col min="23" max="32" width="31.7109375" style="482" hidden="1" customWidth="1"/>
    <col min="33" max="34" width="39.7109375" style="482" customWidth="1"/>
    <col min="35" max="35" width="145" style="484" customWidth="1"/>
    <col min="36" max="36" width="13" style="482" hidden="1" customWidth="1"/>
    <col min="37" max="39" width="24.85546875" style="482" hidden="1" customWidth="1"/>
    <col min="40" max="46" width="26.7109375" style="482" hidden="1" customWidth="1"/>
    <col min="47" max="48" width="27" style="482" hidden="1" customWidth="1"/>
    <col min="49" max="49" width="21.85546875" style="482" hidden="1" customWidth="1"/>
    <col min="50" max="50" width="10.85546875" style="482"/>
    <col min="51" max="52" width="27.7109375" style="482" bestFit="1" customWidth="1"/>
    <col min="53" max="53" width="34.140625" style="482" customWidth="1"/>
    <col min="54" max="54" width="37.28515625" style="482" customWidth="1"/>
    <col min="55" max="56" width="10.85546875" style="482"/>
    <col min="57" max="57" width="33.42578125" style="482" bestFit="1" customWidth="1"/>
    <col min="58" max="58" width="34.140625" style="482" bestFit="1" customWidth="1"/>
    <col min="59" max="59" width="30.140625" style="482" bestFit="1" customWidth="1"/>
    <col min="60" max="69" width="32.28515625" style="482" bestFit="1" customWidth="1"/>
    <col min="70" max="16384" width="10.85546875" style="482"/>
  </cols>
  <sheetData>
    <row r="1" spans="1:59" ht="409.5" customHeight="1" thickBot="1">
      <c r="A1" s="584" t="s">
        <v>0</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6"/>
    </row>
    <row r="2" spans="1:59" ht="27" thickBot="1"/>
    <row r="3" spans="1:59" ht="178.5" customHeight="1" thickBot="1">
      <c r="A3" s="482" t="s">
        <v>1</v>
      </c>
      <c r="D3" s="565"/>
      <c r="E3" s="565"/>
      <c r="F3" s="565"/>
      <c r="G3" s="565"/>
      <c r="H3" s="566"/>
      <c r="I3" s="611" t="s">
        <v>362</v>
      </c>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row>
    <row r="4" spans="1:59" ht="54.75" customHeight="1" thickBot="1">
      <c r="A4" s="594" t="s">
        <v>1</v>
      </c>
      <c r="B4" s="603" t="s">
        <v>2</v>
      </c>
      <c r="C4" s="605" t="s">
        <v>3</v>
      </c>
      <c r="D4" s="563" t="s">
        <v>363</v>
      </c>
      <c r="E4" s="597" t="s">
        <v>4</v>
      </c>
      <c r="F4" s="598"/>
      <c r="G4" s="563" t="s">
        <v>5</v>
      </c>
      <c r="H4" s="563" t="s">
        <v>6</v>
      </c>
      <c r="I4" s="563" t="s">
        <v>7</v>
      </c>
      <c r="J4" s="563" t="s">
        <v>8</v>
      </c>
      <c r="K4" s="563" t="s">
        <v>9</v>
      </c>
      <c r="L4" s="563" t="s">
        <v>10</v>
      </c>
      <c r="M4" s="563" t="s">
        <v>11</v>
      </c>
      <c r="N4" s="563" t="s">
        <v>12</v>
      </c>
      <c r="O4" s="580" t="s">
        <v>13</v>
      </c>
      <c r="P4" s="581"/>
      <c r="Q4" s="582"/>
      <c r="R4" s="567"/>
      <c r="S4" s="568"/>
      <c r="T4" s="569"/>
      <c r="U4" s="583" t="s">
        <v>14</v>
      </c>
      <c r="V4" s="581"/>
      <c r="W4" s="581"/>
      <c r="X4" s="581"/>
      <c r="Y4" s="581"/>
      <c r="Z4" s="581"/>
      <c r="AA4" s="581"/>
      <c r="AB4" s="581"/>
      <c r="AC4" s="581"/>
      <c r="AD4" s="581"/>
      <c r="AE4" s="581"/>
      <c r="AF4" s="581"/>
      <c r="AG4" s="581"/>
      <c r="AH4" s="581"/>
      <c r="AI4" s="582"/>
      <c r="AJ4" s="485"/>
      <c r="AK4" s="485"/>
      <c r="AL4" s="485"/>
      <c r="AM4" s="485"/>
      <c r="AN4" s="485"/>
      <c r="AO4" s="485"/>
      <c r="AP4" s="485"/>
    </row>
    <row r="5" spans="1:59">
      <c r="A5" s="595"/>
      <c r="B5" s="604"/>
      <c r="C5" s="606"/>
      <c r="D5" s="564"/>
      <c r="E5" s="599"/>
      <c r="F5" s="600"/>
      <c r="G5" s="564"/>
      <c r="H5" s="564"/>
      <c r="I5" s="564"/>
      <c r="J5" s="564"/>
      <c r="K5" s="564"/>
      <c r="L5" s="564"/>
      <c r="M5" s="564"/>
      <c r="N5" s="564"/>
      <c r="O5" s="553" t="s">
        <v>15</v>
      </c>
      <c r="P5" s="554" t="s">
        <v>16</v>
      </c>
      <c r="Q5" s="555" t="s">
        <v>17</v>
      </c>
      <c r="R5" s="570"/>
      <c r="S5" s="571"/>
      <c r="T5" s="572"/>
      <c r="U5" s="555" t="s">
        <v>20</v>
      </c>
      <c r="V5" s="555" t="s">
        <v>23</v>
      </c>
      <c r="W5" s="555" t="s">
        <v>19</v>
      </c>
      <c r="X5" s="555" t="s">
        <v>20</v>
      </c>
      <c r="Y5" s="555" t="s">
        <v>21</v>
      </c>
      <c r="Z5" s="555" t="s">
        <v>22</v>
      </c>
      <c r="AA5" s="555" t="s">
        <v>23</v>
      </c>
      <c r="AB5" s="555" t="s">
        <v>24</v>
      </c>
      <c r="AC5" s="555" t="s">
        <v>18</v>
      </c>
      <c r="AD5" s="555" t="s">
        <v>25</v>
      </c>
      <c r="AE5" s="555" t="s">
        <v>26</v>
      </c>
      <c r="AF5" s="555" t="s">
        <v>27</v>
      </c>
      <c r="AG5" s="555" t="s">
        <v>25</v>
      </c>
      <c r="AH5" s="555" t="s">
        <v>28</v>
      </c>
      <c r="AI5" s="613" t="s">
        <v>29</v>
      </c>
      <c r="AJ5" s="485"/>
      <c r="AK5" s="485"/>
      <c r="AL5" s="485"/>
      <c r="AM5" s="485"/>
      <c r="AN5" s="485"/>
      <c r="AO5" s="485"/>
      <c r="AP5" s="485"/>
    </row>
    <row r="6" spans="1:59" ht="27" thickBot="1">
      <c r="A6" s="596"/>
      <c r="B6" s="604"/>
      <c r="C6" s="606"/>
      <c r="D6" s="564"/>
      <c r="E6" s="599"/>
      <c r="F6" s="600"/>
      <c r="G6" s="564"/>
      <c r="H6" s="564"/>
      <c r="I6" s="564"/>
      <c r="J6" s="564"/>
      <c r="K6" s="564"/>
      <c r="L6" s="564"/>
      <c r="M6" s="564"/>
      <c r="N6" s="564"/>
      <c r="O6" s="577"/>
      <c r="P6" s="578"/>
      <c r="Q6" s="579"/>
      <c r="R6" s="573"/>
      <c r="S6" s="574"/>
      <c r="T6" s="575"/>
      <c r="U6" s="503"/>
      <c r="V6" s="503"/>
      <c r="W6" s="504"/>
      <c r="X6" s="504"/>
      <c r="Y6" s="504"/>
      <c r="Z6" s="504"/>
      <c r="AA6" s="504"/>
      <c r="AB6" s="504"/>
      <c r="AC6" s="504"/>
      <c r="AD6" s="504"/>
      <c r="AE6" s="504"/>
      <c r="AF6" s="504"/>
      <c r="AG6" s="505"/>
      <c r="AH6" s="505"/>
      <c r="AI6" s="614"/>
      <c r="AJ6" s="485"/>
      <c r="AK6" s="485"/>
      <c r="AL6" s="485"/>
      <c r="AM6" s="485"/>
      <c r="AN6" s="485"/>
      <c r="AO6" s="485"/>
      <c r="AP6" s="485"/>
    </row>
    <row r="7" spans="1:59" ht="227.1" customHeight="1" thickBot="1">
      <c r="A7" s="601" t="s">
        <v>30</v>
      </c>
      <c r="B7" s="587" t="s">
        <v>31</v>
      </c>
      <c r="C7" s="607" t="s">
        <v>32</v>
      </c>
      <c r="D7" s="723" t="s">
        <v>379</v>
      </c>
      <c r="E7" s="535">
        <v>1</v>
      </c>
      <c r="F7" s="520" t="s">
        <v>368</v>
      </c>
      <c r="G7" s="517" t="s">
        <v>33</v>
      </c>
      <c r="H7" s="517" t="s">
        <v>372</v>
      </c>
      <c r="I7" s="521" t="s">
        <v>369</v>
      </c>
      <c r="J7" s="522" t="s">
        <v>34</v>
      </c>
      <c r="K7" s="531" t="s">
        <v>35</v>
      </c>
      <c r="L7" s="529" t="s">
        <v>36</v>
      </c>
      <c r="M7" s="500">
        <v>0.95</v>
      </c>
      <c r="N7" s="556">
        <v>1</v>
      </c>
      <c r="O7" s="501">
        <v>0.3</v>
      </c>
      <c r="P7" s="508">
        <v>0.6</v>
      </c>
      <c r="Q7" s="556">
        <v>0.9</v>
      </c>
      <c r="R7" s="538"/>
      <c r="S7" s="539"/>
      <c r="T7" s="507"/>
      <c r="U7" s="492">
        <v>0.2</v>
      </c>
      <c r="V7" s="492">
        <v>0.5</v>
      </c>
      <c r="W7" s="493"/>
      <c r="X7" s="493"/>
      <c r="Y7" s="534"/>
      <c r="Z7" s="534"/>
      <c r="AA7" s="534"/>
      <c r="AB7" s="534"/>
      <c r="AC7" s="534"/>
      <c r="AD7" s="534"/>
      <c r="AE7" s="534"/>
      <c r="AF7" s="534"/>
      <c r="AG7" s="492">
        <v>0.95</v>
      </c>
      <c r="AH7" s="492">
        <v>1</v>
      </c>
      <c r="AI7" s="502" t="s">
        <v>381</v>
      </c>
      <c r="AJ7" s="486">
        <f>+IF(V7="","",IFERROR(V7/T7,0))</f>
        <v>0</v>
      </c>
      <c r="AK7" s="486"/>
      <c r="AL7" s="486"/>
      <c r="AM7" s="486"/>
      <c r="AN7" s="486"/>
      <c r="AO7" s="486"/>
    </row>
    <row r="8" spans="1:59" ht="225" customHeight="1" thickBot="1">
      <c r="A8" s="602"/>
      <c r="B8" s="588"/>
      <c r="C8" s="608"/>
      <c r="D8" s="724"/>
      <c r="E8" s="499">
        <v>2</v>
      </c>
      <c r="F8" s="523" t="s">
        <v>367</v>
      </c>
      <c r="G8" s="518" t="s">
        <v>37</v>
      </c>
      <c r="H8" s="518" t="s">
        <v>371</v>
      </c>
      <c r="I8" s="524" t="s">
        <v>370</v>
      </c>
      <c r="J8" s="525" t="s">
        <v>38</v>
      </c>
      <c r="K8" s="514" t="s">
        <v>45</v>
      </c>
      <c r="L8" s="491" t="s">
        <v>36</v>
      </c>
      <c r="M8" s="487">
        <v>0.8</v>
      </c>
      <c r="N8" s="556">
        <v>1</v>
      </c>
      <c r="O8" s="509">
        <v>0.3</v>
      </c>
      <c r="P8" s="510">
        <v>0.6</v>
      </c>
      <c r="Q8" s="557">
        <v>0.9</v>
      </c>
      <c r="R8" s="506"/>
      <c r="S8" s="539"/>
      <c r="T8" s="540"/>
      <c r="U8" s="492">
        <v>0.25</v>
      </c>
      <c r="V8" s="492">
        <v>0.6</v>
      </c>
      <c r="W8" s="493"/>
      <c r="X8" s="493"/>
      <c r="Y8" s="534"/>
      <c r="Z8" s="534"/>
      <c r="AA8" s="534"/>
      <c r="AB8" s="534"/>
      <c r="AC8" s="534"/>
      <c r="AD8" s="534"/>
      <c r="AE8" s="534"/>
      <c r="AF8" s="534"/>
      <c r="AG8" s="492">
        <v>0.8</v>
      </c>
      <c r="AH8" s="492">
        <v>1</v>
      </c>
      <c r="AI8" s="544" t="s">
        <v>378</v>
      </c>
      <c r="AJ8" s="486">
        <f t="shared" ref="AJ8:AJ11" si="0">+IF(V8="","",IFERROR(V8/T8,0))</f>
        <v>0</v>
      </c>
      <c r="AK8" s="486"/>
      <c r="AL8" s="486"/>
      <c r="AM8" s="486"/>
      <c r="AN8" s="486"/>
      <c r="AO8" s="486"/>
    </row>
    <row r="9" spans="1:59" ht="409.6" customHeight="1" thickBot="1">
      <c r="A9" s="591" t="s">
        <v>40</v>
      </c>
      <c r="B9" s="589"/>
      <c r="C9" s="609" t="s">
        <v>41</v>
      </c>
      <c r="D9" s="724"/>
      <c r="E9" s="535">
        <v>3</v>
      </c>
      <c r="F9" s="520" t="s">
        <v>366</v>
      </c>
      <c r="G9" s="517" t="s">
        <v>33</v>
      </c>
      <c r="H9" s="517" t="s">
        <v>373</v>
      </c>
      <c r="I9" s="521" t="s">
        <v>42</v>
      </c>
      <c r="J9" s="522" t="s">
        <v>43</v>
      </c>
      <c r="K9" s="498" t="s">
        <v>35</v>
      </c>
      <c r="L9" s="495" t="s">
        <v>36</v>
      </c>
      <c r="M9" s="496">
        <v>0.93</v>
      </c>
      <c r="N9" s="556">
        <v>1</v>
      </c>
      <c r="O9" s="515">
        <v>0.3</v>
      </c>
      <c r="P9" s="516">
        <v>0.6</v>
      </c>
      <c r="Q9" s="558">
        <v>0.9</v>
      </c>
      <c r="R9" s="538"/>
      <c r="S9" s="539"/>
      <c r="T9" s="540"/>
      <c r="U9" s="492">
        <v>0.35</v>
      </c>
      <c r="V9" s="492">
        <v>0.73</v>
      </c>
      <c r="W9" s="493"/>
      <c r="X9" s="493"/>
      <c r="Y9" s="534"/>
      <c r="Z9" s="534"/>
      <c r="AA9" s="534"/>
      <c r="AB9" s="534"/>
      <c r="AC9" s="534"/>
      <c r="AD9" s="534"/>
      <c r="AE9" s="534"/>
      <c r="AF9" s="534"/>
      <c r="AG9" s="492">
        <v>0.93</v>
      </c>
      <c r="AH9" s="492">
        <v>1</v>
      </c>
      <c r="AI9" s="497" t="s">
        <v>383</v>
      </c>
      <c r="AJ9" s="486">
        <f t="shared" si="0"/>
        <v>0</v>
      </c>
      <c r="AK9" s="486"/>
      <c r="AL9" s="486"/>
      <c r="AM9" s="486"/>
      <c r="AN9" s="486"/>
      <c r="AO9" s="486"/>
    </row>
    <row r="10" spans="1:59" ht="355.5" customHeight="1" thickBot="1">
      <c r="A10" s="592"/>
      <c r="B10" s="590"/>
      <c r="C10" s="610"/>
      <c r="D10" s="724"/>
      <c r="E10" s="499">
        <v>4</v>
      </c>
      <c r="F10" s="523" t="s">
        <v>365</v>
      </c>
      <c r="G10" s="518" t="s">
        <v>33</v>
      </c>
      <c r="H10" s="518" t="s">
        <v>374</v>
      </c>
      <c r="I10" s="524" t="s">
        <v>375</v>
      </c>
      <c r="J10" s="525" t="s">
        <v>43</v>
      </c>
      <c r="K10" s="490" t="s">
        <v>35</v>
      </c>
      <c r="L10" s="491" t="s">
        <v>36</v>
      </c>
      <c r="M10" s="487">
        <v>0.75</v>
      </c>
      <c r="N10" s="556">
        <v>1</v>
      </c>
      <c r="O10" s="509">
        <v>0.3</v>
      </c>
      <c r="P10" s="510">
        <v>0.6</v>
      </c>
      <c r="Q10" s="557">
        <v>0.9</v>
      </c>
      <c r="R10" s="538"/>
      <c r="S10" s="539"/>
      <c r="T10" s="540"/>
      <c r="U10" s="492">
        <v>0.5</v>
      </c>
      <c r="V10" s="492">
        <v>0.65</v>
      </c>
      <c r="W10" s="493"/>
      <c r="X10" s="493"/>
      <c r="Y10" s="534"/>
      <c r="Z10" s="534"/>
      <c r="AA10" s="534"/>
      <c r="AB10" s="534"/>
      <c r="AC10" s="534"/>
      <c r="AD10" s="534"/>
      <c r="AE10" s="534"/>
      <c r="AF10" s="534"/>
      <c r="AG10" s="492">
        <v>0.75</v>
      </c>
      <c r="AH10" s="492">
        <v>1</v>
      </c>
      <c r="AI10" s="494" t="s">
        <v>377</v>
      </c>
      <c r="AJ10" s="486">
        <f t="shared" si="0"/>
        <v>0</v>
      </c>
      <c r="AK10" s="486"/>
      <c r="AL10" s="486"/>
      <c r="AM10" s="486"/>
      <c r="AN10" s="486"/>
      <c r="AO10" s="486"/>
    </row>
    <row r="11" spans="1:59" ht="408" customHeight="1" thickBot="1">
      <c r="A11" s="593"/>
      <c r="B11" s="552"/>
      <c r="C11" s="533" t="s">
        <v>46</v>
      </c>
      <c r="D11" s="725"/>
      <c r="E11" s="536">
        <v>5</v>
      </c>
      <c r="F11" s="526" t="s">
        <v>382</v>
      </c>
      <c r="G11" s="519" t="s">
        <v>33</v>
      </c>
      <c r="H11" s="519" t="s">
        <v>47</v>
      </c>
      <c r="I11" s="527" t="s">
        <v>376</v>
      </c>
      <c r="J11" s="528" t="s">
        <v>43</v>
      </c>
      <c r="K11" s="532" t="s">
        <v>45</v>
      </c>
      <c r="L11" s="530" t="s">
        <v>36</v>
      </c>
      <c r="M11" s="537">
        <v>0.86</v>
      </c>
      <c r="N11" s="556">
        <v>1</v>
      </c>
      <c r="O11" s="509">
        <v>0.3</v>
      </c>
      <c r="P11" s="510">
        <v>0.6</v>
      </c>
      <c r="Q11" s="557">
        <v>0.9</v>
      </c>
      <c r="R11" s="538"/>
      <c r="S11" s="539"/>
      <c r="T11" s="540"/>
      <c r="U11" s="492">
        <v>0.65</v>
      </c>
      <c r="V11" s="492">
        <v>0.72</v>
      </c>
      <c r="W11" s="511"/>
      <c r="X11" s="511"/>
      <c r="Y11" s="511"/>
      <c r="Z11" s="511"/>
      <c r="AA11" s="511"/>
      <c r="AB11" s="511"/>
      <c r="AC11" s="511"/>
      <c r="AD11" s="511"/>
      <c r="AE11" s="511"/>
      <c r="AF11" s="511"/>
      <c r="AG11" s="492">
        <v>0.86</v>
      </c>
      <c r="AH11" s="492">
        <v>1</v>
      </c>
      <c r="AI11" s="545" t="s">
        <v>384</v>
      </c>
      <c r="AJ11" s="486">
        <f t="shared" si="0"/>
        <v>0</v>
      </c>
      <c r="AK11" s="486"/>
      <c r="AL11" s="486"/>
      <c r="AM11" s="486"/>
      <c r="AN11" s="486"/>
      <c r="AO11" s="486"/>
    </row>
    <row r="12" spans="1:59">
      <c r="AI12" s="482"/>
      <c r="AK12" s="486"/>
      <c r="AL12" s="486"/>
      <c r="AM12" s="486"/>
      <c r="AN12" s="486"/>
      <c r="AO12" s="486"/>
    </row>
    <row r="13" spans="1:59">
      <c r="H13" s="488"/>
      <c r="I13" s="488"/>
      <c r="Y13" s="488"/>
      <c r="Z13" s="488"/>
      <c r="AA13" s="488"/>
      <c r="AB13" s="488"/>
      <c r="AC13" s="488"/>
      <c r="AD13" s="488"/>
      <c r="AE13" s="488"/>
      <c r="AF13" s="488"/>
      <c r="AG13" s="488"/>
      <c r="AH13" s="488"/>
      <c r="AI13" s="488"/>
    </row>
    <row r="14" spans="1:59" s="546" customFormat="1">
      <c r="C14" s="547"/>
      <c r="D14" s="562" t="s">
        <v>356</v>
      </c>
      <c r="E14" s="562"/>
      <c r="F14" s="562"/>
      <c r="G14" s="562"/>
      <c r="H14" s="562"/>
      <c r="I14" s="562"/>
      <c r="J14" s="548" t="s">
        <v>357</v>
      </c>
      <c r="K14" s="562" t="s">
        <v>358</v>
      </c>
      <c r="L14" s="562"/>
      <c r="M14" s="562"/>
      <c r="N14" s="562"/>
      <c r="O14" s="562"/>
      <c r="P14" s="549" t="s">
        <v>359</v>
      </c>
      <c r="Q14" s="576" t="s">
        <v>360</v>
      </c>
      <c r="R14" s="576"/>
      <c r="S14" s="576"/>
      <c r="T14" s="576"/>
      <c r="U14" s="576"/>
      <c r="V14" s="576"/>
      <c r="W14" s="576"/>
      <c r="X14" s="576"/>
      <c r="Y14" s="576"/>
      <c r="Z14" s="576"/>
      <c r="AA14" s="576"/>
      <c r="AB14" s="576"/>
      <c r="AC14" s="576"/>
      <c r="AD14" s="576"/>
      <c r="AE14" s="576"/>
      <c r="AF14" s="576"/>
      <c r="AG14" s="576"/>
      <c r="AH14" s="576"/>
      <c r="AI14" s="550">
        <v>1</v>
      </c>
      <c r="BF14" s="551"/>
      <c r="BG14" s="551"/>
    </row>
    <row r="15" spans="1:59">
      <c r="BF15" s="513"/>
      <c r="BG15" s="513"/>
    </row>
    <row r="16" spans="1:59" ht="32.25">
      <c r="D16" s="559" t="s">
        <v>364</v>
      </c>
      <c r="BF16" s="513"/>
      <c r="BG16" s="513"/>
    </row>
    <row r="17" spans="4:59" ht="28.5">
      <c r="D17" s="560" t="s">
        <v>361</v>
      </c>
      <c r="BF17" s="512"/>
      <c r="BG17" s="512"/>
    </row>
    <row r="18" spans="4:59">
      <c r="D18" s="561" t="s">
        <v>380</v>
      </c>
      <c r="F18" s="489"/>
      <c r="BF18" s="512"/>
      <c r="BG18" s="512"/>
    </row>
    <row r="19" spans="4:59">
      <c r="BF19" s="512"/>
      <c r="BG19" s="512"/>
    </row>
    <row r="20" spans="4:59">
      <c r="BF20" s="512"/>
      <c r="BG20" s="512"/>
    </row>
    <row r="21" spans="4:59">
      <c r="BF21" s="512"/>
      <c r="BG21" s="512"/>
    </row>
    <row r="22" spans="4:59">
      <c r="BF22" s="512"/>
      <c r="BG22" s="512"/>
    </row>
    <row r="23" spans="4:59">
      <c r="BF23" s="512"/>
      <c r="BG23" s="512"/>
    </row>
    <row r="24" spans="4:59">
      <c r="BF24" s="512"/>
      <c r="BG24" s="512"/>
    </row>
    <row r="25" spans="4:59">
      <c r="BF25" s="512"/>
      <c r="BG25" s="512"/>
    </row>
  </sheetData>
  <protectedRanges>
    <protectedRange password="CA9C" sqref="J14" name="SOLO_CON_18_1_1"/>
    <protectedRange password="CA9C" sqref="P14" name="SOLO_CON_16_1_1"/>
  </protectedRanges>
  <mergeCells count="30">
    <mergeCell ref="A1:AI1"/>
    <mergeCell ref="B7:B10"/>
    <mergeCell ref="A9:A11"/>
    <mergeCell ref="A4:A6"/>
    <mergeCell ref="E4:F6"/>
    <mergeCell ref="A7:A8"/>
    <mergeCell ref="G4:G6"/>
    <mergeCell ref="B4:B6"/>
    <mergeCell ref="C4:C6"/>
    <mergeCell ref="C7:C8"/>
    <mergeCell ref="C9:C10"/>
    <mergeCell ref="I3:AI3"/>
    <mergeCell ref="AI5:AI6"/>
    <mergeCell ref="I4:I6"/>
    <mergeCell ref="D14:I14"/>
    <mergeCell ref="D4:D6"/>
    <mergeCell ref="D7:D11"/>
    <mergeCell ref="D3:H3"/>
    <mergeCell ref="R4:T6"/>
    <mergeCell ref="K14:O14"/>
    <mergeCell ref="Q14:AH14"/>
    <mergeCell ref="M4:M6"/>
    <mergeCell ref="O6:Q6"/>
    <mergeCell ref="H4:H6"/>
    <mergeCell ref="K4:K6"/>
    <mergeCell ref="L4:L6"/>
    <mergeCell ref="N4:N6"/>
    <mergeCell ref="O4:Q4"/>
    <mergeCell ref="J4:J6"/>
    <mergeCell ref="U4:AI4"/>
  </mergeCells>
  <conditionalFormatting sqref="R8:T8">
    <cfRule type="colorScale" priority="80">
      <colorScale>
        <cfvo type="num" val="$R$8"/>
        <cfvo type="num" val="$S$8"/>
        <cfvo type="num" val="$T$8"/>
        <color rgb="FFFF0000"/>
        <color rgb="FFFFEB84"/>
        <color theme="6" tint="-0.249977111117893"/>
      </colorScale>
    </cfRule>
  </conditionalFormatting>
  <conditionalFormatting sqref="R9:T9">
    <cfRule type="colorScale" priority="74">
      <colorScale>
        <cfvo type="num" val="$R$9"/>
        <cfvo type="num" val="$S$9"/>
        <cfvo type="num" val="$T$9"/>
        <color rgb="FFFF0000"/>
        <color rgb="FFFFEB84"/>
        <color theme="6" tint="-0.249977111117893"/>
      </colorScale>
    </cfRule>
  </conditionalFormatting>
  <conditionalFormatting sqref="R10:T10">
    <cfRule type="colorScale" priority="73">
      <colorScale>
        <cfvo type="num" val="$R$10"/>
        <cfvo type="num" val="$S$10"/>
        <cfvo type="num" val="$T$10"/>
        <color rgb="FFFF0000"/>
        <color rgb="FFFFEB84"/>
        <color theme="6" tint="-0.249977111117893"/>
      </colorScale>
    </cfRule>
  </conditionalFormatting>
  <conditionalFormatting sqref="R11:T11 W11:AF11">
    <cfRule type="colorScale" priority="71">
      <colorScale>
        <cfvo type="num" val="$R$11"/>
        <cfvo type="num" val="$S$11"/>
        <cfvo type="num" val="$T$11"/>
        <color rgb="FFFF0000"/>
        <color rgb="FFFFEB84"/>
        <color theme="6" tint="-0.249977111117893"/>
      </colorScale>
    </cfRule>
  </conditionalFormatting>
  <conditionalFormatting sqref="T7 R7 V7:AF10 AH7:AH10">
    <cfRule type="colorScale" priority="54">
      <colorScale>
        <cfvo type="num" val="$O$7"/>
        <cfvo type="num" val="$P$7"/>
        <cfvo type="num" val="$Q$7"/>
        <color rgb="FFFF0000"/>
        <color rgb="FFFFEB84"/>
        <color theme="6" tint="-0.249977111117893"/>
      </colorScale>
    </cfRule>
  </conditionalFormatting>
  <conditionalFormatting sqref="AG7:AH10">
    <cfRule type="cellIs" dxfId="18" priority="170" operator="greaterThan">
      <formula>Y7</formula>
    </cfRule>
  </conditionalFormatting>
  <conditionalFormatting sqref="AF7:AF10">
    <cfRule type="cellIs" dxfId="17" priority="172" operator="greaterThan">
      <formula>Z7</formula>
    </cfRule>
  </conditionalFormatting>
  <conditionalFormatting sqref="Y7:AE10">
    <cfRule type="cellIs" dxfId="16" priority="174" operator="greaterThan">
      <formula>T7</formula>
    </cfRule>
  </conditionalFormatting>
  <conditionalFormatting sqref="S7">
    <cfRule type="colorScale" priority="27">
      <colorScale>
        <cfvo type="num" val="$R$8"/>
        <cfvo type="num" val="$S$8"/>
        <cfvo type="num" val="$T$8"/>
        <color rgb="FFFF0000"/>
        <color rgb="FFFFEB84"/>
        <color theme="6" tint="-0.249977111117893"/>
      </colorScale>
    </cfRule>
  </conditionalFormatting>
  <conditionalFormatting sqref="V11">
    <cfRule type="colorScale" priority="16">
      <colorScale>
        <cfvo type="num" val="$O$7"/>
        <cfvo type="num" val="$P$7"/>
        <cfvo type="num" val="$Q$7"/>
        <color rgb="FFFF0000"/>
        <color rgb="FFFFEB84"/>
        <color theme="6" tint="-0.249977111117893"/>
      </colorScale>
    </cfRule>
  </conditionalFormatting>
  <conditionalFormatting sqref="AH11">
    <cfRule type="colorScale" priority="14">
      <colorScale>
        <cfvo type="num" val="$O$7"/>
        <cfvo type="num" val="$P$7"/>
        <cfvo type="num" val="$Q$7"/>
        <color rgb="FFFF0000"/>
        <color rgb="FFFFEB84"/>
        <color theme="6" tint="-0.249977111117893"/>
      </colorScale>
    </cfRule>
  </conditionalFormatting>
  <conditionalFormatting sqref="U7:U10">
    <cfRule type="colorScale" priority="11">
      <colorScale>
        <cfvo type="num" val="$O$7"/>
        <cfvo type="num" val="$P$7"/>
        <cfvo type="num" val="$Q$7"/>
        <color rgb="FFFF0000"/>
        <color rgb="FFFFEB84"/>
        <color theme="6" tint="-0.249977111117893"/>
      </colorScale>
    </cfRule>
  </conditionalFormatting>
  <conditionalFormatting sqref="U11">
    <cfRule type="colorScale" priority="8">
      <colorScale>
        <cfvo type="num" val="$O$7"/>
        <cfvo type="num" val="$P$7"/>
        <cfvo type="num" val="$Q$7"/>
        <color rgb="FFFF0000"/>
        <color rgb="FFFFEB84"/>
        <color theme="6" tint="-0.249977111117893"/>
      </colorScale>
    </cfRule>
  </conditionalFormatting>
  <conditionalFormatting sqref="AG7:AG10">
    <cfRule type="colorScale" priority="3">
      <colorScale>
        <cfvo type="num" val="$O$7"/>
        <cfvo type="num" val="$P$7"/>
        <cfvo type="num" val="$Q$7"/>
        <color rgb="FFFF0000"/>
        <color rgb="FFFFEB84"/>
        <color theme="6" tint="-0.249977111117893"/>
      </colorScale>
    </cfRule>
  </conditionalFormatting>
  <conditionalFormatting sqref="AG11">
    <cfRule type="colorScale" priority="1">
      <colorScale>
        <cfvo type="num" val="$O$7"/>
        <cfvo type="num" val="$P$7"/>
        <cfvo type="num" val="$Q$7"/>
        <color rgb="FFFF0000"/>
        <color rgb="FFFFEB84"/>
        <color theme="6" tint="-0.249977111117893"/>
      </colorScale>
    </cfRule>
  </conditionalFormatting>
  <dataValidations count="1">
    <dataValidation type="list" allowBlank="1" showInputMessage="1" showErrorMessage="1" sqref="J7:J11" xr:uid="{00000000-0002-0000-0000-000000000000}">
      <formula1>"Sube,Baja,Tendencia Media"</formula1>
    </dataValidation>
  </dataValidations>
  <pageMargins left="0.19685039370078741" right="0" top="0.19685039370078741" bottom="0" header="0.31496062992125984" footer="0.31496062992125984"/>
  <pageSetup paperSize="300" scale="10" fitToHeight="2" orientation="landscape"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0"/>
  <dimension ref="E6:G18"/>
  <sheetViews>
    <sheetView workbookViewId="0">
      <selection activeCell="F11" sqref="F11"/>
    </sheetView>
  </sheetViews>
  <sheetFormatPr baseColWidth="10" defaultColWidth="11.42578125" defaultRowHeight="15"/>
  <cols>
    <col min="6" max="6" width="39.85546875" bestFit="1" customWidth="1"/>
  </cols>
  <sheetData>
    <row r="6" spans="6:7">
      <c r="F6" t="s">
        <v>54</v>
      </c>
    </row>
    <row r="8" spans="6:7">
      <c r="F8">
        <f>195+323+318</f>
        <v>836</v>
      </c>
      <c r="G8">
        <f>232+431+250</f>
        <v>913</v>
      </c>
    </row>
    <row r="9" spans="6:7">
      <c r="F9">
        <v>2017</v>
      </c>
      <c r="G9">
        <v>2016</v>
      </c>
    </row>
    <row r="17" spans="5:6">
      <c r="E17">
        <v>2016</v>
      </c>
      <c r="F17">
        <v>2017</v>
      </c>
    </row>
    <row r="18" spans="5:6">
      <c r="E18">
        <f>2417+111+1340</f>
        <v>3868</v>
      </c>
      <c r="F18">
        <f>2479+1331</f>
        <v>3810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E6:G17"/>
  <sheetViews>
    <sheetView workbookViewId="0">
      <selection activeCell="J9" sqref="J9"/>
    </sheetView>
  </sheetViews>
  <sheetFormatPr baseColWidth="10" defaultColWidth="11.42578125" defaultRowHeight="15"/>
  <sheetData>
    <row r="6" spans="5:7">
      <c r="E6" t="s">
        <v>55</v>
      </c>
      <c r="F6" t="s">
        <v>56</v>
      </c>
      <c r="G6" t="s">
        <v>57</v>
      </c>
    </row>
    <row r="7" spans="5:7">
      <c r="E7">
        <v>20</v>
      </c>
      <c r="F7">
        <v>8</v>
      </c>
      <c r="G7">
        <v>12</v>
      </c>
    </row>
    <row r="8" spans="5:7">
      <c r="E8">
        <v>8</v>
      </c>
      <c r="F8">
        <v>5</v>
      </c>
      <c r="G8">
        <v>3</v>
      </c>
    </row>
    <row r="9" spans="5:7">
      <c r="E9">
        <v>20</v>
      </c>
      <c r="F9">
        <v>8</v>
      </c>
      <c r="G9">
        <v>12</v>
      </c>
    </row>
    <row r="10" spans="5:7">
      <c r="E10">
        <v>6</v>
      </c>
      <c r="F10">
        <v>3</v>
      </c>
      <c r="G10">
        <v>3</v>
      </c>
    </row>
    <row r="11" spans="5:7">
      <c r="E11">
        <v>20</v>
      </c>
      <c r="F11">
        <v>0</v>
      </c>
      <c r="G11">
        <v>20</v>
      </c>
    </row>
    <row r="12" spans="5:7">
      <c r="E12">
        <v>11</v>
      </c>
      <c r="F12">
        <v>0</v>
      </c>
      <c r="G12">
        <v>11</v>
      </c>
    </row>
    <row r="13" spans="5:7">
      <c r="E13">
        <v>12</v>
      </c>
      <c r="F13">
        <v>0</v>
      </c>
      <c r="G13">
        <v>12</v>
      </c>
    </row>
    <row r="14" spans="5:7">
      <c r="E14">
        <v>1</v>
      </c>
      <c r="F14">
        <v>0</v>
      </c>
      <c r="G14">
        <v>1</v>
      </c>
    </row>
    <row r="15" spans="5:7">
      <c r="E15">
        <f>SUM(E7:E14)</f>
        <v>98</v>
      </c>
      <c r="F15">
        <f>SUM(F7:F14)</f>
        <v>24</v>
      </c>
      <c r="G15">
        <f>SUM(G7:G14)</f>
        <v>74</v>
      </c>
    </row>
    <row r="17" spans="6:7">
      <c r="F17" s="154">
        <f>+F15/E15</f>
        <v>0.24489795918367346</v>
      </c>
      <c r="G17" s="154">
        <f>+G15/E15</f>
        <v>0.75510204081632648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filterMode="1">
    <pageSetUpPr fitToPage="1"/>
  </sheetPr>
  <dimension ref="A1:BI60"/>
  <sheetViews>
    <sheetView zoomScale="55" zoomScaleNormal="55" zoomScalePageLayoutView="55" workbookViewId="0">
      <pane xSplit="2" ySplit="7" topLeftCell="C36" activePane="bottomRight" state="frozen"/>
      <selection pane="topRight" activeCell="H17" sqref="H17"/>
      <selection pane="bottomLeft" activeCell="H17" sqref="H17"/>
      <selection pane="bottomRight" activeCell="H62" sqref="H62"/>
    </sheetView>
  </sheetViews>
  <sheetFormatPr baseColWidth="10" defaultColWidth="11.42578125" defaultRowHeight="15" outlineLevelCol="1"/>
  <cols>
    <col min="1" max="1" width="34.42578125" customWidth="1"/>
    <col min="2" max="2" width="16.42578125" hidden="1" customWidth="1"/>
    <col min="3" max="3" width="56.140625" customWidth="1"/>
    <col min="4" max="4" width="40.140625" style="62" customWidth="1"/>
    <col min="5" max="6" width="4.42578125" hidden="1" customWidth="1"/>
    <col min="7" max="7" width="51" customWidth="1"/>
    <col min="8" max="8" width="48.42578125" customWidth="1"/>
    <col min="9" max="9" width="35.140625" customWidth="1"/>
    <col min="10" max="10" width="16" customWidth="1"/>
    <col min="11" max="11" width="9.42578125" customWidth="1"/>
    <col min="12" max="14" width="17.85546875" customWidth="1"/>
    <col min="15" max="15" width="16.42578125" style="67" customWidth="1"/>
    <col min="16" max="27" width="7.85546875" hidden="1" customWidth="1" outlineLevel="1"/>
    <col min="28" max="28" width="11.42578125" style="62" hidden="1" customWidth="1"/>
    <col min="29" max="29" width="31.42578125" hidden="1" customWidth="1"/>
    <col min="30" max="30" width="11.42578125" hidden="1" customWidth="1"/>
    <col min="31" max="31" width="16.42578125" customWidth="1"/>
    <col min="32" max="32" width="19.140625" customWidth="1"/>
    <col min="33" max="33" width="14.140625" customWidth="1"/>
    <col min="34" max="35" width="16.140625" customWidth="1"/>
    <col min="36" max="37" width="13.85546875" customWidth="1"/>
    <col min="38" max="38" width="88.140625" customWidth="1"/>
    <col min="39" max="39" width="34.85546875" customWidth="1"/>
    <col min="40" max="40" width="13.140625" hidden="1" customWidth="1"/>
    <col min="41" max="41" width="27.140625" bestFit="1" customWidth="1"/>
    <col min="50" max="50" width="7" bestFit="1" customWidth="1"/>
    <col min="51" max="51" width="8.85546875" bestFit="1" customWidth="1"/>
    <col min="52" max="52" width="7.42578125" bestFit="1" customWidth="1"/>
    <col min="53" max="53" width="6" bestFit="1" customWidth="1"/>
    <col min="54" max="55" width="6.42578125" bestFit="1" customWidth="1"/>
    <col min="56" max="56" width="5.85546875" bestFit="1" customWidth="1"/>
    <col min="57" max="57" width="8.42578125" bestFit="1" customWidth="1"/>
    <col min="58" max="58" width="11.85546875" customWidth="1"/>
    <col min="59" max="59" width="9.140625" bestFit="1" customWidth="1"/>
    <col min="60" max="60" width="11.85546875" customWidth="1"/>
    <col min="61" max="61" width="10.42578125" bestFit="1" customWidth="1"/>
    <col min="75" max="80" width="9.42578125" customWidth="1"/>
  </cols>
  <sheetData>
    <row r="1" spans="1:61" ht="15" customHeight="1">
      <c r="A1" s="617" t="s">
        <v>58</v>
      </c>
      <c r="B1" s="617"/>
      <c r="C1" s="618"/>
      <c r="D1" s="619" t="s">
        <v>59</v>
      </c>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1"/>
      <c r="AF1" s="633" t="s">
        <v>60</v>
      </c>
      <c r="AG1" s="633"/>
    </row>
    <row r="2" spans="1:61" ht="15" customHeight="1">
      <c r="A2" s="618"/>
      <c r="B2" s="618"/>
      <c r="C2" s="618"/>
      <c r="D2" s="622"/>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4"/>
      <c r="AF2" s="633"/>
      <c r="AG2" s="633"/>
    </row>
    <row r="3" spans="1:61" ht="15" customHeight="1">
      <c r="A3" s="618"/>
      <c r="B3" s="618"/>
      <c r="C3" s="618"/>
      <c r="D3" s="625"/>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7"/>
      <c r="AF3" s="633"/>
      <c r="AG3" s="633"/>
    </row>
    <row r="4" spans="1:61" ht="15" customHeight="1">
      <c r="A4" s="618"/>
      <c r="B4" s="618"/>
      <c r="C4" s="618"/>
      <c r="D4" s="634" t="s">
        <v>61</v>
      </c>
      <c r="E4" s="635"/>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6"/>
      <c r="AF4" s="633" t="s">
        <v>62</v>
      </c>
      <c r="AG4" s="633"/>
    </row>
    <row r="5" spans="1:61" ht="15" customHeight="1">
      <c r="A5" s="618"/>
      <c r="B5" s="618"/>
      <c r="C5" s="618"/>
      <c r="D5" s="637"/>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9"/>
      <c r="AF5" s="640">
        <v>42731</v>
      </c>
      <c r="AG5" s="640"/>
    </row>
    <row r="6" spans="1:61" ht="15.75" thickBot="1">
      <c r="J6">
        <v>400</v>
      </c>
      <c r="K6">
        <v>0.3</v>
      </c>
      <c r="L6">
        <f>+K6*J6</f>
        <v>120</v>
      </c>
      <c r="M6">
        <v>285</v>
      </c>
      <c r="N6">
        <f>+M6/J6</f>
        <v>0.71250000000000002</v>
      </c>
      <c r="O6" s="67">
        <v>100</v>
      </c>
      <c r="AE6">
        <f>+O6/J6</f>
        <v>0.25</v>
      </c>
      <c r="AF6">
        <v>50</v>
      </c>
      <c r="AG6">
        <f>+AF6/J6</f>
        <v>0.125</v>
      </c>
      <c r="AH6">
        <f>0.9*400</f>
        <v>360</v>
      </c>
    </row>
    <row r="7" spans="1:61" ht="105.75" thickBot="1">
      <c r="A7" s="219" t="s">
        <v>63</v>
      </c>
      <c r="B7" s="220"/>
      <c r="C7" s="220" t="s">
        <v>64</v>
      </c>
      <c r="D7" s="220" t="s">
        <v>65</v>
      </c>
      <c r="E7" s="220" t="s">
        <v>66</v>
      </c>
      <c r="F7" s="220" t="s">
        <v>67</v>
      </c>
      <c r="G7" s="220" t="s">
        <v>68</v>
      </c>
      <c r="H7" s="220" t="s">
        <v>69</v>
      </c>
      <c r="I7" s="220" t="s">
        <v>70</v>
      </c>
      <c r="J7" s="220" t="s">
        <v>71</v>
      </c>
      <c r="K7" s="220" t="s">
        <v>72</v>
      </c>
      <c r="L7" s="220" t="s">
        <v>73</v>
      </c>
      <c r="M7" s="220" t="s">
        <v>74</v>
      </c>
      <c r="N7" s="220" t="s">
        <v>75</v>
      </c>
      <c r="O7" s="220" t="s">
        <v>76</v>
      </c>
      <c r="P7" s="221">
        <v>42736</v>
      </c>
      <c r="Q7" s="221">
        <v>42767</v>
      </c>
      <c r="R7" s="221">
        <v>42795</v>
      </c>
      <c r="S7" s="221">
        <v>42826</v>
      </c>
      <c r="T7" s="221">
        <v>42856</v>
      </c>
      <c r="U7" s="221">
        <v>42887</v>
      </c>
      <c r="V7" s="221">
        <v>42917</v>
      </c>
      <c r="W7" s="221">
        <v>42948</v>
      </c>
      <c r="X7" s="221">
        <v>42979</v>
      </c>
      <c r="Y7" s="221">
        <v>43009</v>
      </c>
      <c r="Z7" s="221">
        <v>43040</v>
      </c>
      <c r="AA7" s="221">
        <v>43070</v>
      </c>
      <c r="AB7" s="220" t="s">
        <v>77</v>
      </c>
      <c r="AC7" s="220" t="s">
        <v>78</v>
      </c>
      <c r="AD7" s="220" t="s">
        <v>79</v>
      </c>
      <c r="AE7" s="220" t="s">
        <v>80</v>
      </c>
      <c r="AF7" s="222" t="s">
        <v>81</v>
      </c>
      <c r="AG7" s="222" t="s">
        <v>82</v>
      </c>
      <c r="AH7" s="222" t="s">
        <v>83</v>
      </c>
      <c r="AI7" s="223" t="s">
        <v>22</v>
      </c>
      <c r="AJ7" s="223" t="s">
        <v>23</v>
      </c>
      <c r="AK7" s="471" t="s">
        <v>24</v>
      </c>
      <c r="AL7" s="224" t="s">
        <v>29</v>
      </c>
      <c r="AM7" s="418" t="s">
        <v>84</v>
      </c>
      <c r="AN7" s="208" t="s">
        <v>85</v>
      </c>
      <c r="AW7" s="1"/>
      <c r="AX7" s="1"/>
      <c r="AY7" s="1"/>
      <c r="AZ7" s="1"/>
      <c r="BA7" s="1"/>
      <c r="BB7" s="1"/>
      <c r="BC7" s="1"/>
      <c r="BD7" s="1"/>
      <c r="BE7" s="1"/>
      <c r="BF7" s="1"/>
      <c r="BG7" s="1"/>
      <c r="BH7" s="1"/>
      <c r="BI7" s="1"/>
    </row>
    <row r="8" spans="1:61" ht="36.75" hidden="1" customHeight="1">
      <c r="A8" s="641" t="s">
        <v>86</v>
      </c>
      <c r="B8" s="225">
        <v>1</v>
      </c>
      <c r="C8" s="226" t="s">
        <v>87</v>
      </c>
      <c r="D8" s="227" t="s">
        <v>37</v>
      </c>
      <c r="E8" s="228"/>
      <c r="F8" s="229"/>
      <c r="G8" s="226" t="s">
        <v>88</v>
      </c>
      <c r="H8" s="226" t="s">
        <v>89</v>
      </c>
      <c r="I8" s="230">
        <v>0.1111111111111111</v>
      </c>
      <c r="J8" s="231" t="s">
        <v>35</v>
      </c>
      <c r="K8" s="232" t="s">
        <v>38</v>
      </c>
      <c r="L8" s="232"/>
      <c r="M8" s="232"/>
      <c r="N8" s="232"/>
      <c r="O8" s="233">
        <v>0.1111111111111111</v>
      </c>
      <c r="P8" s="234"/>
      <c r="Q8" s="234"/>
      <c r="R8" s="234"/>
      <c r="S8" s="234"/>
      <c r="T8" s="234"/>
      <c r="U8" s="234"/>
      <c r="V8" s="234"/>
      <c r="W8" s="234"/>
      <c r="X8" s="234"/>
      <c r="Y8" s="234"/>
      <c r="Z8" s="234"/>
      <c r="AA8" s="234"/>
      <c r="AB8" s="235" t="e">
        <f>LOOKUP(1000000000,P8:AA8)</f>
        <v>#N/A</v>
      </c>
      <c r="AC8" s="226"/>
      <c r="AD8" s="234" t="e">
        <f t="shared" ref="AD8:AD27" si="0">+IF(SLOPE(P8:AA8,$P$7:$AA$7)&gt;0,"Al alza",IF(SLOPE(P8:AA8,$P$7:$AA$7)&lt;0,"A la baja","Sin cambio"))</f>
        <v>#DIV/0!</v>
      </c>
      <c r="AE8" s="236" t="s">
        <v>90</v>
      </c>
      <c r="AF8" s="237">
        <v>9.6100000000000005E-3</v>
      </c>
      <c r="AG8" s="238" t="str">
        <f>IF($K$8="Sube",IF(ISERROR(AB8/$O$8)=TRUE,"",IF(AB8&gt;$O$8,AF8,AB8/$O$8*AF8)),IF(ISERROR($O$8/AB8)=TRUE,"",IF($O$8&lt;AB8,$O$8/AB8*AF8,AF8)))</f>
        <v/>
      </c>
      <c r="AH8" s="239" t="str">
        <f>IF($K$8="Sube",IF(ISERROR(AB8/$O$8)=TRUE,"",IF(AB8&gt;=$O$8,1,0)),IF(ISERROR($O$8/AB8)=TRUE,"",IF($O$8&lt;AB8,0,1)))</f>
        <v/>
      </c>
      <c r="AI8" s="240"/>
      <c r="AJ8" s="241"/>
      <c r="AK8" s="419"/>
      <c r="AL8" s="419"/>
      <c r="AM8" s="162"/>
      <c r="AN8" s="124"/>
      <c r="AW8" s="60"/>
      <c r="AX8" s="60"/>
      <c r="AY8" s="60"/>
      <c r="AZ8" s="60"/>
      <c r="BA8" s="60"/>
      <c r="BB8" s="60"/>
      <c r="BC8" s="60"/>
      <c r="BD8" s="60"/>
      <c r="BE8" s="60"/>
      <c r="BF8" s="60"/>
      <c r="BG8" s="60"/>
      <c r="BH8" s="60"/>
    </row>
    <row r="9" spans="1:61" ht="41.25" hidden="1" thickBot="1">
      <c r="A9" s="615"/>
      <c r="B9" s="242">
        <v>2</v>
      </c>
      <c r="C9" s="243" t="s">
        <v>91</v>
      </c>
      <c r="D9" s="244" t="s">
        <v>37</v>
      </c>
      <c r="E9" s="245"/>
      <c r="F9" s="246"/>
      <c r="G9" s="243" t="s">
        <v>92</v>
      </c>
      <c r="H9" s="243" t="s">
        <v>93</v>
      </c>
      <c r="I9" s="247" t="s">
        <v>94</v>
      </c>
      <c r="J9" s="247" t="s">
        <v>35</v>
      </c>
      <c r="K9" s="248"/>
      <c r="L9" s="248"/>
      <c r="M9" s="248"/>
      <c r="N9" s="248"/>
      <c r="O9" s="249">
        <f>+(9.9925/9.9204)-1</f>
        <v>7.2678521027376153E-3</v>
      </c>
      <c r="P9" s="250"/>
      <c r="Q9" s="250"/>
      <c r="R9" s="250"/>
      <c r="S9" s="250"/>
      <c r="T9" s="250"/>
      <c r="U9" s="250"/>
      <c r="V9" s="250"/>
      <c r="W9" s="250"/>
      <c r="X9" s="250"/>
      <c r="Y9" s="250"/>
      <c r="Z9" s="250"/>
      <c r="AA9" s="250"/>
      <c r="AB9" s="251" t="e">
        <f>LOOKUP(1000000000,P9:AA9)</f>
        <v>#N/A</v>
      </c>
      <c r="AC9" s="243"/>
      <c r="AD9" s="250" t="e">
        <f t="shared" si="0"/>
        <v>#DIV/0!</v>
      </c>
      <c r="AE9" s="252" t="s">
        <v>90</v>
      </c>
      <c r="AF9" s="253">
        <v>9.6100000000000005E-3</v>
      </c>
      <c r="AG9" s="254" t="str">
        <f>IF($K$9="Sube",IF(ISERROR(AB9/$O$9)=TRUE,"",IF(AB9&gt;$O$9,AF9,AB9/$O$9*AF9)),IF(ISERROR($O$9/AB9)=TRUE,"",IF($O$9&lt;AB9,$O$9/AB9*AF9,AF9)))</f>
        <v/>
      </c>
      <c r="AH9" s="255" t="str">
        <f>IF($K$9="Sube",IF(ISERROR(AB9/$O$9)=TRUE,"",IF(AB9&gt;=$O$9,1,0)),IF(ISERROR($O$9/AB9)=TRUE,"",IF($O$9&lt;AB9,0,1)))</f>
        <v/>
      </c>
      <c r="AI9" s="256"/>
      <c r="AJ9" s="257"/>
      <c r="AK9" s="420"/>
      <c r="AL9" s="420"/>
      <c r="AM9" s="209"/>
      <c r="AN9" s="125"/>
      <c r="AW9" s="60"/>
      <c r="AX9" s="60"/>
      <c r="AY9" s="60"/>
      <c r="AZ9" s="60"/>
      <c r="BA9" s="60"/>
      <c r="BB9" s="60"/>
      <c r="BC9" s="60"/>
      <c r="BD9" s="60"/>
      <c r="BE9" s="60"/>
      <c r="BF9" s="60"/>
      <c r="BG9" s="60"/>
      <c r="BH9" s="60"/>
    </row>
    <row r="10" spans="1:61" ht="61.5" hidden="1" thickBot="1">
      <c r="A10" s="615"/>
      <c r="B10" s="242">
        <v>3</v>
      </c>
      <c r="C10" s="243" t="s">
        <v>95</v>
      </c>
      <c r="D10" s="244" t="s">
        <v>37</v>
      </c>
      <c r="E10" s="245"/>
      <c r="F10" s="246"/>
      <c r="G10" s="243" t="s">
        <v>96</v>
      </c>
      <c r="H10" s="243" t="s">
        <v>97</v>
      </c>
      <c r="I10" s="258" t="s">
        <v>98</v>
      </c>
      <c r="J10" s="252" t="s">
        <v>39</v>
      </c>
      <c r="K10" s="248"/>
      <c r="L10" s="248"/>
      <c r="M10" s="248"/>
      <c r="N10" s="248"/>
      <c r="O10" s="259" t="s">
        <v>99</v>
      </c>
      <c r="P10" s="250"/>
      <c r="Q10" s="250"/>
      <c r="R10" s="250"/>
      <c r="S10" s="250"/>
      <c r="T10" s="250"/>
      <c r="U10" s="250"/>
      <c r="V10" s="250"/>
      <c r="W10" s="250"/>
      <c r="X10" s="250"/>
      <c r="Y10" s="250"/>
      <c r="Z10" s="250"/>
      <c r="AA10" s="250"/>
      <c r="AB10" s="251" t="e">
        <f t="shared" ref="AB10:AB48" si="1">LOOKUP(1000000000,P10:AA10)</f>
        <v>#N/A</v>
      </c>
      <c r="AC10" s="243"/>
      <c r="AD10" s="250" t="e">
        <f t="shared" si="0"/>
        <v>#DIV/0!</v>
      </c>
      <c r="AE10" s="252" t="s">
        <v>90</v>
      </c>
      <c r="AF10" s="253">
        <v>9.6100000000000005E-3</v>
      </c>
      <c r="AG10" s="254" t="str">
        <f>IF($K$10="Sube",IF(ISERROR(AB10/$O$10)=TRUE,"",IF(AB10&gt;$O$10,AF10,AB10/$O$10*AF10)),IF(ISERROR($O$10/AB10)=TRUE,"",IF($O$10&lt;AB10,$O$10/AB10*AF10,AF10)))</f>
        <v/>
      </c>
      <c r="AH10" s="255" t="str">
        <f>IF($K$10="Sube",IF(ISERROR(AB10/$O$10)=TRUE,"",IF(AB10&gt;=$O$10,1,0)),IF(ISERROR($O$10/AB10)=TRUE,"",IF($O$10&lt;AB10,0,1)))</f>
        <v/>
      </c>
      <c r="AI10" s="256"/>
      <c r="AJ10" s="257"/>
      <c r="AK10" s="420"/>
      <c r="AL10" s="420"/>
      <c r="AM10" s="209"/>
      <c r="AN10" s="125"/>
      <c r="AW10" s="60"/>
      <c r="AX10" s="60"/>
      <c r="AY10" s="60"/>
      <c r="AZ10" s="60"/>
      <c r="BA10" s="60"/>
      <c r="BB10" s="60"/>
      <c r="BC10" s="60"/>
      <c r="BD10" s="60"/>
      <c r="BE10" s="60"/>
      <c r="BF10" s="60"/>
      <c r="BG10" s="60"/>
      <c r="BH10" s="60"/>
    </row>
    <row r="11" spans="1:61" ht="41.25" hidden="1" thickBot="1">
      <c r="A11" s="615"/>
      <c r="B11" s="242"/>
      <c r="C11" s="243" t="s">
        <v>100</v>
      </c>
      <c r="D11" s="244" t="s">
        <v>101</v>
      </c>
      <c r="E11" s="247"/>
      <c r="F11" s="260"/>
      <c r="G11" s="243" t="s">
        <v>102</v>
      </c>
      <c r="H11" s="243" t="s">
        <v>103</v>
      </c>
      <c r="I11" s="261">
        <v>0.94169999999999998</v>
      </c>
      <c r="J11" s="252" t="s">
        <v>104</v>
      </c>
      <c r="K11" s="248"/>
      <c r="L11" s="248"/>
      <c r="M11" s="248"/>
      <c r="N11" s="248"/>
      <c r="O11" s="259">
        <v>1</v>
      </c>
      <c r="P11" s="250"/>
      <c r="Q11" s="250"/>
      <c r="R11" s="250"/>
      <c r="S11" s="250"/>
      <c r="T11" s="250"/>
      <c r="U11" s="250"/>
      <c r="V11" s="250"/>
      <c r="W11" s="250"/>
      <c r="X11" s="250"/>
      <c r="Y11" s="250"/>
      <c r="Z11" s="250"/>
      <c r="AA11" s="250"/>
      <c r="AB11" s="251" t="e">
        <f t="shared" si="1"/>
        <v>#N/A</v>
      </c>
      <c r="AC11" s="243"/>
      <c r="AD11" s="250" t="e">
        <f t="shared" si="0"/>
        <v>#DIV/0!</v>
      </c>
      <c r="AE11" s="252" t="s">
        <v>90</v>
      </c>
      <c r="AF11" s="253">
        <v>9.6100000000000005E-3</v>
      </c>
      <c r="AG11" s="254" t="str">
        <f>IF($K$11="Sube",IF(ISERROR(AB11/$O$11)=TRUE,"",IF(AB11&gt;$O$11,AF11,AB11/$O$11*AF11)),IF(ISERROR($O$11/AB11)=TRUE,"",IF($O$11&lt;AB11,$O$11/AB11*AF11,AF11)))</f>
        <v/>
      </c>
      <c r="AH11" s="255" t="str">
        <f>IF($K$11="Sube",IF(ISERROR(AB11/$O$11)=TRUE,"",IF(AB11&gt;=$O$11,1,0)),IF(ISERROR($O$11/AB11)=TRUE,"",IF($O$11&lt;AB11,0,1)))</f>
        <v/>
      </c>
      <c r="AI11" s="256"/>
      <c r="AJ11" s="262">
        <v>0.96</v>
      </c>
      <c r="AK11" s="472"/>
      <c r="AL11" s="421" t="s">
        <v>105</v>
      </c>
      <c r="AM11" s="215" t="s">
        <v>106</v>
      </c>
      <c r="AN11" s="125"/>
      <c r="AW11" s="60"/>
      <c r="AX11" s="60"/>
      <c r="AY11" s="60"/>
      <c r="AZ11" s="60"/>
      <c r="BA11" s="60"/>
      <c r="BB11" s="60"/>
      <c r="BC11" s="60"/>
      <c r="BD11" s="60"/>
      <c r="BE11" s="60"/>
      <c r="BF11" s="60"/>
      <c r="BG11" s="60"/>
      <c r="BH11" s="60"/>
    </row>
    <row r="12" spans="1:61" s="159" customFormat="1" ht="102" hidden="1" thickBot="1">
      <c r="A12" s="616"/>
      <c r="B12" s="263"/>
      <c r="C12" s="264" t="s">
        <v>107</v>
      </c>
      <c r="D12" s="265" t="s">
        <v>101</v>
      </c>
      <c r="E12" s="264"/>
      <c r="F12" s="264"/>
      <c r="G12" s="264" t="s">
        <v>108</v>
      </c>
      <c r="H12" s="264" t="s">
        <v>109</v>
      </c>
      <c r="I12" s="266">
        <v>0.97</v>
      </c>
      <c r="J12" s="267" t="s">
        <v>110</v>
      </c>
      <c r="K12" s="268"/>
      <c r="L12" s="268"/>
      <c r="M12" s="268"/>
      <c r="N12" s="268"/>
      <c r="O12" s="269">
        <v>0.98</v>
      </c>
      <c r="P12" s="270"/>
      <c r="Q12" s="270"/>
      <c r="R12" s="270"/>
      <c r="S12" s="270"/>
      <c r="T12" s="270"/>
      <c r="U12" s="270"/>
      <c r="V12" s="270"/>
      <c r="W12" s="270"/>
      <c r="X12" s="270"/>
      <c r="Y12" s="270"/>
      <c r="Z12" s="270"/>
      <c r="AA12" s="270"/>
      <c r="AB12" s="271" t="e">
        <f t="shared" si="1"/>
        <v>#N/A</v>
      </c>
      <c r="AC12" s="272"/>
      <c r="AD12" s="270" t="e">
        <f t="shared" si="0"/>
        <v>#DIV/0!</v>
      </c>
      <c r="AE12" s="267" t="s">
        <v>90</v>
      </c>
      <c r="AF12" s="273">
        <v>9.6100000000000005E-3</v>
      </c>
      <c r="AG12" s="274" t="str">
        <f>IF($K$12="Sube",IF(ISERROR(AB12/$O$12)=TRUE,"",IF(AB12&gt;$O$12,AF12,AB12/$O$12*AF12)),IF(ISERROR($O$12/AB12)=TRUE,"",IF($O$12&lt;AB12,$O$12/AB12*AF12,AF12)))</f>
        <v/>
      </c>
      <c r="AH12" s="275" t="str">
        <f>IF($K$12="Sube",IF(ISERROR(AB12/$O$12)=TRUE,"",IF(AB12&gt;=$O$12,1,0)),IF(ISERROR($O$12/AB12)=TRUE,"",IF($O$12&lt;AB12,0,1)))</f>
        <v/>
      </c>
      <c r="AI12" s="276"/>
      <c r="AJ12" s="277"/>
      <c r="AK12" s="422"/>
      <c r="AL12" s="422"/>
      <c r="AM12" s="210"/>
      <c r="AN12" s="161"/>
      <c r="AW12" s="160"/>
      <c r="AX12" s="160"/>
      <c r="AY12" s="160"/>
      <c r="AZ12" s="160"/>
      <c r="BA12" s="160"/>
      <c r="BB12" s="160"/>
      <c r="BC12" s="160"/>
      <c r="BD12" s="160"/>
      <c r="BE12" s="160"/>
      <c r="BF12" s="160"/>
      <c r="BG12" s="160"/>
      <c r="BH12" s="160"/>
    </row>
    <row r="13" spans="1:61" ht="61.5" hidden="1" thickBot="1">
      <c r="A13" s="645" t="s">
        <v>51</v>
      </c>
      <c r="B13" s="242">
        <v>5</v>
      </c>
      <c r="C13" s="244" t="s">
        <v>111</v>
      </c>
      <c r="D13" s="244" t="s">
        <v>33</v>
      </c>
      <c r="E13" s="278"/>
      <c r="F13" s="278"/>
      <c r="G13" s="244" t="s">
        <v>112</v>
      </c>
      <c r="H13" s="244" t="s">
        <v>113</v>
      </c>
      <c r="I13" s="279" t="s">
        <v>114</v>
      </c>
      <c r="J13" s="252" t="s">
        <v>115</v>
      </c>
      <c r="K13" s="248" t="s">
        <v>43</v>
      </c>
      <c r="L13" s="248"/>
      <c r="M13" s="248"/>
      <c r="N13" s="248"/>
      <c r="O13" s="259"/>
      <c r="P13" s="250"/>
      <c r="Q13" s="250"/>
      <c r="R13" s="250"/>
      <c r="S13" s="250"/>
      <c r="T13" s="250"/>
      <c r="U13" s="250"/>
      <c r="V13" s="250"/>
      <c r="W13" s="250"/>
      <c r="X13" s="250"/>
      <c r="Y13" s="250"/>
      <c r="Z13" s="250"/>
      <c r="AA13" s="250"/>
      <c r="AB13" s="251" t="e">
        <f t="shared" si="1"/>
        <v>#N/A</v>
      </c>
      <c r="AC13" s="243"/>
      <c r="AD13" s="250" t="e">
        <f t="shared" si="0"/>
        <v>#DIV/0!</v>
      </c>
      <c r="AE13" s="252" t="s">
        <v>90</v>
      </c>
      <c r="AF13" s="280">
        <v>9.6100000000000005E-3</v>
      </c>
      <c r="AG13" s="254" t="str">
        <f>IF($K$13="Sube",IF(ISERROR(AB13/$O$13)=TRUE,"",IF(AB13&gt;$O$13,AF13,AB13/$O$13*AF13)),IF(ISERROR($O$13/AB13)=TRUE,"",IF($O$13&lt;AB13,$O$13/AB13*AF13,AF13)))</f>
        <v/>
      </c>
      <c r="AH13" s="255" t="str">
        <f>IF($K$13="Sube",IF(ISERROR(AB13/$O$13)=TRUE,"",IF(AB13&gt;=$O$13,1,0)),IF(ISERROR($O$13/AB13)=TRUE,"",IF($O$13&lt;AB13,0,1)))</f>
        <v/>
      </c>
      <c r="AI13" s="256"/>
      <c r="AJ13" s="257"/>
      <c r="AK13" s="420"/>
      <c r="AL13" s="420"/>
      <c r="AM13" s="209"/>
      <c r="AN13" s="125"/>
      <c r="AW13" s="60"/>
      <c r="AX13" s="60"/>
      <c r="AY13" s="60"/>
      <c r="AZ13" s="60"/>
      <c r="BA13" s="60"/>
      <c r="BB13" s="60"/>
      <c r="BC13" s="60"/>
      <c r="BD13" s="60"/>
      <c r="BE13" s="60"/>
      <c r="BF13" s="60"/>
      <c r="BG13" s="60"/>
      <c r="BH13" s="60"/>
    </row>
    <row r="14" spans="1:61" ht="66.75" hidden="1" customHeight="1" thickBot="1">
      <c r="A14" s="646"/>
      <c r="B14" s="242">
        <v>6</v>
      </c>
      <c r="C14" s="244" t="s">
        <v>116</v>
      </c>
      <c r="D14" s="244" t="s">
        <v>101</v>
      </c>
      <c r="E14" s="278"/>
      <c r="F14" s="278"/>
      <c r="G14" s="244" t="s">
        <v>117</v>
      </c>
      <c r="H14" s="244" t="s">
        <v>118</v>
      </c>
      <c r="I14" s="279" t="s">
        <v>114</v>
      </c>
      <c r="J14" s="252" t="s">
        <v>115</v>
      </c>
      <c r="K14" s="248" t="s">
        <v>43</v>
      </c>
      <c r="L14" s="248"/>
      <c r="M14" s="248"/>
      <c r="N14" s="248"/>
      <c r="O14" s="259"/>
      <c r="P14" s="250"/>
      <c r="Q14" s="250"/>
      <c r="R14" s="250"/>
      <c r="S14" s="250"/>
      <c r="T14" s="250"/>
      <c r="U14" s="250"/>
      <c r="V14" s="250"/>
      <c r="W14" s="250"/>
      <c r="X14" s="250"/>
      <c r="Y14" s="250"/>
      <c r="Z14" s="250"/>
      <c r="AA14" s="250"/>
      <c r="AB14" s="251" t="e">
        <f t="shared" si="1"/>
        <v>#N/A</v>
      </c>
      <c r="AC14" s="243"/>
      <c r="AD14" s="250" t="e">
        <f t="shared" si="0"/>
        <v>#DIV/0!</v>
      </c>
      <c r="AE14" s="252" t="s">
        <v>90</v>
      </c>
      <c r="AF14" s="280">
        <v>9.6100000000000005E-3</v>
      </c>
      <c r="AG14" s="254" t="str">
        <f>IF($K$14="Sube",IF(ISERROR(AB14/$O$14)=TRUE,"",IF(AB14&gt;$O$14,AF14,AB14/$O$14*AF14)),IF(ISERROR($O$14/AB14)=TRUE,"",IF($O$14&lt;AB14,$O$14/AB14*AF14,AF14)))</f>
        <v/>
      </c>
      <c r="AH14" s="255" t="str">
        <f>IF($K$14="Sube",IF(ISERROR(AB14/$O$14)=TRUE,"",IF(AB14&gt;=$O$14,1,0)),IF(ISERROR($O$14/AB14)=TRUE,"",IF($O$14&lt;AB14,0,1)))</f>
        <v/>
      </c>
      <c r="AI14" s="256"/>
      <c r="AJ14" s="257"/>
      <c r="AK14" s="420"/>
      <c r="AL14" s="420"/>
      <c r="AM14" s="209"/>
      <c r="AN14" s="125"/>
      <c r="AW14" s="60"/>
      <c r="AX14" s="60"/>
      <c r="AY14" s="60"/>
      <c r="AZ14" s="60"/>
      <c r="BA14" s="60"/>
      <c r="BB14" s="60"/>
      <c r="BC14" s="60"/>
      <c r="BD14" s="60"/>
      <c r="BE14" s="60"/>
      <c r="BF14" s="60"/>
      <c r="BG14" s="60"/>
      <c r="BH14" s="60"/>
    </row>
    <row r="15" spans="1:61" ht="66.75" hidden="1" customHeight="1" thickBot="1">
      <c r="A15" s="646"/>
      <c r="B15" s="242"/>
      <c r="C15" s="281" t="s">
        <v>119</v>
      </c>
      <c r="D15" s="281" t="s">
        <v>33</v>
      </c>
      <c r="E15" s="282"/>
      <c r="F15" s="282"/>
      <c r="G15" s="281" t="s">
        <v>120</v>
      </c>
      <c r="H15" s="281" t="s">
        <v>121</v>
      </c>
      <c r="I15" s="279" t="s">
        <v>114</v>
      </c>
      <c r="J15" s="252" t="s">
        <v>115</v>
      </c>
      <c r="K15" s="283"/>
      <c r="L15" s="283"/>
      <c r="M15" s="283"/>
      <c r="N15" s="283"/>
      <c r="O15" s="284"/>
      <c r="P15" s="285"/>
      <c r="Q15" s="285"/>
      <c r="R15" s="285"/>
      <c r="S15" s="285"/>
      <c r="T15" s="285"/>
      <c r="U15" s="285"/>
      <c r="V15" s="285"/>
      <c r="W15" s="285"/>
      <c r="X15" s="285"/>
      <c r="Y15" s="285"/>
      <c r="Z15" s="285"/>
      <c r="AA15" s="285"/>
      <c r="AB15" s="286"/>
      <c r="AC15" s="287"/>
      <c r="AD15" s="285"/>
      <c r="AE15" s="288"/>
      <c r="AF15" s="289"/>
      <c r="AG15" s="290"/>
      <c r="AH15" s="291"/>
      <c r="AI15" s="292"/>
      <c r="AJ15" s="293"/>
      <c r="AK15" s="423"/>
      <c r="AL15" s="423"/>
      <c r="AM15" s="211"/>
      <c r="AN15" s="163"/>
      <c r="AW15" s="60"/>
      <c r="AX15" s="60"/>
      <c r="AY15" s="60"/>
      <c r="AZ15" s="60"/>
      <c r="BA15" s="60"/>
      <c r="BB15" s="60"/>
      <c r="BC15" s="60"/>
      <c r="BD15" s="60"/>
      <c r="BE15" s="60"/>
      <c r="BF15" s="60"/>
      <c r="BG15" s="60"/>
      <c r="BH15" s="60"/>
    </row>
    <row r="16" spans="1:61" ht="61.5" hidden="1" thickBot="1">
      <c r="A16" s="647"/>
      <c r="B16" s="294">
        <v>7</v>
      </c>
      <c r="C16" s="265" t="s">
        <v>122</v>
      </c>
      <c r="D16" s="265" t="s">
        <v>37</v>
      </c>
      <c r="E16" s="295"/>
      <c r="F16" s="295"/>
      <c r="G16" s="265" t="s">
        <v>123</v>
      </c>
      <c r="H16" s="265" t="s">
        <v>124</v>
      </c>
      <c r="I16" s="296">
        <f>44099470/60000000</f>
        <v>0.73499116666666664</v>
      </c>
      <c r="J16" s="267" t="s">
        <v>125</v>
      </c>
      <c r="K16" s="268" t="s">
        <v>43</v>
      </c>
      <c r="L16" s="268"/>
      <c r="M16" s="268"/>
      <c r="N16" s="268"/>
      <c r="O16" s="297">
        <v>0.8</v>
      </c>
      <c r="P16" s="298"/>
      <c r="Q16" s="298"/>
      <c r="R16" s="298"/>
      <c r="S16" s="298"/>
      <c r="T16" s="298"/>
      <c r="U16" s="298"/>
      <c r="V16" s="298"/>
      <c r="W16" s="298"/>
      <c r="X16" s="298"/>
      <c r="Y16" s="298"/>
      <c r="Z16" s="298"/>
      <c r="AA16" s="298"/>
      <c r="AB16" s="299" t="e">
        <f t="shared" si="1"/>
        <v>#N/A</v>
      </c>
      <c r="AC16" s="300"/>
      <c r="AD16" s="298" t="e">
        <f t="shared" si="0"/>
        <v>#DIV/0!</v>
      </c>
      <c r="AE16" s="267" t="s">
        <v>90</v>
      </c>
      <c r="AF16" s="301">
        <v>9.6100000000000005E-3</v>
      </c>
      <c r="AG16" s="302" t="str">
        <f>IF($K$16="Sube",IF(ISERROR(AB16/$O$16)=TRUE,"",IF(AB16&gt;$O$16,AF16,AB16/$O$16*AF16)),IF(ISERROR($O$16/AB16)=TRUE,"",IF($O$16&lt;AB16,$O$16/AB16*AF16,AF16)))</f>
        <v/>
      </c>
      <c r="AH16" s="303" t="str">
        <f>IF($K$16="Sube",IF(ISERROR(AB16/$O$16)=TRUE,"",IF(AB16&gt;=$O$16,1,0)),IF(ISERROR($O$16/AB16)=TRUE,"",IF($O$16&lt;AB16,0,1)))</f>
        <v/>
      </c>
      <c r="AI16" s="304"/>
      <c r="AJ16" s="305"/>
      <c r="AK16" s="424"/>
      <c r="AL16" s="424"/>
      <c r="AM16" s="164"/>
      <c r="AN16" s="137"/>
      <c r="AW16" s="60"/>
      <c r="AX16" s="60"/>
      <c r="AY16" s="60"/>
      <c r="AZ16" s="60"/>
      <c r="BA16" s="60"/>
      <c r="BB16" s="60"/>
      <c r="BC16" s="60"/>
      <c r="BD16" s="60"/>
      <c r="BE16" s="60"/>
      <c r="BF16" s="60"/>
      <c r="BG16" s="60"/>
      <c r="BH16" s="60"/>
    </row>
    <row r="17" spans="1:60" ht="61.5" hidden="1" thickBot="1">
      <c r="A17" s="642" t="s">
        <v>31</v>
      </c>
      <c r="B17" s="306">
        <v>8</v>
      </c>
      <c r="C17" s="227" t="s">
        <v>126</v>
      </c>
      <c r="D17" s="227" t="s">
        <v>101</v>
      </c>
      <c r="E17" s="307"/>
      <c r="F17" s="308"/>
      <c r="G17" s="227" t="s">
        <v>127</v>
      </c>
      <c r="H17" s="227" t="s">
        <v>128</v>
      </c>
      <c r="I17" s="309" t="s">
        <v>114</v>
      </c>
      <c r="J17" s="231" t="s">
        <v>35</v>
      </c>
      <c r="K17" s="232" t="s">
        <v>43</v>
      </c>
      <c r="L17" s="232"/>
      <c r="M17" s="232"/>
      <c r="N17" s="232"/>
      <c r="O17" s="233">
        <v>1</v>
      </c>
      <c r="P17" s="234"/>
      <c r="Q17" s="234"/>
      <c r="R17" s="234"/>
      <c r="S17" s="234"/>
      <c r="T17" s="234"/>
      <c r="U17" s="234"/>
      <c r="V17" s="234"/>
      <c r="W17" s="234"/>
      <c r="X17" s="234"/>
      <c r="Y17" s="234"/>
      <c r="Z17" s="234"/>
      <c r="AA17" s="234"/>
      <c r="AB17" s="235" t="e">
        <f t="shared" si="1"/>
        <v>#N/A</v>
      </c>
      <c r="AC17" s="226"/>
      <c r="AD17" s="234" t="e">
        <f t="shared" si="0"/>
        <v>#DIV/0!</v>
      </c>
      <c r="AE17" s="236" t="s">
        <v>90</v>
      </c>
      <c r="AF17" s="310">
        <v>9.6100000000000005E-3</v>
      </c>
      <c r="AG17" s="238" t="str">
        <f>IF($K$17="Sube",IF(ISERROR(AB17/$O$17)=TRUE,"",IF(AB17&gt;$O$17,AF17,AB17/$O$17*AF17)),IF(ISERROR($O$17/AB17)=TRUE,"",IF($O$17&lt;AB17,$O$17/AB17*AF17,AF17)))</f>
        <v/>
      </c>
      <c r="AH17" s="239" t="str">
        <f>IF($K$17="Sube",IF(ISERROR(AB17/$O$17)=TRUE,"",IF(AB17&gt;=$O$17,1,0)),IF(ISERROR($O$17/AB17)=TRUE,"",IF($O$17&lt;AB17,0,1)))</f>
        <v/>
      </c>
      <c r="AI17" s="240"/>
      <c r="AJ17" s="241"/>
      <c r="AK17" s="419"/>
      <c r="AL17" s="419"/>
      <c r="AM17" s="162"/>
      <c r="AN17" s="124"/>
      <c r="AO17" t="s">
        <v>129</v>
      </c>
      <c r="AW17" s="60"/>
      <c r="AX17" s="60"/>
      <c r="AY17" s="60"/>
      <c r="AZ17" s="60"/>
      <c r="BA17" s="60"/>
      <c r="BB17" s="60"/>
      <c r="BC17" s="60"/>
      <c r="BD17" s="60"/>
      <c r="BE17" s="60"/>
      <c r="BF17" s="60"/>
      <c r="BG17" s="60"/>
      <c r="BH17" s="60"/>
    </row>
    <row r="18" spans="1:60" ht="92.25" hidden="1" thickBot="1">
      <c r="A18" s="643"/>
      <c r="B18" s="311">
        <v>10</v>
      </c>
      <c r="C18" s="312" t="s">
        <v>130</v>
      </c>
      <c r="D18" s="244" t="s">
        <v>101</v>
      </c>
      <c r="E18" s="278"/>
      <c r="F18" s="313"/>
      <c r="G18" s="244" t="s">
        <v>131</v>
      </c>
      <c r="H18" s="244" t="s">
        <v>132</v>
      </c>
      <c r="I18" s="314" t="s">
        <v>114</v>
      </c>
      <c r="J18" s="252" t="s">
        <v>35</v>
      </c>
      <c r="K18" s="248" t="s">
        <v>43</v>
      </c>
      <c r="L18" s="248"/>
      <c r="M18" s="248"/>
      <c r="N18" s="248"/>
      <c r="O18" s="259">
        <v>1</v>
      </c>
      <c r="P18" s="250"/>
      <c r="Q18" s="250"/>
      <c r="R18" s="250"/>
      <c r="S18" s="250"/>
      <c r="T18" s="250"/>
      <c r="U18" s="250"/>
      <c r="V18" s="250"/>
      <c r="W18" s="250"/>
      <c r="X18" s="250"/>
      <c r="Y18" s="250"/>
      <c r="Z18" s="250"/>
      <c r="AA18" s="250"/>
      <c r="AB18" s="251" t="e">
        <f t="shared" si="1"/>
        <v>#N/A</v>
      </c>
      <c r="AC18" s="243"/>
      <c r="AD18" s="250" t="e">
        <f t="shared" si="0"/>
        <v>#DIV/0!</v>
      </c>
      <c r="AE18" s="252" t="s">
        <v>90</v>
      </c>
      <c r="AF18" s="280">
        <v>9.6100000000000005E-3</v>
      </c>
      <c r="AG18" s="254" t="str">
        <f>IF($K$18="Sube",IF(ISERROR(AB18/$O$18)=TRUE,"",IF(AB18&gt;$O$18,AF18,AB18/$O$18*AF18)),IF(ISERROR($O$18/AB18)=TRUE,"",IF($O$18&lt;AB18,$O$18/AB18*AF18,AF18)))</f>
        <v/>
      </c>
      <c r="AH18" s="255" t="str">
        <f>IF($K$18="Sube",IF(ISERROR(AB18/$O$18)=TRUE,"",IF(AB18&gt;=$O$18,1,0)),IF(ISERROR($O$18/AB18)=TRUE,"",IF($O$18&lt;AB18,0,1)))</f>
        <v/>
      </c>
      <c r="AI18" s="256"/>
      <c r="AJ18" s="257"/>
      <c r="AK18" s="420"/>
      <c r="AL18" s="420"/>
      <c r="AM18" s="209"/>
      <c r="AN18" s="125"/>
      <c r="AO18" s="165" t="s">
        <v>133</v>
      </c>
      <c r="AW18" s="60"/>
      <c r="AX18" s="60"/>
      <c r="AY18" s="60"/>
      <c r="AZ18" s="60"/>
      <c r="BA18" s="60"/>
      <c r="BB18" s="60"/>
      <c r="BC18" s="60"/>
      <c r="BD18" s="60"/>
      <c r="BE18" s="60"/>
      <c r="BF18" s="60"/>
      <c r="BG18" s="60"/>
      <c r="BH18" s="60"/>
    </row>
    <row r="19" spans="1:60" ht="61.5" hidden="1" thickBot="1">
      <c r="A19" s="643"/>
      <c r="B19" s="311">
        <v>11</v>
      </c>
      <c r="C19" s="315" t="s">
        <v>134</v>
      </c>
      <c r="D19" s="244" t="s">
        <v>33</v>
      </c>
      <c r="E19" s="278"/>
      <c r="F19" s="313"/>
      <c r="G19" s="244" t="s">
        <v>135</v>
      </c>
      <c r="H19" s="244" t="s">
        <v>136</v>
      </c>
      <c r="I19" s="314" t="s">
        <v>114</v>
      </c>
      <c r="J19" s="252" t="s">
        <v>39</v>
      </c>
      <c r="K19" s="248" t="s">
        <v>43</v>
      </c>
      <c r="L19" s="248"/>
      <c r="M19" s="248"/>
      <c r="N19" s="248"/>
      <c r="O19" s="259">
        <v>1</v>
      </c>
      <c r="P19" s="250"/>
      <c r="Q19" s="250"/>
      <c r="R19" s="250"/>
      <c r="S19" s="250"/>
      <c r="T19" s="250"/>
      <c r="U19" s="250"/>
      <c r="V19" s="250"/>
      <c r="W19" s="250"/>
      <c r="X19" s="250"/>
      <c r="Y19" s="250"/>
      <c r="Z19" s="250"/>
      <c r="AA19" s="250"/>
      <c r="AB19" s="251" t="e">
        <f t="shared" si="1"/>
        <v>#N/A</v>
      </c>
      <c r="AC19" s="243"/>
      <c r="AD19" s="250" t="e">
        <f t="shared" si="0"/>
        <v>#DIV/0!</v>
      </c>
      <c r="AE19" s="252" t="s">
        <v>90</v>
      </c>
      <c r="AF19" s="280">
        <v>9.6100000000000005E-3</v>
      </c>
      <c r="AG19" s="254" t="str">
        <f>IF($K$19="Sube",IF(ISERROR(AB19/$O$19)=TRUE,"",IF(AB19&gt;$O$19,AF19,AB19/$O$19*AF19)),IF(ISERROR($O$19/AB19)=TRUE,"",IF($O$19&lt;AB19,$O$19/AB19*AF19,AF19)))</f>
        <v/>
      </c>
      <c r="AH19" s="255" t="str">
        <f>IF($K$19="Sube",IF(ISERROR(AB19/$O$19)=TRUE,"",IF(AB19&gt;=$O$19,1,0)),IF(ISERROR($O$19/AB19)=TRUE,"",IF($O$19&lt;AB19,0,1)))</f>
        <v/>
      </c>
      <c r="AI19" s="256"/>
      <c r="AJ19" s="257"/>
      <c r="AK19" s="420"/>
      <c r="AL19" s="420"/>
      <c r="AM19" s="209"/>
      <c r="AN19" s="125"/>
      <c r="AO19" t="s">
        <v>137</v>
      </c>
      <c r="AW19" s="60"/>
      <c r="AX19" s="60"/>
      <c r="AY19" s="60"/>
      <c r="AZ19" s="60"/>
      <c r="BA19" s="60"/>
      <c r="BB19" s="60"/>
      <c r="BC19" s="60"/>
      <c r="BD19" s="60"/>
      <c r="BE19" s="60"/>
      <c r="BF19" s="60"/>
      <c r="BG19" s="60"/>
      <c r="BH19" s="60"/>
    </row>
    <row r="20" spans="1:60" ht="41.25" hidden="1" thickBot="1">
      <c r="A20" s="643"/>
      <c r="B20" s="311"/>
      <c r="C20" s="244" t="s">
        <v>138</v>
      </c>
      <c r="D20" s="281" t="s">
        <v>101</v>
      </c>
      <c r="E20" s="282"/>
      <c r="F20" s="316"/>
      <c r="G20" s="244" t="s">
        <v>139</v>
      </c>
      <c r="H20" s="244" t="s">
        <v>140</v>
      </c>
      <c r="I20" s="317" t="s">
        <v>141</v>
      </c>
      <c r="J20" s="252" t="s">
        <v>39</v>
      </c>
      <c r="K20" s="248" t="s">
        <v>43</v>
      </c>
      <c r="L20" s="248"/>
      <c r="M20" s="248"/>
      <c r="N20" s="248"/>
      <c r="O20" s="259">
        <v>0.9</v>
      </c>
      <c r="P20" s="250"/>
      <c r="Q20" s="250"/>
      <c r="R20" s="250"/>
      <c r="S20" s="250"/>
      <c r="T20" s="250"/>
      <c r="U20" s="250"/>
      <c r="V20" s="250"/>
      <c r="W20" s="250"/>
      <c r="X20" s="250"/>
      <c r="Y20" s="250"/>
      <c r="Z20" s="250"/>
      <c r="AA20" s="250"/>
      <c r="AB20" s="251" t="e">
        <f t="shared" ref="AB20" si="2">LOOKUP(1000000000,P20:AA20)</f>
        <v>#N/A</v>
      </c>
      <c r="AC20" s="243"/>
      <c r="AD20" s="250" t="e">
        <f t="shared" ref="AD20" si="3">+IF(SLOPE(P20:AA20,$P$7:$AA$7)&gt;0,"Al alza",IF(SLOPE(P20:AA20,$P$7:$AA$7)&lt;0,"A la baja","Sin cambio"))</f>
        <v>#DIV/0!</v>
      </c>
      <c r="AE20" s="252" t="s">
        <v>90</v>
      </c>
      <c r="AF20" s="280">
        <v>9.6100000000000005E-3</v>
      </c>
      <c r="AG20" s="254"/>
      <c r="AH20" s="255"/>
      <c r="AI20" s="256"/>
      <c r="AJ20" s="257"/>
      <c r="AK20" s="420"/>
      <c r="AL20" s="420"/>
      <c r="AM20" s="209"/>
      <c r="AN20" s="125"/>
      <c r="AW20" s="60"/>
      <c r="AX20" s="60"/>
      <c r="AY20" s="60"/>
      <c r="AZ20" s="60"/>
      <c r="BA20" s="60"/>
      <c r="BB20" s="60"/>
      <c r="BC20" s="60"/>
      <c r="BD20" s="60"/>
      <c r="BE20" s="60"/>
      <c r="BF20" s="60"/>
      <c r="BG20" s="60"/>
      <c r="BH20" s="60"/>
    </row>
    <row r="21" spans="1:60" ht="61.5" hidden="1" thickBot="1">
      <c r="A21" s="643"/>
      <c r="B21" s="311"/>
      <c r="C21" s="244" t="s">
        <v>142</v>
      </c>
      <c r="D21" s="281" t="s">
        <v>37</v>
      </c>
      <c r="E21" s="282"/>
      <c r="F21" s="316"/>
      <c r="G21" s="244" t="s">
        <v>143</v>
      </c>
      <c r="H21" s="244" t="s">
        <v>144</v>
      </c>
      <c r="I21" s="247" t="s">
        <v>94</v>
      </c>
      <c r="J21" s="252" t="s">
        <v>35</v>
      </c>
      <c r="K21" s="248" t="s">
        <v>43</v>
      </c>
      <c r="L21" s="248"/>
      <c r="M21" s="248"/>
      <c r="N21" s="248"/>
      <c r="O21" s="249">
        <f>+(9.9925/9.9204)-1</f>
        <v>7.2678521027376153E-3</v>
      </c>
      <c r="P21" s="250"/>
      <c r="Q21" s="250"/>
      <c r="R21" s="250"/>
      <c r="S21" s="250"/>
      <c r="T21" s="250"/>
      <c r="U21" s="250"/>
      <c r="V21" s="250"/>
      <c r="W21" s="250"/>
      <c r="X21" s="250"/>
      <c r="Y21" s="250"/>
      <c r="Z21" s="250"/>
      <c r="AA21" s="250"/>
      <c r="AB21" s="251"/>
      <c r="AC21" s="243"/>
      <c r="AD21" s="250"/>
      <c r="AE21" s="252"/>
      <c r="AF21" s="280"/>
      <c r="AG21" s="254"/>
      <c r="AH21" s="255"/>
      <c r="AI21" s="256"/>
      <c r="AJ21" s="257"/>
      <c r="AK21" s="420"/>
      <c r="AL21" s="420"/>
      <c r="AM21" s="209"/>
      <c r="AN21" s="125"/>
      <c r="AW21" s="60"/>
      <c r="AX21" s="60"/>
      <c r="AY21" s="60"/>
      <c r="AZ21" s="60"/>
      <c r="BA21" s="60"/>
      <c r="BB21" s="60"/>
      <c r="BC21" s="60"/>
      <c r="BD21" s="60"/>
      <c r="BE21" s="60"/>
      <c r="BF21" s="60"/>
      <c r="BG21" s="60"/>
      <c r="BH21" s="60"/>
    </row>
    <row r="22" spans="1:60" ht="61.5" hidden="1" thickBot="1">
      <c r="A22" s="644"/>
      <c r="B22" s="318">
        <v>12</v>
      </c>
      <c r="C22" s="265" t="s">
        <v>145</v>
      </c>
      <c r="D22" s="265" t="s">
        <v>37</v>
      </c>
      <c r="E22" s="295"/>
      <c r="F22" s="319"/>
      <c r="G22" s="265" t="s">
        <v>146</v>
      </c>
      <c r="H22" s="265" t="s">
        <v>147</v>
      </c>
      <c r="I22" s="258" t="s">
        <v>98</v>
      </c>
      <c r="J22" s="252" t="s">
        <v>39</v>
      </c>
      <c r="K22" s="248"/>
      <c r="L22" s="248"/>
      <c r="M22" s="248"/>
      <c r="N22" s="248"/>
      <c r="O22" s="259" t="s">
        <v>148</v>
      </c>
      <c r="P22" s="298"/>
      <c r="Q22" s="298"/>
      <c r="R22" s="298"/>
      <c r="S22" s="298"/>
      <c r="T22" s="298"/>
      <c r="U22" s="298"/>
      <c r="V22" s="298"/>
      <c r="W22" s="298"/>
      <c r="X22" s="298"/>
      <c r="Y22" s="298"/>
      <c r="Z22" s="298"/>
      <c r="AA22" s="298"/>
      <c r="AB22" s="299"/>
      <c r="AC22" s="300"/>
      <c r="AD22" s="298"/>
      <c r="AE22" s="267"/>
      <c r="AF22" s="301"/>
      <c r="AG22" s="302" t="str">
        <f>IF($K$22="Sube",IF(ISERROR(AB22/$O$22)=TRUE,"",IF(AB22&gt;$O$22,AF22,AB22/$O$22*AF22)),IF(ISERROR($O$22/AB22)=TRUE,"",IF($O$22&lt;AB22,$O$22/AB22*AF22,AF22)))</f>
        <v/>
      </c>
      <c r="AH22" s="303" t="str">
        <f>IF($K$22="Sube",IF(ISERROR(AB22/$O$22)=TRUE,"",IF(AB22&gt;=$O$22,1,0)),IF(ISERROR($O$22/AB22)=TRUE,"",IF($O$22&lt;AB22,0,1)))</f>
        <v/>
      </c>
      <c r="AI22" s="304"/>
      <c r="AJ22" s="305"/>
      <c r="AK22" s="424"/>
      <c r="AL22" s="424"/>
      <c r="AM22" s="164"/>
      <c r="AN22" s="137"/>
      <c r="AW22" s="60"/>
      <c r="AX22" s="60"/>
      <c r="AY22" s="60"/>
      <c r="AZ22" s="60"/>
      <c r="BA22" s="60"/>
      <c r="BB22" s="60"/>
      <c r="BC22" s="60"/>
      <c r="BD22" s="60"/>
      <c r="BE22" s="60"/>
      <c r="BF22" s="60"/>
      <c r="BG22" s="60"/>
      <c r="BH22" s="60"/>
    </row>
    <row r="23" spans="1:60" ht="45" hidden="1" customHeight="1">
      <c r="A23" s="630" t="s">
        <v>44</v>
      </c>
      <c r="B23" s="225">
        <f>+B22+1</f>
        <v>13</v>
      </c>
      <c r="C23" s="227" t="s">
        <v>149</v>
      </c>
      <c r="D23" s="227" t="s">
        <v>150</v>
      </c>
      <c r="E23" s="320"/>
      <c r="F23" s="308"/>
      <c r="G23" s="227" t="s">
        <v>151</v>
      </c>
      <c r="H23" s="227" t="s">
        <v>152</v>
      </c>
      <c r="I23" s="321" t="s">
        <v>114</v>
      </c>
      <c r="J23" s="236" t="s">
        <v>153</v>
      </c>
      <c r="K23" s="232" t="s">
        <v>43</v>
      </c>
      <c r="L23" s="232"/>
      <c r="M23" s="232"/>
      <c r="N23" s="232"/>
      <c r="O23" s="233"/>
      <c r="P23" s="234"/>
      <c r="Q23" s="234"/>
      <c r="R23" s="234"/>
      <c r="S23" s="234"/>
      <c r="T23" s="234"/>
      <c r="U23" s="234"/>
      <c r="V23" s="234"/>
      <c r="W23" s="234"/>
      <c r="X23" s="234"/>
      <c r="Y23" s="234"/>
      <c r="Z23" s="234"/>
      <c r="AA23" s="234"/>
      <c r="AB23" s="235" t="e">
        <f t="shared" si="1"/>
        <v>#N/A</v>
      </c>
      <c r="AC23" s="226"/>
      <c r="AD23" s="234" t="e">
        <f t="shared" si="0"/>
        <v>#DIV/0!</v>
      </c>
      <c r="AE23" s="236" t="s">
        <v>90</v>
      </c>
      <c r="AF23" s="310">
        <v>9.6100000000000005E-3</v>
      </c>
      <c r="AG23" s="238" t="str">
        <f>IF($K$23="Sube",IF(ISERROR(AB23/$O$23)=TRUE,"",IF(AB23&gt;$O$23,AF23,AB23/$O$23*AF23)),IF(ISERROR($O$23/AB23)=TRUE,"",IF($O$23&lt;AB23,$O$23/AB23*AF23,AF23)))</f>
        <v/>
      </c>
      <c r="AH23" s="239" t="str">
        <f>IF($K$23="Sube",IF(ISERROR(AB23/$O$23)=TRUE,"",IF(AB23&gt;=$O$23,1,0)),IF(ISERROR($O$23/AB23)=TRUE,"",IF($O$23&lt;AB23,0,1)))</f>
        <v/>
      </c>
      <c r="AI23" s="240"/>
      <c r="AJ23" s="322">
        <v>3.64</v>
      </c>
      <c r="AK23" s="473"/>
      <c r="AL23" s="425" t="s">
        <v>154</v>
      </c>
      <c r="AM23" s="162"/>
      <c r="AN23" s="124"/>
      <c r="AW23" s="60"/>
      <c r="AX23" s="60"/>
      <c r="AY23" s="60"/>
      <c r="AZ23" s="60"/>
      <c r="BA23" s="60"/>
      <c r="BB23" s="60"/>
      <c r="BC23" s="60"/>
      <c r="BD23" s="60"/>
      <c r="BE23" s="60"/>
      <c r="BF23" s="60"/>
      <c r="BG23" s="60"/>
      <c r="BH23" s="60"/>
    </row>
    <row r="24" spans="1:60" ht="49.5" hidden="1" customHeight="1" thickBot="1">
      <c r="A24" s="632"/>
      <c r="B24" s="323">
        <f t="shared" ref="B24:B49" si="4">+B23+1</f>
        <v>14</v>
      </c>
      <c r="C24" s="244" t="s">
        <v>155</v>
      </c>
      <c r="D24" s="324" t="s">
        <v>37</v>
      </c>
      <c r="E24" s="278"/>
      <c r="F24" s="313"/>
      <c r="G24" s="325" t="s">
        <v>156</v>
      </c>
      <c r="H24" s="325" t="s">
        <v>157</v>
      </c>
      <c r="I24" s="326">
        <f>1152/1344</f>
        <v>0.8571428571428571</v>
      </c>
      <c r="J24" s="252" t="s">
        <v>35</v>
      </c>
      <c r="K24" s="248" t="s">
        <v>43</v>
      </c>
      <c r="L24" s="248"/>
      <c r="M24" s="248"/>
      <c r="N24" s="248"/>
      <c r="O24" s="259">
        <v>0.87</v>
      </c>
      <c r="P24" s="250"/>
      <c r="Q24" s="250"/>
      <c r="R24" s="250"/>
      <c r="S24" s="250"/>
      <c r="T24" s="250"/>
      <c r="U24" s="250"/>
      <c r="V24" s="250"/>
      <c r="W24" s="250"/>
      <c r="X24" s="250"/>
      <c r="Y24" s="250"/>
      <c r="Z24" s="250"/>
      <c r="AA24" s="250"/>
      <c r="AB24" s="251" t="e">
        <f t="shared" si="1"/>
        <v>#N/A</v>
      </c>
      <c r="AC24" s="243"/>
      <c r="AD24" s="250" t="e">
        <f t="shared" si="0"/>
        <v>#DIV/0!</v>
      </c>
      <c r="AE24" s="252" t="s">
        <v>90</v>
      </c>
      <c r="AF24" s="280">
        <v>9.6100000000000005E-3</v>
      </c>
      <c r="AG24" s="254" t="str">
        <f>IF($K$24="Sube",IF(ISERROR(AB24/$O$24)=TRUE,"",IF(AB24&gt;$O$24,AF24,AB24/$O$24*AF24)),IF(ISERROR($O$24/AB24)=TRUE,"",IF($O$24&lt;AB24,$O$24/AB24*AF24,AF24)))</f>
        <v/>
      </c>
      <c r="AH24" s="255" t="str">
        <f>IF($K$24="Sube",IF(ISERROR(AB24/$O$24)=TRUE,"",IF(AB24&gt;=$O$24,1,0)),IF(ISERROR($O$24/AB24)=TRUE,"",IF($O$24&lt;AB24,0,1)))</f>
        <v/>
      </c>
      <c r="AI24" s="256"/>
      <c r="AJ24" s="257"/>
      <c r="AK24" s="420"/>
      <c r="AL24" s="420"/>
      <c r="AM24" s="209"/>
      <c r="AN24" s="125"/>
      <c r="AW24" s="60"/>
      <c r="AX24" s="60"/>
      <c r="AY24" s="60"/>
      <c r="AZ24" s="60"/>
      <c r="BA24" s="60"/>
      <c r="BB24" s="60"/>
      <c r="BC24" s="60"/>
      <c r="BD24" s="60"/>
      <c r="BE24" s="60"/>
      <c r="BF24" s="60"/>
      <c r="BG24" s="60"/>
      <c r="BH24" s="60"/>
    </row>
    <row r="25" spans="1:60" ht="56.25" hidden="1" customHeight="1" thickBot="1">
      <c r="A25" s="631"/>
      <c r="B25" s="327">
        <f t="shared" si="4"/>
        <v>15</v>
      </c>
      <c r="C25" s="265" t="s">
        <v>158</v>
      </c>
      <c r="D25" s="328" t="s">
        <v>37</v>
      </c>
      <c r="E25" s="295"/>
      <c r="F25" s="319"/>
      <c r="G25" s="329" t="s">
        <v>159</v>
      </c>
      <c r="H25" s="329" t="s">
        <v>160</v>
      </c>
      <c r="I25" s="330">
        <f>7.218/9.426-1</f>
        <v>-0.23424570337364736</v>
      </c>
      <c r="J25" s="267" t="s">
        <v>125</v>
      </c>
      <c r="K25" s="268" t="s">
        <v>43</v>
      </c>
      <c r="L25" s="268"/>
      <c r="M25" s="268"/>
      <c r="N25" s="268"/>
      <c r="O25" s="269" t="e">
        <f>+'SGSI_Ing. Sandra_Guerrero_2022'!#REF!</f>
        <v>#REF!</v>
      </c>
      <c r="P25" s="298"/>
      <c r="Q25" s="298"/>
      <c r="R25" s="298"/>
      <c r="S25" s="298"/>
      <c r="T25" s="298"/>
      <c r="U25" s="298"/>
      <c r="V25" s="298"/>
      <c r="W25" s="298"/>
      <c r="X25" s="298"/>
      <c r="Y25" s="298"/>
      <c r="Z25" s="298"/>
      <c r="AA25" s="298"/>
      <c r="AB25" s="299" t="e">
        <f t="shared" si="1"/>
        <v>#N/A</v>
      </c>
      <c r="AC25" s="300"/>
      <c r="AD25" s="298" t="e">
        <f t="shared" si="0"/>
        <v>#DIV/0!</v>
      </c>
      <c r="AE25" s="267" t="s">
        <v>90</v>
      </c>
      <c r="AF25" s="301">
        <v>9.6100000000000005E-3</v>
      </c>
      <c r="AG25" s="302" t="str">
        <f>IF($K$25="Sube",IF(ISERROR(AB25/$O$25)=TRUE,"",IF(AB25&gt;$O$25,AF25,AB25/$O$25*AF25)),IF(ISERROR($O$25/AB25)=TRUE,"",IF($O$25&lt;AB25,$O$25/AB25*AF25,AF25)))</f>
        <v/>
      </c>
      <c r="AH25" s="303" t="str">
        <f>IF($K$25="Sube",IF(ISERROR(AB25/$O$25)=TRUE,"",IF(AB25&gt;=$O$25,1,0)),IF(ISERROR($O$25/AB25)=TRUE,"",IF($O$25&lt;AB25,0,1)))</f>
        <v/>
      </c>
      <c r="AI25" s="304"/>
      <c r="AJ25" s="305"/>
      <c r="AK25" s="424"/>
      <c r="AL25" s="424"/>
      <c r="AM25" s="164"/>
      <c r="AN25" s="137"/>
      <c r="AW25" s="60"/>
      <c r="AX25" s="60"/>
      <c r="AY25" s="60"/>
      <c r="AZ25" s="60"/>
      <c r="BA25" s="60"/>
      <c r="BB25" s="60"/>
      <c r="BC25" s="60"/>
      <c r="BD25" s="60"/>
      <c r="BE25" s="60"/>
      <c r="BF25" s="60"/>
      <c r="BG25" s="60"/>
      <c r="BH25" s="60"/>
    </row>
    <row r="26" spans="1:60" ht="122.25" hidden="1" thickBot="1">
      <c r="A26" s="630" t="s">
        <v>48</v>
      </c>
      <c r="B26" s="225" t="e">
        <f>+#REF!+1</f>
        <v>#REF!</v>
      </c>
      <c r="C26" s="226" t="s">
        <v>161</v>
      </c>
      <c r="D26" s="226" t="s">
        <v>101</v>
      </c>
      <c r="E26" s="331"/>
      <c r="F26" s="331"/>
      <c r="G26" s="226" t="s">
        <v>162</v>
      </c>
      <c r="H26" s="226" t="s">
        <v>163</v>
      </c>
      <c r="I26" s="234">
        <v>1</v>
      </c>
      <c r="J26" s="236" t="s">
        <v>35</v>
      </c>
      <c r="K26" s="232"/>
      <c r="L26" s="232"/>
      <c r="M26" s="232"/>
      <c r="N26" s="232"/>
      <c r="O26" s="233">
        <v>1</v>
      </c>
      <c r="P26" s="234"/>
      <c r="Q26" s="234"/>
      <c r="R26" s="234"/>
      <c r="S26" s="234"/>
      <c r="T26" s="234"/>
      <c r="U26" s="234"/>
      <c r="V26" s="234"/>
      <c r="W26" s="234"/>
      <c r="X26" s="234"/>
      <c r="Y26" s="234"/>
      <c r="Z26" s="234"/>
      <c r="AA26" s="234"/>
      <c r="AB26" s="235" t="e">
        <f t="shared" si="1"/>
        <v>#N/A</v>
      </c>
      <c r="AC26" s="226"/>
      <c r="AD26" s="234" t="e">
        <f t="shared" si="0"/>
        <v>#DIV/0!</v>
      </c>
      <c r="AE26" s="236" t="s">
        <v>90</v>
      </c>
      <c r="AF26" s="310">
        <v>9.6100000000000005E-3</v>
      </c>
      <c r="AG26" s="238" t="str">
        <f>IF($K$26="Sube",IF(ISERROR(AB26/$O$26)=TRUE,"",IF(AB26&gt;$O$26,AF26,AB26/$O$26*AF26)),IF(ISERROR($O$26/AB26)=TRUE,"",IF($O$26&lt;AB26,$O$26/AB26*AF26,AF26)))</f>
        <v/>
      </c>
      <c r="AH26" s="239" t="str">
        <f>IF($K$26="Sube",IF(ISERROR(AB26/$O$26)=TRUE,"",IF(AB26&gt;=$O$26,1,0)),IF(ISERROR($O$26/AB26)=TRUE,"",IF($O$26&lt;AB26,0,1)))</f>
        <v/>
      </c>
      <c r="AI26" s="240"/>
      <c r="AJ26" s="241"/>
      <c r="AK26" s="419"/>
      <c r="AL26" s="419"/>
      <c r="AM26" s="162"/>
      <c r="AN26" s="124"/>
      <c r="AW26" s="60"/>
      <c r="AX26" s="60"/>
      <c r="AY26" s="60"/>
      <c r="AZ26" s="60"/>
      <c r="BA26" s="60"/>
      <c r="BB26" s="60"/>
      <c r="BC26" s="60"/>
      <c r="BD26" s="60"/>
      <c r="BE26" s="60"/>
      <c r="BF26" s="60"/>
      <c r="BG26" s="60"/>
      <c r="BH26" s="60"/>
    </row>
    <row r="27" spans="1:60" ht="122.25" hidden="1" thickBot="1">
      <c r="A27" s="632"/>
      <c r="B27" s="242" t="e">
        <f t="shared" si="4"/>
        <v>#REF!</v>
      </c>
      <c r="C27" s="243" t="s">
        <v>164</v>
      </c>
      <c r="D27" s="243" t="s">
        <v>101</v>
      </c>
      <c r="E27" s="332"/>
      <c r="F27" s="332"/>
      <c r="G27" s="312" t="s">
        <v>165</v>
      </c>
      <c r="H27" s="243" t="s">
        <v>166</v>
      </c>
      <c r="I27" s="250">
        <v>0.9</v>
      </c>
      <c r="J27" s="252" t="s">
        <v>39</v>
      </c>
      <c r="K27" s="248"/>
      <c r="L27" s="248"/>
      <c r="M27" s="248"/>
      <c r="N27" s="248"/>
      <c r="O27" s="259">
        <v>1</v>
      </c>
      <c r="P27" s="250"/>
      <c r="Q27" s="250"/>
      <c r="R27" s="250"/>
      <c r="S27" s="250"/>
      <c r="T27" s="250"/>
      <c r="U27" s="250"/>
      <c r="V27" s="250"/>
      <c r="W27" s="250"/>
      <c r="X27" s="250"/>
      <c r="Y27" s="250"/>
      <c r="Z27" s="250"/>
      <c r="AA27" s="250"/>
      <c r="AB27" s="251" t="e">
        <f t="shared" si="1"/>
        <v>#N/A</v>
      </c>
      <c r="AC27" s="243"/>
      <c r="AD27" s="250" t="e">
        <f t="shared" si="0"/>
        <v>#DIV/0!</v>
      </c>
      <c r="AE27" s="252" t="s">
        <v>90</v>
      </c>
      <c r="AF27" s="280">
        <v>9.6100000000000005E-3</v>
      </c>
      <c r="AG27" s="254" t="str">
        <f>IF($K$27="Sube",IF(ISERROR(AB27/$O$27)=TRUE,"",IF(AB27&gt;$O$27,AF27,AB27/$O$27*AF27)),IF(ISERROR($O$27/AB27)=TRUE,"",IF($O$27&lt;AB27,$O$27/AB27*AF27,AF27)))</f>
        <v/>
      </c>
      <c r="AH27" s="255" t="str">
        <f>IF($K$27="Sube",IF(ISERROR(AB27/$O$27)=TRUE,"",IF(AB27&gt;=$O$27,1,0)),IF(ISERROR($O$27/AB27)=TRUE,"",IF($O$27&lt;AB27,0,1)))</f>
        <v/>
      </c>
      <c r="AI27" s="256"/>
      <c r="AJ27" s="333" t="e">
        <f>+'SGSI_Ing. Sandra_Guerrero_2022'!#REF!</f>
        <v>#REF!</v>
      </c>
      <c r="AK27" s="474"/>
      <c r="AL27" s="421" t="s">
        <v>167</v>
      </c>
      <c r="AM27" s="209"/>
      <c r="AN27" s="125"/>
      <c r="AW27" s="60"/>
      <c r="AX27" s="60"/>
      <c r="AY27" s="60"/>
      <c r="AZ27" s="60"/>
      <c r="BA27" s="60"/>
      <c r="BB27" s="60"/>
      <c r="BC27" s="60"/>
      <c r="BD27" s="60"/>
      <c r="BE27" s="60"/>
      <c r="BF27" s="60"/>
      <c r="BG27" s="60"/>
      <c r="BH27" s="60"/>
    </row>
    <row r="28" spans="1:60" ht="142.5" hidden="1" thickBot="1">
      <c r="A28" s="632"/>
      <c r="B28" s="242" t="e">
        <f t="shared" si="4"/>
        <v>#REF!</v>
      </c>
      <c r="C28" s="243" t="s">
        <v>168</v>
      </c>
      <c r="D28" s="243" t="s">
        <v>101</v>
      </c>
      <c r="E28" s="332"/>
      <c r="F28" s="332"/>
      <c r="G28" s="243" t="s">
        <v>169</v>
      </c>
      <c r="H28" s="243" t="s">
        <v>170</v>
      </c>
      <c r="I28" s="252" t="s">
        <v>114</v>
      </c>
      <c r="J28" s="252"/>
      <c r="K28" s="248"/>
      <c r="L28" s="248"/>
      <c r="M28" s="248"/>
      <c r="N28" s="248"/>
      <c r="O28" s="259"/>
      <c r="P28" s="250"/>
      <c r="Q28" s="250"/>
      <c r="R28" s="250"/>
      <c r="S28" s="250"/>
      <c r="T28" s="250"/>
      <c r="U28" s="250"/>
      <c r="V28" s="250"/>
      <c r="W28" s="250"/>
      <c r="X28" s="250"/>
      <c r="Y28" s="250"/>
      <c r="Z28" s="250"/>
      <c r="AA28" s="250"/>
      <c r="AB28" s="251"/>
      <c r="AC28" s="243"/>
      <c r="AD28" s="250"/>
      <c r="AE28" s="252"/>
      <c r="AF28" s="280"/>
      <c r="AG28" s="254"/>
      <c r="AH28" s="255"/>
      <c r="AI28" s="256"/>
      <c r="AJ28" s="257"/>
      <c r="AK28" s="420"/>
      <c r="AL28" s="420"/>
      <c r="AM28" s="209"/>
      <c r="AN28" s="125"/>
      <c r="AW28" s="60"/>
      <c r="AX28" s="60"/>
      <c r="AY28" s="60"/>
      <c r="AZ28" s="60"/>
      <c r="BA28" s="60"/>
      <c r="BB28" s="60"/>
      <c r="BC28" s="60"/>
      <c r="BD28" s="60"/>
      <c r="BE28" s="60"/>
      <c r="BF28" s="60"/>
      <c r="BG28" s="60"/>
      <c r="BH28" s="60"/>
    </row>
    <row r="29" spans="1:60" ht="61.5" hidden="1" thickBot="1">
      <c r="A29" s="631"/>
      <c r="B29" s="294" t="e">
        <f t="shared" si="4"/>
        <v>#REF!</v>
      </c>
      <c r="C29" s="334" t="s">
        <v>171</v>
      </c>
      <c r="D29" s="300" t="s">
        <v>150</v>
      </c>
      <c r="E29" s="335"/>
      <c r="F29" s="335"/>
      <c r="G29" s="300" t="s">
        <v>172</v>
      </c>
      <c r="H29" s="265" t="s">
        <v>173</v>
      </c>
      <c r="I29" s="336">
        <v>0.878</v>
      </c>
      <c r="J29" s="267" t="s">
        <v>39</v>
      </c>
      <c r="K29" s="268" t="s">
        <v>43</v>
      </c>
      <c r="L29" s="268"/>
      <c r="M29" s="268"/>
      <c r="N29" s="268"/>
      <c r="O29" s="269">
        <v>0.93</v>
      </c>
      <c r="P29" s="298"/>
      <c r="Q29" s="298"/>
      <c r="R29" s="298"/>
      <c r="S29" s="298"/>
      <c r="T29" s="298"/>
      <c r="U29" s="298"/>
      <c r="V29" s="298"/>
      <c r="W29" s="298"/>
      <c r="X29" s="298"/>
      <c r="Y29" s="298"/>
      <c r="Z29" s="298"/>
      <c r="AA29" s="298"/>
      <c r="AB29" s="299" t="e">
        <f t="shared" si="1"/>
        <v>#N/A</v>
      </c>
      <c r="AC29" s="300"/>
      <c r="AD29" s="298" t="e">
        <f t="shared" ref="AD29:AD48" si="5">+IF(SLOPE(P29:AA29,$P$7:$AA$7)&gt;0,"Al alza",IF(SLOPE(P29:AA29,$P$7:$AA$7)&lt;0,"A la baja","Sin cambio"))</f>
        <v>#DIV/0!</v>
      </c>
      <c r="AE29" s="267" t="s">
        <v>90</v>
      </c>
      <c r="AF29" s="301">
        <v>9.6100000000000005E-3</v>
      </c>
      <c r="AG29" s="302" t="str">
        <f t="shared" ref="AG29" si="6">IF(K29="Sube",IF(ISERROR(AB29/O29)=TRUE,"",IF(AB29&gt;O29,AF29,AB29/O29*AF29)),IF(ISERROR(O29/AB29)=TRUE,"",IF(O29&lt;AB29,O29/AB29*AF29,AF29)))</f>
        <v/>
      </c>
      <c r="AH29" s="303" t="str">
        <f>IF($K$29="Sube",IF(ISERROR(AB29/$O$29)=TRUE,"",IF(AB29&gt;=$O$29,1,0)),IF(ISERROR($O$29/AB29)=TRUE,"",IF($O$29&lt;AB29,0,1)))</f>
        <v/>
      </c>
      <c r="AI29" s="304"/>
      <c r="AJ29" s="337">
        <f>236943151/1000000000</f>
        <v>0.23694315099999999</v>
      </c>
      <c r="AK29" s="475"/>
      <c r="AL29" s="422" t="s">
        <v>174</v>
      </c>
      <c r="AM29" s="164"/>
      <c r="AN29" s="137"/>
      <c r="AW29" s="60"/>
      <c r="AX29" s="60"/>
      <c r="AY29" s="60"/>
      <c r="AZ29" s="60"/>
      <c r="BA29" s="60"/>
      <c r="BB29" s="60"/>
      <c r="BC29" s="60"/>
      <c r="BD29" s="60"/>
      <c r="BE29" s="60"/>
      <c r="BF29" s="60"/>
      <c r="BG29" s="60"/>
      <c r="BH29" s="60"/>
    </row>
    <row r="30" spans="1:60" ht="61.5" hidden="1" thickBot="1">
      <c r="A30" s="630" t="s">
        <v>49</v>
      </c>
      <c r="B30" s="338" t="e">
        <f t="shared" si="4"/>
        <v>#REF!</v>
      </c>
      <c r="C30" s="227" t="s">
        <v>175</v>
      </c>
      <c r="D30" s="227" t="s">
        <v>101</v>
      </c>
      <c r="E30" s="307"/>
      <c r="F30" s="308"/>
      <c r="G30" s="339" t="s">
        <v>176</v>
      </c>
      <c r="H30" s="227" t="s">
        <v>177</v>
      </c>
      <c r="I30" s="340">
        <v>0.97599999999999998</v>
      </c>
      <c r="J30" s="231" t="s">
        <v>39</v>
      </c>
      <c r="K30" s="232" t="s">
        <v>43</v>
      </c>
      <c r="L30" s="232"/>
      <c r="M30" s="232"/>
      <c r="N30" s="232"/>
      <c r="O30" s="233" t="s">
        <v>178</v>
      </c>
      <c r="P30" s="234"/>
      <c r="Q30" s="234"/>
      <c r="R30" s="234"/>
      <c r="S30" s="234"/>
      <c r="T30" s="234"/>
      <c r="U30" s="234"/>
      <c r="V30" s="234"/>
      <c r="W30" s="234"/>
      <c r="X30" s="234"/>
      <c r="Y30" s="234"/>
      <c r="Z30" s="234"/>
      <c r="AA30" s="234"/>
      <c r="AB30" s="235" t="e">
        <f t="shared" si="1"/>
        <v>#N/A</v>
      </c>
      <c r="AC30" s="226"/>
      <c r="AD30" s="234" t="e">
        <f t="shared" si="5"/>
        <v>#DIV/0!</v>
      </c>
      <c r="AE30" s="236" t="s">
        <v>90</v>
      </c>
      <c r="AF30" s="310">
        <v>9.6100000000000005E-3</v>
      </c>
      <c r="AG30" s="238" t="str">
        <f>IF($K$30="Sube",IF(ISERROR(AB30/$O$30)=TRUE,"",IF(AB30&gt;$O$30,AF30,AB30/$O$30*AF30)),IF(ISERROR($O$30/AB30)=TRUE,"",IF($O$30&lt;AB30,$O$30/AB30*AF30,AF30)))</f>
        <v/>
      </c>
      <c r="AH30" s="239" t="str">
        <f>IF($K$30="Sube",IF(ISERROR(AB30/$O$30)=TRUE,"",IF(AB30&gt;=$O$30,1,0)),IF(ISERROR($O$30/AB30)=TRUE,"",IF($O$30&lt;AB30,0,1)))</f>
        <v/>
      </c>
      <c r="AI30" s="240"/>
      <c r="AJ30" s="341" t="e">
        <f>+'SGSI_Ing. Sandra_Guerrero_2022'!#REF!</f>
        <v>#REF!</v>
      </c>
      <c r="AK30" s="476"/>
      <c r="AL30" s="425" t="s">
        <v>179</v>
      </c>
      <c r="AM30" s="162"/>
      <c r="AN30" s="124"/>
      <c r="AW30" s="60"/>
      <c r="AX30" s="60"/>
      <c r="AY30" s="60"/>
      <c r="AZ30" s="60"/>
      <c r="BA30" s="60"/>
      <c r="BB30" s="60"/>
      <c r="BC30" s="60"/>
      <c r="BD30" s="60"/>
      <c r="BE30" s="60"/>
      <c r="BF30" s="60"/>
      <c r="BG30" s="60"/>
      <c r="BH30" s="60"/>
    </row>
    <row r="31" spans="1:60" ht="81.75" hidden="1" thickBot="1">
      <c r="A31" s="632"/>
      <c r="B31" s="342" t="e">
        <f t="shared" si="4"/>
        <v>#REF!</v>
      </c>
      <c r="C31" s="244" t="s">
        <v>180</v>
      </c>
      <c r="D31" s="244" t="s">
        <v>37</v>
      </c>
      <c r="E31" s="278"/>
      <c r="F31" s="278"/>
      <c r="G31" s="244" t="s">
        <v>181</v>
      </c>
      <c r="H31" s="244" t="s">
        <v>182</v>
      </c>
      <c r="I31" s="343" t="s">
        <v>114</v>
      </c>
      <c r="J31" s="247" t="s">
        <v>39</v>
      </c>
      <c r="K31" s="248" t="s">
        <v>43</v>
      </c>
      <c r="L31" s="248"/>
      <c r="M31" s="248"/>
      <c r="N31" s="248"/>
      <c r="O31" s="259"/>
      <c r="P31" s="250"/>
      <c r="Q31" s="250"/>
      <c r="R31" s="250"/>
      <c r="S31" s="250"/>
      <c r="T31" s="250"/>
      <c r="U31" s="250"/>
      <c r="V31" s="250"/>
      <c r="W31" s="250"/>
      <c r="X31" s="250"/>
      <c r="Y31" s="250"/>
      <c r="Z31" s="250"/>
      <c r="AA31" s="250"/>
      <c r="AB31" s="251" t="e">
        <f t="shared" si="1"/>
        <v>#N/A</v>
      </c>
      <c r="AC31" s="243"/>
      <c r="AD31" s="250" t="e">
        <f t="shared" si="5"/>
        <v>#DIV/0!</v>
      </c>
      <c r="AE31" s="252" t="s">
        <v>90</v>
      </c>
      <c r="AF31" s="280">
        <v>9.6100000000000005E-3</v>
      </c>
      <c r="AG31" s="254" t="str">
        <f>IF($K$31="Sube",IF(ISERROR(AB31/$O$31)=TRUE,"",IF(AB31&gt;$O$31,AF31,AB31/$O$31*AF31)),IF(ISERROR($O$31/AB31)=TRUE,"",IF($O$31&lt;AB31,$O$31/AB31*AF31,AF31)))</f>
        <v/>
      </c>
      <c r="AH31" s="255" t="str">
        <f>IF($K$31="Sube",IF(ISERROR(AB31/$O$31)=TRUE,"",IF(AB31&gt;=$O$31,1,0)),IF(ISERROR($O$31/AB31)=TRUE,"",IF($O$31&lt;AB31,0,1)))</f>
        <v/>
      </c>
      <c r="AI31" s="256"/>
      <c r="AJ31" s="257">
        <v>17702</v>
      </c>
      <c r="AK31" s="420"/>
      <c r="AL31" s="421" t="s">
        <v>183</v>
      </c>
      <c r="AM31" s="209"/>
      <c r="AN31" s="125"/>
      <c r="AW31" s="60"/>
      <c r="AX31" s="60"/>
      <c r="AY31" s="60"/>
      <c r="AZ31" s="60"/>
      <c r="BA31" s="60"/>
      <c r="BB31" s="60"/>
      <c r="BC31" s="60"/>
      <c r="BD31" s="60"/>
      <c r="BE31" s="60"/>
      <c r="BF31" s="60"/>
      <c r="BG31" s="60"/>
      <c r="BH31" s="60"/>
    </row>
    <row r="32" spans="1:60" ht="61.5" hidden="1" thickBot="1">
      <c r="A32" s="631"/>
      <c r="B32" s="344" t="e">
        <f t="shared" si="4"/>
        <v>#REF!</v>
      </c>
      <c r="C32" s="281" t="s">
        <v>184</v>
      </c>
      <c r="D32" s="281" t="s">
        <v>101</v>
      </c>
      <c r="E32" s="282"/>
      <c r="F32" s="282"/>
      <c r="G32" s="281" t="s">
        <v>185</v>
      </c>
      <c r="H32" s="281" t="s">
        <v>186</v>
      </c>
      <c r="I32" s="345">
        <v>0.98</v>
      </c>
      <c r="J32" s="346" t="s">
        <v>39</v>
      </c>
      <c r="K32" s="283" t="s">
        <v>43</v>
      </c>
      <c r="L32" s="283"/>
      <c r="M32" s="283"/>
      <c r="N32" s="283"/>
      <c r="O32" s="284">
        <v>1</v>
      </c>
      <c r="P32" s="285"/>
      <c r="Q32" s="285"/>
      <c r="R32" s="285"/>
      <c r="S32" s="285"/>
      <c r="T32" s="285"/>
      <c r="U32" s="285"/>
      <c r="V32" s="285"/>
      <c r="W32" s="285"/>
      <c r="X32" s="285"/>
      <c r="Y32" s="285"/>
      <c r="Z32" s="285"/>
      <c r="AA32" s="285"/>
      <c r="AB32" s="286" t="e">
        <f t="shared" si="1"/>
        <v>#N/A</v>
      </c>
      <c r="AC32" s="287"/>
      <c r="AD32" s="285" t="e">
        <f t="shared" si="5"/>
        <v>#DIV/0!</v>
      </c>
      <c r="AE32" s="288" t="s">
        <v>90</v>
      </c>
      <c r="AF32" s="289">
        <v>9.6100000000000005E-3</v>
      </c>
      <c r="AG32" s="290" t="str">
        <f>IF($K$32="Sube",IF(ISERROR(AB32/$O$32)=TRUE,"",IF(AB32&gt;$O$32,AF32,AB32/$O$32*AF32)),IF(ISERROR($O$32/AB32)=TRUE,"",IF($O$32&lt;AB32,$O$32/AB32*AF32,AF32)))</f>
        <v/>
      </c>
      <c r="AH32" s="291" t="str">
        <f>IF($K$32="Sube",IF(ISERROR(AB32/$O$32)=TRUE,"",IF(AB32&gt;=$O$32,1,0)),IF(ISERROR($O$32/AB32)=TRUE,"",IF($O$32&lt;AB32,0,1)))</f>
        <v/>
      </c>
      <c r="AI32" s="292"/>
      <c r="AJ32" s="347">
        <v>0.81</v>
      </c>
      <c r="AK32" s="477"/>
      <c r="AL32" s="426" t="s">
        <v>187</v>
      </c>
      <c r="AM32" s="211"/>
      <c r="AN32" s="163"/>
      <c r="AW32" s="60"/>
      <c r="AX32" s="60"/>
      <c r="AY32" s="60"/>
      <c r="AZ32" s="60"/>
      <c r="BA32" s="60"/>
      <c r="BB32" s="60"/>
      <c r="BC32" s="60"/>
      <c r="BD32" s="60"/>
      <c r="BE32" s="60"/>
      <c r="BF32" s="60"/>
      <c r="BG32" s="60"/>
      <c r="BH32" s="60"/>
    </row>
    <row r="33" spans="1:60" ht="61.5" hidden="1" thickBot="1">
      <c r="A33" s="630" t="s">
        <v>53</v>
      </c>
      <c r="B33" s="338" t="e">
        <f>+#REF!+1</f>
        <v>#REF!</v>
      </c>
      <c r="C33" s="227" t="s">
        <v>188</v>
      </c>
      <c r="D33" s="227" t="s">
        <v>150</v>
      </c>
      <c r="E33" s="320"/>
      <c r="F33" s="320"/>
      <c r="G33" s="227" t="s">
        <v>189</v>
      </c>
      <c r="H33" s="227" t="s">
        <v>190</v>
      </c>
      <c r="I33" s="340" t="e">
        <f>+'SGSI_Ing. Sandra_Guerrero_2022'!#REF!</f>
        <v>#REF!</v>
      </c>
      <c r="J33" s="231" t="s">
        <v>191</v>
      </c>
      <c r="K33" s="232" t="s">
        <v>34</v>
      </c>
      <c r="L33" s="433"/>
      <c r="M33" s="433"/>
      <c r="N33" s="433"/>
      <c r="O33" s="432" t="e">
        <f>+'SGSI_Ing. Sandra_Guerrero_2022'!#REF!</f>
        <v>#REF!</v>
      </c>
      <c r="P33" s="234"/>
      <c r="Q33" s="234"/>
      <c r="R33" s="234"/>
      <c r="S33" s="234"/>
      <c r="T33" s="234"/>
      <c r="U33" s="234"/>
      <c r="V33" s="234"/>
      <c r="W33" s="234"/>
      <c r="X33" s="234"/>
      <c r="Y33" s="234"/>
      <c r="Z33" s="234"/>
      <c r="AA33" s="234"/>
      <c r="AB33" s="235" t="e">
        <f t="shared" si="1"/>
        <v>#N/A</v>
      </c>
      <c r="AC33" s="226"/>
      <c r="AD33" s="234" t="e">
        <f t="shared" si="5"/>
        <v>#DIV/0!</v>
      </c>
      <c r="AE33" s="236" t="s">
        <v>90</v>
      </c>
      <c r="AF33" s="310">
        <v>9.6100000000000005E-3</v>
      </c>
      <c r="AG33" s="238" t="str">
        <f>IF($K$33="Sube",IF(ISERROR(AB33/$O$33)=TRUE,"",IF(AB33&gt;$O$33,AF33,AB33/$O$33*AF33)),IF(ISERROR($O$33/AB33)=TRUE,"",IF($O$33&lt;AB33,$O$33/AB33*AF33,AF33)))</f>
        <v/>
      </c>
      <c r="AH33" s="239" t="str">
        <f>IF($K$33="Sube",IF(ISERROR(AB33/$O$33)=TRUE,"",IF(AB33&gt;=$O$33,1,0)),IF(ISERROR($O$33/AB33)=TRUE,"",IF($O$33&lt;AB33,0,1)))</f>
        <v/>
      </c>
      <c r="AI33" s="240"/>
      <c r="AJ33" s="348" t="e">
        <f>+'SGSI_Ing. Sandra_Guerrero_2022'!#REF!</f>
        <v>#REF!</v>
      </c>
      <c r="AK33" s="478"/>
      <c r="AL33" s="427" t="e">
        <f>+'SGSI_Ing. Sandra_Guerrero_2022'!#REF!</f>
        <v>#REF!</v>
      </c>
      <c r="AM33" s="162"/>
      <c r="AN33" s="115"/>
      <c r="AO33" s="207" t="s">
        <v>192</v>
      </c>
      <c r="AW33" s="60"/>
      <c r="AX33" s="60"/>
      <c r="AY33" s="60"/>
      <c r="AZ33" s="60"/>
      <c r="BA33" s="60"/>
      <c r="BB33" s="60"/>
      <c r="BC33" s="60"/>
      <c r="BD33" s="60"/>
      <c r="BE33" s="60"/>
      <c r="BF33" s="60"/>
      <c r="BG33" s="60"/>
      <c r="BH33" s="60"/>
    </row>
    <row r="34" spans="1:60" ht="57" hidden="1" customHeight="1">
      <c r="A34" s="615"/>
      <c r="B34" s="349"/>
      <c r="C34" s="350" t="s">
        <v>193</v>
      </c>
      <c r="D34" s="350" t="s">
        <v>150</v>
      </c>
      <c r="E34" s="351"/>
      <c r="F34" s="351"/>
      <c r="G34" s="352" t="s">
        <v>194</v>
      </c>
      <c r="H34" s="350" t="s">
        <v>195</v>
      </c>
      <c r="I34" s="353" t="s">
        <v>114</v>
      </c>
      <c r="J34" s="354" t="s">
        <v>39</v>
      </c>
      <c r="K34" s="355"/>
      <c r="L34" s="355"/>
      <c r="M34" s="355"/>
      <c r="N34" s="355"/>
      <c r="O34" s="259" t="s">
        <v>196</v>
      </c>
      <c r="P34" s="356"/>
      <c r="Q34" s="356"/>
      <c r="R34" s="356"/>
      <c r="S34" s="356"/>
      <c r="T34" s="356"/>
      <c r="U34" s="356"/>
      <c r="V34" s="356"/>
      <c r="W34" s="356"/>
      <c r="X34" s="356"/>
      <c r="Y34" s="356"/>
      <c r="Z34" s="356"/>
      <c r="AA34" s="356"/>
      <c r="AB34" s="357"/>
      <c r="AC34" s="358"/>
      <c r="AD34" s="356"/>
      <c r="AE34" s="359"/>
      <c r="AF34" s="360"/>
      <c r="AG34" s="361"/>
      <c r="AH34" s="362"/>
      <c r="AI34" s="363"/>
      <c r="AJ34" s="364">
        <v>0.9</v>
      </c>
      <c r="AK34" s="479"/>
      <c r="AL34" s="427" t="s">
        <v>197</v>
      </c>
      <c r="AM34" s="217"/>
      <c r="AN34" s="216"/>
      <c r="AO34" s="207"/>
      <c r="AW34" s="60"/>
      <c r="AX34" s="60"/>
      <c r="AY34" s="60"/>
      <c r="AZ34" s="60"/>
      <c r="BA34" s="60"/>
      <c r="BB34" s="60"/>
      <c r="BC34" s="60"/>
      <c r="BD34" s="60"/>
      <c r="BE34" s="60"/>
      <c r="BF34" s="60"/>
      <c r="BG34" s="60"/>
      <c r="BH34" s="60"/>
    </row>
    <row r="35" spans="1:60" ht="61.5" hidden="1" thickBot="1">
      <c r="A35" s="631"/>
      <c r="B35" s="279" t="e">
        <f>+#REF!+1</f>
        <v>#REF!</v>
      </c>
      <c r="C35" s="265" t="s">
        <v>198</v>
      </c>
      <c r="D35" s="265" t="s">
        <v>150</v>
      </c>
      <c r="E35" s="295"/>
      <c r="F35" s="295"/>
      <c r="G35" s="365" t="s">
        <v>199</v>
      </c>
      <c r="H35" s="265" t="s">
        <v>200</v>
      </c>
      <c r="I35" s="366" t="s">
        <v>114</v>
      </c>
      <c r="J35" s="367" t="s">
        <v>39</v>
      </c>
      <c r="K35" s="268" t="s">
        <v>43</v>
      </c>
      <c r="L35" s="268"/>
      <c r="M35" s="268"/>
      <c r="N35" s="268"/>
      <c r="O35" s="269"/>
      <c r="P35" s="298"/>
      <c r="Q35" s="298"/>
      <c r="R35" s="298"/>
      <c r="S35" s="298"/>
      <c r="T35" s="298"/>
      <c r="U35" s="298"/>
      <c r="V35" s="298"/>
      <c r="W35" s="298"/>
      <c r="X35" s="298"/>
      <c r="Y35" s="298"/>
      <c r="Z35" s="298"/>
      <c r="AA35" s="298"/>
      <c r="AB35" s="299" t="e">
        <f t="shared" si="1"/>
        <v>#N/A</v>
      </c>
      <c r="AC35" s="300"/>
      <c r="AD35" s="298" t="e">
        <f t="shared" si="5"/>
        <v>#DIV/0!</v>
      </c>
      <c r="AE35" s="267" t="s">
        <v>90</v>
      </c>
      <c r="AF35" s="301">
        <v>9.6100000000000005E-3</v>
      </c>
      <c r="AG35" s="302" t="str">
        <f>IF($K$35="Sube",IF(ISERROR(AB35/$O$35)=TRUE,"",IF(AB35&gt;$O$35,AF35,AB35/$O$35*AF35)),IF(ISERROR($O$35/AB35)=TRUE,"",IF($O$35&lt;AB35,$O$35/AB35*AF35,AF35)))</f>
        <v/>
      </c>
      <c r="AH35" s="303" t="str">
        <f>IF($K$35="Sube",IF(ISERROR(AB35/$O$35)=TRUE,"",IF(AB35&gt;=$O$35,1,0)),IF(ISERROR($O$35/AB35)=TRUE,"",IF($O$35&lt;AB35,0,1)))</f>
        <v/>
      </c>
      <c r="AI35" s="304"/>
      <c r="AJ35" s="337">
        <v>1</v>
      </c>
      <c r="AK35" s="475"/>
      <c r="AL35" s="422" t="s">
        <v>201</v>
      </c>
      <c r="AM35" s="164"/>
      <c r="AN35" s="136"/>
      <c r="AO35" s="207"/>
      <c r="AW35" s="60"/>
      <c r="AX35" s="60"/>
      <c r="AY35" s="60"/>
      <c r="AZ35" s="60"/>
      <c r="BA35" s="60"/>
      <c r="BB35" s="60"/>
      <c r="BC35" s="60"/>
      <c r="BD35" s="60"/>
      <c r="BE35" s="60"/>
      <c r="BF35" s="60"/>
      <c r="BG35" s="60"/>
      <c r="BH35" s="60"/>
    </row>
    <row r="36" spans="1:60" s="203" customFormat="1" ht="63.75" customHeight="1">
      <c r="A36" s="628" t="s">
        <v>202</v>
      </c>
      <c r="B36" s="368" t="e">
        <f t="shared" si="4"/>
        <v>#REF!</v>
      </c>
      <c r="C36" s="226" t="s">
        <v>203</v>
      </c>
      <c r="D36" s="226" t="s">
        <v>101</v>
      </c>
      <c r="E36" s="331"/>
      <c r="F36" s="331"/>
      <c r="G36" s="226" t="s">
        <v>204</v>
      </c>
      <c r="H36" s="226" t="s">
        <v>205</v>
      </c>
      <c r="I36" s="369">
        <v>0.75</v>
      </c>
      <c r="J36" s="231" t="s">
        <v>39</v>
      </c>
      <c r="K36" s="232" t="s">
        <v>43</v>
      </c>
      <c r="L36" s="232"/>
      <c r="M36" s="232"/>
      <c r="N36" s="232"/>
      <c r="O36" s="233" t="s">
        <v>206</v>
      </c>
      <c r="P36" s="234"/>
      <c r="Q36" s="234"/>
      <c r="R36" s="234"/>
      <c r="S36" s="234"/>
      <c r="T36" s="234"/>
      <c r="U36" s="234"/>
      <c r="V36" s="234"/>
      <c r="W36" s="234"/>
      <c r="X36" s="234"/>
      <c r="Y36" s="234"/>
      <c r="Z36" s="234"/>
      <c r="AA36" s="234"/>
      <c r="AB36" s="235" t="e">
        <f t="shared" si="1"/>
        <v>#N/A</v>
      </c>
      <c r="AC36" s="226"/>
      <c r="AD36" s="234" t="e">
        <f t="shared" si="5"/>
        <v>#DIV/0!</v>
      </c>
      <c r="AE36" s="236" t="s">
        <v>90</v>
      </c>
      <c r="AF36" s="310">
        <v>9.6100000000000005E-3</v>
      </c>
      <c r="AG36" s="238" t="str">
        <f>IF($K$36="Sube",IF(ISERROR(AB36/$O$36)=TRUE,"",IF(AB36&gt;$O$36,AF36,AB36/$O$36*AF36)),IF(ISERROR($O$36/AB36)=TRUE,"",IF($O$36&lt;AB36,$O$36/AB36*AF36,AF36)))</f>
        <v/>
      </c>
      <c r="AH36" s="239" t="str">
        <f>IF($K$36="Sube",IF(ISERROR(AB36/$O$36)=TRUE,"",IF(AB36&gt;=$O$36,1,0)),IF(ISERROR($O$36/AB36)=TRUE,"",IF($O$36&lt;AB36,0,1)))</f>
        <v/>
      </c>
      <c r="AI36" s="240"/>
      <c r="AJ36" s="364">
        <v>0.75</v>
      </c>
      <c r="AK36" s="479"/>
      <c r="AL36" s="428" t="s">
        <v>207</v>
      </c>
      <c r="AM36" s="158"/>
      <c r="AN36" s="202"/>
      <c r="AW36" s="204"/>
      <c r="AX36" s="204"/>
      <c r="AY36" s="204"/>
      <c r="AZ36" s="204"/>
      <c r="BA36" s="204"/>
      <c r="BB36" s="204"/>
      <c r="BC36" s="204"/>
      <c r="BD36" s="204"/>
      <c r="BE36" s="204"/>
      <c r="BF36" s="204"/>
      <c r="BG36" s="204"/>
      <c r="BH36" s="204"/>
    </row>
    <row r="37" spans="1:60" s="203" customFormat="1" ht="61.5" hidden="1" thickBot="1">
      <c r="A37" s="629"/>
      <c r="B37" s="370" t="e">
        <f>+B36+1</f>
        <v>#REF!</v>
      </c>
      <c r="C37" s="300" t="s">
        <v>208</v>
      </c>
      <c r="D37" s="300" t="s">
        <v>209</v>
      </c>
      <c r="E37" s="335"/>
      <c r="F37" s="335"/>
      <c r="G37" s="300" t="s">
        <v>210</v>
      </c>
      <c r="H37" s="300" t="s">
        <v>211</v>
      </c>
      <c r="I37" s="367" t="s">
        <v>114</v>
      </c>
      <c r="J37" s="367" t="s">
        <v>212</v>
      </c>
      <c r="K37" s="268" t="s">
        <v>43</v>
      </c>
      <c r="L37" s="268"/>
      <c r="M37" s="268"/>
      <c r="N37" s="268"/>
      <c r="O37" s="269"/>
      <c r="P37" s="298"/>
      <c r="Q37" s="298"/>
      <c r="R37" s="298"/>
      <c r="S37" s="298"/>
      <c r="T37" s="298"/>
      <c r="U37" s="298"/>
      <c r="V37" s="298"/>
      <c r="W37" s="298"/>
      <c r="X37" s="298"/>
      <c r="Y37" s="298"/>
      <c r="Z37" s="298"/>
      <c r="AA37" s="298"/>
      <c r="AB37" s="299" t="e">
        <f t="shared" si="1"/>
        <v>#N/A</v>
      </c>
      <c r="AC37" s="300"/>
      <c r="AD37" s="298" t="e">
        <f t="shared" si="5"/>
        <v>#DIV/0!</v>
      </c>
      <c r="AE37" s="267" t="s">
        <v>90</v>
      </c>
      <c r="AF37" s="301">
        <v>9.6100000000000005E-3</v>
      </c>
      <c r="AG37" s="302" t="str">
        <f>IF($K$37="Sube",IF(ISERROR(AB37/$O$37)=TRUE,"",IF(AB37&gt;$O$37,AF37,AB37/$O$37*AF37)),IF(ISERROR($O$37/AB37)=TRUE,"",IF($O$37&lt;AB37,$O$37/AB37*AF37,AF37)))</f>
        <v/>
      </c>
      <c r="AH37" s="303" t="str">
        <f>IF($K$37="Sube",IF(ISERROR(AB37/$O$37)=TRUE,"",IF(AB37&gt;=$O$37,1,0)),IF(ISERROR($O$37/AB37)=TRUE,"",IF($O$37&lt;AB37,0,1)))</f>
        <v/>
      </c>
      <c r="AI37" s="304"/>
      <c r="AJ37" s="371"/>
      <c r="AK37" s="429"/>
      <c r="AL37" s="429"/>
      <c r="AM37" s="212"/>
      <c r="AN37" s="205"/>
      <c r="AW37" s="204"/>
      <c r="AX37" s="204"/>
      <c r="AY37" s="204"/>
      <c r="AZ37" s="204"/>
      <c r="BA37" s="204"/>
      <c r="BB37" s="204"/>
      <c r="BC37" s="204"/>
      <c r="BD37" s="204"/>
      <c r="BE37" s="204"/>
      <c r="BF37" s="204"/>
      <c r="BG37" s="204"/>
      <c r="BH37" s="204"/>
    </row>
    <row r="38" spans="1:60" ht="63" hidden="1">
      <c r="A38" s="630" t="s">
        <v>213</v>
      </c>
      <c r="B38" s="225" t="e">
        <f t="shared" si="4"/>
        <v>#REF!</v>
      </c>
      <c r="C38" s="372" t="s">
        <v>214</v>
      </c>
      <c r="D38" s="226" t="s">
        <v>101</v>
      </c>
      <c r="E38" s="228"/>
      <c r="F38" s="331"/>
      <c r="G38" s="438" t="s">
        <v>215</v>
      </c>
      <c r="H38" s="438" t="s">
        <v>216</v>
      </c>
      <c r="I38" s="439">
        <v>0</v>
      </c>
      <c r="J38" s="440" t="s">
        <v>217</v>
      </c>
      <c r="K38" s="441" t="s">
        <v>43</v>
      </c>
      <c r="L38" s="435" t="s">
        <v>218</v>
      </c>
      <c r="M38" s="436" t="s">
        <v>219</v>
      </c>
      <c r="N38" s="437" t="s">
        <v>220</v>
      </c>
      <c r="O38" s="233">
        <v>1</v>
      </c>
      <c r="P38" s="234"/>
      <c r="Q38" s="234"/>
      <c r="R38" s="234"/>
      <c r="S38" s="234"/>
      <c r="T38" s="234"/>
      <c r="U38" s="234"/>
      <c r="V38" s="234"/>
      <c r="W38" s="234"/>
      <c r="X38" s="234"/>
      <c r="Y38" s="234"/>
      <c r="Z38" s="234"/>
      <c r="AA38" s="234"/>
      <c r="AB38" s="235" t="e">
        <f t="shared" si="1"/>
        <v>#N/A</v>
      </c>
      <c r="AC38" s="226"/>
      <c r="AD38" s="234" t="e">
        <f t="shared" si="5"/>
        <v>#DIV/0!</v>
      </c>
      <c r="AE38" s="236" t="s">
        <v>90</v>
      </c>
      <c r="AF38" s="310">
        <v>9.6100000000000005E-3</v>
      </c>
      <c r="AG38" s="238" t="str">
        <f>IF($K$38="Sube",IF(ISERROR(AB38/$O$38)=TRUE,"",IF(AB38&gt;$O$38,AF38,AB38/$O$38*AF38)),IF(ISERROR($O$38/AB38)=TRUE,"",IF($O$38&lt;AB38,$O$38/AB38*AF38,AF38)))</f>
        <v/>
      </c>
      <c r="AH38" s="239" t="str">
        <f>IF($K$38="Sube",IF(ISERROR(AB38/$O$38)=TRUE,"",IF(AB38&gt;=$O$38,1,0)),IF(ISERROR($O$38/AB38)=TRUE,"",IF($O$38&lt;AB38,0,1)))</f>
        <v/>
      </c>
      <c r="AI38" s="240"/>
      <c r="AJ38" s="241"/>
      <c r="AK38" s="419"/>
      <c r="AL38" s="425" t="s">
        <v>221</v>
      </c>
      <c r="AM38" s="162"/>
      <c r="AN38" s="124"/>
      <c r="AW38" s="60"/>
      <c r="AX38" s="60"/>
      <c r="AY38" s="60"/>
      <c r="AZ38" s="60"/>
      <c r="BA38" s="60"/>
      <c r="BB38" s="60"/>
      <c r="BC38" s="60"/>
      <c r="BD38" s="60"/>
      <c r="BE38" s="60"/>
      <c r="BF38" s="60"/>
      <c r="BG38" s="60"/>
      <c r="BH38" s="60"/>
    </row>
    <row r="39" spans="1:60" ht="77.25" hidden="1" thickBot="1">
      <c r="A39" s="631"/>
      <c r="B39" s="294" t="e">
        <f>+#REF!+1</f>
        <v>#REF!</v>
      </c>
      <c r="C39" s="365" t="s">
        <v>222</v>
      </c>
      <c r="D39" s="265" t="s">
        <v>33</v>
      </c>
      <c r="E39" s="373"/>
      <c r="F39" s="295"/>
      <c r="G39" s="442" t="s">
        <v>223</v>
      </c>
      <c r="H39" s="325" t="s">
        <v>224</v>
      </c>
      <c r="I39" s="443">
        <v>0.85</v>
      </c>
      <c r="J39" s="444" t="s">
        <v>212</v>
      </c>
      <c r="K39" s="445" t="s">
        <v>43</v>
      </c>
      <c r="L39" s="267"/>
      <c r="M39" s="267"/>
      <c r="N39" s="267"/>
      <c r="O39" s="269">
        <v>0.92</v>
      </c>
      <c r="P39" s="298"/>
      <c r="Q39" s="298"/>
      <c r="R39" s="298"/>
      <c r="S39" s="298"/>
      <c r="T39" s="298"/>
      <c r="U39" s="298"/>
      <c r="V39" s="298"/>
      <c r="W39" s="298"/>
      <c r="X39" s="298"/>
      <c r="Y39" s="298"/>
      <c r="Z39" s="298"/>
      <c r="AA39" s="298"/>
      <c r="AB39" s="299" t="e">
        <f t="shared" si="1"/>
        <v>#N/A</v>
      </c>
      <c r="AC39" s="300">
        <f>+(4*100)/4</f>
        <v>100</v>
      </c>
      <c r="AD39" s="298" t="e">
        <f t="shared" si="5"/>
        <v>#DIV/0!</v>
      </c>
      <c r="AE39" s="267" t="s">
        <v>90</v>
      </c>
      <c r="AF39" s="301">
        <v>9.6100000000000005E-3</v>
      </c>
      <c r="AG39" s="302" t="str">
        <f>IF($K$39="Sube",IF(ISERROR(AB39/$O$39)=TRUE,"",IF(AB39&gt;$O$39,AF39,AB39/$O$39*AF39)),IF(ISERROR($O$39/AB39)=TRUE,"",IF($O$39&lt;AB39,$O$39/AB39*AF39,AF39)))</f>
        <v/>
      </c>
      <c r="AH39" s="303" t="str">
        <f>IF($K$39="Sube",IF(ISERROR(AB39/$O$39)=TRUE,"",IF(AB39&gt;=$O$39,1,0)),IF(ISERROR($O$39/AB39)=TRUE,"",IF($O$39&lt;AB39,0,1)))</f>
        <v/>
      </c>
      <c r="AI39" s="304"/>
      <c r="AJ39" s="305"/>
      <c r="AK39" s="424"/>
      <c r="AL39" s="424"/>
      <c r="AM39" s="164"/>
      <c r="AN39" s="137"/>
      <c r="AO39" s="165" t="s">
        <v>225</v>
      </c>
      <c r="AW39" s="60"/>
      <c r="AX39" s="60"/>
      <c r="AY39" s="60"/>
      <c r="AZ39" s="60"/>
      <c r="BA39" s="60"/>
      <c r="BB39" s="60"/>
      <c r="BC39" s="60"/>
      <c r="BD39" s="60"/>
      <c r="BE39" s="60"/>
      <c r="BF39" s="60"/>
      <c r="BG39" s="60"/>
      <c r="BH39" s="60"/>
    </row>
    <row r="40" spans="1:60" ht="42" hidden="1">
      <c r="A40" s="630" t="s">
        <v>50</v>
      </c>
      <c r="B40" s="374" t="e">
        <f t="shared" si="4"/>
        <v>#REF!</v>
      </c>
      <c r="C40" s="375" t="s">
        <v>226</v>
      </c>
      <c r="D40" s="375" t="s">
        <v>37</v>
      </c>
      <c r="E40" s="376"/>
      <c r="F40" s="377"/>
      <c r="G40" s="378" t="e">
        <f>+'SGSI_Ing. Sandra_Guerrero_2022'!#REF!</f>
        <v>#REF!</v>
      </c>
      <c r="H40" s="378" t="s">
        <v>227</v>
      </c>
      <c r="I40" s="446" t="e">
        <f>+'SGSI_Ing. Sandra_Guerrero_2022'!#REF!</f>
        <v>#REF!</v>
      </c>
      <c r="J40" s="446" t="s">
        <v>125</v>
      </c>
      <c r="K40" s="441" t="s">
        <v>43</v>
      </c>
      <c r="L40" s="236"/>
      <c r="M40" s="236"/>
      <c r="N40" s="236"/>
      <c r="O40" s="379" t="e">
        <f>+'SGSI_Ing. Sandra_Guerrero_2022'!#REF!</f>
        <v>#REF!</v>
      </c>
      <c r="P40" s="234"/>
      <c r="Q40" s="234"/>
      <c r="R40" s="234"/>
      <c r="S40" s="234"/>
      <c r="T40" s="234"/>
      <c r="U40" s="234"/>
      <c r="V40" s="234"/>
      <c r="W40" s="234"/>
      <c r="X40" s="234"/>
      <c r="Y40" s="234"/>
      <c r="Z40" s="234"/>
      <c r="AA40" s="234"/>
      <c r="AB40" s="235" t="e">
        <f t="shared" si="1"/>
        <v>#N/A</v>
      </c>
      <c r="AC40" s="226"/>
      <c r="AD40" s="234" t="e">
        <f t="shared" si="5"/>
        <v>#DIV/0!</v>
      </c>
      <c r="AE40" s="236" t="s">
        <v>90</v>
      </c>
      <c r="AF40" s="310">
        <v>9.6100000000000005E-3</v>
      </c>
      <c r="AG40" s="238" t="str">
        <f>IF($K$40="Sube",IF(ISERROR(AB40/$O$40)=TRUE,"",IF(AB40&gt;$O$40,AF40,AB40/$O$40*AF40)),IF(ISERROR($O$40/AB40)=TRUE,"",IF($O$40&lt;AB40,$O$40/AB40*AF40,AF40)))</f>
        <v/>
      </c>
      <c r="AH40" s="239" t="str">
        <f>IF($K$40="Sube",IF(ISERROR(AB40/$O$40)=TRUE,"",IF(AB40&gt;=$O$40,1,0)),IF(ISERROR($O$40/AB40)=TRUE,"",IF($O$40&lt;AB40,0,1)))</f>
        <v/>
      </c>
      <c r="AI40" s="240"/>
      <c r="AJ40" s="241"/>
      <c r="AK40" s="419"/>
      <c r="AL40" s="419"/>
      <c r="AM40" s="162"/>
      <c r="AN40" s="124"/>
      <c r="AW40" s="60"/>
      <c r="AX40" s="60"/>
      <c r="AY40" s="60"/>
      <c r="AZ40" s="60"/>
      <c r="BA40" s="60"/>
      <c r="BB40" s="60"/>
      <c r="BC40" s="60"/>
      <c r="BD40" s="60"/>
      <c r="BE40" s="60"/>
      <c r="BF40" s="60"/>
      <c r="BG40" s="60"/>
      <c r="BH40" s="60"/>
    </row>
    <row r="41" spans="1:60" ht="42" hidden="1">
      <c r="A41" s="632"/>
      <c r="B41" s="380" t="e">
        <f t="shared" si="4"/>
        <v>#REF!</v>
      </c>
      <c r="C41" s="312" t="s">
        <v>228</v>
      </c>
      <c r="D41" s="312" t="s">
        <v>37</v>
      </c>
      <c r="E41" s="381"/>
      <c r="F41" s="382"/>
      <c r="G41" s="383" t="s">
        <v>229</v>
      </c>
      <c r="H41" s="383" t="s">
        <v>230</v>
      </c>
      <c r="I41" s="447"/>
      <c r="J41" s="447" t="s">
        <v>125</v>
      </c>
      <c r="K41" s="448" t="s">
        <v>43</v>
      </c>
      <c r="L41" s="252"/>
      <c r="M41" s="252"/>
      <c r="N41" s="252"/>
      <c r="O41" s="259"/>
      <c r="P41" s="250"/>
      <c r="Q41" s="250"/>
      <c r="R41" s="250"/>
      <c r="S41" s="250"/>
      <c r="T41" s="250"/>
      <c r="U41" s="250"/>
      <c r="V41" s="250"/>
      <c r="W41" s="250"/>
      <c r="X41" s="250"/>
      <c r="Y41" s="250"/>
      <c r="Z41" s="250"/>
      <c r="AA41" s="250"/>
      <c r="AB41" s="251" t="e">
        <f t="shared" si="1"/>
        <v>#N/A</v>
      </c>
      <c r="AC41" s="243"/>
      <c r="AD41" s="250" t="e">
        <f t="shared" si="5"/>
        <v>#DIV/0!</v>
      </c>
      <c r="AE41" s="252" t="s">
        <v>90</v>
      </c>
      <c r="AF41" s="280">
        <v>9.6100000000000005E-3</v>
      </c>
      <c r="AG41" s="254" t="str">
        <f>IF($K$41="Sube",IF(ISERROR(AB41/$O$41)=TRUE,"",IF(AB41&gt;$O$41,AF41,AB41/$O$41*AF41)),IF(ISERROR($O$41/AB41)=TRUE,"",IF($O$41&lt;AB41,$O$41/AB41*AF41,AF41)))</f>
        <v/>
      </c>
      <c r="AH41" s="255" t="str">
        <f>IF($K$41="Sube",IF(ISERROR(AB41/$O$41)=TRUE,"",IF(AB41&gt;=$O$41,1,0)),IF(ISERROR($O$41/AB41)=TRUE,"",IF($O$41&lt;AB41,0,1)))</f>
        <v/>
      </c>
      <c r="AI41" s="256"/>
      <c r="AJ41" s="257"/>
      <c r="AK41" s="420"/>
      <c r="AL41" s="420"/>
      <c r="AM41" s="209"/>
      <c r="AN41" s="125"/>
      <c r="AW41" s="60"/>
      <c r="AX41" s="60"/>
      <c r="AY41" s="60"/>
      <c r="AZ41" s="60"/>
      <c r="BA41" s="60"/>
      <c r="BB41" s="60"/>
      <c r="BC41" s="60"/>
      <c r="BD41" s="60"/>
      <c r="BE41" s="60"/>
      <c r="BF41" s="60"/>
      <c r="BG41" s="60"/>
      <c r="BH41" s="60"/>
    </row>
    <row r="42" spans="1:60" ht="42" hidden="1">
      <c r="A42" s="632"/>
      <c r="B42" s="380" t="e">
        <f>+#REF!+1</f>
        <v>#REF!</v>
      </c>
      <c r="C42" s="312" t="s">
        <v>231</v>
      </c>
      <c r="D42" s="312" t="s">
        <v>37</v>
      </c>
      <c r="E42" s="381"/>
      <c r="F42" s="382"/>
      <c r="G42" s="383" t="s">
        <v>232</v>
      </c>
      <c r="H42" s="383" t="s">
        <v>233</v>
      </c>
      <c r="I42" s="447" t="s">
        <v>114</v>
      </c>
      <c r="J42" s="449" t="s">
        <v>217</v>
      </c>
      <c r="K42" s="448" t="s">
        <v>43</v>
      </c>
      <c r="L42" s="252"/>
      <c r="M42" s="252"/>
      <c r="N42" s="252"/>
      <c r="O42" s="259"/>
      <c r="P42" s="250"/>
      <c r="Q42" s="250"/>
      <c r="R42" s="250"/>
      <c r="S42" s="250"/>
      <c r="T42" s="250"/>
      <c r="U42" s="250"/>
      <c r="V42" s="250"/>
      <c r="W42" s="250"/>
      <c r="X42" s="250"/>
      <c r="Y42" s="250"/>
      <c r="Z42" s="250"/>
      <c r="AA42" s="250"/>
      <c r="AB42" s="251" t="e">
        <f t="shared" si="1"/>
        <v>#N/A</v>
      </c>
      <c r="AC42" s="243"/>
      <c r="AD42" s="250" t="e">
        <f t="shared" si="5"/>
        <v>#DIV/0!</v>
      </c>
      <c r="AE42" s="252" t="s">
        <v>90</v>
      </c>
      <c r="AF42" s="280">
        <v>9.6100000000000005E-3</v>
      </c>
      <c r="AG42" s="254" t="str">
        <f>IF($K$42="Sube",IF(ISERROR(AB42/$O$42)=TRUE,"",IF(AB42&gt;$O$42,AF42,AB42/$O$42*AF42)),IF(ISERROR($O$42/AB42)=TRUE,"",IF($O$42&lt;AB42,$O$42/AB42*AF42,AF42)))</f>
        <v/>
      </c>
      <c r="AH42" s="255" t="str">
        <f>IF($K$42="Sube",IF(ISERROR(AB42/$O$42)=TRUE,"",IF(AB42&gt;=$O$42,1,0)),IF(ISERROR($O$42/AB42)=TRUE,"",IF($O$42&lt;AB42,0,1)))</f>
        <v/>
      </c>
      <c r="AI42" s="256"/>
      <c r="AJ42" s="257"/>
      <c r="AK42" s="420"/>
      <c r="AL42" s="420"/>
      <c r="AM42" s="209"/>
      <c r="AN42" s="125"/>
      <c r="AW42" s="60"/>
      <c r="AX42" s="60"/>
      <c r="AY42" s="60"/>
      <c r="AZ42" s="60"/>
      <c r="BA42" s="60"/>
      <c r="BB42" s="60"/>
      <c r="BC42" s="60"/>
      <c r="BD42" s="60"/>
      <c r="BE42" s="60"/>
      <c r="BF42" s="60"/>
      <c r="BG42" s="60"/>
      <c r="BH42" s="60"/>
    </row>
    <row r="43" spans="1:60" ht="33.75" hidden="1" customHeight="1">
      <c r="A43" s="632"/>
      <c r="B43" s="380" t="e">
        <f t="shared" si="4"/>
        <v>#REF!</v>
      </c>
      <c r="C43" s="312" t="s">
        <v>234</v>
      </c>
      <c r="D43" s="312" t="s">
        <v>101</v>
      </c>
      <c r="E43" s="381"/>
      <c r="F43" s="382"/>
      <c r="G43" s="383" t="s">
        <v>235</v>
      </c>
      <c r="H43" s="383" t="s">
        <v>236</v>
      </c>
      <c r="I43" s="450">
        <v>1</v>
      </c>
      <c r="J43" s="447" t="s">
        <v>39</v>
      </c>
      <c r="K43" s="448" t="s">
        <v>43</v>
      </c>
      <c r="L43" s="252"/>
      <c r="M43" s="252"/>
      <c r="N43" s="252"/>
      <c r="O43" s="259">
        <v>1</v>
      </c>
      <c r="P43" s="250"/>
      <c r="Q43" s="250"/>
      <c r="R43" s="250"/>
      <c r="S43" s="250"/>
      <c r="T43" s="250"/>
      <c r="U43" s="250"/>
      <c r="V43" s="250"/>
      <c r="W43" s="250"/>
      <c r="X43" s="250"/>
      <c r="Y43" s="250"/>
      <c r="Z43" s="250"/>
      <c r="AA43" s="250"/>
      <c r="AB43" s="251" t="e">
        <f t="shared" si="1"/>
        <v>#N/A</v>
      </c>
      <c r="AC43" s="243"/>
      <c r="AD43" s="250" t="e">
        <f t="shared" si="5"/>
        <v>#DIV/0!</v>
      </c>
      <c r="AE43" s="252" t="s">
        <v>90</v>
      </c>
      <c r="AF43" s="280">
        <v>9.6100000000000005E-3</v>
      </c>
      <c r="AG43" s="254" t="str">
        <f>IF($K$43="Sube",IF(ISERROR(AB43/$O$43)=TRUE,"",IF(AB43&gt;$O$43,AF43,AB43/$O$43*AF43)),IF(ISERROR($O$43/AB43)=TRUE,"",IF($O$43&lt;AB43,$O$43/AB43*AF43,AF43)))</f>
        <v/>
      </c>
      <c r="AH43" s="255" t="str">
        <f>IF($K$43="Sube",IF(ISERROR(AB43/$O$43)=TRUE,"",IF(AB43&gt;=$O$43,1,0)),IF(ISERROR($O$43/AB43)=TRUE,"",IF($O$43&lt;AB43,0,1)))</f>
        <v/>
      </c>
      <c r="AI43" s="256"/>
      <c r="AJ43" s="257"/>
      <c r="AK43" s="420"/>
      <c r="AL43" s="420"/>
      <c r="AM43" s="209"/>
      <c r="AN43" s="125"/>
      <c r="AW43" s="60"/>
      <c r="AX43" s="60"/>
      <c r="AY43" s="60"/>
      <c r="AZ43" s="60"/>
      <c r="BA43" s="60"/>
      <c r="BB43" s="60"/>
      <c r="BC43" s="60"/>
      <c r="BD43" s="60"/>
      <c r="BE43" s="60"/>
      <c r="BF43" s="60"/>
      <c r="BG43" s="60"/>
      <c r="BH43" s="60"/>
    </row>
    <row r="44" spans="1:60" ht="63" hidden="1">
      <c r="A44" s="632"/>
      <c r="B44" s="380" t="e">
        <f t="shared" si="4"/>
        <v>#REF!</v>
      </c>
      <c r="C44" s="312" t="s">
        <v>237</v>
      </c>
      <c r="D44" s="312" t="s">
        <v>101</v>
      </c>
      <c r="E44" s="382"/>
      <c r="F44" s="382"/>
      <c r="G44" s="383" t="s">
        <v>238</v>
      </c>
      <c r="H44" s="383" t="s">
        <v>239</v>
      </c>
      <c r="I44" s="447" t="s">
        <v>114</v>
      </c>
      <c r="J44" s="449" t="s">
        <v>125</v>
      </c>
      <c r="K44" s="448" t="s">
        <v>43</v>
      </c>
      <c r="L44" s="252"/>
      <c r="M44" s="252"/>
      <c r="N44" s="252"/>
      <c r="O44" s="259"/>
      <c r="P44" s="250"/>
      <c r="Q44" s="250"/>
      <c r="R44" s="250"/>
      <c r="S44" s="250"/>
      <c r="T44" s="250"/>
      <c r="U44" s="250"/>
      <c r="V44" s="250"/>
      <c r="W44" s="250"/>
      <c r="X44" s="250"/>
      <c r="Y44" s="250"/>
      <c r="Z44" s="250"/>
      <c r="AA44" s="250"/>
      <c r="AB44" s="251" t="e">
        <f t="shared" si="1"/>
        <v>#N/A</v>
      </c>
      <c r="AC44" s="243"/>
      <c r="AD44" s="250" t="e">
        <f t="shared" si="5"/>
        <v>#DIV/0!</v>
      </c>
      <c r="AE44" s="252" t="s">
        <v>90</v>
      </c>
      <c r="AF44" s="280">
        <v>9.6100000000000005E-3</v>
      </c>
      <c r="AG44" s="254" t="str">
        <f>IF($K$44="Sube",IF(ISERROR(AB44/$O$44)=TRUE,"",IF(AB44&gt;$O$44,AF44,AB44/$O$44*AF44)),IF(ISERROR($O$44/AB44)=TRUE,"",IF($O$44&lt;AB44,$O$44/AB44*AF44,AF44)))</f>
        <v/>
      </c>
      <c r="AH44" s="255" t="str">
        <f>IF($K$44="Sube",IF(ISERROR(AB44/$O$44)=TRUE,"",IF(AB44&gt;=$O$44,1,0)),IF(ISERROR($O$44/AB44)=TRUE,"",IF($O$44&lt;AB44,0,1)))</f>
        <v/>
      </c>
      <c r="AI44" s="256"/>
      <c r="AJ44" s="257"/>
      <c r="AK44" s="420"/>
      <c r="AL44" s="420"/>
      <c r="AM44" s="209"/>
      <c r="AN44" s="125"/>
      <c r="AW44" s="60"/>
      <c r="AX44" s="60"/>
      <c r="AY44" s="60"/>
      <c r="AZ44" s="60"/>
      <c r="BA44" s="60"/>
      <c r="BB44" s="60"/>
      <c r="BC44" s="60"/>
      <c r="BD44" s="60"/>
      <c r="BE44" s="60"/>
      <c r="BF44" s="60"/>
      <c r="BG44" s="60"/>
      <c r="BH44" s="60"/>
    </row>
    <row r="45" spans="1:60" ht="63.75" hidden="1" thickBot="1">
      <c r="A45" s="631"/>
      <c r="B45" s="323"/>
      <c r="C45" s="384" t="s">
        <v>240</v>
      </c>
      <c r="D45" s="384" t="s">
        <v>101</v>
      </c>
      <c r="E45" s="385"/>
      <c r="F45" s="385"/>
      <c r="G45" s="451" t="s">
        <v>241</v>
      </c>
      <c r="H45" s="451" t="s">
        <v>242</v>
      </c>
      <c r="I45" s="452">
        <v>1</v>
      </c>
      <c r="J45" s="453" t="s">
        <v>125</v>
      </c>
      <c r="K45" s="454" t="s">
        <v>34</v>
      </c>
      <c r="L45" s="288"/>
      <c r="M45" s="288"/>
      <c r="N45" s="288"/>
      <c r="O45" s="284">
        <v>1</v>
      </c>
      <c r="P45" s="285"/>
      <c r="Q45" s="285"/>
      <c r="R45" s="285"/>
      <c r="S45" s="285"/>
      <c r="T45" s="285"/>
      <c r="U45" s="285"/>
      <c r="V45" s="285"/>
      <c r="W45" s="285"/>
      <c r="X45" s="285"/>
      <c r="Y45" s="285"/>
      <c r="Z45" s="285"/>
      <c r="AA45" s="285"/>
      <c r="AB45" s="286"/>
      <c r="AC45" s="287"/>
      <c r="AD45" s="285"/>
      <c r="AE45" s="288"/>
      <c r="AF45" s="289"/>
      <c r="AG45" s="290"/>
      <c r="AH45" s="291"/>
      <c r="AI45" s="292"/>
      <c r="AJ45" s="293"/>
      <c r="AK45" s="423"/>
      <c r="AL45" s="423"/>
      <c r="AM45" s="211"/>
      <c r="AN45" s="163"/>
      <c r="AW45" s="60"/>
      <c r="AX45" s="60"/>
      <c r="AY45" s="60"/>
      <c r="AZ45" s="60"/>
      <c r="BA45" s="60"/>
      <c r="BB45" s="60"/>
      <c r="BC45" s="60"/>
      <c r="BD45" s="60"/>
      <c r="BE45" s="60"/>
      <c r="BF45" s="60"/>
      <c r="BG45" s="60"/>
      <c r="BH45" s="60"/>
    </row>
    <row r="46" spans="1:60" ht="42.75" hidden="1" thickBot="1">
      <c r="A46" s="386" t="s">
        <v>243</v>
      </c>
      <c r="B46" s="387" t="e">
        <f>+#REF!+1</f>
        <v>#REF!</v>
      </c>
      <c r="C46" s="388" t="s">
        <v>244</v>
      </c>
      <c r="D46" s="388" t="s">
        <v>101</v>
      </c>
      <c r="E46" s="389"/>
      <c r="F46" s="389"/>
      <c r="G46" s="455" t="s">
        <v>245</v>
      </c>
      <c r="H46" s="455" t="s">
        <v>246</v>
      </c>
      <c r="I46" s="456" t="e">
        <f>+'SGSI_Ing. Sandra_Guerrero_2022'!#REF!</f>
        <v>#REF!</v>
      </c>
      <c r="J46" s="457" t="e">
        <f>+'SGSI_Ing. Sandra_Guerrero_2022'!#REF!</f>
        <v>#REF!</v>
      </c>
      <c r="K46" s="458" t="s">
        <v>43</v>
      </c>
      <c r="L46" s="394"/>
      <c r="M46" s="394"/>
      <c r="N46" s="394"/>
      <c r="O46" s="390">
        <v>1</v>
      </c>
      <c r="P46" s="391"/>
      <c r="Q46" s="391"/>
      <c r="R46" s="391"/>
      <c r="S46" s="391"/>
      <c r="T46" s="391"/>
      <c r="U46" s="391"/>
      <c r="V46" s="391"/>
      <c r="W46" s="391"/>
      <c r="X46" s="391"/>
      <c r="Y46" s="391"/>
      <c r="Z46" s="391"/>
      <c r="AA46" s="391"/>
      <c r="AB46" s="392" t="e">
        <f t="shared" si="1"/>
        <v>#N/A</v>
      </c>
      <c r="AC46" s="393"/>
      <c r="AD46" s="391" t="e">
        <f t="shared" si="5"/>
        <v>#DIV/0!</v>
      </c>
      <c r="AE46" s="394" t="s">
        <v>90</v>
      </c>
      <c r="AF46" s="395">
        <v>9.6100000000000005E-3</v>
      </c>
      <c r="AG46" s="396" t="str">
        <f>IF($K$46="Sube",IF(ISERROR(AB46/$O$46)=TRUE,"",IF(AB46&gt;$O$46,AF46,AB46/$O$46*AF46)),IF(ISERROR($O$46/AB46)=TRUE,"",IF($O$46&lt;AB46,$O$46/AB46*AF46,AF46)))</f>
        <v/>
      </c>
      <c r="AH46" s="397" t="str">
        <f>IF($K$46="Sube",IF(ISERROR(AB46/$O$46)=TRUE,"",IF(AB46&gt;=$O$46,1,0)),IF(ISERROR($O$46/AB46)=TRUE,"",IF($O$46&lt;AB46,0,1)))</f>
        <v/>
      </c>
      <c r="AI46" s="398"/>
      <c r="AJ46" s="399" t="e">
        <f>+'SGSI_Ing. Sandra_Guerrero_2022'!#REF!</f>
        <v>#REF!</v>
      </c>
      <c r="AK46" s="430"/>
      <c r="AL46" s="430" t="e">
        <f>+'SGSI_Ing. Sandra_Guerrero_2022'!#REF!</f>
        <v>#REF!</v>
      </c>
      <c r="AM46" s="213"/>
      <c r="AN46" s="166"/>
      <c r="AO46" s="207"/>
      <c r="AW46" s="60"/>
      <c r="AX46" s="60"/>
      <c r="AY46" s="60"/>
      <c r="AZ46" s="60"/>
      <c r="BA46" s="60"/>
      <c r="BB46" s="60"/>
      <c r="BC46" s="60"/>
      <c r="BD46" s="60"/>
      <c r="BE46" s="60"/>
      <c r="BF46" s="60"/>
      <c r="BG46" s="60"/>
      <c r="BH46" s="60"/>
    </row>
    <row r="47" spans="1:60" ht="63" hidden="1">
      <c r="A47" s="630" t="s">
        <v>52</v>
      </c>
      <c r="B47" s="338" t="e">
        <f>+#REF!+1</f>
        <v>#REF!</v>
      </c>
      <c r="C47" s="226" t="s">
        <v>247</v>
      </c>
      <c r="D47" s="227" t="s">
        <v>150</v>
      </c>
      <c r="E47" s="320"/>
      <c r="F47" s="320"/>
      <c r="G47" s="459" t="s">
        <v>248</v>
      </c>
      <c r="H47" s="459" t="s">
        <v>249</v>
      </c>
      <c r="I47" s="460"/>
      <c r="J47" s="440" t="s">
        <v>191</v>
      </c>
      <c r="K47" s="441" t="s">
        <v>34</v>
      </c>
      <c r="L47" s="236"/>
      <c r="M47" s="236"/>
      <c r="N47" s="236"/>
      <c r="O47" s="233"/>
      <c r="P47" s="234"/>
      <c r="Q47" s="234"/>
      <c r="R47" s="234"/>
      <c r="S47" s="234"/>
      <c r="T47" s="234"/>
      <c r="U47" s="234"/>
      <c r="V47" s="234"/>
      <c r="W47" s="234"/>
      <c r="X47" s="234"/>
      <c r="Y47" s="234"/>
      <c r="Z47" s="234"/>
      <c r="AA47" s="234"/>
      <c r="AB47" s="235" t="e">
        <f t="shared" si="1"/>
        <v>#N/A</v>
      </c>
      <c r="AC47" s="226"/>
      <c r="AD47" s="234" t="e">
        <f t="shared" si="5"/>
        <v>#DIV/0!</v>
      </c>
      <c r="AE47" s="236" t="s">
        <v>90</v>
      </c>
      <c r="AF47" s="310">
        <v>9.6100000000000005E-3</v>
      </c>
      <c r="AG47" s="238" t="str">
        <f>IF($K$47="Sube",IF(ISERROR(AB47/$O$47)=TRUE,"",IF(AB47&gt;$O$47,AF47,AB47/$O$47*AF47)),IF(ISERROR($O$47/AB47)=TRUE,"",IF($O$47&lt;AB47,$O$47/AB47*AF47,AF47)))</f>
        <v/>
      </c>
      <c r="AH47" s="239" t="str">
        <f>IF($K$47="Sube",IF(ISERROR(AB47/$O$47)=TRUE,"",IF(AB47&gt;=$O$47,1,0)),IF(ISERROR($O$47/AB47)=TRUE,"",IF($O$47&lt;AB47,0,1)))</f>
        <v/>
      </c>
      <c r="AI47" s="240"/>
      <c r="AJ47" s="241"/>
      <c r="AK47" s="419"/>
      <c r="AL47" s="419"/>
      <c r="AM47" s="162"/>
      <c r="AN47" s="124"/>
      <c r="AW47" s="60"/>
      <c r="AX47" s="60"/>
      <c r="AY47" s="60"/>
      <c r="AZ47" s="60"/>
      <c r="BA47" s="60"/>
      <c r="BB47" s="60"/>
      <c r="BC47" s="60"/>
      <c r="BD47" s="60"/>
      <c r="BE47" s="60"/>
      <c r="BF47" s="60"/>
      <c r="BG47" s="60"/>
      <c r="BH47" s="60"/>
    </row>
    <row r="48" spans="1:60" ht="42" hidden="1">
      <c r="A48" s="632"/>
      <c r="B48" s="342" t="e">
        <f t="shared" si="4"/>
        <v>#REF!</v>
      </c>
      <c r="C48" s="244" t="s">
        <v>250</v>
      </c>
      <c r="D48" s="244" t="s">
        <v>101</v>
      </c>
      <c r="E48" s="278"/>
      <c r="F48" s="278"/>
      <c r="G48" s="329" t="s">
        <v>251</v>
      </c>
      <c r="H48" s="329" t="s">
        <v>252</v>
      </c>
      <c r="I48" s="461"/>
      <c r="J48" s="449" t="s">
        <v>191</v>
      </c>
      <c r="K48" s="448" t="s">
        <v>43</v>
      </c>
      <c r="L48" s="252"/>
      <c r="M48" s="252"/>
      <c r="N48" s="252"/>
      <c r="O48" s="259"/>
      <c r="P48" s="250"/>
      <c r="Q48" s="250"/>
      <c r="R48" s="250"/>
      <c r="S48" s="250"/>
      <c r="T48" s="250"/>
      <c r="U48" s="250"/>
      <c r="V48" s="250"/>
      <c r="W48" s="250"/>
      <c r="X48" s="250"/>
      <c r="Y48" s="250"/>
      <c r="Z48" s="250"/>
      <c r="AA48" s="250"/>
      <c r="AB48" s="251" t="e">
        <f t="shared" si="1"/>
        <v>#N/A</v>
      </c>
      <c r="AC48" s="243"/>
      <c r="AD48" s="250" t="e">
        <f t="shared" si="5"/>
        <v>#DIV/0!</v>
      </c>
      <c r="AE48" s="252" t="s">
        <v>90</v>
      </c>
      <c r="AF48" s="280">
        <v>9.6100000000000005E-3</v>
      </c>
      <c r="AG48" s="254" t="str">
        <f>IF($K$48="Sube",IF(ISERROR(AB48/$O$48)=TRUE,"",IF(AB48&gt;$O$48,AF48,AB48/$O$48*AF48)),IF(ISERROR($O$48/AB48)=TRUE,"",IF($O$48&lt;AB48,$O$48/AB48*AF48,AF48)))</f>
        <v/>
      </c>
      <c r="AH48" s="255" t="str">
        <f>IF($K$48="Sube",IF(ISERROR(AB48/$O$48)=TRUE,"",IF(AB48&gt;=$O$48,1,0)),IF(ISERROR($O$48/AB48)=TRUE,"",IF($O$48&lt;AB48,0,1)))</f>
        <v/>
      </c>
      <c r="AI48" s="256"/>
      <c r="AJ48" s="400" t="e">
        <f>+'SGSI_Ing. Sandra_Guerrero_2022'!#REF!</f>
        <v>#REF!</v>
      </c>
      <c r="AK48" s="480"/>
      <c r="AL48" s="421" t="e">
        <f>+'SGSI_Ing. Sandra_Guerrero_2022'!#REF!</f>
        <v>#REF!</v>
      </c>
      <c r="AM48" s="209"/>
      <c r="AN48" s="125"/>
      <c r="AW48" s="60"/>
      <c r="AX48" s="60"/>
      <c r="AY48" s="60"/>
      <c r="AZ48" s="60"/>
      <c r="BA48" s="60"/>
      <c r="BB48" s="60"/>
      <c r="BC48" s="60"/>
      <c r="BD48" s="60"/>
      <c r="BE48" s="60"/>
      <c r="BF48" s="60"/>
      <c r="BG48" s="60"/>
      <c r="BH48" s="60"/>
    </row>
    <row r="49" spans="1:61" ht="42.75" hidden="1" thickBot="1">
      <c r="A49" s="631"/>
      <c r="B49" s="279" t="e">
        <f t="shared" si="4"/>
        <v>#REF!</v>
      </c>
      <c r="C49" s="265" t="s">
        <v>253</v>
      </c>
      <c r="D49" s="265" t="s">
        <v>37</v>
      </c>
      <c r="E49" s="295"/>
      <c r="F49" s="295"/>
      <c r="G49" s="325" t="s">
        <v>254</v>
      </c>
      <c r="H49" s="325" t="s">
        <v>255</v>
      </c>
      <c r="I49" s="462" t="e">
        <f>+'SGSI_Ing. Sandra_Guerrero_2022'!#REF!</f>
        <v>#REF!</v>
      </c>
      <c r="J49" s="444" t="s">
        <v>191</v>
      </c>
      <c r="K49" s="445" t="s">
        <v>43</v>
      </c>
      <c r="L49" s="267"/>
      <c r="M49" s="267"/>
      <c r="N49" s="267"/>
      <c r="O49" s="269" t="e">
        <f>+'SGSI_Ing. Sandra_Guerrero_2022'!#REF!</f>
        <v>#REF!</v>
      </c>
      <c r="P49" s="298"/>
      <c r="Q49" s="298"/>
      <c r="R49" s="298"/>
      <c r="S49" s="298"/>
      <c r="T49" s="298"/>
      <c r="U49" s="298"/>
      <c r="V49" s="298"/>
      <c r="W49" s="298"/>
      <c r="X49" s="298"/>
      <c r="Y49" s="298"/>
      <c r="Z49" s="298"/>
      <c r="AA49" s="298"/>
      <c r="AB49" s="299"/>
      <c r="AC49" s="300"/>
      <c r="AD49" s="298"/>
      <c r="AE49" s="267"/>
      <c r="AF49" s="301"/>
      <c r="AG49" s="302"/>
      <c r="AH49" s="303"/>
      <c r="AI49" s="304"/>
      <c r="AJ49" s="305"/>
      <c r="AK49" s="424"/>
      <c r="AL49" s="424"/>
      <c r="AM49" s="164"/>
      <c r="AN49" s="137"/>
      <c r="AW49" s="60"/>
      <c r="AX49" s="60"/>
      <c r="AY49" s="60"/>
      <c r="AZ49" s="60"/>
      <c r="BA49" s="60"/>
      <c r="BB49" s="60"/>
      <c r="BC49" s="60"/>
      <c r="BD49" s="60"/>
      <c r="BE49" s="60"/>
      <c r="BF49" s="60"/>
      <c r="BG49" s="60"/>
      <c r="BH49" s="60"/>
    </row>
    <row r="50" spans="1:61" ht="81" hidden="1">
      <c r="A50" s="615" t="s">
        <v>256</v>
      </c>
      <c r="B50" s="401" t="e">
        <f>+#REF!+1</f>
        <v>#REF!</v>
      </c>
      <c r="C50" s="402" t="s">
        <v>257</v>
      </c>
      <c r="D50" s="403" t="s">
        <v>33</v>
      </c>
      <c r="E50" s="404"/>
      <c r="F50" s="404"/>
      <c r="G50" s="463" t="s">
        <v>258</v>
      </c>
      <c r="H50" s="463" t="s">
        <v>259</v>
      </c>
      <c r="I50" s="464">
        <v>0.4</v>
      </c>
      <c r="J50" s="465" t="s">
        <v>39</v>
      </c>
      <c r="K50" s="466" t="s">
        <v>43</v>
      </c>
      <c r="L50" s="359"/>
      <c r="M50" s="359"/>
      <c r="N50" s="359"/>
      <c r="O50" s="405">
        <v>0.85</v>
      </c>
      <c r="P50" s="406"/>
      <c r="Q50" s="406"/>
      <c r="R50" s="406"/>
      <c r="S50" s="406"/>
      <c r="T50" s="406"/>
      <c r="U50" s="406"/>
      <c r="V50" s="406"/>
      <c r="W50" s="406"/>
      <c r="X50" s="406"/>
      <c r="Y50" s="406"/>
      <c r="Z50" s="406"/>
      <c r="AA50" s="406"/>
      <c r="AB50" s="407"/>
      <c r="AC50" s="408"/>
      <c r="AD50" s="406"/>
      <c r="AE50" s="409"/>
      <c r="AF50" s="410"/>
      <c r="AG50" s="411"/>
      <c r="AH50" s="412"/>
      <c r="AI50" s="413"/>
      <c r="AJ50" s="414">
        <v>0.4</v>
      </c>
      <c r="AK50" s="481"/>
      <c r="AL50" s="431" t="s">
        <v>260</v>
      </c>
      <c r="AM50" s="209"/>
      <c r="AN50" s="125"/>
      <c r="AW50" s="60"/>
      <c r="AX50" s="60"/>
      <c r="AY50" s="60"/>
      <c r="AZ50" s="60"/>
      <c r="BA50" s="60"/>
      <c r="BB50" s="60"/>
      <c r="BC50" s="60"/>
      <c r="BD50" s="60"/>
      <c r="BE50" s="60"/>
      <c r="BF50" s="60"/>
      <c r="BG50" s="60"/>
      <c r="BH50" s="60"/>
    </row>
    <row r="51" spans="1:61" ht="63.75" hidden="1" thickBot="1">
      <c r="A51" s="616"/>
      <c r="B51" s="415"/>
      <c r="C51" s="264" t="s">
        <v>261</v>
      </c>
      <c r="D51" s="416" t="s">
        <v>33</v>
      </c>
      <c r="E51" s="295"/>
      <c r="F51" s="295"/>
      <c r="G51" s="467" t="s">
        <v>262</v>
      </c>
      <c r="H51" s="467" t="s">
        <v>263</v>
      </c>
      <c r="I51" s="468">
        <v>0.4</v>
      </c>
      <c r="J51" s="469" t="s">
        <v>39</v>
      </c>
      <c r="K51" s="470" t="s">
        <v>43</v>
      </c>
      <c r="L51" s="434"/>
      <c r="M51" s="434"/>
      <c r="N51" s="434"/>
      <c r="O51" s="269">
        <v>0.85</v>
      </c>
      <c r="P51" s="417"/>
      <c r="Q51" s="298"/>
      <c r="R51" s="298"/>
      <c r="S51" s="298"/>
      <c r="T51" s="298"/>
      <c r="U51" s="298"/>
      <c r="V51" s="298"/>
      <c r="W51" s="298"/>
      <c r="X51" s="298"/>
      <c r="Y51" s="298"/>
      <c r="Z51" s="298"/>
      <c r="AA51" s="298"/>
      <c r="AB51" s="299"/>
      <c r="AC51" s="300"/>
      <c r="AD51" s="298"/>
      <c r="AE51" s="267"/>
      <c r="AF51" s="301"/>
      <c r="AG51" s="302"/>
      <c r="AH51" s="303"/>
      <c r="AI51" s="304"/>
      <c r="AJ51" s="337">
        <v>0.4</v>
      </c>
      <c r="AK51" s="475"/>
      <c r="AL51" s="422" t="s">
        <v>264</v>
      </c>
      <c r="AM51" s="164"/>
      <c r="AN51" s="137"/>
      <c r="AW51" s="60"/>
      <c r="AX51" s="60"/>
      <c r="AY51" s="60"/>
      <c r="AZ51" s="60"/>
      <c r="BA51" s="60"/>
      <c r="BB51" s="60"/>
      <c r="BC51" s="60"/>
      <c r="BD51" s="60"/>
      <c r="BE51" s="60"/>
      <c r="BF51" s="60"/>
      <c r="BG51" s="60"/>
      <c r="BH51" s="60"/>
    </row>
    <row r="52" spans="1:61" ht="15.75" hidden="1" thickBot="1">
      <c r="O52" s="206"/>
      <c r="AE52" s="65" t="s">
        <v>265</v>
      </c>
      <c r="AF52" s="74">
        <f>SUM(AF8:AF51)</f>
        <v>0.3363500000000002</v>
      </c>
      <c r="AG52" s="73">
        <f>SUMIFS(AG8:AG51,AE8:AE51,"Si")/SUMIFS(AF8:AF51,AE8:AE51,"Si")</f>
        <v>0</v>
      </c>
      <c r="AH52" s="66">
        <f>SUMIFS(AH8:AH51,AE8:AE51,"Si")/AE54</f>
        <v>0</v>
      </c>
      <c r="AI52" s="167"/>
      <c r="AJ52" s="167"/>
      <c r="AK52" s="167"/>
      <c r="AL52" s="167"/>
      <c r="AX52" s="60"/>
      <c r="AY52" s="60"/>
      <c r="AZ52" s="60"/>
      <c r="BA52" s="60"/>
      <c r="BB52" s="60"/>
      <c r="BC52" s="60"/>
      <c r="BD52" s="60"/>
      <c r="BE52" s="60"/>
      <c r="BF52" s="60"/>
      <c r="BG52" s="60"/>
      <c r="BH52" s="60"/>
      <c r="BI52" s="60"/>
    </row>
    <row r="53" spans="1:61" ht="38.25" hidden="1">
      <c r="O53" s="206"/>
      <c r="AE53" s="19" t="s">
        <v>266</v>
      </c>
      <c r="AF53" s="542" t="s">
        <v>267</v>
      </c>
      <c r="AG53" s="20" t="s">
        <v>268</v>
      </c>
      <c r="AM53" s="16"/>
    </row>
    <row r="54" spans="1:61" ht="15.75" hidden="1" thickBot="1">
      <c r="G54" s="60"/>
      <c r="O54" s="206"/>
      <c r="AE54" s="21">
        <f>COUNTIF(AE8:AE51,"Si")</f>
        <v>35</v>
      </c>
      <c r="AF54" s="22">
        <f>COUNT(AB8:AB51)</f>
        <v>0</v>
      </c>
      <c r="AG54" s="23">
        <f>AF54/AE54</f>
        <v>0</v>
      </c>
      <c r="AM54" s="16"/>
    </row>
    <row r="55" spans="1:61">
      <c r="O55" s="206"/>
      <c r="AE55" s="1"/>
      <c r="AF55" s="2"/>
      <c r="AG55" s="2"/>
      <c r="AM55" s="1"/>
    </row>
    <row r="56" spans="1:61">
      <c r="O56" s="206"/>
      <c r="AE56" s="24" t="s">
        <v>269</v>
      </c>
      <c r="AF56" s="25" t="s">
        <v>270</v>
      </c>
      <c r="AG56" s="2"/>
      <c r="AM56" s="1"/>
    </row>
    <row r="57" spans="1:61">
      <c r="O57" s="206"/>
      <c r="AE57" s="26" t="s">
        <v>271</v>
      </c>
      <c r="AF57" s="27" t="s">
        <v>272</v>
      </c>
      <c r="AG57" s="2"/>
      <c r="AM57" s="1"/>
    </row>
    <row r="58" spans="1:61">
      <c r="O58" s="206"/>
      <c r="AE58" s="28" t="s">
        <v>273</v>
      </c>
      <c r="AF58" s="29" t="s">
        <v>274</v>
      </c>
      <c r="AG58" s="2"/>
      <c r="AM58" s="1"/>
    </row>
    <row r="59" spans="1:61">
      <c r="O59" s="206"/>
    </row>
    <row r="60" spans="1:61">
      <c r="O60" s="206"/>
    </row>
  </sheetData>
  <autoFilter ref="A7:BL54" xr:uid="{00000000-0009-0000-0000-000003000000}">
    <filterColumn colId="0">
      <filters>
        <filter val="Gestión de recursos fisicos"/>
      </filters>
    </filterColumn>
  </autoFilter>
  <mergeCells count="18">
    <mergeCell ref="AF1:AG3"/>
    <mergeCell ref="D4:AE5"/>
    <mergeCell ref="AF4:AG4"/>
    <mergeCell ref="AF5:AG5"/>
    <mergeCell ref="A33:A35"/>
    <mergeCell ref="A8:A12"/>
    <mergeCell ref="A17:A22"/>
    <mergeCell ref="A23:A25"/>
    <mergeCell ref="A26:A29"/>
    <mergeCell ref="A30:A32"/>
    <mergeCell ref="A13:A16"/>
    <mergeCell ref="A50:A51"/>
    <mergeCell ref="A1:C5"/>
    <mergeCell ref="D1:AE3"/>
    <mergeCell ref="A36:A37"/>
    <mergeCell ref="A38:A39"/>
    <mergeCell ref="A40:A45"/>
    <mergeCell ref="A47:A49"/>
  </mergeCells>
  <conditionalFormatting sqref="AG52">
    <cfRule type="cellIs" dxfId="15" priority="5" operator="greaterThanOrEqual">
      <formula>0.85</formula>
    </cfRule>
    <cfRule type="cellIs" dxfId="14" priority="6" operator="between">
      <formula>0.65</formula>
      <formula>0.84</formula>
    </cfRule>
    <cfRule type="cellIs" dxfId="13" priority="7" operator="equal">
      <formula>"0.65"</formula>
    </cfRule>
    <cfRule type="cellIs" dxfId="12" priority="8" operator="lessThan">
      <formula>0.64</formula>
    </cfRule>
  </conditionalFormatting>
  <conditionalFormatting sqref="AH52:AL52">
    <cfRule type="cellIs" dxfId="11" priority="1" operator="greaterThanOrEqual">
      <formula>0.85</formula>
    </cfRule>
    <cfRule type="cellIs" dxfId="10" priority="2" operator="between">
      <formula>0.65</formula>
      <formula>"0.84"</formula>
    </cfRule>
    <cfRule type="cellIs" dxfId="9" priority="3" operator="equal">
      <formula>"0.65"</formula>
    </cfRule>
    <cfRule type="cellIs" dxfId="8" priority="4" operator="lessThan">
      <formula>0.65</formula>
    </cfRule>
  </conditionalFormatting>
  <dataValidations count="2">
    <dataValidation type="list" allowBlank="1" showInputMessage="1" showErrorMessage="1" sqref="AE8:AE51" xr:uid="{00000000-0002-0000-0300-000000000000}">
      <formula1>"Si,No"</formula1>
    </dataValidation>
    <dataValidation type="list" allowBlank="1" showInputMessage="1" showErrorMessage="1" sqref="K8:K51 L8:N37" xr:uid="{00000000-0002-0000-0300-000001000000}">
      <formula1>"Sube,Baja,Tendencia Media"</formula1>
    </dataValidation>
  </dataValidations>
  <printOptions horizontalCentered="1" verticalCentered="1"/>
  <pageMargins left="0.70866141732283472" right="0.70866141732283472" top="0.74803149606299213" bottom="0.74803149606299213" header="0.31496062992125984" footer="0.31496062992125984"/>
  <pageSetup paperSize="300" scale="17" orientation="landscape" r:id="rId1"/>
  <drawing r:id="rId2"/>
  <extLst>
    <ext xmlns:x14="http://schemas.microsoft.com/office/spreadsheetml/2009/9/main" uri="{05C60535-1F16-4fd2-B633-F4F36F0B64E0}">
      <x14:sparklineGroups xmlns:xm="http://schemas.microsoft.com/office/excel/2006/main">
        <x14:sparklineGroup manualMax="0" manualMin="0" type="column" displayEmptyCellsAs="gap" xr2:uid="{00000000-0003-0000-0300-000000000000}">
          <x14:colorSeries rgb="FF376092"/>
          <x14:colorNegative rgb="FFD00000"/>
          <x14:colorAxis rgb="FF000000"/>
          <x14:colorMarkers rgb="FFD00000"/>
          <x14:colorFirst rgb="FFD00000"/>
          <x14:colorLast rgb="FFD00000"/>
          <x14:colorHigh rgb="FFD00000"/>
          <x14:colorLow rgb="FFD00000"/>
          <x14:sparklines>
            <x14:sparkline>
              <xm:f>'Tablero Eficacia - Eficiencia'!P30:AA30</xm:f>
              <xm:sqref>AC30</xm:sqref>
            </x14:sparkline>
            <x14:sparkline>
              <xm:f>'Tablero Eficacia - Eficiencia'!P31:AA31</xm:f>
              <xm:sqref>AC31</xm:sqref>
            </x14:sparkline>
            <x14:sparkline>
              <xm:f>'Tablero Eficacia - Eficiencia'!P32:AA32</xm:f>
              <xm:sqref>AC32</xm:sqref>
            </x14:sparkline>
            <x14:sparkline>
              <xm:f>'Tablero Eficacia - Eficiencia'!P33:AA33</xm:f>
              <xm:sqref>AC33</xm:sqref>
            </x14:sparkline>
            <x14:sparkline>
              <xm:f>'Tablero Eficacia - Eficiencia'!P34:AA34</xm:f>
              <xm:sqref>AC34</xm:sqref>
            </x14:sparkline>
            <x14:sparkline>
              <xm:f>'Tablero Eficacia - Eficiencia'!P35:AA35</xm:f>
              <xm:sqref>AC35</xm:sqref>
            </x14:sparkline>
            <x14:sparkline>
              <xm:f>'Tablero Eficacia - Eficiencia'!P36:AA36</xm:f>
              <xm:sqref>AC36</xm:sqref>
            </x14:sparkline>
            <x14:sparkline>
              <xm:f>'Tablero Eficacia - Eficiencia'!P37:AA37</xm:f>
              <xm:sqref>AC37</xm:sqref>
            </x14:sparkline>
            <x14:sparkline>
              <xm:f>'Tablero Eficacia - Eficiencia'!P38:AA38</xm:f>
              <xm:sqref>AC38</xm:sqref>
            </x14:sparkline>
            <x14:sparkline>
              <xm:f>'Tablero Eficacia - Eficiencia'!P39:AA39</xm:f>
              <xm:sqref>AC39</xm:sqref>
            </x14:sparkline>
            <x14:sparkline>
              <xm:f>'Tablero Eficacia - Eficiencia'!P40:AA40</xm:f>
              <xm:sqref>AC40</xm:sqref>
            </x14:sparkline>
            <x14:sparkline>
              <xm:f>'Tablero Eficacia - Eficiencia'!P41:AA41</xm:f>
              <xm:sqref>AC41</xm:sqref>
            </x14:sparkline>
            <x14:sparkline>
              <xm:f>'Tablero Eficacia - Eficiencia'!P42:AA42</xm:f>
              <xm:sqref>AC42</xm:sqref>
            </x14:sparkline>
            <x14:sparkline>
              <xm:f>'Tablero Eficacia - Eficiencia'!P43:AA43</xm:f>
              <xm:sqref>AC43</xm:sqref>
            </x14:sparkline>
            <x14:sparkline>
              <xm:f>'Tablero Eficacia - Eficiencia'!P44:AA44</xm:f>
              <xm:sqref>AC44</xm:sqref>
            </x14:sparkline>
            <x14:sparkline>
              <xm:f>'Tablero Eficacia - Eficiencia'!P45:AA45</xm:f>
              <xm:sqref>AC45</xm:sqref>
            </x14:sparkline>
            <x14:sparkline>
              <xm:f>'Tablero Eficacia - Eficiencia'!P46:AA46</xm:f>
              <xm:sqref>AC46</xm:sqref>
            </x14:sparkline>
            <x14:sparkline>
              <xm:f>'Tablero Eficacia - Eficiencia'!P47:AA47</xm:f>
              <xm:sqref>AC47</xm:sqref>
            </x14:sparkline>
            <x14:sparkline>
              <xm:f>'Tablero Eficacia - Eficiencia'!P48:AA48</xm:f>
              <xm:sqref>AC48</xm:sqref>
            </x14:sparkline>
            <x14:sparkline>
              <xm:f>'Tablero Eficacia - Eficiencia'!P49:AA49</xm:f>
              <xm:sqref>AC49</xm:sqref>
            </x14:sparkline>
          </x14:sparklines>
        </x14:sparklineGroup>
        <x14:sparklineGroup manualMax="0" manualMin="0" type="column" displayEmptyCellsAs="gap" xr2:uid="{00000000-0003-0000-0300-000001000000}">
          <x14:colorSeries rgb="FF376092"/>
          <x14:colorNegative rgb="FFD00000"/>
          <x14:colorAxis rgb="FF000000"/>
          <x14:colorMarkers rgb="FFD00000"/>
          <x14:colorFirst rgb="FFD00000"/>
          <x14:colorLast rgb="FFD00000"/>
          <x14:colorHigh rgb="FFD00000"/>
          <x14:colorLow rgb="FFD00000"/>
          <x14:sparklines>
            <x14:sparkline>
              <xm:f>'Tablero Eficacia - Eficiencia'!P50:AA50</xm:f>
              <xm:sqref>AC50</xm:sqref>
            </x14:sparkline>
            <x14:sparkline>
              <xm:f>'Tablero Eficacia - Eficiencia'!P51:AA51</xm:f>
              <xm:sqref>AC51</xm:sqref>
            </x14:sparkline>
          </x14:sparklines>
        </x14:sparklineGroup>
        <x14:sparklineGroup manualMax="0" manualMin="0" type="column" displayEmptyCellsAs="gap" xr2:uid="{00000000-0003-0000-0300-000002000000}">
          <x14:colorSeries rgb="FF376092"/>
          <x14:colorNegative rgb="FFD00000"/>
          <x14:colorAxis rgb="FF000000"/>
          <x14:colorMarkers rgb="FFD00000"/>
          <x14:colorFirst rgb="FFD00000"/>
          <x14:colorLast rgb="FFD00000"/>
          <x14:colorHigh rgb="FFD00000"/>
          <x14:colorLow rgb="FFD00000"/>
          <x14:sparklines>
            <x14:sparkline>
              <xm:f>'Tablero Eficacia - Eficiencia'!P8:AA8</xm:f>
              <xm:sqref>AC8</xm:sqref>
            </x14:sparkline>
            <x14:sparkline>
              <xm:f>'Tablero Eficacia - Eficiencia'!P10:AA10</xm:f>
              <xm:sqref>AC10</xm:sqref>
            </x14:sparkline>
            <x14:sparkline>
              <xm:f>'Tablero Eficacia - Eficiencia'!P11:AA11</xm:f>
              <xm:sqref>AC11</xm:sqref>
            </x14:sparkline>
            <x14:sparkline>
              <xm:f>'Tablero Eficacia - Eficiencia'!P12:AA12</xm:f>
              <xm:sqref>AC12</xm:sqref>
            </x14:sparkline>
            <x14:sparkline>
              <xm:f>'Tablero Eficacia - Eficiencia'!P13:AA13</xm:f>
              <xm:sqref>AC13</xm:sqref>
            </x14:sparkline>
            <x14:sparkline>
              <xm:f>'Tablero Eficacia - Eficiencia'!P14:AA14</xm:f>
              <xm:sqref>AC14</xm:sqref>
            </x14:sparkline>
            <x14:sparkline>
              <xm:f>'Tablero Eficacia - Eficiencia'!P15:AA15</xm:f>
              <xm:sqref>AC15</xm:sqref>
            </x14:sparkline>
            <x14:sparkline>
              <xm:f>'Tablero Eficacia - Eficiencia'!P16:AA16</xm:f>
              <xm:sqref>AC16</xm:sqref>
            </x14:sparkline>
            <x14:sparkline>
              <xm:f>'Tablero Eficacia - Eficiencia'!P17:AA17</xm:f>
              <xm:sqref>AC17</xm:sqref>
            </x14:sparkline>
            <x14:sparkline>
              <xm:f>'Tablero Eficacia - Eficiencia'!P18:AA18</xm:f>
              <xm:sqref>AC18</xm:sqref>
            </x14:sparkline>
            <x14:sparkline>
              <xm:f>'Tablero Eficacia - Eficiencia'!P19:AA19</xm:f>
              <xm:sqref>AC19</xm:sqref>
            </x14:sparkline>
            <x14:sparkline>
              <xm:f>'Tablero Eficacia - Eficiencia'!P21:AA21</xm:f>
              <xm:sqref>AC21</xm:sqref>
            </x14:sparkline>
            <x14:sparkline>
              <xm:f>'Tablero Eficacia - Eficiencia'!P22:AA22</xm:f>
              <xm:sqref>AC22</xm:sqref>
            </x14:sparkline>
            <x14:sparkline>
              <xm:f>'Tablero Eficacia - Eficiencia'!P23:AA23</xm:f>
              <xm:sqref>AC23</xm:sqref>
            </x14:sparkline>
            <x14:sparkline>
              <xm:f>'Tablero Eficacia - Eficiencia'!P24:AA24</xm:f>
              <xm:sqref>AC24</xm:sqref>
            </x14:sparkline>
            <x14:sparkline>
              <xm:f>'Tablero Eficacia - Eficiencia'!P25:AA25</xm:f>
              <xm:sqref>AC25</xm:sqref>
            </x14:sparkline>
            <x14:sparkline>
              <xm:f>'Tablero Eficacia - Eficiencia'!P26:AA26</xm:f>
              <xm:sqref>AC26</xm:sqref>
            </x14:sparkline>
            <x14:sparkline>
              <xm:f>'Tablero Eficacia - Eficiencia'!P27:AA27</xm:f>
              <xm:sqref>AC27</xm:sqref>
            </x14:sparkline>
            <x14:sparkline>
              <xm:f>'Tablero Eficacia - Eficiencia'!P28:AA28</xm:f>
              <xm:sqref>AC28</xm:sqref>
            </x14:sparkline>
            <x14:sparkline>
              <xm:f>'Tablero Eficacia - Eficiencia'!P29:AA29</xm:f>
              <xm:sqref>AC29</xm:sqref>
            </x14:sparkline>
          </x14:sparklines>
        </x14:sparklineGroup>
        <x14:sparklineGroup manualMax="0" manualMin="0"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'Tablero Eficacia - Eficiencia'!P9:AA9</xm:f>
              <xm:sqref>AC9</xm:sqref>
            </x14:sparkline>
          </x14:sparklines>
        </x14:sparklineGroup>
        <x14:sparklineGroup manualMax="0" manualMin="0" type="column" displayEmptyCellsAs="gap" xr2:uid="{00000000-0003-0000-0300-000004000000}">
          <x14:colorSeries rgb="FF376092"/>
          <x14:colorNegative rgb="FFD00000"/>
          <x14:colorAxis rgb="FF000000"/>
          <x14:colorMarkers rgb="FFD00000"/>
          <x14:colorFirst rgb="FFD00000"/>
          <x14:colorLast rgb="FFD00000"/>
          <x14:colorHigh rgb="FFD00000"/>
          <x14:colorLow rgb="FFD00000"/>
          <x14:sparklines>
            <x14:sparkline>
              <xm:f>'Tablero Eficacia - Eficiencia'!P20:AA20</xm:f>
              <xm:sqref>AC20</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C2:N38"/>
  <sheetViews>
    <sheetView topLeftCell="A2" zoomScale="85" zoomScaleNormal="85" zoomScalePageLayoutView="85" workbookViewId="0">
      <pane ySplit="2" topLeftCell="A4" activePane="bottomLeft" state="frozen"/>
      <selection activeCell="A2" sqref="A2"/>
      <selection pane="bottomLeft" activeCell="D18" sqref="D18"/>
    </sheetView>
  </sheetViews>
  <sheetFormatPr baseColWidth="10" defaultColWidth="11.42578125" defaultRowHeight="15"/>
  <cols>
    <col min="2" max="2" width="13.42578125" customWidth="1"/>
    <col min="3" max="3" width="75.140625" customWidth="1"/>
    <col min="4" max="4" width="67.42578125" customWidth="1"/>
    <col min="5" max="5" width="54.42578125" style="165" bestFit="1" customWidth="1"/>
    <col min="6" max="6" width="10.42578125" customWidth="1"/>
  </cols>
  <sheetData>
    <row r="2" spans="3:6" ht="15.75" thickBot="1"/>
    <row r="3" spans="3:6" ht="15.75" thickBot="1">
      <c r="C3" s="153" t="s">
        <v>275</v>
      </c>
      <c r="D3" s="170" t="s">
        <v>4</v>
      </c>
      <c r="E3" s="170" t="s">
        <v>10</v>
      </c>
      <c r="F3" s="176" t="s">
        <v>12</v>
      </c>
    </row>
    <row r="4" spans="3:6" ht="28.5" customHeight="1">
      <c r="C4" s="651" t="s">
        <v>276</v>
      </c>
      <c r="D4" s="178" t="str">
        <f>+'Tablero Eficacia - Eficiencia'!C31</f>
        <v xml:space="preserve">Beneficiados de actividad </v>
      </c>
      <c r="E4" s="179" t="str">
        <f>+'Tablero Eficacia - Eficiencia'!I31</f>
        <v>No tiene, es la primera vez que se mide este impacto</v>
      </c>
      <c r="F4" s="191">
        <f>+'Tablero Eficacia - Eficiencia'!O31</f>
        <v>0</v>
      </c>
    </row>
    <row r="5" spans="3:6" ht="27" customHeight="1" thickBot="1">
      <c r="C5" s="652"/>
      <c r="D5" s="180" t="str">
        <f>+'Tablero Eficacia - Eficiencia'!C32</f>
        <v>Actividades de formación integral</v>
      </c>
      <c r="E5" s="199">
        <f>+'Tablero Eficacia - Eficiencia'!I32</f>
        <v>0.98</v>
      </c>
      <c r="F5" s="190">
        <f>+'Tablero Eficacia - Eficiencia'!O32</f>
        <v>1</v>
      </c>
    </row>
    <row r="6" spans="3:6" ht="38.25" customHeight="1">
      <c r="C6" s="651" t="s">
        <v>277</v>
      </c>
      <c r="D6" s="178" t="str">
        <f>+'Tablero Eficacia - Eficiencia'!C9</f>
        <v xml:space="preserve">Variación de pruebas saber pro </v>
      </c>
      <c r="E6" s="177" t="str">
        <f>+'Tablero Eficacia - Eficiencia'!I9</f>
        <v>9.9925(2016)/9,9204(2015)</v>
      </c>
      <c r="F6" s="195">
        <f>+'Tablero Eficacia - Eficiencia'!O9</f>
        <v>7.2678521027376153E-3</v>
      </c>
    </row>
    <row r="7" spans="3:6">
      <c r="C7" s="653"/>
      <c r="D7" s="175" t="str">
        <f>+'Tablero Eficacia - Eficiencia'!C10</f>
        <v>Índice de empleabilidad</v>
      </c>
      <c r="E7" s="171" t="str">
        <f>+'Tablero Eficacia - Eficiencia'!I10</f>
        <v>95,7% (Medición del 2015, no hay datos 2016)</v>
      </c>
      <c r="F7" s="189" t="str">
        <f>+'Tablero Eficacia - Eficiencia'!O10</f>
        <v>&gt;= 96%</v>
      </c>
    </row>
    <row r="8" spans="3:6">
      <c r="C8" s="653"/>
      <c r="D8" s="175" t="str">
        <f>+'Tablero Eficacia - Eficiencia'!C13</f>
        <v>Satisfacción de los cursos de extensión</v>
      </c>
      <c r="E8" s="172" t="str">
        <f>+'Tablero Eficacia - Eficiencia'!I13</f>
        <v>No tiene, es la primera vez que se mide este impacto</v>
      </c>
      <c r="F8" s="189">
        <f>+'Tablero Eficacia - Eficiencia'!O13</f>
        <v>0</v>
      </c>
    </row>
    <row r="9" spans="3:6">
      <c r="C9" s="653"/>
      <c r="D9" s="175" t="str">
        <f>+'Tablero Eficacia - Eficiencia'!C15</f>
        <v>Permanencia en los cursos de extensión</v>
      </c>
      <c r="E9" s="172" t="str">
        <f>+'Tablero Eficacia - Eficiencia'!I15</f>
        <v>No tiene, es la primera vez que se mide este impacto</v>
      </c>
      <c r="F9" s="189">
        <f>+'Tablero Eficacia - Eficiencia'!O15</f>
        <v>0</v>
      </c>
    </row>
    <row r="10" spans="3:6">
      <c r="C10" s="653"/>
      <c r="D10" s="175" t="str">
        <f>+'Tablero Eficacia - Eficiencia'!C17</f>
        <v xml:space="preserve">Trabajos de grado con reconocimiento </v>
      </c>
      <c r="E10" s="172" t="str">
        <f>+'Tablero Eficacia - Eficiencia'!I17</f>
        <v>No tiene, es la primera vez que se mide este impacto</v>
      </c>
      <c r="F10" s="189">
        <f>+'Tablero Eficacia - Eficiencia'!O17</f>
        <v>1</v>
      </c>
    </row>
    <row r="11" spans="3:6">
      <c r="C11" s="653"/>
      <c r="D11" s="175" t="str">
        <f>+'Tablero Eficacia - Eficiencia'!C20</f>
        <v>Revisión de syllabus</v>
      </c>
      <c r="E11" s="173" t="str">
        <f>+'Tablero Eficacia - Eficiencia'!I20</f>
        <v>75% (11/15)</v>
      </c>
      <c r="F11" s="189">
        <f>+'Tablero Eficacia - Eficiencia'!O20</f>
        <v>0.9</v>
      </c>
    </row>
    <row r="12" spans="3:6">
      <c r="C12" s="653"/>
      <c r="D12" s="181" t="str">
        <f>+'Tablero Eficacia - Eficiencia'!C23</f>
        <v>Rendimiento académico periódico</v>
      </c>
      <c r="E12" s="172" t="str">
        <f>+'Tablero Eficacia - Eficiencia'!I23</f>
        <v>No tiene, es la primera vez que se mide este impacto</v>
      </c>
      <c r="F12" s="189">
        <f>+'Tablero Eficacia - Eficiencia'!O23</f>
        <v>0</v>
      </c>
    </row>
    <row r="13" spans="3:6">
      <c r="C13" s="653"/>
      <c r="D13" s="181" t="str">
        <f>+'Tablero Eficacia - Eficiencia'!C24</f>
        <v xml:space="preserve">Promoción escolar </v>
      </c>
      <c r="E13" s="171">
        <f>+'Tablero Eficacia - Eficiencia'!I24</f>
        <v>0.8571428571428571</v>
      </c>
      <c r="F13" s="189">
        <f>+'Tablero Eficacia - Eficiencia'!O24</f>
        <v>0.87</v>
      </c>
    </row>
    <row r="14" spans="3:6" ht="15.75" thickBot="1">
      <c r="C14" s="652"/>
      <c r="D14" s="182" t="str">
        <f>+'Tablero Eficacia - Eficiencia'!C25</f>
        <v xml:space="preserve">Desempeño pruebas saber </v>
      </c>
      <c r="E14" s="196">
        <f>+'Tablero Eficacia - Eficiencia'!I25</f>
        <v>-0.23424570337364736</v>
      </c>
      <c r="F14" s="190" t="e">
        <f>+'Tablero Eficacia - Eficiencia'!O25</f>
        <v>#REF!</v>
      </c>
    </row>
    <row r="15" spans="3:6">
      <c r="C15" s="648" t="s">
        <v>278</v>
      </c>
      <c r="D15" s="184" t="str">
        <f>+'Tablero Eficacia - Eficiencia'!C26</f>
        <v>Proyectos de formación en actividades</v>
      </c>
      <c r="E15" s="197">
        <f>+'Tablero Eficacia - Eficiencia'!I26</f>
        <v>1</v>
      </c>
      <c r="F15" s="191">
        <f>+'Tablero Eficacia - Eficiencia'!O26</f>
        <v>1</v>
      </c>
    </row>
    <row r="16" spans="3:6">
      <c r="C16" s="649"/>
      <c r="D16" s="181" t="str">
        <f>+'Tablero Eficacia - Eficiencia'!C27</f>
        <v>Proyectos  de  apoyo a las actividades</v>
      </c>
      <c r="E16" s="200">
        <f>+'Tablero Eficacia - Eficiencia'!I27</f>
        <v>0.9</v>
      </c>
      <c r="F16" s="189">
        <f>+'Tablero Eficacia - Eficiencia'!O27</f>
        <v>1</v>
      </c>
    </row>
    <row r="17" spans="3:6" ht="15.75" thickBot="1">
      <c r="C17" s="650"/>
      <c r="D17" s="182" t="str">
        <f>+'Tablero Eficacia - Eficiencia'!C28</f>
        <v>Programa  de transferencia de conocimiento</v>
      </c>
      <c r="E17" s="183" t="str">
        <f>+'Tablero Eficacia - Eficiencia'!I28</f>
        <v>No tiene, es la primera vez que se mide este impacto</v>
      </c>
      <c r="F17" s="190">
        <f>+'Tablero Eficacia - Eficiencia'!O28</f>
        <v>0</v>
      </c>
    </row>
    <row r="18" spans="3:6" ht="26.25" thickBot="1">
      <c r="C18" s="188" t="s">
        <v>279</v>
      </c>
      <c r="D18" s="186" t="str">
        <f>+'Tablero Eficacia - Eficiencia'!C8</f>
        <v>Programas acreditados</v>
      </c>
      <c r="E18" s="187">
        <f>+'Tablero Eficacia - Eficiencia'!I8</f>
        <v>0.1111111111111111</v>
      </c>
      <c r="F18" s="192">
        <f>+'Tablero Eficacia - Eficiencia'!O8</f>
        <v>0.1111111111111111</v>
      </c>
    </row>
    <row r="19" spans="3:6" ht="30.75" customHeight="1">
      <c r="C19" s="648" t="s">
        <v>280</v>
      </c>
      <c r="D19" s="178" t="str">
        <f>+'Tablero Eficacia - Eficiencia'!C11</f>
        <v>Cumplimiento de actividades de movilidad</v>
      </c>
      <c r="E19" s="201">
        <f>+'Tablero Eficacia - Eficiencia'!I11</f>
        <v>0.94169999999999998</v>
      </c>
      <c r="F19" s="191">
        <f>+'Tablero Eficacia - Eficiencia'!O11</f>
        <v>1</v>
      </c>
    </row>
    <row r="20" spans="3:6" ht="15.75" thickBot="1">
      <c r="C20" s="650"/>
      <c r="D20" s="182" t="str">
        <f>+'Tablero Eficacia - Eficiencia'!C18</f>
        <v>Participación en comunidades académicas</v>
      </c>
      <c r="E20" s="183" t="str">
        <f>+'Tablero Eficacia - Eficiencia'!I18</f>
        <v>No tiene, es la primera vez que se mide este impacto</v>
      </c>
      <c r="F20" s="190">
        <f>+'Tablero Eficacia - Eficiencia'!O18</f>
        <v>1</v>
      </c>
    </row>
    <row r="21" spans="3:6">
      <c r="C21" s="648" t="s">
        <v>281</v>
      </c>
      <c r="D21" s="184" t="str">
        <f>+'Tablero Eficacia - Eficiencia'!C12</f>
        <v>Cumplimiento del Plan de Desarrollo Institucional</v>
      </c>
      <c r="E21" s="197">
        <f>+'Tablero Eficacia - Eficiencia'!I12</f>
        <v>0.97</v>
      </c>
      <c r="F21" s="191">
        <f>+'Tablero Eficacia - Eficiencia'!O12</f>
        <v>0.98</v>
      </c>
    </row>
    <row r="22" spans="3:6">
      <c r="C22" s="649"/>
      <c r="D22" s="181" t="str">
        <f>+'Tablero Eficacia - Eficiencia'!C38</f>
        <v>Seguimiento a las hojas de vida de los funcionarios</v>
      </c>
      <c r="E22" s="173">
        <f>+'Tablero Eficacia - Eficiencia'!I38</f>
        <v>0</v>
      </c>
      <c r="F22" s="189">
        <f>+'Tablero Eficacia - Eficiencia'!O38</f>
        <v>1</v>
      </c>
    </row>
    <row r="23" spans="3:6">
      <c r="C23" s="649"/>
      <c r="D23" s="181" t="str">
        <f>+'Tablero Eficacia - Eficiencia'!C39</f>
        <v xml:space="preserve">Seguimiento al servicio permanente </v>
      </c>
      <c r="E23" s="200">
        <f>+'Tablero Eficacia - Eficiencia'!I39</f>
        <v>0.85</v>
      </c>
      <c r="F23" s="189">
        <f>+'Tablero Eficacia - Eficiencia'!O39</f>
        <v>0.92</v>
      </c>
    </row>
    <row r="24" spans="3:6">
      <c r="C24" s="649"/>
      <c r="D24" s="181" t="str">
        <f>+'Tablero Eficacia - Eficiencia'!C40</f>
        <v xml:space="preserve">Clima laboral </v>
      </c>
      <c r="E24" s="214" t="e">
        <f>+'Tablero Eficacia - Eficiencia'!I40</f>
        <v>#REF!</v>
      </c>
      <c r="F24" s="193" t="e">
        <f>+'Tablero Eficacia - Eficiencia'!O40</f>
        <v>#REF!</v>
      </c>
    </row>
    <row r="25" spans="3:6" ht="36.75" customHeight="1">
      <c r="C25" s="649"/>
      <c r="D25" s="175" t="str">
        <f>+'Tablero Eficacia - Eficiencia'!C43</f>
        <v xml:space="preserve">Cumplimiento del programa de bienestar laboral </v>
      </c>
      <c r="E25" s="198">
        <f>+'Tablero Eficacia - Eficiencia'!I43</f>
        <v>1</v>
      </c>
      <c r="F25" s="194">
        <f>+'Tablero Eficacia - Eficiencia'!O43</f>
        <v>1</v>
      </c>
    </row>
    <row r="26" spans="3:6" ht="15.75" thickBot="1">
      <c r="C26" s="650"/>
      <c r="D26" s="182" t="str">
        <f>+'Tablero Eficacia - Eficiencia'!C45</f>
        <v>Cumplimiento del plan de capacitación</v>
      </c>
      <c r="E26" s="199">
        <f>+'Tablero Eficacia - Eficiencia'!I45</f>
        <v>1</v>
      </c>
      <c r="F26" s="190">
        <f>+'Tablero Eficacia - Eficiencia'!O45</f>
        <v>1</v>
      </c>
    </row>
    <row r="27" spans="3:6">
      <c r="C27" s="648" t="s">
        <v>282</v>
      </c>
      <c r="D27" s="184" t="str">
        <f>+'Tablero Eficacia - Eficiencia'!C19</f>
        <v>Uso de talleres y laboratorios</v>
      </c>
      <c r="E27" s="185" t="str">
        <f>+'Tablero Eficacia - Eficiencia'!I19</f>
        <v>No tiene, es la primera vez que se mide este impacto</v>
      </c>
      <c r="F27" s="191">
        <f>+'Tablero Eficacia - Eficiencia'!O19</f>
        <v>1</v>
      </c>
    </row>
    <row r="28" spans="3:6">
      <c r="C28" s="649"/>
      <c r="D28" s="181" t="str">
        <f>+'Tablero Eficacia - Eficiencia'!C31</f>
        <v xml:space="preserve">Beneficiados de actividad </v>
      </c>
      <c r="E28" s="174" t="str">
        <f>+'Tablero Eficacia - Eficiencia'!I31</f>
        <v>No tiene, es la primera vez que se mide este impacto</v>
      </c>
      <c r="F28" s="189">
        <f>+'Tablero Eficacia - Eficiencia'!O31</f>
        <v>0</v>
      </c>
    </row>
    <row r="29" spans="3:6" ht="15.75" thickBot="1">
      <c r="C29" s="650"/>
      <c r="D29" s="182" t="str">
        <f>+'Tablero Eficacia - Eficiencia'!C32</f>
        <v>Actividades de formación integral</v>
      </c>
      <c r="E29" s="199">
        <f>+'Tablero Eficacia - Eficiencia'!I32</f>
        <v>0.98</v>
      </c>
      <c r="F29" s="190">
        <f>+'Tablero Eficacia - Eficiencia'!O32</f>
        <v>1</v>
      </c>
    </row>
    <row r="37" spans="11:14">
      <c r="N37" s="168"/>
    </row>
    <row r="38" spans="11:14">
      <c r="K38" s="169"/>
      <c r="N38" s="169"/>
    </row>
  </sheetData>
  <mergeCells count="6">
    <mergeCell ref="C27:C29"/>
    <mergeCell ref="C4:C5"/>
    <mergeCell ref="C15:C17"/>
    <mergeCell ref="C19:C20"/>
    <mergeCell ref="C21:C26"/>
    <mergeCell ref="C6:C14"/>
  </mergeCells>
  <printOptions horizontalCentered="1" verticalCentered="1"/>
  <pageMargins left="0" right="0" top="0.74803149606299213" bottom="0.74803149606299213" header="0.31496062992125984" footer="0.31496062992125984"/>
  <pageSetup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D6:M14"/>
  <sheetViews>
    <sheetView workbookViewId="0">
      <selection activeCell="E9" sqref="E9"/>
    </sheetView>
  </sheetViews>
  <sheetFormatPr baseColWidth="10" defaultColWidth="11.42578125" defaultRowHeight="15"/>
  <sheetData>
    <row r="6" spans="4:13">
      <c r="L6" s="654" t="s">
        <v>283</v>
      </c>
      <c r="M6" s="654"/>
    </row>
    <row r="7" spans="4:13">
      <c r="E7" t="s">
        <v>284</v>
      </c>
      <c r="F7" t="s">
        <v>285</v>
      </c>
      <c r="L7" t="s">
        <v>286</v>
      </c>
      <c r="M7" t="s">
        <v>287</v>
      </c>
    </row>
    <row r="8" spans="4:13">
      <c r="D8" t="s">
        <v>288</v>
      </c>
      <c r="E8" s="169">
        <f>+'[2]ARTES-MUSICA '!$AC$30</f>
        <v>0.98</v>
      </c>
      <c r="F8">
        <f>+'[2]ARTES-MUSICA '!$AE$30</f>
        <v>14677</v>
      </c>
      <c r="H8">
        <v>98</v>
      </c>
      <c r="I8">
        <f>+'[2]ARTES-MUSICA '!$AE$30</f>
        <v>14677</v>
      </c>
      <c r="L8">
        <v>22</v>
      </c>
      <c r="M8">
        <v>23</v>
      </c>
    </row>
    <row r="9" spans="4:13">
      <c r="D9" t="s">
        <v>289</v>
      </c>
      <c r="E9" s="169">
        <f>+'[2]SALUD '!$AC$15</f>
        <v>1</v>
      </c>
      <c r="F9">
        <f>+'[2]SALUD '!$AE$15</f>
        <v>74</v>
      </c>
      <c r="H9">
        <v>100</v>
      </c>
      <c r="I9">
        <f>+'[2]SALUD '!$AE$15</f>
        <v>74</v>
      </c>
      <c r="L9">
        <v>2</v>
      </c>
      <c r="M9">
        <v>8</v>
      </c>
    </row>
    <row r="10" spans="4:13">
      <c r="D10" t="s">
        <v>290</v>
      </c>
      <c r="E10" s="218">
        <f>+'[2]TRABAJO SOCIAL'!$AC$20</f>
        <v>97.6</v>
      </c>
      <c r="F10">
        <f>+'[2]TRABAJO SOCIAL'!$AE$20</f>
        <v>1741</v>
      </c>
      <c r="H10">
        <v>98</v>
      </c>
      <c r="I10">
        <f>+'[2]TRABAJO SOCIAL'!$AE$20</f>
        <v>1741</v>
      </c>
      <c r="L10">
        <v>9</v>
      </c>
      <c r="M10">
        <v>9</v>
      </c>
    </row>
    <row r="11" spans="4:13">
      <c r="D11" t="s">
        <v>291</v>
      </c>
      <c r="E11">
        <f>+'[2]PSICOLOGIA '!$AC$22</f>
        <v>92.142857142857139</v>
      </c>
      <c r="F11">
        <f>+'[2]PSICOLOGIA '!$AE$22</f>
        <v>1056</v>
      </c>
      <c r="H11">
        <v>92.14</v>
      </c>
      <c r="I11">
        <f>+'[2]PSICOLOGIA '!$AE$22</f>
        <v>1056</v>
      </c>
      <c r="L11">
        <v>13</v>
      </c>
      <c r="M11">
        <v>13</v>
      </c>
    </row>
    <row r="12" spans="4:13">
      <c r="D12" t="s">
        <v>292</v>
      </c>
      <c r="E12">
        <f>+'[2]REC. DEPORTES '!$AC$18</f>
        <v>99</v>
      </c>
      <c r="F12">
        <f>+'[2]REC. DEPORTES '!$AE$18</f>
        <v>154</v>
      </c>
      <c r="H12">
        <v>99</v>
      </c>
      <c r="I12">
        <f>+'[2]REC. DEPORTES '!$AE$18</f>
        <v>154</v>
      </c>
      <c r="L12">
        <v>6</v>
      </c>
      <c r="M12">
        <v>11</v>
      </c>
    </row>
    <row r="13" spans="4:13">
      <c r="D13" t="s">
        <v>293</v>
      </c>
      <c r="H13" s="154">
        <f>+(H12+H11+H9+H8+H10)/500</f>
        <v>0.97427999999999992</v>
      </c>
      <c r="I13">
        <f>SUM(I8:I12)</f>
        <v>17702</v>
      </c>
      <c r="L13">
        <f>SUM(L8:L12)</f>
        <v>52</v>
      </c>
      <c r="M13">
        <f>SUM(M8:M12)</f>
        <v>64</v>
      </c>
    </row>
    <row r="14" spans="4:13">
      <c r="D14" t="s">
        <v>294</v>
      </c>
      <c r="M14" s="154">
        <f>+L13/M13</f>
        <v>0.8125</v>
      </c>
    </row>
  </sheetData>
  <mergeCells count="1">
    <mergeCell ref="L6:M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E8:G10"/>
  <sheetViews>
    <sheetView workbookViewId="0">
      <selection activeCell="H9" sqref="H9"/>
    </sheetView>
  </sheetViews>
  <sheetFormatPr baseColWidth="10" defaultColWidth="11.42578125" defaultRowHeight="15"/>
  <sheetData>
    <row r="8" spans="5:7" ht="15.75" thickBot="1"/>
    <row r="9" spans="5:7" ht="252.75" thickBot="1">
      <c r="E9" s="156">
        <v>1</v>
      </c>
      <c r="F9" s="157">
        <v>0.9</v>
      </c>
      <c r="G9" s="155" t="s">
        <v>295</v>
      </c>
    </row>
    <row r="10" spans="5:7" ht="252.75" thickBot="1">
      <c r="E10" s="156">
        <v>1</v>
      </c>
      <c r="F10" s="157">
        <v>0.9</v>
      </c>
      <c r="G10" s="155" t="s">
        <v>295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BC23"/>
  <sheetViews>
    <sheetView topLeftCell="A4" workbookViewId="0">
      <pane xSplit="4" ySplit="4" topLeftCell="G8" activePane="bottomRight" state="frozen"/>
      <selection pane="topRight" activeCell="D4" sqref="D4"/>
      <selection pane="bottomLeft" activeCell="A8" sqref="A8"/>
      <selection pane="bottomRight" activeCell="G10" sqref="G10"/>
    </sheetView>
  </sheetViews>
  <sheetFormatPr baseColWidth="10" defaultColWidth="11.42578125" defaultRowHeight="15" outlineLevelCol="1"/>
  <cols>
    <col min="1" max="1" width="16.42578125" customWidth="1"/>
    <col min="2" max="2" width="16.42578125" hidden="1" customWidth="1"/>
    <col min="3" max="3" width="30.140625" bestFit="1" customWidth="1"/>
    <col min="4" max="4" width="17.42578125" style="62" bestFit="1" customWidth="1"/>
    <col min="5" max="6" width="4.42578125" hidden="1" customWidth="1"/>
    <col min="7" max="8" width="35.140625" customWidth="1"/>
    <col min="9" max="9" width="16" customWidth="1"/>
    <col min="10" max="10" width="9.42578125" bestFit="1" customWidth="1"/>
    <col min="11" max="11" width="9" style="67" customWidth="1"/>
    <col min="12" max="23" width="7.85546875" customWidth="1" outlineLevel="1"/>
    <col min="24" max="25" width="7.85546875" hidden="1" customWidth="1" outlineLevel="1"/>
    <col min="26" max="26" width="11.42578125" style="62" customWidth="1" collapsed="1"/>
    <col min="27" max="27" width="31.42578125" customWidth="1"/>
    <col min="28" max="28" width="11.42578125" hidden="1" customWidth="1"/>
    <col min="29" max="29" width="8.85546875" customWidth="1"/>
    <col min="30" max="30" width="9.85546875" customWidth="1"/>
    <col min="31" max="31" width="14.140625" customWidth="1"/>
    <col min="32" max="32" width="16.140625" customWidth="1"/>
    <col min="33" max="33" width="14.42578125" customWidth="1"/>
    <col min="34" max="34" width="13.140625" customWidth="1"/>
    <col min="35" max="35" width="14.85546875" customWidth="1"/>
    <col min="44" max="44" width="7" bestFit="1" customWidth="1"/>
    <col min="45" max="45" width="8.85546875" bestFit="1" customWidth="1"/>
    <col min="46" max="46" width="7.42578125" bestFit="1" customWidth="1"/>
    <col min="47" max="47" width="6" bestFit="1" customWidth="1"/>
    <col min="48" max="49" width="6.42578125" bestFit="1" customWidth="1"/>
    <col min="50" max="50" width="5.85546875" bestFit="1" customWidth="1"/>
    <col min="51" max="51" width="8.42578125" bestFit="1" customWidth="1"/>
    <col min="52" max="52" width="11.85546875" customWidth="1"/>
    <col min="53" max="53" width="9.140625" bestFit="1" customWidth="1"/>
    <col min="54" max="54" width="11.85546875" customWidth="1"/>
    <col min="55" max="55" width="10.42578125" bestFit="1" customWidth="1"/>
    <col min="69" max="74" width="9.42578125" customWidth="1"/>
  </cols>
  <sheetData>
    <row r="1" spans="1:55" ht="15" customHeight="1">
      <c r="A1" s="617" t="s">
        <v>58</v>
      </c>
      <c r="B1" s="617"/>
      <c r="C1" s="618"/>
      <c r="D1" s="619" t="s">
        <v>59</v>
      </c>
      <c r="E1" s="620"/>
      <c r="F1" s="620"/>
      <c r="G1" s="620"/>
      <c r="H1" s="620"/>
      <c r="I1" s="620"/>
      <c r="J1" s="620"/>
      <c r="K1" s="620"/>
      <c r="L1" s="620"/>
      <c r="M1" s="620"/>
      <c r="N1" s="620"/>
      <c r="O1" s="620"/>
      <c r="P1" s="620"/>
      <c r="Q1" s="620"/>
      <c r="R1" s="620"/>
      <c r="S1" s="620"/>
      <c r="T1" s="620"/>
      <c r="U1" s="620"/>
      <c r="V1" s="620"/>
      <c r="W1" s="620"/>
      <c r="X1" s="620"/>
      <c r="Y1" s="620"/>
      <c r="Z1" s="620"/>
      <c r="AA1" s="620"/>
      <c r="AB1" s="620"/>
      <c r="AC1" s="621"/>
      <c r="AD1" s="633" t="s">
        <v>60</v>
      </c>
      <c r="AE1" s="633"/>
    </row>
    <row r="2" spans="1:55" ht="15" customHeight="1">
      <c r="A2" s="618"/>
      <c r="B2" s="618"/>
      <c r="C2" s="618"/>
      <c r="D2" s="622"/>
      <c r="E2" s="623"/>
      <c r="F2" s="623"/>
      <c r="G2" s="623"/>
      <c r="H2" s="623"/>
      <c r="I2" s="623"/>
      <c r="J2" s="623"/>
      <c r="K2" s="623"/>
      <c r="L2" s="623"/>
      <c r="M2" s="623"/>
      <c r="N2" s="623"/>
      <c r="O2" s="623"/>
      <c r="P2" s="623"/>
      <c r="Q2" s="623"/>
      <c r="R2" s="623"/>
      <c r="S2" s="623"/>
      <c r="T2" s="623"/>
      <c r="U2" s="623"/>
      <c r="V2" s="623"/>
      <c r="W2" s="623"/>
      <c r="X2" s="623"/>
      <c r="Y2" s="623"/>
      <c r="Z2" s="623"/>
      <c r="AA2" s="623"/>
      <c r="AB2" s="623"/>
      <c r="AC2" s="624"/>
      <c r="AD2" s="633"/>
      <c r="AE2" s="633"/>
    </row>
    <row r="3" spans="1:55" ht="15" customHeight="1">
      <c r="A3" s="618"/>
      <c r="B3" s="618"/>
      <c r="C3" s="618"/>
      <c r="D3" s="625"/>
      <c r="E3" s="626"/>
      <c r="F3" s="626"/>
      <c r="G3" s="626"/>
      <c r="H3" s="626"/>
      <c r="I3" s="626"/>
      <c r="J3" s="626"/>
      <c r="K3" s="626"/>
      <c r="L3" s="626"/>
      <c r="M3" s="626"/>
      <c r="N3" s="626"/>
      <c r="O3" s="626"/>
      <c r="P3" s="626"/>
      <c r="Q3" s="626"/>
      <c r="R3" s="626"/>
      <c r="S3" s="626"/>
      <c r="T3" s="626"/>
      <c r="U3" s="626"/>
      <c r="V3" s="626"/>
      <c r="W3" s="626"/>
      <c r="X3" s="626"/>
      <c r="Y3" s="626"/>
      <c r="Z3" s="626"/>
      <c r="AA3" s="626"/>
      <c r="AB3" s="626"/>
      <c r="AC3" s="627"/>
      <c r="AD3" s="633"/>
      <c r="AE3" s="633"/>
    </row>
    <row r="4" spans="1:55" ht="15" customHeight="1">
      <c r="A4" s="618"/>
      <c r="B4" s="618"/>
      <c r="C4" s="618"/>
      <c r="D4" s="634" t="s">
        <v>61</v>
      </c>
      <c r="E4" s="635"/>
      <c r="F4" s="635"/>
      <c r="G4" s="635"/>
      <c r="H4" s="635"/>
      <c r="I4" s="635"/>
      <c r="J4" s="635"/>
      <c r="K4" s="635"/>
      <c r="L4" s="635"/>
      <c r="M4" s="635"/>
      <c r="N4" s="635"/>
      <c r="O4" s="635"/>
      <c r="P4" s="635"/>
      <c r="Q4" s="635"/>
      <c r="R4" s="635"/>
      <c r="S4" s="635"/>
      <c r="T4" s="635"/>
      <c r="U4" s="635"/>
      <c r="V4" s="635"/>
      <c r="W4" s="635"/>
      <c r="X4" s="635"/>
      <c r="Y4" s="635"/>
      <c r="Z4" s="635"/>
      <c r="AA4" s="635"/>
      <c r="AB4" s="635"/>
      <c r="AC4" s="636"/>
      <c r="AD4" s="633" t="s">
        <v>62</v>
      </c>
      <c r="AE4" s="633"/>
    </row>
    <row r="5" spans="1:55" ht="15" customHeight="1">
      <c r="A5" s="618"/>
      <c r="B5" s="618"/>
      <c r="C5" s="618"/>
      <c r="D5" s="637"/>
      <c r="E5" s="638"/>
      <c r="F5" s="638"/>
      <c r="G5" s="638"/>
      <c r="H5" s="638"/>
      <c r="I5" s="638"/>
      <c r="J5" s="638"/>
      <c r="K5" s="638"/>
      <c r="L5" s="638"/>
      <c r="M5" s="638"/>
      <c r="N5" s="638"/>
      <c r="O5" s="638"/>
      <c r="P5" s="638"/>
      <c r="Q5" s="638"/>
      <c r="R5" s="638"/>
      <c r="S5" s="638"/>
      <c r="T5" s="638"/>
      <c r="U5" s="638"/>
      <c r="V5" s="638"/>
      <c r="W5" s="638"/>
      <c r="X5" s="638"/>
      <c r="Y5" s="638"/>
      <c r="Z5" s="638"/>
      <c r="AA5" s="638"/>
      <c r="AB5" s="638"/>
      <c r="AC5" s="639"/>
      <c r="AD5" s="640">
        <v>42731</v>
      </c>
      <c r="AE5" s="640"/>
    </row>
    <row r="7" spans="1:55" ht="93.75" customHeight="1" thickBot="1">
      <c r="A7" s="103" t="s">
        <v>63</v>
      </c>
      <c r="B7" s="103"/>
      <c r="C7" s="103" t="s">
        <v>64</v>
      </c>
      <c r="D7" s="103" t="s">
        <v>65</v>
      </c>
      <c r="E7" s="103" t="s">
        <v>66</v>
      </c>
      <c r="F7" s="103" t="s">
        <v>67</v>
      </c>
      <c r="G7" s="103" t="s">
        <v>68</v>
      </c>
      <c r="H7" s="103" t="s">
        <v>69</v>
      </c>
      <c r="I7" s="103" t="s">
        <v>71</v>
      </c>
      <c r="J7" s="103" t="s">
        <v>72</v>
      </c>
      <c r="K7" s="103" t="s">
        <v>76</v>
      </c>
      <c r="L7" s="151">
        <v>42736</v>
      </c>
      <c r="M7" s="151">
        <v>42767</v>
      </c>
      <c r="N7" s="151">
        <v>42795</v>
      </c>
      <c r="O7" s="151">
        <v>42826</v>
      </c>
      <c r="P7" s="151">
        <v>42856</v>
      </c>
      <c r="Q7" s="151">
        <v>42887</v>
      </c>
      <c r="R7" s="151">
        <v>42917</v>
      </c>
      <c r="S7" s="151">
        <v>42948</v>
      </c>
      <c r="T7" s="151">
        <v>42979</v>
      </c>
      <c r="U7" s="151">
        <v>43009</v>
      </c>
      <c r="V7" s="151">
        <v>43040</v>
      </c>
      <c r="W7" s="151">
        <v>43070</v>
      </c>
      <c r="X7" s="151"/>
      <c r="Y7" s="151"/>
      <c r="Z7" s="103" t="s">
        <v>77</v>
      </c>
      <c r="AA7" s="103" t="s">
        <v>78</v>
      </c>
      <c r="AB7" s="103" t="s">
        <v>79</v>
      </c>
      <c r="AC7" s="103" t="s">
        <v>80</v>
      </c>
      <c r="AD7" s="152" t="s">
        <v>81</v>
      </c>
      <c r="AE7" s="152" t="s">
        <v>82</v>
      </c>
      <c r="AF7" s="152" t="s">
        <v>83</v>
      </c>
      <c r="AG7" s="152" t="s">
        <v>84</v>
      </c>
      <c r="AH7" s="152" t="s">
        <v>85</v>
      </c>
      <c r="AQ7" s="1"/>
      <c r="AR7" s="1"/>
      <c r="AS7" s="1"/>
      <c r="AT7" s="1"/>
      <c r="AU7" s="1"/>
      <c r="AV7" s="1"/>
      <c r="AW7" s="1"/>
      <c r="AX7" s="1"/>
      <c r="AY7" s="1"/>
      <c r="AZ7" s="1"/>
      <c r="BA7" s="1"/>
      <c r="BB7" s="1"/>
      <c r="BC7" s="1"/>
    </row>
    <row r="8" spans="1:55" ht="25.5">
      <c r="A8" s="656" t="s">
        <v>49</v>
      </c>
      <c r="B8" s="149" t="e">
        <f>+#REF!+1</f>
        <v>#REF!</v>
      </c>
      <c r="C8" s="138" t="s">
        <v>175</v>
      </c>
      <c r="D8" s="114" t="s">
        <v>37</v>
      </c>
      <c r="E8" s="115"/>
      <c r="F8" s="115"/>
      <c r="G8" s="114" t="s">
        <v>296</v>
      </c>
      <c r="H8" s="114" t="s">
        <v>297</v>
      </c>
      <c r="I8" s="116" t="s">
        <v>39</v>
      </c>
      <c r="J8" s="117" t="s">
        <v>43</v>
      </c>
      <c r="K8" s="118">
        <v>0.8</v>
      </c>
      <c r="L8" s="119"/>
      <c r="M8" s="119"/>
      <c r="N8" s="119"/>
      <c r="O8" s="119"/>
      <c r="P8" s="119"/>
      <c r="Q8" s="119"/>
      <c r="R8" s="119"/>
      <c r="S8" s="119"/>
      <c r="T8" s="119"/>
      <c r="U8" s="119"/>
      <c r="V8" s="119"/>
      <c r="W8" s="119"/>
      <c r="X8" s="120">
        <v>0</v>
      </c>
      <c r="Y8" s="120">
        <v>1</v>
      </c>
      <c r="Z8" s="120" t="e">
        <f t="shared" ref="Z8:Z16" si="0">LOOKUP(1000000000,L8:W8)</f>
        <v>#N/A</v>
      </c>
      <c r="AA8" s="114"/>
      <c r="AB8" s="119" t="e">
        <f t="shared" ref="AB8:AB16" si="1">+IF(SLOPE(L8:W8,$L$7:$W$7)&gt;0,"Al alza",IF(SLOPE(L8:W8,$L$7:$W$7)&lt;0,"A la baja","Sin cambio"))</f>
        <v>#DIV/0!</v>
      </c>
      <c r="AC8" s="542" t="s">
        <v>90</v>
      </c>
      <c r="AD8" s="121">
        <v>9.6100000000000005E-3</v>
      </c>
      <c r="AE8" s="122" t="str">
        <f>IF($J$8="Sube",IF(ISERROR(Z8/$K$8)=TRUE,"",IF(Z8&gt;$K$8,AD8,Z8/$K$8*AD8)),IF(ISERROR($K$8/Z8)=TRUE,"",IF($K$8&lt;Z8,$K$8/Z8*AD8,AD8)))</f>
        <v/>
      </c>
      <c r="AF8" s="123" t="str">
        <f>IF($J$8="Sube",IF(ISERROR(Z8/$K$8)=TRUE,"",IF(Z8&gt;=$K$8,1,0)),IF(ISERROR($K$8/Z8)=TRUE,"",IF($K$8&lt;Z8,0,1)))</f>
        <v/>
      </c>
      <c r="AG8" s="115"/>
      <c r="AH8" s="124"/>
      <c r="AQ8" s="60"/>
      <c r="AR8" s="60"/>
      <c r="AS8" s="60"/>
      <c r="AT8" s="60"/>
      <c r="AU8" s="60"/>
      <c r="AV8" s="60"/>
      <c r="AW8" s="60"/>
      <c r="AX8" s="60"/>
      <c r="AY8" s="60"/>
      <c r="AZ8" s="60"/>
      <c r="BA8" s="60"/>
      <c r="BB8" s="60"/>
    </row>
    <row r="9" spans="1:55" ht="25.5">
      <c r="A9" s="657"/>
      <c r="B9" s="100" t="e">
        <f t="shared" ref="B9:B16" si="2">+B8+1</f>
        <v>#REF!</v>
      </c>
      <c r="C9" s="98" t="s">
        <v>180</v>
      </c>
      <c r="D9" s="13" t="s">
        <v>33</v>
      </c>
      <c r="E9" s="58"/>
      <c r="F9" s="58"/>
      <c r="G9" s="13" t="s">
        <v>298</v>
      </c>
      <c r="H9" s="13" t="s">
        <v>299</v>
      </c>
      <c r="I9" s="15" t="s">
        <v>39</v>
      </c>
      <c r="J9" s="97" t="s">
        <v>43</v>
      </c>
      <c r="K9" s="68">
        <v>0.05</v>
      </c>
      <c r="L9" s="14"/>
      <c r="M9" s="14"/>
      <c r="N9" s="14"/>
      <c r="O9" s="14"/>
      <c r="P9" s="14"/>
      <c r="Q9" s="14"/>
      <c r="R9" s="14"/>
      <c r="S9" s="14"/>
      <c r="T9" s="14"/>
      <c r="U9" s="14"/>
      <c r="V9" s="14"/>
      <c r="W9" s="14"/>
      <c r="X9" s="61">
        <v>0</v>
      </c>
      <c r="Y9" s="61">
        <v>1</v>
      </c>
      <c r="Z9" s="61" t="e">
        <f t="shared" si="0"/>
        <v>#N/A</v>
      </c>
      <c r="AA9" s="13"/>
      <c r="AB9" s="14" t="e">
        <f t="shared" si="1"/>
        <v>#DIV/0!</v>
      </c>
      <c r="AC9" s="543" t="s">
        <v>90</v>
      </c>
      <c r="AD9" s="75">
        <v>9.6100000000000005E-3</v>
      </c>
      <c r="AE9" s="17" t="str">
        <f>IF($J$9="Sube",IF(ISERROR(Z9/$K$9)=TRUE,"",IF(Z9&gt;$K$9,AD9,Z9/$K$9*AD9)),IF(ISERROR($K$9/Z9)=TRUE,"",IF($K$9&lt;Z9,$K$9/Z9*AD9,AD9)))</f>
        <v/>
      </c>
      <c r="AF9" s="18" t="str">
        <f>IF($J$9="Sube",IF(ISERROR(Z9/$K$9)=TRUE,"",IF(Z9&gt;=$K$9,1,0)),IF(ISERROR($K$9/Z9)=TRUE,"",IF($K$9&lt;Z9,0,1)))</f>
        <v/>
      </c>
      <c r="AG9" s="58"/>
      <c r="AH9" s="125"/>
      <c r="AQ9" s="60"/>
      <c r="AR9" s="60"/>
      <c r="AS9" s="60"/>
      <c r="AT9" s="60"/>
      <c r="AU9" s="60"/>
      <c r="AV9" s="60"/>
      <c r="AW9" s="60"/>
      <c r="AX9" s="60"/>
      <c r="AY9" s="60"/>
      <c r="AZ9" s="60"/>
      <c r="BA9" s="60"/>
      <c r="BB9" s="60"/>
    </row>
    <row r="10" spans="1:55" ht="39" thickBot="1">
      <c r="A10" s="658"/>
      <c r="B10" s="150" t="e">
        <f t="shared" si="2"/>
        <v>#REF!</v>
      </c>
      <c r="C10" s="139" t="s">
        <v>184</v>
      </c>
      <c r="D10" s="127" t="s">
        <v>150</v>
      </c>
      <c r="E10" s="136"/>
      <c r="F10" s="136"/>
      <c r="G10" s="127" t="s">
        <v>300</v>
      </c>
      <c r="H10" s="127" t="s">
        <v>301</v>
      </c>
      <c r="I10" s="128" t="s">
        <v>302</v>
      </c>
      <c r="J10" s="129" t="s">
        <v>43</v>
      </c>
      <c r="K10" s="130">
        <v>0.95</v>
      </c>
      <c r="L10" s="131"/>
      <c r="M10" s="131"/>
      <c r="N10" s="131"/>
      <c r="O10" s="131"/>
      <c r="P10" s="131"/>
      <c r="Q10" s="131"/>
      <c r="R10" s="131"/>
      <c r="S10" s="131"/>
      <c r="T10" s="131"/>
      <c r="U10" s="131"/>
      <c r="V10" s="131"/>
      <c r="W10" s="131"/>
      <c r="X10" s="132">
        <v>0</v>
      </c>
      <c r="Y10" s="132">
        <v>1</v>
      </c>
      <c r="Z10" s="132" t="e">
        <f t="shared" si="0"/>
        <v>#N/A</v>
      </c>
      <c r="AA10" s="127"/>
      <c r="AB10" s="131" t="e">
        <f t="shared" si="1"/>
        <v>#DIV/0!</v>
      </c>
      <c r="AC10" s="126" t="s">
        <v>90</v>
      </c>
      <c r="AD10" s="133">
        <v>9.6100000000000005E-3</v>
      </c>
      <c r="AE10" s="134" t="str">
        <f>IF($J$10="Sube",IF(ISERROR(Z10/$K$10)=TRUE,"",IF(Z10&gt;$K$10,AD10,Z10/$K$10*AD10)),IF(ISERROR($K$10/Z10)=TRUE,"",IF($K$10&lt;Z10,$K$10/Z10*AD10,AD10)))</f>
        <v/>
      </c>
      <c r="AF10" s="135" t="str">
        <f>IF($J$10="Sube",IF(ISERROR(Z10/$K$10)=TRUE,"",IF(Z10&gt;=$K$10,1,0)),IF(ISERROR($K$10/Z10)=TRUE,"",IF($K$10&lt;Z10,0,1)))</f>
        <v/>
      </c>
      <c r="AG10" s="136"/>
      <c r="AH10" s="137"/>
      <c r="AQ10" s="60"/>
      <c r="AR10" s="60"/>
      <c r="AS10" s="60"/>
      <c r="AT10" s="60"/>
      <c r="AU10" s="60"/>
      <c r="AV10" s="60"/>
      <c r="AW10" s="60"/>
      <c r="AX10" s="60"/>
      <c r="AY10" s="60"/>
      <c r="AZ10" s="60"/>
      <c r="BA10" s="60"/>
      <c r="BB10" s="60"/>
    </row>
    <row r="11" spans="1:55" hidden="1">
      <c r="A11" s="655" t="s">
        <v>303</v>
      </c>
      <c r="B11" s="99" t="e">
        <f t="shared" si="2"/>
        <v>#REF!</v>
      </c>
      <c r="C11" s="102"/>
      <c r="D11" s="104"/>
      <c r="E11" s="105"/>
      <c r="F11" s="105"/>
      <c r="G11" s="104"/>
      <c r="H11" s="104"/>
      <c r="I11" s="106"/>
      <c r="J11" s="107"/>
      <c r="K11" s="108"/>
      <c r="L11" s="109"/>
      <c r="M11" s="109"/>
      <c r="N11" s="109"/>
      <c r="O11" s="109"/>
      <c r="P11" s="109"/>
      <c r="Q11" s="109"/>
      <c r="R11" s="109"/>
      <c r="S11" s="109"/>
      <c r="T11" s="109"/>
      <c r="U11" s="109"/>
      <c r="V11" s="109"/>
      <c r="W11" s="109"/>
      <c r="X11" s="109"/>
      <c r="Y11" s="109"/>
      <c r="Z11" s="110" t="e">
        <f t="shared" si="0"/>
        <v>#N/A</v>
      </c>
      <c r="AA11" s="104"/>
      <c r="AB11" s="109" t="e">
        <f t="shared" si="1"/>
        <v>#DIV/0!</v>
      </c>
      <c r="AC11" s="102" t="s">
        <v>90</v>
      </c>
      <c r="AD11" s="111">
        <v>9.6100000000000005E-3</v>
      </c>
      <c r="AE11" s="112" t="str">
        <f>IF($J$11="Sube",IF(ISERROR(Z11/$K$11)=TRUE,"",IF(Z11&gt;$K$11,AD11,Z11/$K$11*AD11)),IF(ISERROR($K$11/Z11)=TRUE,"",IF($K$11&lt;Z11,$K$11/Z11*AD11,AD11)))</f>
        <v/>
      </c>
      <c r="AF11" s="113" t="str">
        <f>IF($J$11="Sube",IF(ISERROR(Z11/$K$11)=TRUE,"",IF(Z11&gt;=$K$11,1,0)),IF(ISERROR($K$11/Z11)=TRUE,"",IF($K$11&lt;Z11,0,1)))</f>
        <v/>
      </c>
      <c r="AG11" s="105"/>
      <c r="AH11" s="105"/>
      <c r="AQ11" s="60"/>
      <c r="AR11" s="60"/>
      <c r="AS11" s="60"/>
      <c r="AT11" s="60"/>
      <c r="AU11" s="60"/>
      <c r="AV11" s="60"/>
      <c r="AW11" s="60"/>
      <c r="AX11" s="60"/>
      <c r="AY11" s="60"/>
      <c r="AZ11" s="60"/>
      <c r="BA11" s="60"/>
      <c r="BB11" s="60"/>
    </row>
    <row r="12" spans="1:55" hidden="1">
      <c r="A12" s="655"/>
      <c r="B12" s="99" t="e">
        <f t="shared" si="2"/>
        <v>#REF!</v>
      </c>
      <c r="C12" s="543"/>
      <c r="D12" s="13"/>
      <c r="E12" s="58"/>
      <c r="F12" s="58"/>
      <c r="G12" s="13"/>
      <c r="H12" s="13"/>
      <c r="I12" s="15"/>
      <c r="J12" s="97"/>
      <c r="K12" s="68"/>
      <c r="L12" s="14"/>
      <c r="M12" s="14"/>
      <c r="N12" s="14"/>
      <c r="O12" s="14"/>
      <c r="P12" s="14"/>
      <c r="Q12" s="14"/>
      <c r="R12" s="14"/>
      <c r="S12" s="14"/>
      <c r="T12" s="14"/>
      <c r="U12" s="14"/>
      <c r="V12" s="14"/>
      <c r="W12" s="14"/>
      <c r="X12" s="14"/>
      <c r="Y12" s="14"/>
      <c r="Z12" s="61" t="e">
        <f t="shared" si="0"/>
        <v>#N/A</v>
      </c>
      <c r="AA12" s="13"/>
      <c r="AB12" s="14" t="e">
        <f t="shared" si="1"/>
        <v>#DIV/0!</v>
      </c>
      <c r="AC12" s="543" t="s">
        <v>90</v>
      </c>
      <c r="AD12" s="75">
        <v>9.6100000000000005E-3</v>
      </c>
      <c r="AE12" s="17" t="str">
        <f>IF($J$12="Sube",IF(ISERROR(Z12/$K$12)=TRUE,"",IF(Z12&gt;$K$12,AD12,Z12/$K$12*AD12)),IF(ISERROR($K$12/Z12)=TRUE,"",IF($K$12&lt;Z12,$K$12/Z12*AD12,AD12)))</f>
        <v/>
      </c>
      <c r="AF12" s="18" t="str">
        <f>IF($J$12="Sube",IF(ISERROR(Z12/$K$12)=TRUE,"",IF(Z12&gt;=$K$12,1,0)),IF(ISERROR($K$12/Z12)=TRUE,"",IF($K$12&lt;Z12,0,1)))</f>
        <v/>
      </c>
      <c r="AG12" s="58"/>
      <c r="AH12" s="58"/>
      <c r="AQ12" s="60"/>
      <c r="AR12" s="60"/>
      <c r="AS12" s="60"/>
      <c r="AT12" s="60"/>
      <c r="AU12" s="60"/>
      <c r="AV12" s="60"/>
      <c r="AW12" s="60"/>
      <c r="AX12" s="60"/>
      <c r="AY12" s="60"/>
      <c r="AZ12" s="60"/>
      <c r="BA12" s="60"/>
      <c r="BB12" s="60"/>
    </row>
    <row r="13" spans="1:55" hidden="1">
      <c r="A13" s="655"/>
      <c r="B13" s="99" t="e">
        <f t="shared" si="2"/>
        <v>#REF!</v>
      </c>
      <c r="C13" s="543"/>
      <c r="D13" s="13"/>
      <c r="E13" s="58"/>
      <c r="F13" s="58"/>
      <c r="G13" s="13"/>
      <c r="H13" s="13"/>
      <c r="I13" s="15"/>
      <c r="J13" s="97"/>
      <c r="K13" s="68"/>
      <c r="L13" s="14"/>
      <c r="M13" s="14"/>
      <c r="N13" s="14"/>
      <c r="O13" s="14"/>
      <c r="P13" s="14"/>
      <c r="Q13" s="14"/>
      <c r="R13" s="14"/>
      <c r="S13" s="14"/>
      <c r="T13" s="14"/>
      <c r="U13" s="14"/>
      <c r="V13" s="14"/>
      <c r="W13" s="14"/>
      <c r="X13" s="14"/>
      <c r="Y13" s="14"/>
      <c r="Z13" s="61" t="e">
        <f t="shared" si="0"/>
        <v>#N/A</v>
      </c>
      <c r="AA13" s="13"/>
      <c r="AB13" s="14" t="e">
        <f t="shared" si="1"/>
        <v>#DIV/0!</v>
      </c>
      <c r="AC13" s="543" t="s">
        <v>90</v>
      </c>
      <c r="AD13" s="75">
        <v>9.6100000000000005E-3</v>
      </c>
      <c r="AE13" s="17" t="str">
        <f>IF($J$13="Sube",IF(ISERROR(Z13/$K$13)=TRUE,"",IF(Z13&gt;$K$13,AD13,Z13/$K$13*AD13)),IF(ISERROR($K$13/Z13)=TRUE,"",IF($K$13&lt;Z13,$K$13/Z13*AD13,AD13)))</f>
        <v/>
      </c>
      <c r="AF13" s="18" t="str">
        <f>IF($J$13="Sube",IF(ISERROR(Z13/$K$13)=TRUE,"",IF(Z13&gt;=$K$13,1,0)),IF(ISERROR($K$13/Z13)=TRUE,"",IF($K$13&lt;Z13,0,1)))</f>
        <v/>
      </c>
      <c r="AG13" s="58"/>
      <c r="AH13" s="58"/>
      <c r="AQ13" s="60"/>
      <c r="AR13" s="60"/>
      <c r="AS13" s="60"/>
      <c r="AT13" s="60"/>
      <c r="AU13" s="60"/>
      <c r="AV13" s="60"/>
      <c r="AW13" s="60"/>
      <c r="AX13" s="60"/>
      <c r="AY13" s="60"/>
      <c r="AZ13" s="60"/>
      <c r="BA13" s="60"/>
      <c r="BB13" s="60"/>
    </row>
    <row r="14" spans="1:55" hidden="1">
      <c r="A14" s="655"/>
      <c r="B14" s="99" t="e">
        <f t="shared" si="2"/>
        <v>#REF!</v>
      </c>
      <c r="C14" s="543"/>
      <c r="D14" s="13"/>
      <c r="E14" s="58"/>
      <c r="F14" s="58"/>
      <c r="G14" s="13"/>
      <c r="H14" s="13"/>
      <c r="I14" s="15"/>
      <c r="J14" s="97"/>
      <c r="K14" s="68"/>
      <c r="L14" s="14"/>
      <c r="M14" s="14"/>
      <c r="N14" s="14"/>
      <c r="O14" s="14"/>
      <c r="P14" s="14"/>
      <c r="Q14" s="14"/>
      <c r="R14" s="14"/>
      <c r="S14" s="14"/>
      <c r="T14" s="14"/>
      <c r="U14" s="14"/>
      <c r="V14" s="14"/>
      <c r="W14" s="14"/>
      <c r="X14" s="14"/>
      <c r="Y14" s="14"/>
      <c r="Z14" s="61" t="e">
        <f t="shared" si="0"/>
        <v>#N/A</v>
      </c>
      <c r="AA14" s="13"/>
      <c r="AB14" s="14" t="e">
        <f t="shared" si="1"/>
        <v>#DIV/0!</v>
      </c>
      <c r="AC14" s="543" t="s">
        <v>90</v>
      </c>
      <c r="AD14" s="75">
        <v>9.6100000000000005E-3</v>
      </c>
      <c r="AE14" s="17" t="str">
        <f>IF($J$14="Sube",IF(ISERROR(Z14/$K$14)=TRUE,"",IF(Z14&gt;$K$14,AD14,Z14/$K$14*AD14)),IF(ISERROR($K$14/Z14)=TRUE,"",IF($K$14&lt;Z14,$K$14/Z14*AD14,AD14)))</f>
        <v/>
      </c>
      <c r="AF14" s="18" t="str">
        <f>IF($J$14="Sube",IF(ISERROR(Z14/$K$14)=TRUE,"",IF(Z14&gt;=$K$14,1,0)),IF(ISERROR($K$14/Z14)=TRUE,"",IF($K$14&lt;Z14,0,1)))</f>
        <v/>
      </c>
      <c r="AG14" s="58"/>
      <c r="AH14" s="58"/>
      <c r="AQ14" s="60"/>
      <c r="AR14" s="60"/>
      <c r="AS14" s="60"/>
      <c r="AT14" s="60"/>
      <c r="AU14" s="60"/>
      <c r="AV14" s="60"/>
      <c r="AW14" s="60"/>
      <c r="AX14" s="60"/>
      <c r="AY14" s="60"/>
      <c r="AZ14" s="60"/>
      <c r="BA14" s="60"/>
      <c r="BB14" s="60"/>
    </row>
    <row r="15" spans="1:55" hidden="1">
      <c r="A15" s="655"/>
      <c r="B15" s="99" t="e">
        <f t="shared" si="2"/>
        <v>#REF!</v>
      </c>
      <c r="C15" s="543"/>
      <c r="D15" s="13"/>
      <c r="E15" s="58"/>
      <c r="F15" s="58"/>
      <c r="G15" s="13"/>
      <c r="H15" s="13"/>
      <c r="I15" s="15"/>
      <c r="J15" s="97"/>
      <c r="K15" s="68"/>
      <c r="L15" s="14"/>
      <c r="M15" s="14"/>
      <c r="N15" s="14"/>
      <c r="O15" s="14"/>
      <c r="P15" s="14"/>
      <c r="Q15" s="14"/>
      <c r="R15" s="14"/>
      <c r="S15" s="14"/>
      <c r="T15" s="14"/>
      <c r="U15" s="14"/>
      <c r="V15" s="14"/>
      <c r="W15" s="14"/>
      <c r="X15" s="14"/>
      <c r="Y15" s="14"/>
      <c r="Z15" s="61" t="e">
        <f t="shared" si="0"/>
        <v>#N/A</v>
      </c>
      <c r="AA15" s="13"/>
      <c r="AB15" s="14" t="e">
        <f t="shared" si="1"/>
        <v>#DIV/0!</v>
      </c>
      <c r="AC15" s="543" t="s">
        <v>90</v>
      </c>
      <c r="AD15" s="75">
        <v>9.6100000000000005E-3</v>
      </c>
      <c r="AE15" s="17" t="str">
        <f>IF($J$15="Sube",IF(ISERROR(Z15/$K$15)=TRUE,"",IF(Z15&gt;$K$15,AD15,Z15/$K$15*AD15)),IF(ISERROR($K$15/Z15)=TRUE,"",IF($K$15&lt;Z15,$K$15/Z15*AD15,AD15)))</f>
        <v/>
      </c>
      <c r="AF15" s="18" t="str">
        <f>IF($J$15="Sube",IF(ISERROR(Z15/$K$15)=TRUE,"",IF(Z15&gt;=$K$15,1,0)),IF(ISERROR($K$15/Z15)=TRUE,"",IF($K$15&lt;Z15,0,1)))</f>
        <v/>
      </c>
      <c r="AG15" s="58"/>
      <c r="AH15" s="58"/>
      <c r="AQ15" s="60"/>
      <c r="AR15" s="60"/>
      <c r="AS15" s="60"/>
      <c r="AT15" s="60"/>
      <c r="AU15" s="60"/>
      <c r="AV15" s="60"/>
      <c r="AW15" s="60"/>
      <c r="AX15" s="60"/>
      <c r="AY15" s="60"/>
      <c r="AZ15" s="60"/>
      <c r="BA15" s="60"/>
      <c r="BB15" s="60"/>
    </row>
    <row r="16" spans="1:55" hidden="1">
      <c r="A16" s="655"/>
      <c r="B16" s="99" t="e">
        <f t="shared" si="2"/>
        <v>#REF!</v>
      </c>
      <c r="C16" s="101"/>
      <c r="D16" s="72"/>
      <c r="E16" s="140"/>
      <c r="F16" s="140"/>
      <c r="G16" s="72"/>
      <c r="H16" s="72"/>
      <c r="I16" s="141"/>
      <c r="J16" s="142"/>
      <c r="K16" s="143"/>
      <c r="L16" s="144"/>
      <c r="M16" s="144"/>
      <c r="N16" s="144"/>
      <c r="O16" s="144"/>
      <c r="P16" s="144"/>
      <c r="Q16" s="144"/>
      <c r="R16" s="144"/>
      <c r="S16" s="144"/>
      <c r="T16" s="144"/>
      <c r="U16" s="144"/>
      <c r="V16" s="144"/>
      <c r="W16" s="144"/>
      <c r="X16" s="144"/>
      <c r="Y16" s="144"/>
      <c r="Z16" s="145" t="e">
        <f t="shared" si="0"/>
        <v>#N/A</v>
      </c>
      <c r="AA16" s="72"/>
      <c r="AB16" s="144" t="e">
        <f t="shared" si="1"/>
        <v>#DIV/0!</v>
      </c>
      <c r="AC16" s="101" t="s">
        <v>90</v>
      </c>
      <c r="AD16" s="146">
        <v>9.6100000000000005E-3</v>
      </c>
      <c r="AE16" s="147" t="str">
        <f>IF($J$16="Sube",IF(ISERROR(Z16/$K$16)=TRUE,"",IF(Z16&gt;$K$16,AD16,Z16/$K$16*AD16)),IF(ISERROR($K$16/Z16)=TRUE,"",IF($K$16&lt;Z16,$K$16/Z16*AD16,AD16)))</f>
        <v/>
      </c>
      <c r="AF16" s="148" t="str">
        <f>IF($J$16="Sube",IF(ISERROR(Z16/$K$16)=TRUE,"",IF(Z16&gt;=$K$16,1,0)),IF(ISERROR($K$16/Z16)=TRUE,"",IF($K$16&lt;Z16,0,1)))</f>
        <v/>
      </c>
      <c r="AG16" s="140"/>
      <c r="AH16" s="140"/>
      <c r="AQ16" s="60"/>
      <c r="AR16" s="60"/>
      <c r="AS16" s="60"/>
      <c r="AT16" s="60"/>
      <c r="AU16" s="60"/>
      <c r="AV16" s="60"/>
      <c r="AW16" s="60"/>
      <c r="AX16" s="60"/>
      <c r="AY16" s="60"/>
      <c r="AZ16" s="60"/>
      <c r="BA16" s="60"/>
      <c r="BB16" s="60"/>
    </row>
    <row r="17" spans="29:55" ht="15.75" thickBot="1">
      <c r="AC17" s="65" t="s">
        <v>265</v>
      </c>
      <c r="AD17" s="74">
        <f>SUM(AD8:AD16)</f>
        <v>8.6490000000000011E-2</v>
      </c>
      <c r="AE17" s="73">
        <f>SUMIFS(AE8:AE16,AC8:AC16,"Si")/SUMIFS(AD8:AD16,AC8:AC16,"Si")</f>
        <v>0</v>
      </c>
      <c r="AF17" s="66">
        <f>SUMIFS(AF8:AF16,AC8:AC16,"Si")/AC19</f>
        <v>0</v>
      </c>
      <c r="AR17" s="60"/>
      <c r="AS17" s="60"/>
      <c r="AT17" s="60"/>
      <c r="AU17" s="60"/>
      <c r="AV17" s="60"/>
      <c r="AW17" s="60"/>
      <c r="AX17" s="60"/>
      <c r="AY17" s="60"/>
      <c r="AZ17" s="60"/>
      <c r="BA17" s="60"/>
      <c r="BB17" s="60"/>
      <c r="BC17" s="60"/>
    </row>
    <row r="18" spans="29:55" ht="38.25">
      <c r="AC18" s="19" t="s">
        <v>266</v>
      </c>
      <c r="AD18" s="542" t="s">
        <v>267</v>
      </c>
      <c r="AE18" s="20" t="s">
        <v>268</v>
      </c>
      <c r="AG18" s="16"/>
    </row>
    <row r="19" spans="29:55" ht="15.75" thickBot="1">
      <c r="AC19" s="21">
        <f>COUNTIF(AC8:AC16,"Si")</f>
        <v>9</v>
      </c>
      <c r="AD19" s="22">
        <f>COUNT(Z8:Z16)</f>
        <v>0</v>
      </c>
      <c r="AE19" s="23">
        <f>AD19/AC19</f>
        <v>0</v>
      </c>
      <c r="AG19" s="16"/>
    </row>
    <row r="20" spans="29:55">
      <c r="AC20" s="1"/>
      <c r="AD20" s="2"/>
      <c r="AE20" s="2"/>
      <c r="AG20" s="1"/>
    </row>
    <row r="21" spans="29:55">
      <c r="AC21" s="24" t="s">
        <v>269</v>
      </c>
      <c r="AD21" s="25" t="s">
        <v>270</v>
      </c>
      <c r="AE21" s="2"/>
      <c r="AG21" s="1"/>
    </row>
    <row r="22" spans="29:55">
      <c r="AC22" s="26" t="s">
        <v>271</v>
      </c>
      <c r="AD22" s="27" t="s">
        <v>272</v>
      </c>
      <c r="AE22" s="2"/>
      <c r="AG22" s="1"/>
    </row>
    <row r="23" spans="29:55" ht="25.5">
      <c r="AC23" s="28" t="s">
        <v>273</v>
      </c>
      <c r="AD23" s="29" t="s">
        <v>274</v>
      </c>
      <c r="AE23" s="2"/>
      <c r="AG23" s="1"/>
    </row>
  </sheetData>
  <mergeCells count="8">
    <mergeCell ref="A11:A16"/>
    <mergeCell ref="A8:A10"/>
    <mergeCell ref="A1:C5"/>
    <mergeCell ref="D1:AC3"/>
    <mergeCell ref="AD1:AE3"/>
    <mergeCell ref="D4:AC5"/>
    <mergeCell ref="AD4:AE4"/>
    <mergeCell ref="AD5:AE5"/>
  </mergeCells>
  <conditionalFormatting sqref="AE17">
    <cfRule type="cellIs" dxfId="7" priority="5" operator="greaterThanOrEqual">
      <formula>0.85</formula>
    </cfRule>
    <cfRule type="cellIs" dxfId="6" priority="6" operator="between">
      <formula>0.65</formula>
      <formula>0.84</formula>
    </cfRule>
    <cfRule type="cellIs" dxfId="5" priority="7" operator="equal">
      <formula>"0.65"</formula>
    </cfRule>
    <cfRule type="cellIs" dxfId="4" priority="8" operator="lessThan">
      <formula>0.64</formula>
    </cfRule>
  </conditionalFormatting>
  <conditionalFormatting sqref="AF17">
    <cfRule type="cellIs" dxfId="3" priority="1" operator="greaterThanOrEqual">
      <formula>0.85</formula>
    </cfRule>
    <cfRule type="cellIs" dxfId="2" priority="2" operator="between">
      <formula>0.65</formula>
      <formula>"0.84"</formula>
    </cfRule>
    <cfRule type="cellIs" dxfId="1" priority="3" operator="equal">
      <formula>"0.65"</formula>
    </cfRule>
    <cfRule type="cellIs" dxfId="0" priority="4" operator="lessThan">
      <formula>0.65</formula>
    </cfRule>
  </conditionalFormatting>
  <dataValidations count="2">
    <dataValidation type="list" allowBlank="1" showInputMessage="1" showErrorMessage="1" sqref="AC8:AC16" xr:uid="{00000000-0002-0000-0700-000000000000}">
      <formula1>"Si,No"</formula1>
    </dataValidation>
    <dataValidation type="list" allowBlank="1" showInputMessage="1" showErrorMessage="1" sqref="J8:J16" xr:uid="{00000000-0002-0000-0700-000001000000}">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high="1" xr2:uid="{00000000-0003-0000-0700-000005000000}">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 manualMax="0" manualMin="0" type="column" displayEmptyCellsAs="gap" last="1" xr2:uid="{00000000-0003-0000-0700-000006000000}">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L77"/>
  <sheetViews>
    <sheetView topLeftCell="A4" workbookViewId="0">
      <selection activeCell="L46" sqref="L46"/>
    </sheetView>
  </sheetViews>
  <sheetFormatPr baseColWidth="10" defaultColWidth="11.42578125" defaultRowHeight="15"/>
  <cols>
    <col min="1" max="1" width="3.140625" customWidth="1"/>
    <col min="2" max="2" width="14.85546875" customWidth="1"/>
    <col min="3" max="3" width="20.140625" customWidth="1"/>
    <col min="4" max="4" width="14.140625" customWidth="1"/>
    <col min="5" max="5" width="17.140625" customWidth="1"/>
    <col min="6" max="6" width="14.42578125" customWidth="1"/>
    <col min="7" max="7" width="15" customWidth="1"/>
    <col min="8" max="8" width="15.85546875" customWidth="1"/>
    <col min="9" max="9" width="21.42578125" customWidth="1"/>
    <col min="10" max="10" width="14.42578125" customWidth="1"/>
    <col min="11" max="11" width="20.85546875" customWidth="1"/>
    <col min="12" max="12" width="13.85546875" customWidth="1"/>
  </cols>
  <sheetData>
    <row r="1" spans="2:12" ht="24" customHeight="1">
      <c r="B1" s="662" t="s">
        <v>58</v>
      </c>
      <c r="C1" s="663"/>
      <c r="D1" s="666" t="s">
        <v>304</v>
      </c>
      <c r="E1" s="667"/>
      <c r="F1" s="667"/>
      <c r="G1" s="667"/>
      <c r="H1" s="667"/>
      <c r="I1" s="668"/>
      <c r="J1" s="675" t="s">
        <v>60</v>
      </c>
      <c r="K1" s="676"/>
    </row>
    <row r="2" spans="2:12" ht="15" customHeight="1">
      <c r="B2" s="664"/>
      <c r="C2" s="665"/>
      <c r="D2" s="669"/>
      <c r="E2" s="670"/>
      <c r="F2" s="670"/>
      <c r="G2" s="670"/>
      <c r="H2" s="670"/>
      <c r="I2" s="671"/>
      <c r="J2" s="677"/>
      <c r="K2" s="678"/>
    </row>
    <row r="3" spans="2:12" ht="15" customHeight="1">
      <c r="B3" s="664"/>
      <c r="C3" s="665"/>
      <c r="D3" s="672"/>
      <c r="E3" s="673"/>
      <c r="F3" s="673"/>
      <c r="G3" s="673"/>
      <c r="H3" s="673"/>
      <c r="I3" s="674"/>
      <c r="J3" s="677"/>
      <c r="K3" s="678"/>
    </row>
    <row r="4" spans="2:12" ht="15" customHeight="1">
      <c r="B4" s="664"/>
      <c r="C4" s="665"/>
      <c r="D4" s="679" t="s">
        <v>61</v>
      </c>
      <c r="E4" s="679"/>
      <c r="F4" s="679"/>
      <c r="G4" s="679"/>
      <c r="H4" s="679"/>
      <c r="I4" s="679"/>
      <c r="J4" s="677" t="s">
        <v>62</v>
      </c>
      <c r="K4" s="678"/>
    </row>
    <row r="5" spans="2:12" ht="15.75" customHeight="1" thickBot="1">
      <c r="B5" s="664"/>
      <c r="C5" s="665"/>
      <c r="D5" s="680"/>
      <c r="E5" s="680"/>
      <c r="F5" s="680"/>
      <c r="G5" s="680"/>
      <c r="H5" s="680"/>
      <c r="I5" s="680"/>
      <c r="J5" s="681">
        <v>42664</v>
      </c>
      <c r="K5" s="682"/>
    </row>
    <row r="6" spans="2:12" ht="15.75" thickBot="1">
      <c r="B6" s="659"/>
      <c r="C6" s="660"/>
      <c r="D6" s="660"/>
      <c r="E6" s="660"/>
      <c r="F6" s="660"/>
      <c r="G6" s="660"/>
      <c r="H6" s="660"/>
      <c r="I6" s="661"/>
      <c r="J6" s="685"/>
      <c r="K6" s="686"/>
    </row>
    <row r="7" spans="2:12" ht="48">
      <c r="B7" s="687" t="s">
        <v>2</v>
      </c>
      <c r="C7" s="690" t="s">
        <v>305</v>
      </c>
      <c r="D7" s="687" t="s">
        <v>306</v>
      </c>
      <c r="E7" s="76" t="s">
        <v>307</v>
      </c>
      <c r="F7" s="687" t="s">
        <v>308</v>
      </c>
      <c r="G7" s="690" t="s">
        <v>309</v>
      </c>
      <c r="H7" s="687" t="s">
        <v>310</v>
      </c>
      <c r="I7" s="77" t="s">
        <v>311</v>
      </c>
      <c r="J7" s="687" t="s">
        <v>312</v>
      </c>
      <c r="K7" s="81"/>
      <c r="L7" s="4"/>
    </row>
    <row r="8" spans="2:12" ht="60">
      <c r="B8" s="688"/>
      <c r="C8" s="691"/>
      <c r="D8" s="688"/>
      <c r="E8" s="76" t="s">
        <v>313</v>
      </c>
      <c r="F8" s="688"/>
      <c r="G8" s="691"/>
      <c r="H8" s="688"/>
      <c r="I8" s="77" t="s">
        <v>314</v>
      </c>
      <c r="J8" s="688"/>
      <c r="K8" s="81"/>
      <c r="L8" s="4"/>
    </row>
    <row r="9" spans="2:12" ht="36">
      <c r="B9" s="688"/>
      <c r="C9" s="691"/>
      <c r="D9" s="688"/>
      <c r="E9" s="76" t="s">
        <v>315</v>
      </c>
      <c r="F9" s="688"/>
      <c r="G9" s="691"/>
      <c r="H9" s="688"/>
      <c r="I9" s="77" t="s">
        <v>316</v>
      </c>
      <c r="J9" s="688"/>
      <c r="K9" s="81"/>
      <c r="L9" s="4"/>
    </row>
    <row r="10" spans="2:12" ht="48">
      <c r="B10" s="688"/>
      <c r="C10" s="691"/>
      <c r="D10" s="688"/>
      <c r="E10" s="76" t="s">
        <v>317</v>
      </c>
      <c r="F10" s="688"/>
      <c r="G10" s="691"/>
      <c r="H10" s="688"/>
      <c r="I10" s="77" t="s">
        <v>318</v>
      </c>
      <c r="J10" s="688"/>
      <c r="K10" s="81"/>
      <c r="L10" s="4"/>
    </row>
    <row r="11" spans="2:12" ht="36">
      <c r="B11" s="688"/>
      <c r="C11" s="691"/>
      <c r="D11" s="688"/>
      <c r="E11" s="76" t="s">
        <v>319</v>
      </c>
      <c r="F11" s="688"/>
      <c r="G11" s="691"/>
      <c r="H11" s="688"/>
      <c r="I11" s="77" t="s">
        <v>320</v>
      </c>
      <c r="J11" s="688"/>
      <c r="K11" s="81"/>
      <c r="L11" s="4"/>
    </row>
    <row r="12" spans="2:12" ht="48.75" thickBot="1">
      <c r="B12" s="689"/>
      <c r="C12" s="692"/>
      <c r="D12" s="688"/>
      <c r="E12" s="76" t="s">
        <v>321</v>
      </c>
      <c r="F12" s="688"/>
      <c r="G12" s="691"/>
      <c r="H12" s="688"/>
      <c r="I12" s="77" t="s">
        <v>322</v>
      </c>
      <c r="J12" s="688"/>
      <c r="K12" s="81"/>
      <c r="L12" s="5"/>
    </row>
    <row r="13" spans="2:12" ht="24.75" thickBot="1">
      <c r="B13" s="79" t="s">
        <v>323</v>
      </c>
      <c r="C13" s="78"/>
      <c r="D13" s="688"/>
      <c r="E13" s="76" t="s">
        <v>324</v>
      </c>
      <c r="F13" s="688"/>
      <c r="G13" s="691"/>
      <c r="H13" s="688"/>
      <c r="I13" s="77" t="s">
        <v>325</v>
      </c>
      <c r="J13" s="688"/>
      <c r="K13" s="81"/>
      <c r="L13" s="5"/>
    </row>
    <row r="14" spans="2:12" ht="48" customHeight="1" thickBot="1">
      <c r="B14" s="79" t="s">
        <v>326</v>
      </c>
      <c r="C14" s="78"/>
      <c r="D14" s="688"/>
      <c r="E14" s="76" t="s">
        <v>327</v>
      </c>
      <c r="F14" s="688"/>
      <c r="G14" s="691"/>
      <c r="H14" s="688"/>
      <c r="I14" s="77" t="s">
        <v>328</v>
      </c>
      <c r="J14" s="688"/>
      <c r="K14" s="81"/>
      <c r="L14" s="5"/>
    </row>
    <row r="15" spans="2:12" ht="42.95" customHeight="1" thickBot="1">
      <c r="B15" s="541" t="s">
        <v>329</v>
      </c>
      <c r="C15" s="80">
        <v>42734</v>
      </c>
      <c r="D15" s="689"/>
      <c r="E15" s="76" t="s">
        <v>330</v>
      </c>
      <c r="F15" s="689"/>
      <c r="G15" s="693"/>
      <c r="H15" s="689"/>
      <c r="I15" s="77" t="s">
        <v>331</v>
      </c>
      <c r="J15" s="689"/>
      <c r="K15" s="82"/>
      <c r="L15" s="5"/>
    </row>
    <row r="16" spans="2:12" ht="15.75" thickBot="1">
      <c r="B16" s="697"/>
      <c r="C16" s="698"/>
      <c r="D16" s="698"/>
      <c r="E16" s="699"/>
      <c r="F16" s="700"/>
      <c r="G16" s="699"/>
      <c r="H16" s="700"/>
      <c r="I16" s="699"/>
      <c r="J16" s="700"/>
      <c r="K16" s="701"/>
    </row>
    <row r="17" spans="2:11">
      <c r="B17" s="702" t="s">
        <v>12</v>
      </c>
      <c r="C17" s="39" t="s">
        <v>332</v>
      </c>
      <c r="D17" s="30">
        <v>0.1</v>
      </c>
      <c r="E17" s="702" t="s">
        <v>333</v>
      </c>
      <c r="F17" s="31"/>
      <c r="G17" s="705" t="s">
        <v>334</v>
      </c>
      <c r="H17" s="32"/>
      <c r="I17" s="705" t="s">
        <v>335</v>
      </c>
      <c r="J17" s="83"/>
      <c r="K17" s="87" t="s">
        <v>336</v>
      </c>
    </row>
    <row r="18" spans="2:11">
      <c r="B18" s="703"/>
      <c r="C18" s="40" t="s">
        <v>337</v>
      </c>
      <c r="D18" s="33">
        <v>0.1</v>
      </c>
      <c r="E18" s="703"/>
      <c r="F18" s="34"/>
      <c r="G18" s="706"/>
      <c r="H18" s="35"/>
      <c r="I18" s="706"/>
      <c r="J18" s="84"/>
      <c r="K18" s="88" t="s">
        <v>336</v>
      </c>
    </row>
    <row r="19" spans="2:11">
      <c r="B19" s="703"/>
      <c r="C19" s="40" t="s">
        <v>338</v>
      </c>
      <c r="D19" s="33">
        <v>0.1</v>
      </c>
      <c r="E19" s="703"/>
      <c r="F19" s="34"/>
      <c r="G19" s="706"/>
      <c r="H19" s="35"/>
      <c r="I19" s="706"/>
      <c r="J19" s="84"/>
      <c r="K19" s="88" t="s">
        <v>336</v>
      </c>
    </row>
    <row r="20" spans="2:11">
      <c r="B20" s="703"/>
      <c r="C20" s="40" t="s">
        <v>339</v>
      </c>
      <c r="D20" s="33">
        <v>0.1</v>
      </c>
      <c r="E20" s="703"/>
      <c r="F20" s="34"/>
      <c r="G20" s="706"/>
      <c r="H20" s="35"/>
      <c r="I20" s="706"/>
      <c r="J20" s="84"/>
      <c r="K20" s="88" t="s">
        <v>336</v>
      </c>
    </row>
    <row r="21" spans="2:11">
      <c r="B21" s="703"/>
      <c r="C21" s="40" t="s">
        <v>340</v>
      </c>
      <c r="D21" s="33">
        <v>0.1</v>
      </c>
      <c r="E21" s="703"/>
      <c r="F21" s="34"/>
      <c r="G21" s="706"/>
      <c r="H21" s="35"/>
      <c r="I21" s="706"/>
      <c r="J21" s="84"/>
      <c r="K21" s="88" t="s">
        <v>336</v>
      </c>
    </row>
    <row r="22" spans="2:11">
      <c r="B22" s="703"/>
      <c r="C22" s="40" t="s">
        <v>341</v>
      </c>
      <c r="D22" s="33">
        <v>0.1</v>
      </c>
      <c r="E22" s="703"/>
      <c r="F22" s="34"/>
      <c r="G22" s="706"/>
      <c r="H22" s="35"/>
      <c r="I22" s="706"/>
      <c r="J22" s="84"/>
      <c r="K22" s="88" t="s">
        <v>336</v>
      </c>
    </row>
    <row r="23" spans="2:11">
      <c r="B23" s="703"/>
      <c r="C23" s="40" t="s">
        <v>342</v>
      </c>
      <c r="D23" s="33">
        <v>0.1</v>
      </c>
      <c r="E23" s="703"/>
      <c r="F23" s="34"/>
      <c r="G23" s="706"/>
      <c r="H23" s="35"/>
      <c r="I23" s="706"/>
      <c r="J23" s="84"/>
      <c r="K23" s="88" t="s">
        <v>336</v>
      </c>
    </row>
    <row r="24" spans="2:11">
      <c r="B24" s="703"/>
      <c r="C24" s="40" t="s">
        <v>343</v>
      </c>
      <c r="D24" s="33">
        <v>0.1</v>
      </c>
      <c r="E24" s="703"/>
      <c r="F24" s="34"/>
      <c r="G24" s="706"/>
      <c r="H24" s="35"/>
      <c r="I24" s="706"/>
      <c r="J24" s="84"/>
      <c r="K24" s="88" t="s">
        <v>336</v>
      </c>
    </row>
    <row r="25" spans="2:11" ht="15.75" thickBot="1">
      <c r="B25" s="704"/>
      <c r="C25" s="41" t="s">
        <v>344</v>
      </c>
      <c r="D25" s="36">
        <v>0.1</v>
      </c>
      <c r="E25" s="704"/>
      <c r="F25" s="37"/>
      <c r="G25" s="707"/>
      <c r="H25" s="38"/>
      <c r="I25" s="707"/>
      <c r="J25" s="85"/>
      <c r="K25" s="89" t="s">
        <v>336</v>
      </c>
    </row>
    <row r="26" spans="2:11">
      <c r="B26" s="90"/>
      <c r="C26" s="91"/>
      <c r="D26" s="92"/>
      <c r="E26" s="90"/>
      <c r="F26" s="93"/>
      <c r="G26" s="90"/>
      <c r="H26" s="93"/>
      <c r="I26" s="90"/>
      <c r="J26" s="93"/>
      <c r="K26" s="86"/>
    </row>
    <row r="27" spans="2:11" ht="38.25">
      <c r="B27" s="70" t="s">
        <v>345</v>
      </c>
      <c r="C27" s="70" t="s">
        <v>346</v>
      </c>
      <c r="D27" s="69" t="s">
        <v>347</v>
      </c>
      <c r="E27" s="70" t="s">
        <v>307</v>
      </c>
      <c r="F27" s="70" t="s">
        <v>76</v>
      </c>
      <c r="G27" s="70" t="s">
        <v>348</v>
      </c>
      <c r="H27" s="12"/>
      <c r="I27" s="12"/>
      <c r="J27" s="11"/>
      <c r="K27" s="11"/>
    </row>
    <row r="28" spans="2:11">
      <c r="B28" s="10">
        <v>42736</v>
      </c>
      <c r="C28" s="9">
        <v>102</v>
      </c>
      <c r="D28" s="8" t="e">
        <f>'SGSI_Ing. Sandra_Guerrero_2022'!#REF!</f>
        <v>#REF!</v>
      </c>
      <c r="E28" s="95" t="str">
        <f>IF(ISERROR(C28/D28)=TRUE,"Sin datos",C28/D28)</f>
        <v>Sin datos</v>
      </c>
      <c r="F28" s="3">
        <f>$D$17</f>
        <v>0.1</v>
      </c>
      <c r="G28" s="59" t="s">
        <v>349</v>
      </c>
    </row>
    <row r="29" spans="2:11">
      <c r="B29" s="10">
        <v>42767</v>
      </c>
      <c r="C29" s="9">
        <v>80</v>
      </c>
      <c r="D29" s="8" t="e">
        <f>'SGSI_Ing. Sandra_Guerrero_2022'!#REF!</f>
        <v>#REF!</v>
      </c>
      <c r="E29" s="95" t="str">
        <f t="shared" ref="E29:E39" si="0">IF(ISERROR(C29/D29)=TRUE,"Sin datos",C29/D29)</f>
        <v>Sin datos</v>
      </c>
      <c r="F29" s="3">
        <f t="shared" ref="F29:F39" si="1">$D$17</f>
        <v>0.1</v>
      </c>
      <c r="G29" s="59" t="e">
        <f>+IF(SLOPE(E28:E29,B28:B29)&gt;0,"Al alza",IF(SLOPE(E28:E29,B28:B29)&lt;0,"A la baja","sin cambio"))</f>
        <v>#DIV/0!</v>
      </c>
    </row>
    <row r="30" spans="2:11">
      <c r="B30" s="10">
        <v>42795</v>
      </c>
      <c r="C30" s="9">
        <v>50</v>
      </c>
      <c r="D30" s="8" t="e">
        <f>'SGSI_Ing. Sandra_Guerrero_2022'!#REF!</f>
        <v>#REF!</v>
      </c>
      <c r="E30" s="95" t="str">
        <f t="shared" si="0"/>
        <v>Sin datos</v>
      </c>
      <c r="F30" s="3">
        <f t="shared" si="1"/>
        <v>0.1</v>
      </c>
      <c r="G30" s="59" t="e">
        <f t="shared" ref="G30:G39" si="2">+IF(SLOPE(E29:E30,B29:B30)&gt;0,"Al alza",IF(SLOPE(E29:E30,B29:B30)&lt;0,"A la baja","sin cambio"))</f>
        <v>#DIV/0!</v>
      </c>
    </row>
    <row r="31" spans="2:11">
      <c r="B31" s="10">
        <v>42826</v>
      </c>
      <c r="C31" s="9">
        <v>30</v>
      </c>
      <c r="D31" s="8" t="e">
        <f>'SGSI_Ing. Sandra_Guerrero_2022'!#REF!</f>
        <v>#REF!</v>
      </c>
      <c r="E31" s="95" t="str">
        <f t="shared" si="0"/>
        <v>Sin datos</v>
      </c>
      <c r="F31" s="3">
        <f t="shared" si="1"/>
        <v>0.1</v>
      </c>
      <c r="G31" s="59" t="e">
        <f t="shared" si="2"/>
        <v>#DIV/0!</v>
      </c>
    </row>
    <row r="32" spans="2:11">
      <c r="B32" s="10">
        <v>42856</v>
      </c>
      <c r="C32" s="9">
        <v>60</v>
      </c>
      <c r="D32" s="8" t="e">
        <f>'SGSI_Ing. Sandra_Guerrero_2022'!#REF!</f>
        <v>#REF!</v>
      </c>
      <c r="E32" s="95" t="str">
        <f t="shared" si="0"/>
        <v>Sin datos</v>
      </c>
      <c r="F32" s="3">
        <f t="shared" si="1"/>
        <v>0.1</v>
      </c>
      <c r="G32" s="59" t="e">
        <f t="shared" si="2"/>
        <v>#DIV/0!</v>
      </c>
    </row>
    <row r="33" spans="1:11">
      <c r="B33" s="10">
        <v>42887</v>
      </c>
      <c r="C33" s="9">
        <v>100</v>
      </c>
      <c r="D33" s="8" t="e">
        <f>'SGSI_Ing. Sandra_Guerrero_2022'!#REF!</f>
        <v>#REF!</v>
      </c>
      <c r="E33" s="95" t="str">
        <f t="shared" si="0"/>
        <v>Sin datos</v>
      </c>
      <c r="F33" s="3">
        <f t="shared" si="1"/>
        <v>0.1</v>
      </c>
      <c r="G33" s="59" t="e">
        <f t="shared" si="2"/>
        <v>#DIV/0!</v>
      </c>
    </row>
    <row r="34" spans="1:11">
      <c r="B34" s="10">
        <v>42917</v>
      </c>
      <c r="C34" s="9">
        <v>30</v>
      </c>
      <c r="D34" s="8" t="e">
        <f>'SGSI_Ing. Sandra_Guerrero_2022'!#REF!</f>
        <v>#REF!</v>
      </c>
      <c r="E34" s="95" t="str">
        <f t="shared" si="0"/>
        <v>Sin datos</v>
      </c>
      <c r="F34" s="3">
        <f t="shared" si="1"/>
        <v>0.1</v>
      </c>
      <c r="G34" s="59" t="e">
        <f t="shared" si="2"/>
        <v>#DIV/0!</v>
      </c>
    </row>
    <row r="35" spans="1:11">
      <c r="B35" s="10">
        <v>42948</v>
      </c>
      <c r="C35" s="9">
        <v>90</v>
      </c>
      <c r="D35" s="8" t="e">
        <f>'SGSI_Ing. Sandra_Guerrero_2022'!#REF!</f>
        <v>#REF!</v>
      </c>
      <c r="E35" s="95" t="str">
        <f t="shared" si="0"/>
        <v>Sin datos</v>
      </c>
      <c r="F35" s="3">
        <f t="shared" si="1"/>
        <v>0.1</v>
      </c>
      <c r="G35" s="59" t="e">
        <f t="shared" si="2"/>
        <v>#DIV/0!</v>
      </c>
    </row>
    <row r="36" spans="1:11">
      <c r="B36" s="10">
        <v>42979</v>
      </c>
      <c r="C36" s="9">
        <v>80</v>
      </c>
      <c r="D36" s="8" t="e">
        <f>'SGSI_Ing. Sandra_Guerrero_2022'!#REF!</f>
        <v>#REF!</v>
      </c>
      <c r="E36" s="95" t="str">
        <f t="shared" si="0"/>
        <v>Sin datos</v>
      </c>
      <c r="F36" s="3">
        <f t="shared" si="1"/>
        <v>0.1</v>
      </c>
      <c r="G36" s="59" t="e">
        <f t="shared" si="2"/>
        <v>#DIV/0!</v>
      </c>
    </row>
    <row r="37" spans="1:11">
      <c r="B37" s="10">
        <v>43009</v>
      </c>
      <c r="C37" s="9">
        <v>100</v>
      </c>
      <c r="D37" s="8" t="e">
        <f>'SGSI_Ing. Sandra_Guerrero_2022'!#REF!</f>
        <v>#REF!</v>
      </c>
      <c r="E37" s="95" t="str">
        <f t="shared" si="0"/>
        <v>Sin datos</v>
      </c>
      <c r="F37" s="3">
        <f t="shared" si="1"/>
        <v>0.1</v>
      </c>
      <c r="G37" s="59" t="e">
        <f t="shared" si="2"/>
        <v>#DIV/0!</v>
      </c>
    </row>
    <row r="38" spans="1:11">
      <c r="B38" s="10">
        <v>43040</v>
      </c>
      <c r="C38" s="9">
        <v>102</v>
      </c>
      <c r="D38" s="8" t="e">
        <f>'SGSI_Ing. Sandra_Guerrero_2022'!#REF!</f>
        <v>#REF!</v>
      </c>
      <c r="E38" s="95" t="str">
        <f t="shared" si="0"/>
        <v>Sin datos</v>
      </c>
      <c r="F38" s="3">
        <f t="shared" si="1"/>
        <v>0.1</v>
      </c>
      <c r="G38" s="59" t="e">
        <f t="shared" si="2"/>
        <v>#DIV/0!</v>
      </c>
    </row>
    <row r="39" spans="1:11" ht="15.75" thickBot="1">
      <c r="B39" s="63">
        <v>43070</v>
      </c>
      <c r="C39" s="9">
        <f>COUNTIF(('SGSI_Ing. Sandra_Guerrero_2022'!$L$7:$L$11),1)</f>
        <v>0</v>
      </c>
      <c r="D39" s="8" t="e">
        <f>'SGSI_Ing. Sandra_Guerrero_2022'!#REF!</f>
        <v>#REF!</v>
      </c>
      <c r="E39" s="95" t="str">
        <f t="shared" si="0"/>
        <v>Sin datos</v>
      </c>
      <c r="F39" s="3">
        <f t="shared" si="1"/>
        <v>0.1</v>
      </c>
      <c r="G39" s="59" t="e">
        <f t="shared" si="2"/>
        <v>#DIV/0!</v>
      </c>
      <c r="H39" s="12"/>
      <c r="I39" s="12"/>
      <c r="J39" s="12"/>
      <c r="K39" s="12"/>
    </row>
    <row r="40" spans="1:11" ht="15.75" customHeight="1" thickBot="1">
      <c r="B40" s="694" t="s">
        <v>79</v>
      </c>
      <c r="C40" s="695"/>
      <c r="D40" s="696"/>
      <c r="E40" s="64" t="e">
        <f>+IF(SLOPE(E28:E39,B28:B39)&gt;0,"Al alza",IF(SLOPE(E28:E39,B28:B39)&lt;0,"A la baja","Sin cambio"))</f>
        <v>#DIV/0!</v>
      </c>
      <c r="F40" s="96"/>
      <c r="H40" s="12"/>
      <c r="I40" s="12"/>
      <c r="J40" s="12"/>
      <c r="K40" s="12"/>
    </row>
    <row r="41" spans="1:11">
      <c r="B41" s="94"/>
      <c r="C41" s="94"/>
      <c r="D41" s="94"/>
      <c r="E41" s="94"/>
      <c r="F41" s="94"/>
      <c r="G41" s="94"/>
      <c r="H41" s="12"/>
      <c r="I41" s="12"/>
      <c r="J41" s="12"/>
      <c r="K41" s="12"/>
    </row>
    <row r="42" spans="1:11">
      <c r="B42" s="94"/>
      <c r="C42" s="94"/>
      <c r="D42" s="94"/>
      <c r="E42" s="94"/>
      <c r="F42" s="94"/>
      <c r="G42" s="94"/>
      <c r="H42" s="12"/>
      <c r="I42" s="12"/>
      <c r="J42" s="12"/>
      <c r="K42" s="12"/>
    </row>
    <row r="43" spans="1:11" ht="15.75" thickBot="1">
      <c r="B43" s="94"/>
      <c r="C43" s="94"/>
      <c r="D43" s="94"/>
      <c r="E43" s="94"/>
      <c r="F43" s="94"/>
      <c r="G43" s="94"/>
      <c r="H43" s="12"/>
      <c r="I43" s="12"/>
      <c r="J43" s="12"/>
      <c r="K43" s="12"/>
    </row>
    <row r="44" spans="1:11" ht="15.75" customHeight="1" thickBot="1">
      <c r="A44" s="683"/>
      <c r="B44" s="659" t="s">
        <v>350</v>
      </c>
      <c r="C44" s="660"/>
      <c r="D44" s="660"/>
      <c r="E44" s="660"/>
      <c r="F44" s="660"/>
      <c r="G44" s="660"/>
      <c r="H44" s="660"/>
      <c r="I44" s="660"/>
      <c r="J44" s="660"/>
      <c r="K44" s="661"/>
    </row>
    <row r="45" spans="1:11" ht="15.75" thickBot="1">
      <c r="A45" s="684"/>
      <c r="B45" s="10">
        <v>42736</v>
      </c>
      <c r="C45" s="720"/>
      <c r="D45" s="721"/>
      <c r="E45" s="721"/>
      <c r="F45" s="721"/>
      <c r="G45" s="721"/>
      <c r="H45" s="721"/>
      <c r="I45" s="721"/>
      <c r="J45" s="721"/>
      <c r="K45" s="722"/>
    </row>
    <row r="46" spans="1:11" ht="15.75" thickBot="1">
      <c r="A46" s="6"/>
      <c r="B46" s="10">
        <v>42767</v>
      </c>
      <c r="C46" s="720"/>
      <c r="D46" s="721"/>
      <c r="E46" s="721"/>
      <c r="F46" s="721"/>
      <c r="G46" s="721"/>
      <c r="H46" s="721"/>
      <c r="I46" s="721"/>
      <c r="J46" s="721"/>
      <c r="K46" s="722"/>
    </row>
    <row r="47" spans="1:11" ht="15.75" thickBot="1">
      <c r="B47" s="10">
        <v>42795</v>
      </c>
      <c r="C47" s="720"/>
      <c r="D47" s="721"/>
      <c r="E47" s="721"/>
      <c r="F47" s="721"/>
      <c r="G47" s="721"/>
      <c r="H47" s="721"/>
      <c r="I47" s="721"/>
      <c r="J47" s="721"/>
      <c r="K47" s="722"/>
    </row>
    <row r="48" spans="1:11" ht="15.75" thickBot="1">
      <c r="B48" s="10">
        <v>42826</v>
      </c>
      <c r="C48" s="720"/>
      <c r="D48" s="721"/>
      <c r="E48" s="721"/>
      <c r="F48" s="721"/>
      <c r="G48" s="721"/>
      <c r="H48" s="721"/>
      <c r="I48" s="721"/>
      <c r="J48" s="721"/>
      <c r="K48" s="722"/>
    </row>
    <row r="49" spans="2:11" ht="15.75" thickBot="1">
      <c r="B49" s="10">
        <v>42856</v>
      </c>
      <c r="C49" s="720"/>
      <c r="D49" s="721"/>
      <c r="E49" s="721"/>
      <c r="F49" s="721"/>
      <c r="G49" s="721"/>
      <c r="H49" s="721"/>
      <c r="I49" s="721"/>
      <c r="J49" s="721"/>
      <c r="K49" s="722"/>
    </row>
    <row r="50" spans="2:11" ht="15.75" thickBot="1">
      <c r="B50" s="10">
        <v>42887</v>
      </c>
      <c r="C50" s="720"/>
      <c r="D50" s="721"/>
      <c r="E50" s="721"/>
      <c r="F50" s="721"/>
      <c r="G50" s="721"/>
      <c r="H50" s="721"/>
      <c r="I50" s="721"/>
      <c r="J50" s="721"/>
      <c r="K50" s="722"/>
    </row>
    <row r="51" spans="2:11" ht="15.75" thickBot="1">
      <c r="B51" s="10">
        <v>42917</v>
      </c>
      <c r="C51" s="720"/>
      <c r="D51" s="721"/>
      <c r="E51" s="721"/>
      <c r="F51" s="721"/>
      <c r="G51" s="721"/>
      <c r="H51" s="721"/>
      <c r="I51" s="721"/>
      <c r="J51" s="721"/>
      <c r="K51" s="722"/>
    </row>
    <row r="52" spans="2:11" ht="15.75" thickBot="1">
      <c r="B52" s="10">
        <v>42948</v>
      </c>
      <c r="C52" s="720"/>
      <c r="D52" s="721"/>
      <c r="E52" s="721"/>
      <c r="F52" s="721"/>
      <c r="G52" s="721"/>
      <c r="H52" s="721"/>
      <c r="I52" s="721"/>
      <c r="J52" s="721"/>
      <c r="K52" s="722"/>
    </row>
    <row r="53" spans="2:11" ht="15.75" thickBot="1">
      <c r="B53" s="10">
        <v>42979</v>
      </c>
      <c r="C53" s="720"/>
      <c r="D53" s="721"/>
      <c r="E53" s="721"/>
      <c r="F53" s="721"/>
      <c r="G53" s="721"/>
      <c r="H53" s="721"/>
      <c r="I53" s="721"/>
      <c r="J53" s="721"/>
      <c r="K53" s="722"/>
    </row>
    <row r="54" spans="2:11" ht="15.75" thickBot="1">
      <c r="B54" s="10">
        <v>43009</v>
      </c>
      <c r="C54" s="720"/>
      <c r="D54" s="721"/>
      <c r="E54" s="721"/>
      <c r="F54" s="721"/>
      <c r="G54" s="721"/>
      <c r="H54" s="721"/>
      <c r="I54" s="721"/>
      <c r="J54" s="721"/>
      <c r="K54" s="722"/>
    </row>
    <row r="55" spans="2:11" ht="15.75" thickBot="1">
      <c r="B55" s="10">
        <v>43040</v>
      </c>
      <c r="C55" s="720"/>
      <c r="D55" s="721"/>
      <c r="E55" s="721"/>
      <c r="F55" s="721"/>
      <c r="G55" s="721"/>
      <c r="H55" s="721"/>
      <c r="I55" s="721"/>
      <c r="J55" s="721"/>
      <c r="K55" s="722"/>
    </row>
    <row r="56" spans="2:11" ht="15.75" thickBot="1">
      <c r="B56" s="63">
        <v>43070</v>
      </c>
      <c r="C56" s="720"/>
      <c r="D56" s="721"/>
      <c r="E56" s="721"/>
      <c r="F56" s="721"/>
      <c r="G56" s="721"/>
      <c r="H56" s="721"/>
      <c r="I56" s="721"/>
      <c r="J56" s="721"/>
      <c r="K56" s="722"/>
    </row>
    <row r="57" spans="2:11" ht="15.75" thickBot="1">
      <c r="B57" s="42" t="s">
        <v>351</v>
      </c>
      <c r="C57" s="659" t="s">
        <v>352</v>
      </c>
      <c r="D57" s="660"/>
      <c r="E57" s="660"/>
      <c r="F57" s="660"/>
      <c r="G57" s="661"/>
      <c r="H57" s="42" t="s">
        <v>323</v>
      </c>
      <c r="I57" s="42" t="s">
        <v>353</v>
      </c>
      <c r="J57" s="71" t="s">
        <v>354</v>
      </c>
      <c r="K57" s="42" t="s">
        <v>355</v>
      </c>
    </row>
    <row r="58" spans="2:11">
      <c r="B58" s="43"/>
      <c r="C58" s="711"/>
      <c r="D58" s="712"/>
      <c r="E58" s="712"/>
      <c r="F58" s="712"/>
      <c r="G58" s="713"/>
      <c r="H58" s="52"/>
      <c r="I58" s="55"/>
      <c r="J58" s="49"/>
      <c r="K58" s="46"/>
    </row>
    <row r="59" spans="2:11">
      <c r="B59" s="44"/>
      <c r="C59" s="714"/>
      <c r="D59" s="715"/>
      <c r="E59" s="715"/>
      <c r="F59" s="715"/>
      <c r="G59" s="716"/>
      <c r="H59" s="53"/>
      <c r="I59" s="56"/>
      <c r="J59" s="50"/>
      <c r="K59" s="47"/>
    </row>
    <row r="60" spans="2:11">
      <c r="B60" s="44"/>
      <c r="C60" s="714"/>
      <c r="D60" s="715"/>
      <c r="E60" s="715"/>
      <c r="F60" s="715"/>
      <c r="G60" s="716"/>
      <c r="H60" s="53"/>
      <c r="I60" s="56"/>
      <c r="J60" s="50"/>
      <c r="K60" s="47"/>
    </row>
    <row r="61" spans="2:11">
      <c r="B61" s="44"/>
      <c r="C61" s="714"/>
      <c r="D61" s="715"/>
      <c r="E61" s="715"/>
      <c r="F61" s="715"/>
      <c r="G61" s="716"/>
      <c r="H61" s="53"/>
      <c r="I61" s="56"/>
      <c r="J61" s="50"/>
      <c r="K61" s="47"/>
    </row>
    <row r="62" spans="2:11">
      <c r="B62" s="44"/>
      <c r="C62" s="714"/>
      <c r="D62" s="715"/>
      <c r="E62" s="715"/>
      <c r="F62" s="715"/>
      <c r="G62" s="716"/>
      <c r="H62" s="53"/>
      <c r="I62" s="56"/>
      <c r="J62" s="50"/>
      <c r="K62" s="47"/>
    </row>
    <row r="63" spans="2:11">
      <c r="B63" s="44"/>
      <c r="C63" s="714"/>
      <c r="D63" s="715"/>
      <c r="E63" s="715"/>
      <c r="F63" s="715"/>
      <c r="G63" s="716"/>
      <c r="H63" s="53"/>
      <c r="I63" s="56"/>
      <c r="J63" s="50"/>
      <c r="K63" s="47"/>
    </row>
    <row r="64" spans="2:11">
      <c r="B64" s="44"/>
      <c r="C64" s="714"/>
      <c r="D64" s="715"/>
      <c r="E64" s="715"/>
      <c r="F64" s="715"/>
      <c r="G64" s="716"/>
      <c r="H64" s="53"/>
      <c r="I64" s="56"/>
      <c r="J64" s="50"/>
      <c r="K64" s="47"/>
    </row>
    <row r="65" spans="2:11">
      <c r="B65" s="44"/>
      <c r="C65" s="717"/>
      <c r="D65" s="718"/>
      <c r="E65" s="718"/>
      <c r="F65" s="718"/>
      <c r="G65" s="719"/>
      <c r="H65" s="53"/>
      <c r="I65" s="56"/>
      <c r="J65" s="50"/>
      <c r="K65" s="47"/>
    </row>
    <row r="66" spans="2:11" ht="15.75" thickBot="1">
      <c r="B66" s="45"/>
      <c r="C66" s="708"/>
      <c r="D66" s="709"/>
      <c r="E66" s="709"/>
      <c r="F66" s="709"/>
      <c r="G66" s="710"/>
      <c r="H66" s="54"/>
      <c r="I66" s="57"/>
      <c r="J66" s="51"/>
      <c r="K66" s="48"/>
    </row>
    <row r="67" spans="2:11">
      <c r="F67" s="12"/>
      <c r="G67" s="12"/>
      <c r="H67" s="12"/>
      <c r="I67" s="12"/>
      <c r="J67" s="12"/>
      <c r="K67" s="12"/>
    </row>
    <row r="72" spans="2:11">
      <c r="B72" s="12"/>
      <c r="C72" s="12"/>
      <c r="D72" s="12"/>
      <c r="E72" s="12"/>
    </row>
    <row r="73" spans="2:11">
      <c r="D73" s="7"/>
    </row>
    <row r="74" spans="2:11">
      <c r="D74" s="7"/>
    </row>
    <row r="75" spans="2:11">
      <c r="D75" s="7"/>
    </row>
    <row r="76" spans="2:11">
      <c r="D76" s="7"/>
    </row>
    <row r="77" spans="2:11">
      <c r="D77" s="7"/>
    </row>
  </sheetData>
  <mergeCells count="45">
    <mergeCell ref="C57:G57"/>
    <mergeCell ref="C45:K45"/>
    <mergeCell ref="C46:K46"/>
    <mergeCell ref="C47:K47"/>
    <mergeCell ref="C48:K48"/>
    <mergeCell ref="C50:K50"/>
    <mergeCell ref="C51:K51"/>
    <mergeCell ref="C56:K56"/>
    <mergeCell ref="C49:K49"/>
    <mergeCell ref="C53:K53"/>
    <mergeCell ref="C54:K54"/>
    <mergeCell ref="C55:K55"/>
    <mergeCell ref="C52:K52"/>
    <mergeCell ref="C66:G66"/>
    <mergeCell ref="C58:G58"/>
    <mergeCell ref="C59:G59"/>
    <mergeCell ref="C60:G60"/>
    <mergeCell ref="C61:G61"/>
    <mergeCell ref="C62:G62"/>
    <mergeCell ref="C63:G63"/>
    <mergeCell ref="C64:G64"/>
    <mergeCell ref="C65:G6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B44:K44"/>
    <mergeCell ref="B1:C5"/>
    <mergeCell ref="D1:I3"/>
    <mergeCell ref="J1:K3"/>
    <mergeCell ref="D4:I5"/>
    <mergeCell ref="J4:K4"/>
    <mergeCell ref="J5:K5"/>
  </mergeCells>
  <pageMargins left="0.7" right="0.7" top="0.75" bottom="0.75" header="0.3" footer="0.3"/>
  <pageSetup orientation="portrait" verticalDpi="0" r:id="rId1"/>
  <ignoredErrors>
    <ignoredError sqref="G29:G3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SGSI_Ing. Sandra_Guerrero_2022</vt:lpstr>
      <vt:lpstr>Hoja1</vt:lpstr>
      <vt:lpstr>Hoja2</vt:lpstr>
      <vt:lpstr>Tablero Eficacia - Eficiencia</vt:lpstr>
      <vt:lpstr>Tablero Objeivos de Calidad</vt:lpstr>
      <vt:lpstr>Hoja3</vt:lpstr>
      <vt:lpstr>Hoja4</vt:lpstr>
      <vt:lpstr>Tablero Maestro (2)</vt:lpstr>
      <vt:lpstr>DE</vt:lpstr>
      <vt:lpstr>'SGSI_Ing. Sandra_Guerrero_2022'!Área_de_impresión</vt:lpstr>
      <vt:lpstr>'Tablero Eficacia - Eficiencia'!Área_de_impresión</vt:lpstr>
      <vt:lpstr>'Tablero Objeivos de Calidad'!Área_de_impresión</vt:lpstr>
      <vt:lpstr>'SGSI_Ing. Sandra_Guerrero_2022'!Títulos_a_imprimir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2022-12-12T16:47:43Z</dcterms:modified>
  <cp:category/>
  <cp:contentStatus/>
</cp:coreProperties>
</file>