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autoCompressPictures="0"/>
  <bookViews>
    <workbookView xWindow="0" yWindow="0" windowWidth="2370" windowHeight="0"/>
  </bookViews>
  <sheets>
    <sheet name="Tablero Estratégico" sheetId="8" r:id="rId1"/>
    <sheet name="Hoja5" sheetId="19" r:id="rId2"/>
    <sheet name="Hoja1" sheetId="18" state="hidden" r:id="rId3"/>
    <sheet name="Hoja2" sheetId="17" state="hidden" r:id="rId4"/>
    <sheet name="Tablero Eficacia - Eficiencia" sheetId="12" state="hidden" r:id="rId5"/>
    <sheet name="Tablero Objeivos de Calidad" sheetId="13" state="hidden" r:id="rId6"/>
    <sheet name="Hoja3" sheetId="16" state="hidden" r:id="rId7"/>
    <sheet name="Hoja4" sheetId="14" state="hidden" r:id="rId8"/>
    <sheet name="Tablero Maestro (2)" sheetId="11" state="hidden" r:id="rId9"/>
    <sheet name="DE" sheetId="9" state="hidden" r:id="rId10"/>
  </sheets>
  <externalReferences>
    <externalReference r:id="rId11"/>
    <externalReference r:id="rId12"/>
  </externalReferences>
  <definedNames>
    <definedName name="_xlnm._FilterDatabase" localSheetId="4" hidden="1">'Tablero Eficacia - Eficiencia'!$A$7:$BL$54</definedName>
    <definedName name="_xlnm._FilterDatabase" localSheetId="0" hidden="1">'Tablero Estratégico'!$AQ$4:$BH$30</definedName>
    <definedName name="_xlnm.Print_Area" localSheetId="4">'Tablero Eficacia - Eficiencia'!$A$1:$AL$51</definedName>
    <definedName name="_xlnm.Print_Area" localSheetId="0">'Tablero Estratégico'!$A$2:$BI$29</definedName>
    <definedName name="_xlnm.Print_Area" localSheetId="5">'Tablero Objeivos de Calidad'!$C$3:$F$29</definedName>
    <definedName name="CUMPLIMIENTO_METAS" localSheetId="9">#REF!</definedName>
    <definedName name="CUMPLIMIENTO_METAS" localSheetId="8">#REF!</definedName>
    <definedName name="CUMPLIMIENTO_METAS">#REF!</definedName>
    <definedName name="Datos_Nutricional" localSheetId="9">#REF!</definedName>
    <definedName name="Datos_Nutricional" localSheetId="8">#REF!</definedName>
    <definedName name="Datos_Nutricional">#REF!</definedName>
    <definedName name="EFICACIA_DEL_SGC" localSheetId="9">#REF!</definedName>
    <definedName name="EFICACIA_DEL_SGC" localSheetId="8">#REF!</definedName>
    <definedName name="EFICACIA_DEL_SGC">#REF!</definedName>
    <definedName name="Tabla_de_datos" localSheetId="9">'[1]Cubrimiento Cupos'!#REF!</definedName>
    <definedName name="Tabla_de_datos" localSheetId="8">'[1]Cubrimiento Cupos'!#REF!</definedName>
    <definedName name="Tabla_de_datos">'[1]Cubrimiento Cupos'!#REF!</definedName>
    <definedName name="Tabla_Logros" localSheetId="9">'[1]Logros alcanzados'!#REF!</definedName>
    <definedName name="Tabla_Logros" localSheetId="8">'[1]Logros alcanzados'!#REF!</definedName>
    <definedName name="Tabla_Logros">'[1]Logros alcanzados'!#REF!</definedName>
    <definedName name="_xlnm.Print_Titles" localSheetId="0">'Tablero Estratégico'!$1:$5</definedName>
  </definedNames>
  <calcPr calcId="152511"/>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D3" i="19" l="1"/>
  <c r="BH25" i="8"/>
  <c r="BH28" i="8"/>
  <c r="BG22" i="8"/>
  <c r="G8" i="18"/>
  <c r="F8" i="18"/>
  <c r="BG29" i="8"/>
  <c r="F18" i="18"/>
  <c r="E18" i="18"/>
  <c r="BG25" i="8"/>
  <c r="BG26" i="8"/>
  <c r="BG28" i="8"/>
  <c r="BF25" i="8"/>
  <c r="BF28" i="8"/>
  <c r="BE25" i="8"/>
  <c r="BE28" i="8"/>
  <c r="AH6" i="12"/>
  <c r="AG6" i="12"/>
  <c r="AE6" i="12"/>
  <c r="N6" i="12"/>
  <c r="L6" i="12"/>
  <c r="G40" i="12"/>
  <c r="AO29" i="8"/>
  <c r="AH29" i="8"/>
  <c r="AM29" i="8"/>
  <c r="AJ29" i="8"/>
  <c r="BC28" i="8"/>
  <c r="BD28" i="8"/>
  <c r="BB28" i="8"/>
  <c r="AO28" i="8"/>
  <c r="BD26" i="8"/>
  <c r="BB26" i="8"/>
  <c r="BD25" i="8"/>
  <c r="BD22" i="8"/>
  <c r="AJ46" i="12"/>
  <c r="AL48" i="12"/>
  <c r="AJ48" i="12"/>
  <c r="AL46" i="12"/>
  <c r="J46" i="12"/>
  <c r="I46" i="12"/>
  <c r="AL33" i="12"/>
  <c r="AJ33" i="12"/>
  <c r="O33" i="12"/>
  <c r="AB33" i="12"/>
  <c r="AH33" i="12"/>
  <c r="AJ29" i="12"/>
  <c r="G15" i="17"/>
  <c r="E15" i="17"/>
  <c r="G17" i="17"/>
  <c r="F15" i="17"/>
  <c r="F17" i="17"/>
  <c r="AJ30" i="12"/>
  <c r="L13" i="16"/>
  <c r="M13" i="16"/>
  <c r="M14" i="16"/>
  <c r="H13" i="16"/>
  <c r="I12" i="16"/>
  <c r="I8" i="16"/>
  <c r="I9" i="16"/>
  <c r="I10" i="16"/>
  <c r="I11" i="16"/>
  <c r="I13" i="16"/>
  <c r="F12" i="16"/>
  <c r="E12" i="16"/>
  <c r="F11" i="16"/>
  <c r="E11" i="16"/>
  <c r="F10" i="16"/>
  <c r="E10" i="16"/>
  <c r="F9" i="16"/>
  <c r="E9" i="16"/>
  <c r="F8" i="16"/>
  <c r="E8" i="16"/>
  <c r="AJ27" i="12"/>
  <c r="BC25" i="8"/>
  <c r="O25" i="12"/>
  <c r="F14" i="13"/>
  <c r="E5" i="13"/>
  <c r="E4" i="13"/>
  <c r="D5" i="13"/>
  <c r="D4" i="13"/>
  <c r="D19" i="13"/>
  <c r="F29" i="13"/>
  <c r="F28" i="13"/>
  <c r="E29" i="13"/>
  <c r="E28" i="13"/>
  <c r="D29" i="13"/>
  <c r="D28" i="13"/>
  <c r="F27" i="13"/>
  <c r="E27" i="13"/>
  <c r="D27" i="13"/>
  <c r="F26" i="13"/>
  <c r="E26" i="13"/>
  <c r="D26" i="13"/>
  <c r="F25" i="13"/>
  <c r="E25" i="13"/>
  <c r="D25" i="13"/>
  <c r="D24" i="13"/>
  <c r="F23" i="13"/>
  <c r="E23" i="13"/>
  <c r="F22" i="13"/>
  <c r="E22" i="13"/>
  <c r="D23" i="13"/>
  <c r="D22" i="13"/>
  <c r="F21" i="13"/>
  <c r="E21" i="13"/>
  <c r="D21" i="13"/>
  <c r="F20" i="13"/>
  <c r="E20" i="13"/>
  <c r="D20" i="13"/>
  <c r="F19" i="13"/>
  <c r="E19" i="13"/>
  <c r="F18" i="13"/>
  <c r="E18" i="13"/>
  <c r="D18" i="13"/>
  <c r="F17" i="13"/>
  <c r="F16" i="13"/>
  <c r="F15" i="13"/>
  <c r="E17" i="13"/>
  <c r="E16" i="13"/>
  <c r="E15" i="13"/>
  <c r="D17" i="13"/>
  <c r="D16" i="13"/>
  <c r="D15" i="13"/>
  <c r="F5" i="13"/>
  <c r="F4" i="13"/>
  <c r="F13" i="13"/>
  <c r="F12" i="13"/>
  <c r="I25" i="12"/>
  <c r="E14" i="13"/>
  <c r="I24" i="12"/>
  <c r="E13" i="13"/>
  <c r="E12" i="13"/>
  <c r="D14" i="13"/>
  <c r="D13" i="13"/>
  <c r="D12" i="13"/>
  <c r="F11" i="13"/>
  <c r="E11" i="13"/>
  <c r="D11" i="13"/>
  <c r="F9" i="13"/>
  <c r="F8" i="13"/>
  <c r="F10" i="13"/>
  <c r="E10" i="13"/>
  <c r="D10" i="13"/>
  <c r="O49" i="12"/>
  <c r="O40" i="12"/>
  <c r="F24" i="13"/>
  <c r="I40" i="12"/>
  <c r="E24" i="13"/>
  <c r="AB36" i="12"/>
  <c r="AG36" i="12"/>
  <c r="AD36" i="12"/>
  <c r="I33" i="12"/>
  <c r="AH36" i="12"/>
  <c r="AB19" i="12"/>
  <c r="AG19" i="12"/>
  <c r="AD19" i="12"/>
  <c r="E9" i="13"/>
  <c r="D9" i="13"/>
  <c r="E8" i="13"/>
  <c r="D8" i="13"/>
  <c r="F7" i="13"/>
  <c r="E7" i="13"/>
  <c r="D7" i="13"/>
  <c r="E6" i="13"/>
  <c r="D6" i="13"/>
  <c r="AH19" i="12"/>
  <c r="O21" i="12"/>
  <c r="I16" i="12"/>
  <c r="O9" i="12"/>
  <c r="F6" i="13"/>
  <c r="AE54" i="12"/>
  <c r="AF52" i="12"/>
  <c r="B50" i="12"/>
  <c r="AD48" i="12"/>
  <c r="AB48" i="12"/>
  <c r="AH48" i="12"/>
  <c r="AD47" i="12"/>
  <c r="AB47" i="12"/>
  <c r="AG47" i="12"/>
  <c r="B47" i="12"/>
  <c r="B48" i="12"/>
  <c r="B49" i="12"/>
  <c r="AD46" i="12"/>
  <c r="AB46" i="12"/>
  <c r="AH46" i="12"/>
  <c r="B46" i="12"/>
  <c r="AD44" i="12"/>
  <c r="AB44" i="12"/>
  <c r="AG44" i="12"/>
  <c r="AD43" i="12"/>
  <c r="AB43" i="12"/>
  <c r="AH43" i="12"/>
  <c r="AD42" i="12"/>
  <c r="AB42" i="12"/>
  <c r="AH42" i="12"/>
  <c r="AD41" i="12"/>
  <c r="AB41" i="12"/>
  <c r="AH41" i="12"/>
  <c r="AD40" i="12"/>
  <c r="AB40" i="12"/>
  <c r="AD39" i="12"/>
  <c r="AC39" i="12"/>
  <c r="AB39" i="12"/>
  <c r="AH39" i="12"/>
  <c r="AD38" i="12"/>
  <c r="AB38" i="12"/>
  <c r="AH38" i="12"/>
  <c r="AD37" i="12"/>
  <c r="AB37" i="12"/>
  <c r="AH37" i="12"/>
  <c r="AD35" i="12"/>
  <c r="AB35" i="12"/>
  <c r="AH35" i="12"/>
  <c r="AD33" i="12"/>
  <c r="B33" i="12"/>
  <c r="B35" i="12"/>
  <c r="AD32" i="12"/>
  <c r="AB32" i="12"/>
  <c r="AH32" i="12"/>
  <c r="AD31" i="12"/>
  <c r="AB31" i="12"/>
  <c r="AH31" i="12"/>
  <c r="AD30" i="12"/>
  <c r="AB30" i="12"/>
  <c r="AH30" i="12"/>
  <c r="AD29" i="12"/>
  <c r="AB29" i="12"/>
  <c r="AH29" i="12"/>
  <c r="AD27" i="12"/>
  <c r="AB27" i="12"/>
  <c r="AH27" i="12"/>
  <c r="AD26" i="12"/>
  <c r="AB26" i="12"/>
  <c r="AH26" i="12"/>
  <c r="B26" i="12"/>
  <c r="B27" i="12"/>
  <c r="B28" i="12"/>
  <c r="B29" i="12"/>
  <c r="B30" i="12"/>
  <c r="B31" i="12"/>
  <c r="B32" i="12"/>
  <c r="AD25" i="12"/>
  <c r="AB25" i="12"/>
  <c r="AD24" i="12"/>
  <c r="AB24" i="12"/>
  <c r="AH24" i="12"/>
  <c r="AD23" i="12"/>
  <c r="AB23" i="12"/>
  <c r="AH23" i="12"/>
  <c r="B23" i="12"/>
  <c r="B24" i="12"/>
  <c r="B25" i="12"/>
  <c r="AH22" i="12"/>
  <c r="AG22" i="12"/>
  <c r="AD20" i="12"/>
  <c r="AB20" i="12"/>
  <c r="AD18" i="12"/>
  <c r="AB18" i="12"/>
  <c r="AG18" i="12"/>
  <c r="AD17" i="12"/>
  <c r="AB17" i="12"/>
  <c r="AG17" i="12"/>
  <c r="AD16" i="12"/>
  <c r="AB16" i="12"/>
  <c r="AG16" i="12"/>
  <c r="AD14" i="12"/>
  <c r="AB14" i="12"/>
  <c r="AH14" i="12"/>
  <c r="AD13" i="12"/>
  <c r="AB13" i="12"/>
  <c r="AG13" i="12"/>
  <c r="AD12" i="12"/>
  <c r="AB12" i="12"/>
  <c r="AG12" i="12"/>
  <c r="AD11" i="12"/>
  <c r="AB11" i="12"/>
  <c r="AG11" i="12"/>
  <c r="AD10" i="12"/>
  <c r="AB10" i="12"/>
  <c r="AH10" i="12"/>
  <c r="AD9" i="12"/>
  <c r="AB9" i="12"/>
  <c r="AH9" i="12"/>
  <c r="AD8" i="12"/>
  <c r="AB8" i="12"/>
  <c r="B36" i="12"/>
  <c r="B37" i="12"/>
  <c r="B38" i="12"/>
  <c r="B39" i="12"/>
  <c r="B40" i="12"/>
  <c r="B41" i="12"/>
  <c r="B42" i="12"/>
  <c r="B43" i="12"/>
  <c r="B44" i="12"/>
  <c r="AG9" i="12"/>
  <c r="AH16" i="12"/>
  <c r="AH44" i="12"/>
  <c r="AG37" i="12"/>
  <c r="AH18" i="12"/>
  <c r="AH47" i="12"/>
  <c r="AG29" i="12"/>
  <c r="AG32" i="12"/>
  <c r="AG31" i="12"/>
  <c r="AG41" i="12"/>
  <c r="AH12" i="12"/>
  <c r="AG43" i="12"/>
  <c r="AG46" i="12"/>
  <c r="AH11" i="12"/>
  <c r="AH13" i="12"/>
  <c r="AG39" i="12"/>
  <c r="AG33" i="12"/>
  <c r="AG8" i="12"/>
  <c r="AG14" i="12"/>
  <c r="AG26" i="12"/>
  <c r="AG38" i="12"/>
  <c r="AG42" i="12"/>
  <c r="AH8" i="12"/>
  <c r="AG23" i="12"/>
  <c r="AG35" i="12"/>
  <c r="AG48" i="12"/>
  <c r="BB25" i="8"/>
  <c r="Q36" i="8"/>
  <c r="Q37" i="8"/>
  <c r="AN34" i="8"/>
  <c r="AN33" i="8"/>
  <c r="AO33" i="8"/>
  <c r="R36" i="8"/>
  <c r="AX28" i="8"/>
  <c r="AH23" i="8"/>
  <c r="AM23" i="8"/>
  <c r="AJ23" i="8"/>
  <c r="AO25" i="8"/>
  <c r="I49" i="12"/>
  <c r="AO10" i="8"/>
  <c r="AO26" i="8"/>
  <c r="BN22" i="8"/>
  <c r="AO8" i="8"/>
  <c r="AJ13" i="8"/>
  <c r="AH13" i="8"/>
  <c r="AC19" i="11"/>
  <c r="AD17" i="11"/>
  <c r="AB16" i="11"/>
  <c r="Z16" i="11"/>
  <c r="AF16" i="11"/>
  <c r="AB15" i="11"/>
  <c r="Z15" i="11"/>
  <c r="AF15" i="11"/>
  <c r="AB14" i="11"/>
  <c r="Z14" i="11"/>
  <c r="AF14" i="11"/>
  <c r="AB13" i="11"/>
  <c r="Z13" i="11"/>
  <c r="AF13" i="11"/>
  <c r="AB12" i="11"/>
  <c r="Z12" i="11"/>
  <c r="AF12" i="11"/>
  <c r="AB11" i="11"/>
  <c r="Z11" i="11"/>
  <c r="AF11" i="11"/>
  <c r="AB10" i="11"/>
  <c r="Z10" i="11"/>
  <c r="AE10" i="11"/>
  <c r="AB9" i="11"/>
  <c r="Z9" i="11"/>
  <c r="AE9" i="11"/>
  <c r="AB8" i="11"/>
  <c r="Z8" i="11"/>
  <c r="AF8" i="11"/>
  <c r="B8" i="11"/>
  <c r="B9" i="11"/>
  <c r="B10" i="11"/>
  <c r="B11" i="11"/>
  <c r="B12" i="11"/>
  <c r="B13" i="11"/>
  <c r="B14" i="11"/>
  <c r="B15" i="11"/>
  <c r="B16" i="11"/>
  <c r="AE8" i="11"/>
  <c r="AE12" i="11"/>
  <c r="AJ27" i="8"/>
  <c r="AJ22" i="8"/>
  <c r="AJ21" i="8"/>
  <c r="AJ20" i="8"/>
  <c r="AJ28" i="8"/>
  <c r="AJ19" i="8"/>
  <c r="AJ17" i="8"/>
  <c r="AJ14" i="8"/>
  <c r="AJ11" i="8"/>
  <c r="AJ10" i="8"/>
  <c r="AJ26" i="8"/>
  <c r="AJ12" i="8"/>
  <c r="AJ9" i="8"/>
  <c r="AJ8" i="8"/>
  <c r="AJ6" i="8"/>
  <c r="AH6" i="8"/>
  <c r="AM6" i="8" s="1"/>
  <c r="AH9" i="8"/>
  <c r="AM9" i="8"/>
  <c r="AH12" i="8"/>
  <c r="AM12" i="8"/>
  <c r="AH26" i="8"/>
  <c r="AM26" i="8"/>
  <c r="AH10" i="8"/>
  <c r="AM10" i="8"/>
  <c r="AH11" i="8"/>
  <c r="AM11" i="8"/>
  <c r="AH14" i="8"/>
  <c r="AM14" i="8"/>
  <c r="AH17" i="8"/>
  <c r="AM17" i="8"/>
  <c r="AH19" i="8"/>
  <c r="AM19" i="8"/>
  <c r="AH28" i="8"/>
  <c r="AM28" i="8"/>
  <c r="AH20" i="8"/>
  <c r="AM20" i="8"/>
  <c r="AH21" i="8"/>
  <c r="AM21" i="8"/>
  <c r="AH22" i="8"/>
  <c r="AM22" i="8"/>
  <c r="AH27" i="8"/>
  <c r="AM27" i="8"/>
  <c r="AH8" i="8"/>
  <c r="AM8" i="8"/>
  <c r="AK30" i="8"/>
  <c r="F39" i="9"/>
  <c r="F38" i="9"/>
  <c r="F37" i="9"/>
  <c r="F36" i="9"/>
  <c r="F35" i="9"/>
  <c r="F34" i="9"/>
  <c r="F33" i="9"/>
  <c r="F32" i="9"/>
  <c r="F31" i="9"/>
  <c r="F30" i="9"/>
  <c r="F29" i="9"/>
  <c r="F28" i="9"/>
  <c r="AE14" i="11"/>
  <c r="AE11" i="11"/>
  <c r="AE15" i="11"/>
  <c r="AF9" i="11"/>
  <c r="AF10" i="11"/>
  <c r="AE16" i="11"/>
  <c r="AF17" i="11"/>
  <c r="C39" i="9"/>
  <c r="AN36" i="8"/>
  <c r="AN37" i="8"/>
  <c r="AE13" i="11"/>
  <c r="AE17" i="11"/>
  <c r="AD19" i="11"/>
  <c r="AE19" i="11"/>
  <c r="AO34" i="8"/>
  <c r="AG25" i="12"/>
  <c r="AH25" i="12"/>
  <c r="AH40" i="12"/>
  <c r="AH17" i="12"/>
  <c r="AH52" i="12"/>
  <c r="AG40" i="12"/>
  <c r="AL30" i="8"/>
  <c r="AM30" i="8" s="1"/>
  <c r="AG27" i="12"/>
  <c r="AG10" i="12"/>
  <c r="AG24" i="12"/>
  <c r="AF54" i="12"/>
  <c r="AG54" i="12"/>
  <c r="AG30" i="12"/>
  <c r="AG52" i="12"/>
  <c r="D29" i="9" l="1"/>
  <c r="E29" i="9" s="1"/>
  <c r="D31" i="9"/>
  <c r="E31" i="9" s="1"/>
  <c r="G32" i="9" s="1"/>
  <c r="D33" i="9"/>
  <c r="E33" i="9" s="1"/>
  <c r="D28" i="9"/>
  <c r="E28" i="9" s="1"/>
  <c r="D39" i="9"/>
  <c r="E39" i="9" s="1"/>
  <c r="D37" i="9"/>
  <c r="E37" i="9" s="1"/>
  <c r="G38" i="9" s="1"/>
  <c r="D34" i="9"/>
  <c r="E34" i="9" s="1"/>
  <c r="D32" i="9"/>
  <c r="E32" i="9" s="1"/>
  <c r="G33" i="9" s="1"/>
  <c r="D30" i="9"/>
  <c r="E30" i="9" s="1"/>
  <c r="D35" i="9"/>
  <c r="E35" i="9" s="1"/>
  <c r="G36" i="9" s="1"/>
  <c r="D38" i="9"/>
  <c r="E38" i="9" s="1"/>
  <c r="G39" i="9" s="1"/>
  <c r="D36" i="9"/>
  <c r="E36" i="9" s="1"/>
  <c r="G37" i="9" l="1"/>
  <c r="G29" i="9"/>
  <c r="E40" i="9"/>
  <c r="G35" i="9"/>
  <c r="G34" i="9"/>
  <c r="G31" i="9"/>
  <c r="G30" i="9"/>
</calcChain>
</file>

<file path=xl/sharedStrings.xml><?xml version="1.0" encoding="utf-8"?>
<sst xmlns="http://schemas.openxmlformats.org/spreadsheetml/2006/main" count="869" uniqueCount="463">
  <si>
    <t>TABLERO DE INDICADORES</t>
  </si>
  <si>
    <t>Proceso</t>
  </si>
  <si>
    <t>Indicador</t>
  </si>
  <si>
    <t>Formula</t>
  </si>
  <si>
    <t>Meta</t>
  </si>
  <si>
    <t>Frecuencia</t>
  </si>
  <si>
    <t>Mejor si…</t>
  </si>
  <si>
    <t>Responsable</t>
  </si>
  <si>
    <t>Fuente de datos</t>
  </si>
  <si>
    <t>Reporta</t>
  </si>
  <si>
    <t>Resultado del Indicador</t>
  </si>
  <si>
    <t>Peso Relativo</t>
  </si>
  <si>
    <t>% Relativo de Cumplimiento</t>
  </si>
  <si>
    <t>Si</t>
  </si>
  <si>
    <t>TOTAL</t>
  </si>
  <si>
    <t>Indicador que reporta</t>
  </si>
  <si>
    <t>Indicador Reportado</t>
  </si>
  <si>
    <t>Porcentaje de indicador reportado</t>
  </si>
  <si>
    <t>Optimo</t>
  </si>
  <si>
    <t>(85-100)%</t>
  </si>
  <si>
    <t>Bueno</t>
  </si>
  <si>
    <t>(65-84)%</t>
  </si>
  <si>
    <t>Deficiente</t>
  </si>
  <si>
    <t>(0-64)%</t>
  </si>
  <si>
    <t>Mes</t>
  </si>
  <si>
    <t>Σ Cumplim. ponderado de metas</t>
  </si>
  <si>
    <t xml:space="preserve"> Total indicadores reportados</t>
  </si>
  <si>
    <t>ACCIONES A TOMAR</t>
  </si>
  <si>
    <t>FECHA</t>
  </si>
  <si>
    <t>AC / AP</t>
  </si>
  <si>
    <t>SEGUIMIENTO</t>
  </si>
  <si>
    <t>Version: 01</t>
  </si>
  <si>
    <t>Pagina 1 de 1</t>
  </si>
  <si>
    <t>PROCESO</t>
  </si>
  <si>
    <t>INDICADOR (ES)</t>
  </si>
  <si>
    <t>FÓRMULA (S)</t>
  </si>
  <si>
    <t>FRECUENCIA</t>
  </si>
  <si>
    <t>RESPONSABLE</t>
  </si>
  <si>
    <t>FUENTE DE DATOS</t>
  </si>
  <si>
    <t>FECHA DE ELABORACION</t>
  </si>
  <si>
    <t>META</t>
  </si>
  <si>
    <t>ÓPTIMO</t>
  </si>
  <si>
    <t>ALARMA</t>
  </si>
  <si>
    <t>SUBE</t>
  </si>
  <si>
    <t>SGC-Registro</t>
  </si>
  <si>
    <t>CRITICO</t>
  </si>
  <si>
    <t>PROYECTO</t>
  </si>
  <si>
    <t>Escuela Tecnológica
 Instituto Técnico Central</t>
  </si>
  <si>
    <t>Investigación</t>
  </si>
  <si>
    <t>ANALISIS DE RESULTADOS</t>
  </si>
  <si>
    <t>Tipo de indicador</t>
  </si>
  <si>
    <t>Garantizar la participación de los docentes en comunidades academicas para la construcción, transferencia y socialización del conocimiento</t>
  </si>
  <si>
    <t>OBJETIVO ESTRATEGICO ASOCIADO</t>
  </si>
  <si>
    <t>Tendencia</t>
  </si>
  <si>
    <t>EVOLUCIÓN</t>
  </si>
  <si>
    <t>% Cumplimiento - CUMPLIMIENTO METAS</t>
  </si>
  <si>
    <t>TABLERO MAESTRO DE INDICADORES</t>
  </si>
  <si>
    <t>M</t>
  </si>
  <si>
    <t>V</t>
  </si>
  <si>
    <t>N.A.</t>
  </si>
  <si>
    <t>Tendencia Acumulada</t>
  </si>
  <si>
    <t>Efectividad del Sistema</t>
  </si>
  <si>
    <t>Descripción</t>
  </si>
  <si>
    <t>Sumatoria de indicadores de efectividad de todos los procesos</t>
  </si>
  <si>
    <t xml:space="preserve">Numero de proyectos nuevos ejecutados/numero de proyectos planteados </t>
  </si>
  <si>
    <t>Porcentaje de avance del plan de acción</t>
  </si>
  <si>
    <t>Porcentaje de cumplimiento del plan de mejoramiento definido</t>
  </si>
  <si>
    <t>Numero de convenios que presentaron actividad / Numero de convenios vigentes</t>
  </si>
  <si>
    <t>Cumplimiento Plan de mejoramiento</t>
  </si>
  <si>
    <t>Convenios Activos</t>
  </si>
  <si>
    <t>Nuevos Proyectos</t>
  </si>
  <si>
    <t>Cumplimiento Plan de Acción</t>
  </si>
  <si>
    <t>Extensión y proyección social</t>
  </si>
  <si>
    <t>Docencia PES</t>
  </si>
  <si>
    <t>Docencia Bachillerato</t>
  </si>
  <si>
    <t>Bienestar Universitario</t>
  </si>
  <si>
    <t>Gestión Control Disciplinario</t>
  </si>
  <si>
    <t>Gestión de Informática y comunicaciones</t>
  </si>
  <si>
    <t>Gestión de recursos fisicos</t>
  </si>
  <si>
    <t>Gestión del Talento Humano</t>
  </si>
  <si>
    <t>Gestión de Adquisiciones</t>
  </si>
  <si>
    <t>Gestión Financiera</t>
  </si>
  <si>
    <t>Numero de alianzas y convenios activos / numero total de alianzas y convenios de internacionalización</t>
  </si>
  <si>
    <t>Convenios activos de Internacionalización</t>
  </si>
  <si>
    <t>Participación en eventos de Internacionalización</t>
  </si>
  <si>
    <t>Numero de eventos en los que ha participado la ORI</t>
  </si>
  <si>
    <t>Numero de cursos ofertados/Numero de cursos planeados</t>
  </si>
  <si>
    <t>Numero de docentes que participan activamente en comunidades academicas relacionadas con internacionalización / Numero total de docentes</t>
  </si>
  <si>
    <t>Oferta de cursos ORI</t>
  </si>
  <si>
    <t>Docentes participantes de Internacionalizaciòn</t>
  </si>
  <si>
    <t>Direccionamiento Estrategico</t>
  </si>
  <si>
    <t>Efect Sist</t>
  </si>
  <si>
    <t>Conv Internac</t>
  </si>
  <si>
    <t>Cump Plan Mej</t>
  </si>
  <si>
    <t>Conv Activos</t>
  </si>
  <si>
    <t>Eventos</t>
  </si>
  <si>
    <t>Nuevos proy</t>
  </si>
  <si>
    <t>Cump Plan acción</t>
  </si>
  <si>
    <t>Docent partic inter</t>
  </si>
  <si>
    <t>Oferta ORI</t>
  </si>
  <si>
    <t>Sube</t>
  </si>
  <si>
    <t>(Asistentes semestre actual / Asistentes semestre anterior) - 1 * 100</t>
  </si>
  <si>
    <t>Promedio del resultado de las encuestas de satisfacción</t>
  </si>
  <si>
    <t>Avance de las actividades del plan de Bienestar</t>
  </si>
  <si>
    <t xml:space="preserve">Determinar el impacto de las actividades de bienestar en los estudiantes </t>
  </si>
  <si>
    <t>Identificar la variación en el número de beneficiados en la actividad de bienestar</t>
  </si>
  <si>
    <t>Determinar el porcentaje de ejecución de actividades con base en plan de acción</t>
  </si>
  <si>
    <t>Mensual</t>
  </si>
  <si>
    <t>Semestral</t>
  </si>
  <si>
    <t>Nivel de satisfacción</t>
  </si>
  <si>
    <t xml:space="preserve">Beneficiados de actividad </t>
  </si>
  <si>
    <t>Actividades de formación integral</t>
  </si>
  <si>
    <t>Efectividad</t>
  </si>
  <si>
    <t>Eficacia</t>
  </si>
  <si>
    <t>Eficiencia</t>
  </si>
  <si>
    <t>Baja</t>
  </si>
  <si>
    <t>Programas acreditados</t>
  </si>
  <si>
    <t>Índice de empleabilidad</t>
  </si>
  <si>
    <t>Medir desempeño de los estudiantes</t>
  </si>
  <si>
    <t>Medir el número  de egresados laborando</t>
  </si>
  <si>
    <t>Presupuesto de ingresos de extensión</t>
  </si>
  <si>
    <t xml:space="preserve">Eficacia </t>
  </si>
  <si>
    <t>Revisión de syllabus</t>
  </si>
  <si>
    <t># Syllabus revisados / # total de syllabus</t>
  </si>
  <si>
    <t>Medir la pertenecía de los syllabus</t>
  </si>
  <si>
    <t xml:space="preserve">Promoción escolar </t>
  </si>
  <si>
    <t>Proyectos de formación en actividades</t>
  </si>
  <si>
    <t>Proyectos  de  apoyo a las actividades</t>
  </si>
  <si>
    <t>Programa  de transferencia de conocimiento</t>
  </si>
  <si>
    <t>Diseñar un programa de formación investigativa  que prepare  a la comunidad de investigación  para el desarrollo de actividad en el periodo  2017-  2019 a través de vínculos con el SNCTI</t>
  </si>
  <si>
    <t xml:space="preserve">Determinar el impacto de las actividad de bienestar en los estudiantes </t>
  </si>
  <si>
    <t>PQRSD atendidas oportunamente</t>
  </si>
  <si>
    <t xml:space="preserve">PQRSD atendidas oportunamente/ PQRSD recepcionadas </t>
  </si>
  <si>
    <t>atender oportunamente la PQRSD en la ETITC</t>
  </si>
  <si>
    <t xml:space="preserve">Funcionalidad de máquinas, equipos y herramientas </t>
  </si>
  <si>
    <t xml:space="preserve">Eficiencia </t>
  </si>
  <si>
    <t xml:space="preserve">Garantizar la operabilidad de máquinas, equipos, y herramientas </t>
  </si>
  <si>
    <t xml:space="preserve">Clima laboral </t>
  </si>
  <si>
    <t xml:space="preserve">Evaluación del desempeño laboral </t>
  </si>
  <si>
    <t>Tasa de ejecución plan de compras</t>
  </si>
  <si>
    <t>Destinación del ingreso</t>
  </si>
  <si>
    <t>Tendencia Media</t>
  </si>
  <si>
    <t>Gestión de Calidad</t>
  </si>
  <si>
    <t>Semestre</t>
  </si>
  <si>
    <t>Anual</t>
  </si>
  <si>
    <t xml:space="preserve">Bimestral </t>
  </si>
  <si>
    <t xml:space="preserve">Anual </t>
  </si>
  <si>
    <t xml:space="preserve">Mensual </t>
  </si>
  <si>
    <t>Trimestral</t>
  </si>
  <si>
    <t>Variación de pruebas SABER PRO</t>
  </si>
  <si>
    <t xml:space="preserve">Resultados año actual / Resultados año anterior - 1 </t>
  </si>
  <si>
    <t>Medir el cumplimiento del presupuesto de ingresos de extensión</t>
  </si>
  <si>
    <t>NA</t>
  </si>
  <si>
    <t>Estudiantes que pasaron el año n / Estudiantes matriculados en el año n</t>
  </si>
  <si>
    <t xml:space="preserve">Medir el avance de la promoción escolar </t>
  </si>
  <si>
    <t>Cantidad de equipos en operación / Cantidad de equipos existentes</t>
  </si>
  <si>
    <t xml:space="preserve">Medir el porcentaje de programas acreditados </t>
  </si>
  <si>
    <t>Determinar el clima laboral a partir de mediciones anteriores</t>
  </si>
  <si>
    <t>Evaluar las competencias de los servidores públicos de la ETITC</t>
  </si>
  <si>
    <t>Promedio avance en el plan de mejoramiento</t>
  </si>
  <si>
    <t>Mejoramiento del Sistema de Gestión</t>
  </si>
  <si>
    <t>Medir el avance en los planes de mejoramiento resultado de las auditorías</t>
  </si>
  <si>
    <t xml:space="preserve"># Evaluaciones realizadas /# Total de funciones </t>
  </si>
  <si>
    <t>Observaciones</t>
  </si>
  <si>
    <t>Elaborar un  plan de apoyo a las actividades 2017- 2019  para los grupos de investigación  que responda a las políticas nacionales de ciencia, tecnología e innovación</t>
  </si>
  <si>
    <t>Implementar  en 2018 un programa de  gestión  de transferencia del conocimiento  que provea a la ETITC   de  instrumentos para el uso, distribución y protección  del conocimiento</t>
  </si>
  <si>
    <t>Pagos</t>
  </si>
  <si>
    <t>Ingresos febrero</t>
  </si>
  <si>
    <t>Ingresos 2016</t>
  </si>
  <si>
    <t>Pagos 2016</t>
  </si>
  <si>
    <t>Medir la efectividad en el recaudo para el respaldo de los compromisos</t>
  </si>
  <si>
    <t>X</t>
  </si>
  <si>
    <t>Bimensual</t>
  </si>
  <si>
    <t>Nivel de satisfacción actividades de Bienestar</t>
  </si>
  <si>
    <t>Sumatoria resultado encuestas de satisfacción actividades de bienestar/ Total estudiantes encuestados</t>
  </si>
  <si>
    <t># de programas de transferencia de conocimiento en ejecución/ # de programas de transferencia de conocimiento  planeados</t>
  </si>
  <si>
    <t># Proyectos  de apoyo a las actividad  en ejecución/ # de planes de apoyo a las actividad  programados</t>
  </si>
  <si>
    <t># Proyectos de formación  actividad  en ejecución/ # de proyectos de formación actividad  programados</t>
  </si>
  <si>
    <t>Ingresos ejecutados / Ingresos programados</t>
  </si>
  <si>
    <t>Porcentaje de empleabilidad del año</t>
  </si>
  <si>
    <t>Valor plan compras ejecutado / Valor compras  programado</t>
  </si>
  <si>
    <t>≥ 90%</t>
  </si>
  <si>
    <t>Recaudo / Compromisos</t>
  </si>
  <si>
    <t>≥  1,00</t>
  </si>
  <si>
    <t>Variación en la desviación estándar del examen SABER 11</t>
  </si>
  <si>
    <t>Desviación estándar año 2017 / Desviación estándar año 2016  - 1</t>
  </si>
  <si>
    <t>≥ 88,50%</t>
  </si>
  <si>
    <t>Mejorar la calidad de vida de la comunidad universitaria, mediante la planeación y ejecución de proyectos, programas y actividades que fortalezcan las condiciones de bienestar</t>
  </si>
  <si>
    <t>Revisar y ajustar los currículos permanentemente de acuerdo con los avances del conocimiento y los requerimientos de la sociedad para darles pertinencia y coherencia con el perfil institucional</t>
  </si>
  <si>
    <t>Modernizar la infraestructura de laboratorios, talleres y aulas especializadas para desarrollar y afirmar las competencias</t>
  </si>
  <si>
    <t>Continuar con el proceso de acreditación de los programas</t>
  </si>
  <si>
    <t>Garantizar la pertinencia de los programas de ES ofrecidos por la ETITC, a partir de la identificación de las tendencias y necesidades de la sociedad, del mercado laboral y de los procesos de ES, tanto a nivel nacional como internacional</t>
  </si>
  <si>
    <t>Formar investigadores en la gestión de grupos, formulación de proyectos de investigación y ACTI para posicionar a la ETITC como centro líder entre sus pares en Ciencia, tecnología e innovación</t>
  </si>
  <si>
    <t>Capacitar a la comunidad ETITC y definir protocolos para la aplicación de normatividad de propiedad intelectual</t>
  </si>
  <si>
    <t>Realizar publicaciones institucionales y ponencias en eventos académicos nacionales e internacionales</t>
  </si>
  <si>
    <t>Incentivar la formulación y realización de proyectos que consoliden los grupos de investigación</t>
  </si>
  <si>
    <t>Fortalecer y consolidar la gestión financiera de la institución</t>
  </si>
  <si>
    <t>Contar con un equipo humano eficiente en un ambiente laboral confortable, capaz de dar soluciones</t>
  </si>
  <si>
    <t>Mejorar el equipamiento tecnológico de la Institución</t>
  </si>
  <si>
    <t>Satisfacer las expectativas de los usuarios asociadas con un servicio educativo de calidad a través del fortalecimiento del Sistema de Gestión de calidad y la evaluación permanente</t>
  </si>
  <si>
    <t>Vincular la institución con el entorno nacional e internacional para acceder a los recursos y generar intercambios</t>
  </si>
  <si>
    <t>Garantizar la participación de los docentes en comunidades académicas para la construcción, transferencia y socialización del conocimiento</t>
  </si>
  <si>
    <t>TABLERO INDICADORES 2017</t>
  </si>
  <si>
    <t>Mejorar el desempeño común de los estudiantes  (a mayor disminución, mejor desempeño)</t>
  </si>
  <si>
    <t>Medición Febrero</t>
  </si>
  <si>
    <t>feb</t>
  </si>
  <si>
    <t>mar</t>
  </si>
  <si>
    <t>Recaudo</t>
  </si>
  <si>
    <t>Compromiso</t>
  </si>
  <si>
    <t>Diferencia</t>
  </si>
  <si>
    <t>Movilidad internacional (1) 
Cantidad: 1 Docente, Destino: México
Movilidad nacional (2)
Cantidad: 1 Decano, 1 estudiante, Destino: Medellín</t>
  </si>
  <si>
    <t>Febrero</t>
  </si>
  <si>
    <t>Marzo</t>
  </si>
  <si>
    <t>Abril</t>
  </si>
  <si>
    <t>Línea Base</t>
  </si>
  <si>
    <t>Direccionamiento Institucional</t>
  </si>
  <si>
    <t>( # Programas acreditados /  # programas acreditables )</t>
  </si>
  <si>
    <t xml:space="preserve">Medir el % de programas acreditados </t>
  </si>
  <si>
    <t xml:space="preserve">Variación de pruebas saber pro </t>
  </si>
  <si>
    <t xml:space="preserve">según fuente -MEN </t>
  </si>
  <si>
    <t>Fuente observatorio laboral</t>
  </si>
  <si>
    <t>95,7% (Medición del 2015, no hay datos 2016)</t>
  </si>
  <si>
    <t>Actividades ejecutadas / actividades programadas</t>
  </si>
  <si>
    <t>Medir el cumplimiento de las actividades de movilidad.</t>
  </si>
  <si>
    <t xml:space="preserve">mensual </t>
  </si>
  <si>
    <t>Cumplimiento del Plan de Desarrollo Institucional</t>
  </si>
  <si>
    <t>% avance de cumplimiento del plan estratégico de desarrollo</t>
  </si>
  <si>
    <t>Medir el cumplimiento del plan estratégico de desarrollo a partir del informe presentado por los responsables de cada uno de los ejes estratégicos</t>
  </si>
  <si>
    <t>anual</t>
  </si>
  <si>
    <t xml:space="preserve">Egresados </t>
  </si>
  <si>
    <t>Conocer la participación de los egresados en actividades de la ETITC.</t>
  </si>
  <si>
    <t>Presupuesto ejecutado del plan de acción/ presupuesto aprobado en el plan de acción *100</t>
  </si>
  <si>
    <t xml:space="preserve">Trabajos de grado con reconocimiento </t>
  </si>
  <si>
    <t xml:space="preserve"># trabajos de grado con distinciones  / # total, trabajos de grado  </t>
  </si>
  <si>
    <t>Medir la pertinencia de los trabajos de grado</t>
  </si>
  <si>
    <t>Participación en comunidades académicas</t>
  </si>
  <si>
    <t xml:space="preserve">Medir la visibilidad de la institución en comunidades académicas </t>
  </si>
  <si>
    <t>Uso de talleres y laboratorios</t>
  </si>
  <si>
    <t>Variación pruebas saber PRO</t>
  </si>
  <si>
    <t xml:space="preserve">Pruebas saber pro vigencia actual  respecto Pruebas saber pro vigencia anterior </t>
  </si>
  <si>
    <t xml:space="preserve">Medir desempeño de los estudiantes </t>
  </si>
  <si>
    <t>Indice de empleabilidad</t>
  </si>
  <si>
    <t>Fuente MEN</t>
  </si>
  <si>
    <t>Medir la pertenencia de los programas con la industria</t>
  </si>
  <si>
    <t>Rendimiento académico periódico</t>
  </si>
  <si>
    <t>Nivel de desempeño de aprobación del bimestre actual vs. Nivel de desempeño de aprobación del bimestre anterior.</t>
  </si>
  <si>
    <t>Mejorar el desempeño académico de los estudiantes periódico</t>
  </si>
  <si>
    <t xml:space="preserve">Desempeño pruebas saber </t>
  </si>
  <si>
    <t># Proyectos de formación  actividad  en ejecución/ # de proyectos de formación actividad  programados*100</t>
  </si>
  <si>
    <t>Elaborar un  plan de apoyo a las actividades 2017- 2019  para los grupos de investigación  que responda a las políticas nacionales de ciencia, tecnología e innovación.</t>
  </si>
  <si>
    <t># de programas de transferencia de conocimiento en ejecución/ # de programas de transferencia de conocimiento  planeados*100</t>
  </si>
  <si>
    <t>Implementar  en 2018 un programa de  gestión  de transferencia del conocimiento  que provea a la ETITC   de  instrumentos para el uso, distribución y protección  del conocimiento.</t>
  </si>
  <si>
    <t>Ejecución presupuestal investigaciones</t>
  </si>
  <si>
    <t>Conocer la ejecución del plan de acción</t>
  </si>
  <si>
    <t>Determinar el % de ejecución de actividades con base en plan de acción</t>
  </si>
  <si>
    <t>TRD validadas</t>
  </si>
  <si>
    <t xml:space="preserve">Mantener las TRD de la ETITC validadas y actualizadas </t>
  </si>
  <si>
    <t xml:space="preserve">cantidad de equipos en operación / cantidad de equipos existentes </t>
  </si>
  <si>
    <t xml:space="preserve">Cuatrimestral </t>
  </si>
  <si>
    <t>Gestión de Control Interno</t>
  </si>
  <si>
    <t>Seguimiento a las hojas de vida de los funcionarios</t>
  </si>
  <si>
    <t xml:space="preserve"> # Hojas de vida actualizadas * 100/  # de funcionarios </t>
  </si>
  <si>
    <t xml:space="preserve">Semestral </t>
  </si>
  <si>
    <t xml:space="preserve">Seguimiento al servicio permanente </t>
  </si>
  <si>
    <t># Seguimientos realizados * 100/ # Seguimientos establecidaos</t>
  </si>
  <si>
    <t>Satisfacer expectativas de usuarios asociados al servicio educativo</t>
  </si>
  <si>
    <t>Se evidencia este índicador a través de las actas realizadas a los seguimientos realizados de las PQRDS por el área</t>
  </si>
  <si>
    <t>Programas de seguridad y salud en el trabajo</t>
  </si>
  <si>
    <t xml:space="preserve"># actividades proyectados/ # actividades ejecutados </t>
  </si>
  <si>
    <t>medir el avance de los programas de SST</t>
  </si>
  <si>
    <t xml:space="preserve">Cumplimiento del programa de bienestar laboral </t>
  </si>
  <si>
    <t># actividades ejecutadas en el año/ # actividades programadas</t>
  </si>
  <si>
    <t xml:space="preserve">medir el cumplimiento de las actividades programadas </t>
  </si>
  <si>
    <t xml:space="preserve">Reinducción de funcionarios </t>
  </si>
  <si>
    <t># funcionarios que recibieron reinducción en el año  / # total de funcionarios vinculados a la entidad</t>
  </si>
  <si>
    <t>medir el número de personas capacitadas</t>
  </si>
  <si>
    <t>Cumplimiento del plan de capacitación</t>
  </si>
  <si>
    <t># servidores publicos capacitados  / # de servidores de la entidad * 100</t>
  </si>
  <si>
    <t>medir la participación de los servidores publicos en los PI-C</t>
  </si>
  <si>
    <t>Plan de compras ejecutado / Valor total de compras</t>
  </si>
  <si>
    <t>Priorizar el gasto</t>
  </si>
  <si>
    <t>Traslado cuenta única nacional -CUN</t>
  </si>
  <si>
    <t>Valor ingresos recibido cuenta bancaria / valor traslados CUN</t>
  </si>
  <si>
    <t>Medir la eficiencia en la identificación y traslado de recursos a la CUN</t>
  </si>
  <si>
    <t xml:space="preserve">Uso de recursos </t>
  </si>
  <si>
    <t>Pagos / Recaudo total * 100</t>
  </si>
  <si>
    <t xml:space="preserve">Verificar el ingreso recibido vs, pagos ejecutados </t>
  </si>
  <si>
    <t>Gestión de autoevaluación</t>
  </si>
  <si>
    <t>(ACTIVIDADES DESARROLLADAS EN PERIODO / TOTAL DE ACTIVIDADES PLANEADAS *100 )</t>
  </si>
  <si>
    <t xml:space="preserve">MEDIR COMO AVANZA EL PLAN DE AUTOEVALUACIÓN </t>
  </si>
  <si>
    <t>Avance de las actividades de la autoevaluación</t>
  </si>
  <si>
    <t>(Actividades desarrolladas en periodo / actividades programadas en el periodo *100 )</t>
  </si>
  <si>
    <t xml:space="preserve">Medir el avance del procesos de autoevaluación </t>
  </si>
  <si>
    <t>&lt;= 96%</t>
  </si>
  <si>
    <t>9.9925(2016)/9,9204(2015)</t>
  </si>
  <si>
    <t>No tiene, es la primera vez que se mide este impacto</t>
  </si>
  <si>
    <t>Satisfacción de los cursos de extensión</t>
  </si>
  <si>
    <t>Promedio de las evaluaciones de los cursos</t>
  </si>
  <si>
    <t>Medir la satisfacción de los estudiantes frente a los programas ofertados en el área</t>
  </si>
  <si>
    <t>Permanencia en los cursos de extensión</t>
  </si>
  <si>
    <t>#Total de estudiantes que culminan / # de estudiantes que se matriculan *100</t>
  </si>
  <si>
    <t>Conocer la permanencia académica</t>
  </si>
  <si>
    <t>Incrementar las actividades de formación en valores, vivenciando la práctica de los derechos humanos y deberes para lograr formación integral de calidad.</t>
  </si>
  <si>
    <t>Incrementar el mejoramiento académico y comportamental de los estudiantes con el fin de afianzar competencias necesarias para ser más productivos y competitivos.</t>
  </si>
  <si>
    <t>Desarrollar capacidades científicas, técnicas y tecnológicas que garanticen la formación de excelentes profesionales.</t>
  </si>
  <si>
    <t>Lograr la acreditación de los programas académicos e institucional en alta calidad.</t>
  </si>
  <si>
    <t>Incrementar las relaciones con el sector productivo, comunidades académicas y la sociedad, como soporte de una educación de calidad por ciclos propedéuticos.</t>
  </si>
  <si>
    <t>Promover el cambio en los integrantes de la comunidad educativa para lograr la eficacia en los procesos de gestión de calidad.</t>
  </si>
  <si>
    <t>Garantizar espacios de crecimiento personal y profesional que ayuden a mejorar la calidad de vida de los estudiantes</t>
  </si>
  <si>
    <t>INDICADOR</t>
  </si>
  <si>
    <t>LÍNEA BASE</t>
  </si>
  <si>
    <t>Medir el porcentaje de ejecución de convenios y redes ejecutados por la ETITC</t>
  </si>
  <si>
    <t>#de horas de uso de talleres y laboratorios/ #total de horas dispuestas por el taller</t>
  </si>
  <si>
    <t>Un trabajo por cada facultad</t>
  </si>
  <si>
    <t xml:space="preserve">Promoción y participación de esas redes para la acreditación (Todas las facultades pertenezcan en cada una de la sredes), componente de redes </t>
  </si>
  <si>
    <t>Medir el uso de los talleres y laboratorios</t>
  </si>
  <si>
    <t>Uso de talleres al 100%</t>
  </si>
  <si>
    <t>Facultades con al menos 1 participación/ total de facultades</t>
  </si>
  <si>
    <t>&lt;=97,6</t>
  </si>
  <si>
    <t xml:space="preserve">( # formato de asistencia o  actividades semestre vigente/asistente actividad semestre anterior) - 1 </t>
  </si>
  <si>
    <t>Identificar las participaciones de # de beneficiados en la actividad de bienestar</t>
  </si>
  <si>
    <t>Promedio de las encuestas de satisfacción</t>
  </si>
  <si>
    <t xml:space="preserve"> # actividad formación integral ejecutadas/ + actividades formación integral planeadas</t>
  </si>
  <si>
    <t>Entre 15 y 15 de cada periodo</t>
  </si>
  <si>
    <t>TRD validadas / total TRD</t>
  </si>
  <si>
    <t>Nivel de satisfacciób a las solicitudes de planta física</t>
  </si>
  <si>
    <t>Promedio % de satisfacción</t>
  </si>
  <si>
    <t>Garantizar la calidad del servicio prestado</t>
  </si>
  <si>
    <t>Avace del plan de trabajo de la coordinación</t>
  </si>
  <si>
    <t>Cumplimiento de actividades de movilidad</t>
  </si>
  <si>
    <t>75% (11/15)</t>
  </si>
  <si>
    <t>&gt;= 96%</t>
  </si>
  <si>
    <t>OBJETIVO DE CALIDAD</t>
  </si>
  <si>
    <t># Evaluaciones realizadas /# Total de funcionarios</t>
  </si>
  <si>
    <t>ORII</t>
  </si>
  <si>
    <t>Mayo</t>
  </si>
  <si>
    <t>Direcc. Estratégico</t>
  </si>
  <si>
    <t>Junio</t>
  </si>
  <si>
    <t># Proyectos  de apoyo a las ACTI  en ejecución/ # de proyectos de apoyo a las actividad programados*100</t>
  </si>
  <si>
    <t>En este índicador se da cumplimiento al 100%</t>
  </si>
  <si>
    <t>Por ser la primera medición, el rendimiento de 3,64 (Desempeño básico) es nuestra línea base para la siguiente evaluación</t>
  </si>
  <si>
    <t>Satisfaccion</t>
  </si>
  <si>
    <t>Beneficiados</t>
  </si>
  <si>
    <t>Artes</t>
  </si>
  <si>
    <t>Salud</t>
  </si>
  <si>
    <t>T Social</t>
  </si>
  <si>
    <t>Psicología</t>
  </si>
  <si>
    <t>Rec Deportes</t>
  </si>
  <si>
    <t>Pastoral PES</t>
  </si>
  <si>
    <t>Pastoral IBTI</t>
  </si>
  <si>
    <t>Realizadas</t>
  </si>
  <si>
    <t>Propuestas</t>
  </si>
  <si>
    <t>Actividades</t>
  </si>
  <si>
    <t>Última medición, Junio del 2017</t>
  </si>
  <si>
    <t>Medición del mes de Junio del 2017, se toma este dato como línea base para la próxima medición</t>
  </si>
  <si>
    <t>De las 64 actividades programadas se cumplen 52</t>
  </si>
  <si>
    <t>hay</t>
  </si>
  <si>
    <t>reparar</t>
  </si>
  <si>
    <t>uso</t>
  </si>
  <si>
    <t>Mejorar la Seguridad en los sistemas de información y comunicacioés</t>
  </si>
  <si>
    <t xml:space="preserve">Sistemas de información y comunicación administrados vs Estandáres de seguridad </t>
  </si>
  <si>
    <t>Mantener los sistemas de información y comunicación con estándares de seguridad</t>
  </si>
  <si>
    <t>&lt;=80</t>
  </si>
  <si>
    <t>Se lleva ejecutado 24% del presupuesto.</t>
  </si>
  <si>
    <t>De auerdo al lider del proceso, este indicador se medira en el mes de Julio.</t>
  </si>
  <si>
    <t>Se recibieron 5 solicitudes de movilidad Internacional, se ven pocas solicitudes debido al receso académico de la entidad</t>
  </si>
  <si>
    <t>#de egresados vinculados / # de egresados totales *100</t>
  </si>
  <si>
    <t>Levantamiento de información física para los programas, identificación de % de deserción usando  como base la metodología SPADIES, calsificación de recursos bibliográficos por facultad.</t>
  </si>
  <si>
    <t>Cargue de de condiciones iniciales en un 80%  de la informaciómn</t>
  </si>
  <si>
    <t>&lt;=85</t>
  </si>
  <si>
    <t>Medición se realiza a Junio 30 del 2017</t>
  </si>
  <si>
    <t>Se aprobaron y validaron las tablas de retencipon documental al 100% en el consejo</t>
  </si>
  <si>
    <t>Se ha realizado el tema de la implementación del marco de seguridad de información y análisis de riesgo.</t>
  </si>
  <si>
    <t>Porcentaje promedio de avance del seguimiento de convenios</t>
  </si>
  <si>
    <t>BAJO</t>
  </si>
  <si>
    <t>MEDIO</t>
  </si>
  <si>
    <t>Ejecución de convenios y redes nacionales e internacionales</t>
  </si>
  <si>
    <t>Atender oportunamente la PQRSD en la ETITC</t>
  </si>
  <si>
    <t>Variacion porcentual trimestral de PQRSD</t>
  </si>
  <si>
    <t>Muestra la variación de PQRSD del trimestre en el presente año respecto del trimestre anterior</t>
  </si>
  <si>
    <t>x&gt;=1,00</t>
  </si>
  <si>
    <t>x&lt;90%</t>
  </si>
  <si>
    <t>x&gt;=95%</t>
  </si>
  <si>
    <t>x&gt;=50%</t>
  </si>
  <si>
    <t>x&lt;30%</t>
  </si>
  <si>
    <t>Permitir verificar el avance de las compras programadas al principo de la vigencia para priorizar gastos
para 2017 se debe ejecutar un valor acumulado de:
I trimestre: 200mll
II trimestr: 400mll</t>
  </si>
  <si>
    <t>x&gt;=85%</t>
  </si>
  <si>
    <t>x&lt;75%</t>
  </si>
  <si>
    <t>Resultado de la medición del clima laboral en el período</t>
  </si>
  <si>
    <t>Determinar el clima laboral, el cual deberá ser superior al de la línea base o del año anterior</t>
  </si>
  <si>
    <t>ALTO</t>
  </si>
  <si>
    <t>Realizar el seguimiento a las hojas de vida registradas en el Sigep (incluídos contratistas)</t>
  </si>
  <si>
    <t>x&gt;=90%</t>
  </si>
  <si>
    <t>75%&lt;=x&lt;90%</t>
  </si>
  <si>
    <t>x&lt;0,90</t>
  </si>
  <si>
    <t>&gt; 91,00%</t>
  </si>
  <si>
    <t>x&gt;91,00%</t>
  </si>
  <si>
    <t>x&lt;85,00%</t>
  </si>
  <si>
    <t>x&lt;60%</t>
  </si>
  <si>
    <t>&gt;=80%</t>
  </si>
  <si>
    <t>Julio</t>
  </si>
  <si>
    <t>x&lt;70%</t>
  </si>
  <si>
    <t>x&gt;=80%</t>
  </si>
  <si>
    <t>x&lt;73%</t>
  </si>
  <si>
    <t>x&gt;=100%</t>
  </si>
  <si>
    <t>x&gt;88,50%</t>
  </si>
  <si>
    <t>x&lt;70,00%</t>
  </si>
  <si>
    <t>x&lt;=-20,00%</t>
  </si>
  <si>
    <t>Proceso de acreditación de programas</t>
  </si>
  <si>
    <t>Medir el cumplimiento de las etapas de la acreditación de programas</t>
  </si>
  <si>
    <t>x&gt;63,00%</t>
  </si>
  <si>
    <t>x&lt;42,00%</t>
  </si>
  <si>
    <t>x&gt;8,33%</t>
  </si>
  <si>
    <t>x&gt;0,00%</t>
  </si>
  <si>
    <t>x&lt;85%</t>
  </si>
  <si>
    <t>x&lt;72%</t>
  </si>
  <si>
    <t>x=100%</t>
  </si>
  <si>
    <t>42,00%
&lt;=x&lt;=
63,00%</t>
  </si>
  <si>
    <t>85,00%
&lt;=x&lt;=
91,00%</t>
  </si>
  <si>
    <t>70,00%
&lt;=x&lt;=
88,50%</t>
  </si>
  <si>
    <t>-10%
&gt;=x&gt;=
-20%</t>
  </si>
  <si>
    <t>30%
&lt;=x&lt;
50%</t>
  </si>
  <si>
    <t>72%
&lt;=x&lt;
100%</t>
  </si>
  <si>
    <t>60%
&lt;=x&lt;
80%</t>
  </si>
  <si>
    <t>90%
&lt;=x&lt;
95%</t>
  </si>
  <si>
    <t>75%
&lt;=x&lt;
85%</t>
  </si>
  <si>
    <t>70%
&lt;=x&lt;
89%</t>
  </si>
  <si>
    <t>0,90
&lt;=x&lt;
1,00</t>
  </si>
  <si>
    <t>73%
&lt;=x&lt;
79%</t>
  </si>
  <si>
    <t>85%
&lt;=x&lt;
99%</t>
  </si>
  <si>
    <t>PERIODO</t>
  </si>
  <si>
    <t>DESCRIPCIÓN</t>
  </si>
  <si>
    <t>FÓRMULA</t>
  </si>
  <si>
    <t>OBJETIVO ESTRATÉGICO</t>
  </si>
  <si>
    <t>RANGO</t>
  </si>
  <si>
    <t>Bajo</t>
  </si>
  <si>
    <t>Medio</t>
  </si>
  <si>
    <t>Óptimo</t>
  </si>
  <si>
    <t>MEDICIÓN Y ANÁLISIS</t>
  </si>
  <si>
    <t>92,8%
&lt;=x&lt;
95%</t>
  </si>
  <si>
    <t>x&lt;92,8%</t>
  </si>
  <si>
    <r>
      <rPr>
        <b/>
        <sz val="48"/>
        <rFont val="Calibri"/>
        <family val="2"/>
        <scheme val="minor"/>
      </rPr>
      <t>#</t>
    </r>
    <r>
      <rPr>
        <sz val="48"/>
        <rFont val="Calibri"/>
        <family val="2"/>
        <scheme val="minor"/>
      </rPr>
      <t xml:space="preserve"> Programas acreditados </t>
    </r>
    <r>
      <rPr>
        <b/>
        <sz val="48"/>
        <rFont val="Calibri"/>
        <family val="2"/>
        <scheme val="minor"/>
      </rPr>
      <t>/</t>
    </r>
    <r>
      <rPr>
        <sz val="48"/>
        <rFont val="Calibri"/>
        <family val="2"/>
        <scheme val="minor"/>
      </rPr>
      <t xml:space="preserve">  
</t>
    </r>
    <r>
      <rPr>
        <b/>
        <sz val="48"/>
        <rFont val="Calibri"/>
        <family val="2"/>
        <scheme val="minor"/>
      </rPr>
      <t>#</t>
    </r>
    <r>
      <rPr>
        <sz val="48"/>
        <rFont val="Calibri"/>
        <family val="2"/>
        <scheme val="minor"/>
      </rPr>
      <t xml:space="preserve"> Programas acreditables</t>
    </r>
  </si>
  <si>
    <r>
      <t xml:space="preserve">Avance etapas 
</t>
    </r>
    <r>
      <rPr>
        <b/>
        <sz val="48"/>
        <rFont val="Calibri"/>
        <family val="2"/>
        <scheme val="minor"/>
      </rPr>
      <t>(</t>
    </r>
    <r>
      <rPr>
        <sz val="48"/>
        <rFont val="Calibri"/>
        <family val="2"/>
        <scheme val="minor"/>
      </rPr>
      <t xml:space="preserve">11 cargues iniciales </t>
    </r>
    <r>
      <rPr>
        <b/>
        <sz val="48"/>
        <rFont val="Calibri"/>
        <family val="2"/>
        <scheme val="minor"/>
      </rPr>
      <t>+</t>
    </r>
    <r>
      <rPr>
        <sz val="48"/>
        <rFont val="Calibri"/>
        <family val="2"/>
        <scheme val="minor"/>
      </rPr>
      <t xml:space="preserve"> 11 Revisiones </t>
    </r>
    <r>
      <rPr>
        <b/>
        <sz val="48"/>
        <rFont val="Calibri"/>
        <family val="2"/>
        <scheme val="minor"/>
      </rPr>
      <t>+</t>
    </r>
    <r>
      <rPr>
        <sz val="48"/>
        <rFont val="Calibri"/>
        <family val="2"/>
        <scheme val="minor"/>
      </rPr>
      <t xml:space="preserve"> 11 cargues de información </t>
    </r>
    <r>
      <rPr>
        <b/>
        <sz val="48"/>
        <rFont val="Calibri"/>
        <family val="2"/>
        <scheme val="minor"/>
      </rPr>
      <t>+</t>
    </r>
    <r>
      <rPr>
        <sz val="48"/>
        <rFont val="Calibri"/>
        <family val="2"/>
        <scheme val="minor"/>
      </rPr>
      <t xml:space="preserve"> 4 asignaciones </t>
    </r>
    <r>
      <rPr>
        <b/>
        <sz val="48"/>
        <rFont val="Calibri"/>
        <family val="2"/>
        <scheme val="minor"/>
      </rPr>
      <t>+</t>
    </r>
    <r>
      <rPr>
        <sz val="48"/>
        <rFont val="Calibri"/>
        <family val="2"/>
        <scheme val="minor"/>
      </rPr>
      <t xml:space="preserve"> 4 aclaraciones </t>
    </r>
    <r>
      <rPr>
        <b/>
        <sz val="48"/>
        <rFont val="Calibri"/>
        <family val="2"/>
        <scheme val="minor"/>
      </rPr>
      <t>+</t>
    </r>
    <r>
      <rPr>
        <sz val="48"/>
        <rFont val="Calibri"/>
        <family val="2"/>
        <scheme val="minor"/>
      </rPr>
      <t xml:space="preserve"> 4 conceptos</t>
    </r>
    <r>
      <rPr>
        <b/>
        <sz val="48"/>
        <rFont val="Calibri"/>
        <family val="2"/>
        <scheme val="minor"/>
      </rPr>
      <t>) / (</t>
    </r>
    <r>
      <rPr>
        <sz val="48"/>
        <rFont val="Calibri"/>
        <family val="2"/>
        <scheme val="minor"/>
      </rPr>
      <t>45</t>
    </r>
    <r>
      <rPr>
        <b/>
        <sz val="48"/>
        <rFont val="Calibri"/>
        <family val="2"/>
        <scheme val="minor"/>
      </rPr>
      <t>)</t>
    </r>
  </si>
  <si>
    <r>
      <rPr>
        <b/>
        <sz val="48"/>
        <color rgb="FF000000"/>
        <rFont val="Calibri"/>
        <family val="2"/>
        <scheme val="minor"/>
      </rPr>
      <t>(</t>
    </r>
    <r>
      <rPr>
        <sz val="48"/>
        <color rgb="FF000000"/>
        <rFont val="Calibri"/>
        <family val="2"/>
        <scheme val="minor"/>
      </rPr>
      <t xml:space="preserve">PQRSD recibidas hasta el día 15 del mes </t>
    </r>
    <r>
      <rPr>
        <b/>
        <i/>
        <sz val="48"/>
        <color rgb="FF000000"/>
        <rFont val="Calibri"/>
        <family val="2"/>
        <scheme val="minor"/>
      </rPr>
      <t xml:space="preserve">n-1 </t>
    </r>
    <r>
      <rPr>
        <sz val="48"/>
        <color rgb="FF000000"/>
        <rFont val="Calibri"/>
        <family val="2"/>
        <scheme val="minor"/>
      </rPr>
      <t>y</t>
    </r>
    <r>
      <rPr>
        <b/>
        <i/>
        <sz val="48"/>
        <color rgb="FF000000"/>
        <rFont val="Calibri"/>
        <family val="2"/>
        <scheme val="minor"/>
      </rPr>
      <t xml:space="preserve"> </t>
    </r>
    <r>
      <rPr>
        <sz val="48"/>
        <color rgb="FF000000"/>
        <rFont val="Calibri"/>
        <family val="2"/>
        <scheme val="minor"/>
      </rPr>
      <t xml:space="preserve">atendidas oportunamente al día 14 del mes </t>
    </r>
    <r>
      <rPr>
        <b/>
        <i/>
        <sz val="48"/>
        <color rgb="FF000000"/>
        <rFont val="Calibri"/>
        <family val="2"/>
        <scheme val="minor"/>
      </rPr>
      <t>n</t>
    </r>
    <r>
      <rPr>
        <b/>
        <sz val="48"/>
        <color rgb="FF000000"/>
        <rFont val="Calibri"/>
        <family val="2"/>
        <scheme val="minor"/>
      </rPr>
      <t>)</t>
    </r>
    <r>
      <rPr>
        <sz val="48"/>
        <color rgb="FF000000"/>
        <rFont val="Calibri"/>
        <family val="2"/>
        <scheme val="minor"/>
      </rPr>
      <t xml:space="preserve"> </t>
    </r>
    <r>
      <rPr>
        <b/>
        <sz val="48"/>
        <color rgb="FF000000"/>
        <rFont val="Calibri"/>
        <family val="2"/>
        <scheme val="minor"/>
      </rPr>
      <t>/</t>
    </r>
    <r>
      <rPr>
        <sz val="48"/>
        <color rgb="FF000000"/>
        <rFont val="Calibri"/>
        <family val="2"/>
        <scheme val="minor"/>
      </rPr>
      <t xml:space="preserve"> </t>
    </r>
    <r>
      <rPr>
        <b/>
        <sz val="48"/>
        <color rgb="FF000000"/>
        <rFont val="Calibri"/>
        <family val="2"/>
        <scheme val="minor"/>
      </rPr>
      <t>(</t>
    </r>
    <r>
      <rPr>
        <sz val="48"/>
        <color rgb="FF000000"/>
        <rFont val="Calibri"/>
        <family val="2"/>
        <scheme val="minor"/>
      </rPr>
      <t xml:space="preserve">PQRSD recepcionadas hasta el día 15 del mes </t>
    </r>
    <r>
      <rPr>
        <b/>
        <i/>
        <sz val="48"/>
        <color rgb="FF000000"/>
        <rFont val="Calibri"/>
        <family val="2"/>
        <scheme val="minor"/>
      </rPr>
      <t>n - 1</t>
    </r>
    <r>
      <rPr>
        <b/>
        <sz val="48"/>
        <color rgb="FF000000"/>
        <rFont val="Calibri"/>
        <family val="2"/>
        <scheme val="minor"/>
      </rPr>
      <t>)</t>
    </r>
  </si>
  <si>
    <r>
      <rPr>
        <b/>
        <sz val="48"/>
        <color rgb="FF000000"/>
        <rFont val="Calibri"/>
        <family val="2"/>
        <scheme val="minor"/>
      </rPr>
      <t>( (</t>
    </r>
    <r>
      <rPr>
        <sz val="48"/>
        <color rgb="FF000000"/>
        <rFont val="Calibri"/>
        <family val="2"/>
        <scheme val="minor"/>
      </rPr>
      <t xml:space="preserve">PQRSD recibidas en el trimestre del año </t>
    </r>
    <r>
      <rPr>
        <b/>
        <i/>
        <sz val="48"/>
        <color rgb="FF000000"/>
        <rFont val="Calibri"/>
        <family val="2"/>
        <scheme val="minor"/>
      </rPr>
      <t xml:space="preserve">n / </t>
    </r>
    <r>
      <rPr>
        <sz val="48"/>
        <color rgb="FF000000"/>
        <rFont val="Calibri"/>
        <family val="2"/>
        <scheme val="minor"/>
      </rPr>
      <t>Población estudiantil trimestre año</t>
    </r>
    <r>
      <rPr>
        <b/>
        <i/>
        <sz val="48"/>
        <color rgb="FF000000"/>
        <rFont val="Calibri"/>
        <family val="2"/>
        <scheme val="minor"/>
      </rPr>
      <t xml:space="preserve"> n)
 -
(</t>
    </r>
    <r>
      <rPr>
        <sz val="48"/>
        <color rgb="FF000000"/>
        <rFont val="Calibri"/>
        <family val="2"/>
        <scheme val="minor"/>
      </rPr>
      <t xml:space="preserve">PQRSD recibidas en el trimestre del año </t>
    </r>
    <r>
      <rPr>
        <b/>
        <i/>
        <sz val="48"/>
        <color rgb="FF000000"/>
        <rFont val="Calibri"/>
        <family val="2"/>
        <scheme val="minor"/>
      </rPr>
      <t>n-1</t>
    </r>
    <r>
      <rPr>
        <b/>
        <sz val="48"/>
        <color rgb="FF000000"/>
        <rFont val="Calibri"/>
        <family val="2"/>
        <scheme val="minor"/>
      </rPr>
      <t>/</t>
    </r>
    <r>
      <rPr>
        <sz val="48"/>
        <color rgb="FF000000"/>
        <rFont val="Calibri"/>
        <family val="2"/>
        <scheme val="minor"/>
      </rPr>
      <t xml:space="preserve"> Población estudiantil trimestre año </t>
    </r>
    <r>
      <rPr>
        <b/>
        <i/>
        <sz val="48"/>
        <color rgb="FF000000"/>
        <rFont val="Calibri"/>
        <family val="2"/>
        <scheme val="minor"/>
      </rPr>
      <t>n-1)</t>
    </r>
    <r>
      <rPr>
        <b/>
        <sz val="48"/>
        <color rgb="FF000000"/>
        <rFont val="Calibri"/>
        <family val="2"/>
        <scheme val="minor"/>
      </rPr>
      <t xml:space="preserve"> )</t>
    </r>
  </si>
  <si>
    <t>x&lt;41,3</t>
  </si>
  <si>
    <t>x&gt;=50</t>
  </si>
  <si>
    <t>41,3
&lt;=x&lt;
50</t>
  </si>
  <si>
    <t>x&gt;1,00%</t>
  </si>
  <si>
    <t>0,73%
&lt;=x&lt;=
1,00%</t>
  </si>
  <si>
    <t>x&lt;0,73%</t>
  </si>
  <si>
    <t>Agosto</t>
  </si>
  <si>
    <t>+</t>
  </si>
  <si>
    <t>Septiembre</t>
  </si>
  <si>
    <t>((195+323+318)/3810)-((232+431+250)/3868)</t>
  </si>
  <si>
    <t>x&gt;0%</t>
  </si>
  <si>
    <t>0%
&lt;=x&lt;
-1%</t>
  </si>
  <si>
    <t>x&lt;=-1%</t>
  </si>
  <si>
    <t>Octubre</t>
  </si>
  <si>
    <t>Se tiene un 80% de avance en el mejoramiento del sistema de gestión. Esta información hace referencia a las auditorias internas.</t>
  </si>
  <si>
    <t>Con corte al mes de Octubre se han recaudado: $19.563.279.737,38 y se han comprometido: $18.618.499.890,41. Queda un saldo de $944.779.847 para comprometer (sin incluir recursos CREE.)</t>
  </si>
  <si>
    <t>Se recibieron 280 PQRSD y se responden de manera oportuna 252. Las 28 restantes tienen respuestas parciales durante el tiempo dentro de los terminos establecidos por ley.  Se mantiene la divulgación y socialización de la importancia de la atención oprtuna de las PQRDS. Se realizó reinducción en el uso de la herramienta actual de gestión.</t>
  </si>
  <si>
    <t>Se aprueba la fase de completitud a cargo de CNA, y se da apertura al proceso de autoevaluación con fines de acreditación en la plataforma del ministerio. Para el proceso de cargue de autoevaluación se está realizando trabajo de campo de 200 aspectos que son requeridos para dar continuidad al proceso.</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</si>
</sst>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 #,##0_-;_-* &quot;-&quot;_-;_-@_-"/>
    <numFmt numFmtId="43" formatCode="_-* #,##0.00_-;\-* #,##0.00_-;_-* &quot;-&quot;??_-;_-@_-"/>
    <numFmt numFmtId="164" formatCode="_-&quot;$&quot;\ * #,##0_-;\-&quot;$&quot;\ * #,##0_-;_-&quot;$&quot;\ * &quot;-&quot;_-;_-@_-"/>
    <numFmt numFmtId="165" formatCode="_(&quot;$&quot;\ * #,##0.00_);_(&quot;$&quot;\ * \(#,##0.00\);_(&quot;$&quot;\ * &quot;-&quot;??_);_(@_)"/>
    <numFmt numFmtId="166" formatCode="0.0%"/>
    <numFmt numFmtId="167" formatCode="0.000%"/>
    <numFmt numFmtId="168" formatCode="_-* #,##0_-;\-* #,##0_-;_-* &quot;-&quot;??_-;_-@_-"/>
    <numFmt numFmtId="169" formatCode="0.0"/>
    <numFmt numFmtId="170" formatCode="_-* #,##0.00_-;\-* #,##0.00_-;_-* &quot;-&quot;_-;_-@_-"/>
    <numFmt numFmtId="171" formatCode="0.000"/>
    <numFmt numFmtId="172" formatCode="_-* #,##0.0_-;\-* #,##0.0_-;_-* &quot;-&quot;_-;_-@_-"/>
  </numFmts>
  <fonts count="5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font>
    <font>
      <sz val="11"/>
      <color theme="1"/>
      <name val="Arial"/>
      <family val="2"/>
    </font>
    <font>
      <sz val="10"/>
      <name val="Arial"/>
      <family val="2"/>
    </font>
    <font>
      <b/>
      <sz val="10"/>
      <name val="Arial"/>
      <family val="2"/>
    </font>
    <font>
      <b/>
      <sz val="10"/>
      <color theme="1"/>
      <name val="Calibri"/>
      <family val="2"/>
      <scheme val="minor"/>
    </font>
    <font>
      <sz val="9"/>
      <color theme="1"/>
      <name val="Calibri"/>
      <family val="2"/>
      <scheme val="minor"/>
    </font>
    <font>
      <b/>
      <sz val="12"/>
      <name val="Arial"/>
      <family val="2"/>
    </font>
    <font>
      <u/>
      <sz val="10"/>
      <color theme="10"/>
      <name val="Arial"/>
      <family val="2"/>
    </font>
    <font>
      <b/>
      <sz val="10"/>
      <color theme="1"/>
      <name val="Arial"/>
      <family val="2"/>
    </font>
    <font>
      <sz val="10"/>
      <color theme="1"/>
      <name val="Arial"/>
      <family val="2"/>
    </font>
    <font>
      <sz val="8"/>
      <color theme="1"/>
      <name val="Arial"/>
      <family val="2"/>
    </font>
    <font>
      <b/>
      <u/>
      <sz val="10"/>
      <name val="Arial"/>
      <family val="2"/>
    </font>
    <font>
      <u/>
      <sz val="11"/>
      <color theme="11"/>
      <name val="Calibri"/>
      <family val="2"/>
      <scheme val="minor"/>
    </font>
    <font>
      <u/>
      <sz val="11"/>
      <color theme="10"/>
      <name val="Calibri"/>
      <family val="2"/>
      <scheme val="minor"/>
    </font>
    <font>
      <sz val="10"/>
      <color rgb="FFFF0000"/>
      <name val="Arial"/>
      <family val="2"/>
    </font>
    <font>
      <sz val="9"/>
      <color theme="1"/>
      <name val="Arial"/>
      <family val="2"/>
    </font>
    <font>
      <sz val="9"/>
      <name val="Arial"/>
      <family val="2"/>
    </font>
    <font>
      <sz val="11"/>
      <name val="Calibri"/>
      <family val="2"/>
      <scheme val="minor"/>
    </font>
    <font>
      <b/>
      <sz val="11"/>
      <name val="Calibri"/>
      <family val="2"/>
      <scheme val="minor"/>
    </font>
    <font>
      <sz val="12"/>
      <color rgb="FF000000"/>
      <name val="Calibri"/>
      <family val="2"/>
      <scheme val="minor"/>
    </font>
    <font>
      <b/>
      <sz val="9.9"/>
      <color theme="1"/>
      <name val="RobotoLight"/>
    </font>
    <font>
      <sz val="14"/>
      <color theme="1"/>
      <name val="Calibri"/>
      <family val="2"/>
      <scheme val="minor"/>
    </font>
    <font>
      <sz val="15.5"/>
      <color theme="1"/>
      <name val="Calibri"/>
      <family val="2"/>
      <scheme val="minor"/>
    </font>
    <font>
      <b/>
      <sz val="16"/>
      <color theme="1"/>
      <name val="Calibri"/>
      <family val="2"/>
      <scheme val="minor"/>
    </font>
    <font>
      <b/>
      <sz val="16"/>
      <name val="Arial"/>
      <family val="2"/>
    </font>
    <font>
      <b/>
      <sz val="16"/>
      <color theme="1"/>
      <name val="Arial"/>
      <family val="2"/>
    </font>
    <font>
      <sz val="16"/>
      <color theme="1"/>
      <name val="Arial"/>
      <family val="2"/>
    </font>
    <font>
      <sz val="16"/>
      <name val="Arial"/>
      <family val="2"/>
    </font>
    <font>
      <sz val="16"/>
      <color rgb="FF000000"/>
      <name val="Arial"/>
      <family val="2"/>
    </font>
    <font>
      <sz val="16"/>
      <name val="Calibri"/>
      <family val="2"/>
      <scheme val="minor"/>
    </font>
    <font>
      <sz val="16"/>
      <color rgb="FF000000"/>
      <name val="Lucida Sans"/>
      <family val="2"/>
    </font>
    <font>
      <sz val="16"/>
      <color theme="1"/>
      <name val="Calibri"/>
      <family val="2"/>
      <scheme val="minor"/>
    </font>
    <font>
      <sz val="16"/>
      <color rgb="FF000000"/>
      <name val="Calibri"/>
      <family val="2"/>
      <scheme val="minor"/>
    </font>
    <font>
      <b/>
      <sz val="28"/>
      <color theme="1"/>
      <name val="Calibri"/>
      <family val="2"/>
      <scheme val="minor"/>
    </font>
    <font>
      <sz val="28"/>
      <color theme="1"/>
      <name val="Calibri"/>
      <family val="2"/>
      <scheme val="minor"/>
    </font>
    <font>
      <b/>
      <sz val="48"/>
      <color theme="0"/>
      <name val="Calibri"/>
      <family val="2"/>
      <scheme val="minor"/>
    </font>
    <font>
      <b/>
      <sz val="48"/>
      <color theme="1"/>
      <name val="Calibri"/>
      <family val="2"/>
      <scheme val="minor"/>
    </font>
    <font>
      <sz val="48"/>
      <color theme="1"/>
      <name val="Calibri"/>
      <family val="2"/>
      <scheme val="minor"/>
    </font>
    <font>
      <sz val="48"/>
      <name val="Calibri"/>
      <family val="2"/>
      <scheme val="minor"/>
    </font>
    <font>
      <b/>
      <sz val="48"/>
      <name val="Calibri"/>
      <family val="2"/>
      <scheme val="minor"/>
    </font>
    <font>
      <b/>
      <sz val="48"/>
      <color rgb="FFFF0000"/>
      <name val="Calibri"/>
      <family val="2"/>
      <scheme val="minor"/>
    </font>
    <font>
      <sz val="48"/>
      <color rgb="FFFF0000"/>
      <name val="Calibri"/>
      <family val="2"/>
      <scheme val="minor"/>
    </font>
    <font>
      <sz val="48"/>
      <color rgb="FF000000"/>
      <name val="Calibri"/>
      <family val="2"/>
      <scheme val="minor"/>
    </font>
    <font>
      <b/>
      <sz val="48"/>
      <color rgb="FF000000"/>
      <name val="Calibri"/>
      <family val="2"/>
      <scheme val="minor"/>
    </font>
    <font>
      <b/>
      <i/>
      <sz val="48"/>
      <color rgb="FF000000"/>
      <name val="Calibri"/>
      <family val="2"/>
      <scheme val="minor"/>
    </font>
    <font>
      <b/>
      <sz val="72"/>
      <color theme="1"/>
      <name val="Calibri"/>
      <family val="2"/>
      <scheme val="minor"/>
    </font>
  </fonts>
  <fills count="14">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24994659260841701"/>
        <bgColor indexed="64"/>
      </patternFill>
    </fill>
    <fill>
      <patternFill patternType="solid">
        <fgColor theme="6" tint="-0.499984740745262"/>
        <bgColor indexed="64"/>
      </patternFill>
    </fill>
    <fill>
      <patternFill patternType="solid">
        <fgColor theme="6" tint="0.39997558519241921"/>
        <bgColor indexed="64"/>
      </patternFill>
    </fill>
    <fill>
      <gradientFill>
        <stop position="0">
          <color rgb="FFFF3300"/>
        </stop>
        <stop position="1">
          <color theme="6" tint="-0.25098422193060094"/>
        </stop>
      </gradientFill>
    </fill>
  </fills>
  <borders count="9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diagonal/>
    </border>
    <border>
      <left/>
      <right style="thin">
        <color auto="1"/>
      </right>
      <top style="thin">
        <color auto="1"/>
      </top>
      <bottom style="medium">
        <color auto="1"/>
      </bottom>
      <diagonal/>
    </border>
    <border>
      <left/>
      <right style="thin">
        <color auto="1"/>
      </right>
      <top/>
      <bottom style="medium">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diagonal/>
    </border>
    <border>
      <left style="thin">
        <color auto="1"/>
      </left>
      <right/>
      <top style="thin">
        <color auto="1"/>
      </top>
      <bottom style="medium">
        <color auto="1"/>
      </bottom>
      <diagonal/>
    </border>
    <border>
      <left style="thin">
        <color auto="1"/>
      </left>
      <right style="dashed">
        <color auto="1"/>
      </right>
      <top style="medium">
        <color auto="1"/>
      </top>
      <bottom style="thin">
        <color auto="1"/>
      </bottom>
      <diagonal/>
    </border>
    <border>
      <left style="thin">
        <color auto="1"/>
      </left>
      <right style="dashed">
        <color auto="1"/>
      </right>
      <top style="thin">
        <color auto="1"/>
      </top>
      <bottom style="thin">
        <color auto="1"/>
      </bottom>
      <diagonal/>
    </border>
    <border>
      <left style="thin">
        <color auto="1"/>
      </left>
      <right style="dashed">
        <color auto="1"/>
      </right>
      <top style="thin">
        <color auto="1"/>
      </top>
      <bottom style="medium">
        <color auto="1"/>
      </bottom>
      <diagonal/>
    </border>
    <border>
      <left style="thin">
        <color auto="1"/>
      </left>
      <right style="dashed">
        <color auto="1"/>
      </right>
      <top style="medium">
        <color auto="1"/>
      </top>
      <bottom style="medium">
        <color auto="1"/>
      </bottom>
      <diagonal/>
    </border>
    <border>
      <left style="dashed">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dashed">
        <color auto="1"/>
      </left>
      <right style="thin">
        <color auto="1"/>
      </right>
      <top style="thin">
        <color auto="1"/>
      </top>
      <bottom style="medium">
        <color auto="1"/>
      </bottom>
      <diagonal/>
    </border>
    <border>
      <left style="thin">
        <color auto="1"/>
      </left>
      <right/>
      <top/>
      <bottom style="medium">
        <color auto="1"/>
      </bottom>
      <diagonal/>
    </border>
    <border>
      <left/>
      <right style="medium">
        <color auto="1"/>
      </right>
      <top/>
      <bottom/>
      <diagonal/>
    </border>
    <border>
      <left style="medium">
        <color auto="1"/>
      </left>
      <right style="medium">
        <color auto="1"/>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medium">
        <color auto="1"/>
      </right>
      <top/>
      <bottom style="thin">
        <color auto="1"/>
      </bottom>
      <diagonal/>
    </border>
    <border>
      <left style="thin">
        <color auto="1"/>
      </left>
      <right style="dashed">
        <color auto="1"/>
      </right>
      <top/>
      <bottom style="thin">
        <color auto="1"/>
      </bottom>
      <diagonal/>
    </border>
    <border>
      <left style="medium">
        <color auto="1"/>
      </left>
      <right/>
      <top/>
      <bottom style="thin">
        <color auto="1"/>
      </bottom>
      <diagonal/>
    </border>
    <border>
      <left style="thin">
        <color auto="1"/>
      </left>
      <right style="dashed">
        <color auto="1"/>
      </right>
      <top/>
      <bottom/>
      <diagonal/>
    </border>
    <border>
      <left style="medium">
        <color auto="1"/>
      </left>
      <right/>
      <top style="thin">
        <color auto="1"/>
      </top>
      <bottom/>
      <diagonal/>
    </border>
    <border>
      <left style="thin">
        <color auto="1"/>
      </left>
      <right style="dashed">
        <color auto="1"/>
      </right>
      <top style="medium">
        <color auto="1"/>
      </top>
      <bottom/>
      <diagonal/>
    </border>
    <border>
      <left style="dashed">
        <color auto="1"/>
      </left>
      <right style="thin">
        <color auto="1"/>
      </right>
      <top/>
      <bottom style="thin">
        <color auto="1"/>
      </bottom>
      <diagonal/>
    </border>
    <border>
      <left style="medium">
        <color auto="1"/>
      </left>
      <right style="dashed">
        <color auto="1"/>
      </right>
      <top style="medium">
        <color auto="1"/>
      </top>
      <bottom style="thin">
        <color auto="1"/>
      </bottom>
      <diagonal/>
    </border>
    <border>
      <left style="medium">
        <color auto="1"/>
      </left>
      <right style="dashed">
        <color auto="1"/>
      </right>
      <top style="thin">
        <color auto="1"/>
      </top>
      <bottom style="medium">
        <color auto="1"/>
      </bottom>
      <diagonal/>
    </border>
    <border>
      <left style="dashed">
        <color auto="1"/>
      </left>
      <right style="thin">
        <color auto="1"/>
      </right>
      <top style="thin">
        <color auto="1"/>
      </top>
      <bottom/>
      <diagonal/>
    </border>
    <border>
      <left style="thin">
        <color auto="1"/>
      </left>
      <right style="dashed">
        <color auto="1"/>
      </right>
      <top/>
      <bottom style="medium">
        <color auto="1"/>
      </bottom>
      <diagonal/>
    </border>
    <border>
      <left style="dashed">
        <color auto="1"/>
      </left>
      <right style="medium">
        <color auto="1"/>
      </right>
      <top style="medium">
        <color auto="1"/>
      </top>
      <bottom style="thin">
        <color auto="1"/>
      </bottom>
      <diagonal/>
    </border>
    <border>
      <left style="dashed">
        <color auto="1"/>
      </left>
      <right style="medium">
        <color auto="1"/>
      </right>
      <top style="thin">
        <color auto="1"/>
      </top>
      <bottom style="medium">
        <color auto="1"/>
      </bottom>
      <diagonal/>
    </border>
    <border>
      <left style="dashed">
        <color auto="1"/>
      </left>
      <right style="thin">
        <color auto="1"/>
      </right>
      <top/>
      <bottom/>
      <diagonal/>
    </border>
    <border>
      <left style="medium">
        <color auto="1"/>
      </left>
      <right style="dashed">
        <color auto="1"/>
      </right>
      <top style="medium">
        <color auto="1"/>
      </top>
      <bottom style="medium">
        <color auto="1"/>
      </bottom>
      <diagonal/>
    </border>
  </borders>
  <cellStyleXfs count="44">
    <xf numFmtId="0" fontId="0" fillId="0" borderId="0"/>
    <xf numFmtId="9" fontId="1" fillId="0" borderId="0" applyFont="0" applyFill="0" applyBorder="0" applyAlignment="0" applyProtection="0"/>
    <xf numFmtId="0" fontId="7" fillId="0" borderId="0"/>
    <xf numFmtId="9" fontId="7"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cellStyleXfs>
  <cellXfs count="1299">
    <xf numFmtId="0" fontId="0" fillId="0" borderId="0" xfId="0"/>
    <xf numFmtId="0" fontId="0" fillId="0" borderId="0" xfId="0" applyAlignment="1">
      <alignment horizontal="center" vertical="center" wrapText="1"/>
    </xf>
    <xf numFmtId="166" fontId="0" fillId="0" borderId="0" xfId="0" applyNumberFormat="1" applyAlignment="1">
      <alignment vertical="center" wrapText="1"/>
    </xf>
    <xf numFmtId="9" fontId="7" fillId="0" borderId="7" xfId="1" applyFont="1" applyBorder="1" applyAlignment="1">
      <alignment horizontal="center" vertical="center" wrapText="1"/>
    </xf>
    <xf numFmtId="0" fontId="0" fillId="0" borderId="0" xfId="0" applyBorder="1"/>
    <xf numFmtId="0" fontId="10" fillId="0" borderId="0" xfId="0" applyFont="1" applyBorder="1" applyAlignment="1"/>
    <xf numFmtId="0" fontId="10" fillId="0" borderId="0" xfId="0" applyFont="1" applyBorder="1" applyAlignment="1">
      <alignment wrapText="1"/>
    </xf>
    <xf numFmtId="0" fontId="9" fillId="0" borderId="0" xfId="0" applyFont="1" applyFill="1" applyBorder="1" applyAlignment="1">
      <alignment horizontal="center" vertical="center" textRotation="90"/>
    </xf>
    <xf numFmtId="0" fontId="0" fillId="0" borderId="0" xfId="0" applyFill="1"/>
    <xf numFmtId="0" fontId="2" fillId="0" borderId="0" xfId="0" applyFont="1" applyFill="1"/>
    <xf numFmtId="1" fontId="0" fillId="0" borderId="7" xfId="0" applyNumberFormat="1" applyFill="1" applyBorder="1" applyAlignment="1">
      <alignment horizontal="center" vertical="center"/>
    </xf>
    <xf numFmtId="1" fontId="0" fillId="0" borderId="7" xfId="1" applyNumberFormat="1" applyFont="1" applyFill="1" applyBorder="1" applyAlignment="1">
      <alignment horizontal="center" vertical="center"/>
    </xf>
    <xf numFmtId="17" fontId="7" fillId="0" borderId="7" xfId="2" applyNumberFormat="1" applyBorder="1" applyAlignment="1">
      <alignment horizontal="center" vertical="center" wrapText="1"/>
    </xf>
    <xf numFmtId="0" fontId="14" fillId="0" borderId="0" xfId="0" applyFont="1" applyBorder="1" applyAlignment="1">
      <alignment horizontal="center" wrapText="1"/>
    </xf>
    <xf numFmtId="0" fontId="14" fillId="0" borderId="0" xfId="0" applyFont="1" applyBorder="1" applyAlignment="1">
      <alignment wrapText="1"/>
    </xf>
    <xf numFmtId="0" fontId="14" fillId="0" borderId="0" xfId="0" applyFont="1" applyAlignment="1">
      <alignment wrapText="1"/>
    </xf>
    <xf numFmtId="0" fontId="14" fillId="0" borderId="7" xfId="0" applyFont="1" applyFill="1" applyBorder="1" applyAlignment="1">
      <alignment vertical="center" wrapText="1"/>
    </xf>
    <xf numFmtId="9" fontId="14" fillId="0" borderId="7" xfId="0" applyNumberFormat="1" applyFont="1" applyFill="1" applyBorder="1" applyAlignment="1">
      <alignment horizontal="center" vertical="center" wrapText="1"/>
    </xf>
    <xf numFmtId="0" fontId="14" fillId="0" borderId="18" xfId="0" applyFont="1" applyFill="1" applyBorder="1" applyAlignment="1">
      <alignment vertical="center" wrapText="1"/>
    </xf>
    <xf numFmtId="0" fontId="14" fillId="0" borderId="0" xfId="0" applyFont="1" applyAlignment="1">
      <alignment horizontal="center" vertical="center" wrapText="1"/>
    </xf>
    <xf numFmtId="166" fontId="14" fillId="0" borderId="7" xfId="0" applyNumberFormat="1" applyFont="1" applyBorder="1" applyAlignment="1">
      <alignment vertical="center" wrapText="1"/>
    </xf>
    <xf numFmtId="1" fontId="14" fillId="0" borderId="7" xfId="0" applyNumberFormat="1" applyFont="1" applyBorder="1" applyAlignment="1">
      <alignment horizontal="center" vertical="center" wrapText="1"/>
    </xf>
    <xf numFmtId="0" fontId="14" fillId="0" borderId="9" xfId="0" applyFont="1" applyBorder="1" applyAlignment="1">
      <alignment horizontal="center" vertical="center" wrapText="1"/>
    </xf>
    <xf numFmtId="166" fontId="14" fillId="0" borderId="11" xfId="0" applyNumberFormat="1" applyFont="1" applyBorder="1" applyAlignment="1">
      <alignment horizontal="center" vertical="center" wrapText="1"/>
    </xf>
    <xf numFmtId="0" fontId="14" fillId="0" borderId="12" xfId="0" applyFont="1" applyBorder="1" applyAlignment="1">
      <alignment horizontal="center" vertical="center" wrapText="1"/>
    </xf>
    <xf numFmtId="1" fontId="14" fillId="0" borderId="13" xfId="1" applyNumberFormat="1" applyFont="1" applyBorder="1" applyAlignment="1">
      <alignment horizontal="center" vertical="center" wrapText="1"/>
    </xf>
    <xf numFmtId="9" fontId="14" fillId="0" borderId="14" xfId="1" applyFont="1" applyBorder="1" applyAlignment="1">
      <alignment horizontal="center" vertical="center" wrapText="1"/>
    </xf>
    <xf numFmtId="0" fontId="14" fillId="2" borderId="0" xfId="0" applyFont="1" applyFill="1" applyAlignment="1">
      <alignment horizontal="center" vertical="center" wrapText="1"/>
    </xf>
    <xf numFmtId="166" fontId="14" fillId="2" borderId="0" xfId="0" applyNumberFormat="1" applyFont="1" applyFill="1" applyAlignment="1">
      <alignment vertical="center" wrapText="1"/>
    </xf>
    <xf numFmtId="0" fontId="14" fillId="3" borderId="0" xfId="0" applyFont="1" applyFill="1" applyAlignment="1">
      <alignment horizontal="center" vertical="center" wrapText="1"/>
    </xf>
    <xf numFmtId="166" fontId="14" fillId="3" borderId="0" xfId="0" applyNumberFormat="1" applyFont="1" applyFill="1" applyAlignment="1">
      <alignment vertical="center" wrapText="1"/>
    </xf>
    <xf numFmtId="0" fontId="14" fillId="4" borderId="0" xfId="0" applyFont="1" applyFill="1" applyAlignment="1">
      <alignment horizontal="center" vertical="center" wrapText="1"/>
    </xf>
    <xf numFmtId="166" fontId="14" fillId="4" borderId="0" xfId="0" applyNumberFormat="1" applyFont="1" applyFill="1" applyAlignment="1">
      <alignment vertical="center" wrapText="1"/>
    </xf>
    <xf numFmtId="9" fontId="7" fillId="0" borderId="22" xfId="1" applyFont="1" applyBorder="1" applyAlignment="1">
      <alignment vertical="center" wrapText="1"/>
    </xf>
    <xf numFmtId="9" fontId="7" fillId="2" borderId="29" xfId="0" applyNumberFormat="1" applyFont="1" applyFill="1" applyBorder="1" applyAlignment="1">
      <alignment wrapText="1"/>
    </xf>
    <xf numFmtId="9" fontId="7" fillId="3" borderId="29" xfId="0" applyNumberFormat="1" applyFont="1" applyFill="1" applyBorder="1" applyAlignment="1">
      <alignment wrapText="1"/>
    </xf>
    <xf numFmtId="9" fontId="7" fillId="0" borderId="24" xfId="1" applyFont="1" applyBorder="1" applyAlignment="1">
      <alignment vertical="center" wrapText="1"/>
    </xf>
    <xf numFmtId="9" fontId="7" fillId="2" borderId="31" xfId="0" applyNumberFormat="1" applyFont="1" applyFill="1" applyBorder="1" applyAlignment="1">
      <alignment wrapText="1"/>
    </xf>
    <xf numFmtId="9" fontId="7" fillId="3" borderId="31" xfId="0" applyNumberFormat="1" applyFont="1" applyFill="1" applyBorder="1" applyAlignment="1">
      <alignment wrapText="1"/>
    </xf>
    <xf numFmtId="9" fontId="7" fillId="0" borderId="27" xfId="1" applyFont="1" applyBorder="1" applyAlignment="1">
      <alignment vertical="center" wrapText="1"/>
    </xf>
    <xf numFmtId="9" fontId="7" fillId="2" borderId="32" xfId="0" applyNumberFormat="1" applyFont="1" applyFill="1" applyBorder="1" applyAlignment="1">
      <alignment wrapText="1"/>
    </xf>
    <xf numFmtId="9" fontId="7" fillId="3" borderId="32" xfId="0" applyNumberFormat="1" applyFont="1" applyFill="1" applyBorder="1" applyAlignment="1">
      <alignment wrapText="1"/>
    </xf>
    <xf numFmtId="0" fontId="8" fillId="6" borderId="29" xfId="0" applyFont="1" applyFill="1" applyBorder="1" applyAlignment="1">
      <alignment wrapText="1"/>
    </xf>
    <xf numFmtId="0" fontId="8" fillId="6" borderId="31" xfId="0" applyFont="1" applyFill="1" applyBorder="1" applyAlignment="1">
      <alignment wrapText="1"/>
    </xf>
    <xf numFmtId="0" fontId="8" fillId="6" borderId="32" xfId="0" applyFont="1" applyFill="1" applyBorder="1" applyAlignment="1">
      <alignment wrapText="1"/>
    </xf>
    <xf numFmtId="0" fontId="8" fillId="6" borderId="29" xfId="0" applyFont="1" applyFill="1" applyBorder="1" applyAlignment="1">
      <alignment horizontal="center" wrapText="1"/>
    </xf>
    <xf numFmtId="0" fontId="14" fillId="0" borderId="39" xfId="0" applyFont="1" applyFill="1" applyBorder="1" applyAlignment="1">
      <alignment horizontal="center" wrapText="1"/>
    </xf>
    <xf numFmtId="0" fontId="14" fillId="0" borderId="35" xfId="0" applyFont="1" applyFill="1" applyBorder="1" applyAlignment="1">
      <alignment horizontal="center" wrapText="1"/>
    </xf>
    <xf numFmtId="0" fontId="14" fillId="0" borderId="42" xfId="0" applyFont="1" applyFill="1" applyBorder="1" applyAlignment="1">
      <alignment horizontal="center" wrapText="1"/>
    </xf>
    <xf numFmtId="0" fontId="7" fillId="0" borderId="41" xfId="4" applyFont="1" applyBorder="1" applyAlignment="1" applyProtection="1">
      <alignment vertical="center" wrapText="1"/>
    </xf>
    <xf numFmtId="0" fontId="7" fillId="0" borderId="37" xfId="4" applyFont="1" applyBorder="1" applyAlignment="1" applyProtection="1">
      <alignment vertical="center" wrapText="1"/>
    </xf>
    <xf numFmtId="0" fontId="7" fillId="0" borderId="43" xfId="4" applyFont="1" applyBorder="1" applyAlignment="1" applyProtection="1">
      <alignment vertical="center" wrapText="1"/>
    </xf>
    <xf numFmtId="0" fontId="12" fillId="0" borderId="41" xfId="4" applyFont="1" applyBorder="1" applyAlignment="1" applyProtection="1">
      <alignment vertical="center" wrapText="1"/>
    </xf>
    <xf numFmtId="0" fontId="12" fillId="0" borderId="37" xfId="4" applyFont="1" applyBorder="1" applyAlignment="1" applyProtection="1">
      <alignment vertical="center" wrapText="1"/>
    </xf>
    <xf numFmtId="0" fontId="12" fillId="0" borderId="43" xfId="4" applyFont="1" applyBorder="1" applyAlignment="1" applyProtection="1">
      <alignment vertical="center" wrapText="1"/>
    </xf>
    <xf numFmtId="0" fontId="14" fillId="0" borderId="39" xfId="0" applyFont="1" applyBorder="1" applyAlignment="1">
      <alignment wrapText="1"/>
    </xf>
    <xf numFmtId="0" fontId="14" fillId="0" borderId="35" xfId="0" applyFont="1" applyBorder="1" applyAlignment="1">
      <alignment wrapText="1"/>
    </xf>
    <xf numFmtId="0" fontId="14" fillId="0" borderId="42" xfId="0" applyFont="1" applyBorder="1" applyAlignment="1">
      <alignment wrapText="1"/>
    </xf>
    <xf numFmtId="0" fontId="14" fillId="0" borderId="40" xfId="0" applyFont="1" applyBorder="1" applyAlignment="1">
      <alignment wrapText="1"/>
    </xf>
    <xf numFmtId="0" fontId="14" fillId="0" borderId="36" xfId="0" applyFont="1" applyBorder="1" applyAlignment="1">
      <alignment wrapText="1"/>
    </xf>
    <xf numFmtId="0" fontId="14" fillId="0" borderId="8" xfId="0" applyFont="1" applyBorder="1" applyAlignment="1">
      <alignment wrapText="1"/>
    </xf>
    <xf numFmtId="0" fontId="0" fillId="0" borderId="7" xfId="0" applyBorder="1"/>
    <xf numFmtId="0" fontId="7" fillId="0" borderId="7" xfId="2" applyNumberFormat="1" applyBorder="1" applyAlignment="1">
      <alignment horizontal="center" vertical="center" wrapText="1"/>
    </xf>
    <xf numFmtId="0" fontId="14" fillId="0" borderId="0" xfId="0" applyFont="1" applyFill="1" applyBorder="1" applyAlignment="1">
      <alignment vertical="center" wrapText="1"/>
    </xf>
    <xf numFmtId="0" fontId="0" fillId="0" borderId="0" xfId="0" applyFill="1" applyBorder="1"/>
    <xf numFmtId="0" fontId="0" fillId="0" borderId="0" xfId="0" applyFill="1" applyBorder="1" applyAlignment="1">
      <alignment horizontal="center" vertical="center" wrapText="1"/>
    </xf>
    <xf numFmtId="9" fontId="14" fillId="0" borderId="7" xfId="1" applyFont="1" applyFill="1" applyBorder="1" applyAlignment="1">
      <alignment horizontal="center" vertical="center" wrapText="1"/>
    </xf>
    <xf numFmtId="0" fontId="0" fillId="0" borderId="0" xfId="0" applyFill="1" applyAlignment="1">
      <alignment horizontal="center"/>
    </xf>
    <xf numFmtId="17" fontId="7" fillId="0" borderId="15" xfId="2" applyNumberFormat="1" applyBorder="1" applyAlignment="1">
      <alignment horizontal="center" vertical="center" wrapText="1"/>
    </xf>
    <xf numFmtId="0" fontId="8" fillId="0" borderId="33" xfId="2" applyNumberFormat="1" applyFont="1" applyBorder="1" applyAlignment="1">
      <alignment horizontal="center" vertical="center" wrapText="1"/>
    </xf>
    <xf numFmtId="0" fontId="14" fillId="0" borderId="45" xfId="0" applyFont="1" applyBorder="1" applyAlignment="1">
      <alignment horizontal="center" vertical="center" wrapText="1"/>
    </xf>
    <xf numFmtId="166" fontId="14" fillId="0" borderId="32" xfId="0" applyNumberFormat="1" applyFont="1" applyBorder="1" applyAlignment="1">
      <alignment horizontal="center" vertical="center" wrapText="1"/>
    </xf>
    <xf numFmtId="0" fontId="3" fillId="0" borderId="0" xfId="0" applyFont="1"/>
    <xf numFmtId="9" fontId="13" fillId="0" borderId="7" xfId="0" applyNumberFormat="1" applyFont="1" applyFill="1" applyBorder="1" applyAlignment="1">
      <alignment horizontal="center" vertical="center" wrapText="1"/>
    </xf>
    <xf numFmtId="0" fontId="8" fillId="6" borderId="17" xfId="2" applyNumberFormat="1" applyFont="1" applyFill="1" applyBorder="1" applyAlignment="1">
      <alignment horizontal="center" vertical="center" wrapText="1"/>
    </xf>
    <xf numFmtId="0" fontId="8" fillId="6" borderId="7" xfId="2" applyNumberFormat="1" applyFont="1" applyFill="1" applyBorder="1" applyAlignment="1">
      <alignment horizontal="center" vertical="center" wrapText="1"/>
    </xf>
    <xf numFmtId="0" fontId="8" fillId="6" borderId="34" xfId="0" applyFont="1" applyFill="1" applyBorder="1" applyAlignment="1">
      <alignment horizontal="center" wrapText="1"/>
    </xf>
    <xf numFmtId="0" fontId="0" fillId="0" borderId="0" xfId="0" applyAlignment="1">
      <alignment horizontal="center"/>
    </xf>
    <xf numFmtId="0" fontId="14" fillId="0" borderId="15" xfId="0" applyFont="1" applyFill="1" applyBorder="1" applyAlignment="1">
      <alignment vertical="center" wrapText="1"/>
    </xf>
    <xf numFmtId="166" fontId="14" fillId="2" borderId="31" xfId="0" applyNumberFormat="1" applyFont="1" applyFill="1" applyBorder="1" applyAlignment="1">
      <alignment horizontal="center" vertical="center" wrapText="1"/>
    </xf>
    <xf numFmtId="9" fontId="14" fillId="0" borderId="46" xfId="0" applyNumberFormat="1" applyFont="1" applyBorder="1" applyAlignment="1">
      <alignment horizontal="center" vertical="center" wrapText="1"/>
    </xf>
    <xf numFmtId="167" fontId="14" fillId="0" borderId="7" xfId="0" applyNumberFormat="1" applyFont="1" applyFill="1" applyBorder="1" applyAlignment="1">
      <alignment vertical="center" wrapText="1"/>
    </xf>
    <xf numFmtId="0" fontId="20" fillId="0" borderId="7" xfId="0" applyFont="1" applyBorder="1" applyAlignment="1">
      <alignment horizontal="left" vertical="center" wrapText="1"/>
    </xf>
    <xf numFmtId="0" fontId="20" fillId="0" borderId="7" xfId="0" applyFont="1" applyFill="1" applyBorder="1" applyAlignment="1">
      <alignment vertical="center" wrapText="1"/>
    </xf>
    <xf numFmtId="0" fontId="21" fillId="0" borderId="33" xfId="0" applyFont="1" applyBorder="1" applyAlignment="1">
      <alignment horizontal="center" vertical="center" wrapText="1"/>
    </xf>
    <xf numFmtId="0" fontId="21" fillId="6" borderId="33" xfId="0" applyFont="1" applyFill="1" applyBorder="1" applyAlignment="1">
      <alignment horizontal="center" vertical="center" wrapText="1"/>
    </xf>
    <xf numFmtId="0" fontId="21" fillId="6" borderId="32" xfId="0" applyFont="1" applyFill="1" applyBorder="1" applyAlignment="1">
      <alignment horizontal="center" vertical="center" wrapText="1"/>
    </xf>
    <xf numFmtId="14" fontId="21" fillId="0" borderId="32" xfId="0" applyNumberFormat="1" applyFont="1" applyBorder="1" applyAlignment="1">
      <alignment horizontal="center" wrapText="1"/>
    </xf>
    <xf numFmtId="0" fontId="20" fillId="0" borderId="26" xfId="0" applyFont="1" applyFill="1" applyBorder="1" applyAlignment="1">
      <alignment vertical="center" wrapText="1"/>
    </xf>
    <xf numFmtId="0" fontId="20" fillId="0" borderId="14" xfId="0" applyFont="1" applyFill="1" applyBorder="1" applyAlignment="1">
      <alignment vertical="center" wrapText="1"/>
    </xf>
    <xf numFmtId="9" fontId="7" fillId="4" borderId="22" xfId="0" applyNumberFormat="1" applyFont="1" applyFill="1" applyBorder="1" applyAlignment="1">
      <alignment wrapText="1"/>
    </xf>
    <xf numFmtId="9" fontId="7" fillId="4" borderId="24" xfId="0" applyNumberFormat="1" applyFont="1" applyFill="1" applyBorder="1" applyAlignment="1">
      <alignment wrapText="1"/>
    </xf>
    <xf numFmtId="9" fontId="7" fillId="4" borderId="27" xfId="0" applyNumberFormat="1" applyFont="1" applyFill="1" applyBorder="1" applyAlignment="1">
      <alignment wrapText="1"/>
    </xf>
    <xf numFmtId="9" fontId="7" fillId="0" borderId="0" xfId="0" applyNumberFormat="1" applyFont="1" applyFill="1" applyBorder="1" applyAlignment="1">
      <alignment horizontal="center" wrapText="1"/>
    </xf>
    <xf numFmtId="9" fontId="7" fillId="0" borderId="29" xfId="0" applyNumberFormat="1" applyFont="1" applyFill="1" applyBorder="1" applyAlignment="1">
      <alignment horizontal="center" wrapText="1"/>
    </xf>
    <xf numFmtId="9" fontId="7" fillId="0" borderId="31" xfId="0" applyNumberFormat="1" applyFont="1" applyFill="1" applyBorder="1" applyAlignment="1">
      <alignment horizontal="center" wrapText="1"/>
    </xf>
    <xf numFmtId="9" fontId="7" fillId="0" borderId="32" xfId="0" applyNumberFormat="1" applyFont="1" applyFill="1" applyBorder="1" applyAlignment="1">
      <alignment horizontal="center" wrapText="1"/>
    </xf>
    <xf numFmtId="0" fontId="7" fillId="0" borderId="0" xfId="0" applyFont="1" applyFill="1" applyBorder="1" applyAlignment="1">
      <alignment horizontal="center" vertical="center" wrapText="1"/>
    </xf>
    <xf numFmtId="0" fontId="8" fillId="0" borderId="0" xfId="0" applyFont="1" applyFill="1" applyBorder="1" applyAlignment="1">
      <alignment wrapText="1"/>
    </xf>
    <xf numFmtId="9" fontId="7" fillId="0" borderId="0" xfId="1" applyFont="1" applyFill="1" applyBorder="1" applyAlignment="1">
      <alignment vertical="center" wrapText="1"/>
    </xf>
    <xf numFmtId="9" fontId="7" fillId="0" borderId="0" xfId="0" applyNumberFormat="1" applyFont="1" applyFill="1" applyBorder="1" applyAlignment="1">
      <alignment wrapText="1"/>
    </xf>
    <xf numFmtId="0" fontId="8" fillId="0" borderId="0" xfId="2" applyNumberFormat="1" applyFont="1" applyBorder="1" applyAlignment="1">
      <alignment horizontal="center" vertical="center" wrapText="1"/>
    </xf>
    <xf numFmtId="9" fontId="7" fillId="0" borderId="16" xfId="1" applyFont="1" applyFill="1" applyBorder="1" applyAlignment="1">
      <alignment horizontal="center" vertical="center" wrapText="1"/>
    </xf>
    <xf numFmtId="0" fontId="8" fillId="0" borderId="0" xfId="2" applyNumberFormat="1" applyFont="1" applyBorder="1" applyAlignment="1">
      <alignment vertical="center" wrapText="1"/>
    </xf>
    <xf numFmtId="0" fontId="14" fillId="7" borderId="7" xfId="0" applyFont="1" applyFill="1" applyBorder="1" applyAlignment="1">
      <alignment vertical="center" wrapText="1"/>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9" fillId="0" borderId="47"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5" xfId="0" applyFont="1" applyBorder="1" applyAlignment="1">
      <alignment vertical="center" wrapText="1"/>
    </xf>
    <xf numFmtId="0" fontId="3" fillId="5" borderId="15" xfId="0" applyFont="1" applyFill="1" applyBorder="1" applyAlignment="1">
      <alignment horizontal="center" vertical="center" wrapText="1"/>
    </xf>
    <xf numFmtId="0" fontId="14" fillId="0" borderId="48" xfId="0" applyFont="1" applyBorder="1" applyAlignment="1">
      <alignment vertical="center" wrapText="1"/>
    </xf>
    <xf numFmtId="0" fontId="0" fillId="0" borderId="48" xfId="0" applyBorder="1"/>
    <xf numFmtId="0" fontId="14" fillId="0" borderId="48" xfId="0" applyFont="1" applyFill="1" applyBorder="1" applyAlignment="1">
      <alignment vertical="center" wrapText="1"/>
    </xf>
    <xf numFmtId="0" fontId="14" fillId="0" borderId="6" xfId="0" applyFont="1" applyFill="1" applyBorder="1" applyAlignment="1">
      <alignment vertical="center" wrapText="1"/>
    </xf>
    <xf numFmtId="0" fontId="14" fillId="7" borderId="48" xfId="0" applyFont="1" applyFill="1" applyBorder="1" applyAlignment="1">
      <alignment vertical="center" wrapText="1"/>
    </xf>
    <xf numFmtId="9" fontId="13" fillId="0" borderId="48" xfId="0" applyNumberFormat="1" applyFont="1" applyFill="1" applyBorder="1" applyAlignment="1">
      <alignment horizontal="center" vertical="center" wrapText="1"/>
    </xf>
    <xf numFmtId="9" fontId="14" fillId="0" borderId="48" xfId="0" applyNumberFormat="1" applyFont="1" applyFill="1" applyBorder="1" applyAlignment="1">
      <alignment horizontal="center" vertical="center" wrapText="1"/>
    </xf>
    <xf numFmtId="9" fontId="14" fillId="0" borderId="48" xfId="1" applyFont="1" applyFill="1" applyBorder="1" applyAlignment="1">
      <alignment horizontal="center" vertical="center" wrapText="1"/>
    </xf>
    <xf numFmtId="167" fontId="14" fillId="0" borderId="48" xfId="0" applyNumberFormat="1" applyFont="1" applyFill="1" applyBorder="1" applyAlignment="1">
      <alignment vertical="center" wrapText="1"/>
    </xf>
    <xf numFmtId="166" fontId="14" fillId="0" borderId="48" xfId="0" applyNumberFormat="1" applyFont="1" applyBorder="1" applyAlignment="1">
      <alignment vertical="center" wrapText="1"/>
    </xf>
    <xf numFmtId="1" fontId="14" fillId="0" borderId="48" xfId="0" applyNumberFormat="1" applyFont="1" applyBorder="1" applyAlignment="1">
      <alignment horizontal="center" vertical="center" wrapText="1"/>
    </xf>
    <xf numFmtId="0" fontId="14" fillId="0" borderId="10" xfId="0" applyFont="1" applyBorder="1" applyAlignment="1">
      <alignment vertical="center" wrapText="1"/>
    </xf>
    <xf numFmtId="0" fontId="0" fillId="0" borderId="10" xfId="0" applyBorder="1"/>
    <xf numFmtId="0" fontId="14" fillId="0" borderId="10" xfId="0" applyFont="1" applyFill="1" applyBorder="1" applyAlignment="1">
      <alignment vertical="center" wrapText="1"/>
    </xf>
    <xf numFmtId="0" fontId="14" fillId="0" borderId="52" xfId="0" applyFont="1" applyFill="1" applyBorder="1" applyAlignment="1">
      <alignment vertical="center" wrapText="1"/>
    </xf>
    <xf numFmtId="0" fontId="14" fillId="7" borderId="10" xfId="0" applyFont="1" applyFill="1" applyBorder="1" applyAlignment="1">
      <alignment vertical="center" wrapText="1"/>
    </xf>
    <xf numFmtId="9" fontId="13" fillId="0" borderId="10" xfId="0" applyNumberFormat="1" applyFont="1" applyFill="1" applyBorder="1" applyAlignment="1">
      <alignment horizontal="center" vertical="center" wrapText="1"/>
    </xf>
    <xf numFmtId="9" fontId="14" fillId="0" borderId="10" xfId="0" applyNumberFormat="1" applyFont="1" applyFill="1" applyBorder="1" applyAlignment="1">
      <alignment horizontal="center" vertical="center" wrapText="1"/>
    </xf>
    <xf numFmtId="9" fontId="14" fillId="0" borderId="10" xfId="1" applyFont="1" applyFill="1" applyBorder="1" applyAlignment="1">
      <alignment horizontal="center" vertical="center" wrapText="1"/>
    </xf>
    <xf numFmtId="167" fontId="14" fillId="0" borderId="10" xfId="0" applyNumberFormat="1" applyFont="1" applyFill="1" applyBorder="1" applyAlignment="1">
      <alignment vertical="center" wrapText="1"/>
    </xf>
    <xf numFmtId="166" fontId="14" fillId="0" borderId="10" xfId="0" applyNumberFormat="1" applyFont="1" applyBorder="1" applyAlignment="1">
      <alignment vertical="center" wrapText="1"/>
    </xf>
    <xf numFmtId="1" fontId="14" fillId="0" borderId="10" xfId="0" applyNumberFormat="1" applyFont="1" applyBorder="1" applyAlignment="1">
      <alignment horizontal="center" vertical="center" wrapText="1"/>
    </xf>
    <xf numFmtId="0" fontId="0" fillId="0" borderId="11" xfId="0" applyBorder="1"/>
    <xf numFmtId="0" fontId="0" fillId="0" borderId="26" xfId="0" applyBorder="1"/>
    <xf numFmtId="0" fontId="14" fillId="0" borderId="13" xfId="0" applyFont="1" applyBorder="1" applyAlignment="1">
      <alignment horizontal="center" vertical="center" wrapText="1"/>
    </xf>
    <xf numFmtId="0" fontId="14" fillId="0" borderId="13" xfId="0" applyFont="1" applyBorder="1" applyAlignment="1">
      <alignment vertical="center" wrapText="1"/>
    </xf>
    <xf numFmtId="0" fontId="14" fillId="0" borderId="13" xfId="0" applyFont="1" applyFill="1" applyBorder="1" applyAlignment="1">
      <alignment vertical="center" wrapText="1"/>
    </xf>
    <xf numFmtId="0" fontId="14" fillId="0" borderId="54" xfId="0" applyFont="1" applyFill="1" applyBorder="1" applyAlignment="1">
      <alignment vertical="center" wrapText="1"/>
    </xf>
    <xf numFmtId="0" fontId="14" fillId="7" borderId="13" xfId="0" applyFont="1" applyFill="1" applyBorder="1" applyAlignment="1">
      <alignment vertical="center" wrapText="1"/>
    </xf>
    <xf numFmtId="9" fontId="13" fillId="0" borderId="13" xfId="0" applyNumberFormat="1" applyFont="1" applyFill="1" applyBorder="1" applyAlignment="1">
      <alignment horizontal="center" vertical="center" wrapText="1"/>
    </xf>
    <xf numFmtId="9" fontId="14" fillId="0" borderId="13" xfId="0" applyNumberFormat="1" applyFont="1" applyFill="1" applyBorder="1" applyAlignment="1">
      <alignment horizontal="center" vertical="center" wrapText="1"/>
    </xf>
    <xf numFmtId="9" fontId="14" fillId="0" borderId="13" xfId="1" applyFont="1" applyFill="1" applyBorder="1" applyAlignment="1">
      <alignment horizontal="center" vertical="center" wrapText="1"/>
    </xf>
    <xf numFmtId="167" fontId="14" fillId="0" borderId="13" xfId="0" applyNumberFormat="1" applyFont="1" applyFill="1" applyBorder="1" applyAlignment="1">
      <alignment vertical="center" wrapText="1"/>
    </xf>
    <xf numFmtId="166" fontId="14" fillId="0" borderId="13" xfId="0" applyNumberFormat="1" applyFont="1" applyBorder="1" applyAlignment="1">
      <alignment vertical="center" wrapText="1"/>
    </xf>
    <xf numFmtId="1" fontId="14" fillId="0" borderId="13" xfId="0" applyNumberFormat="1" applyFont="1" applyBorder="1" applyAlignment="1">
      <alignment horizontal="center" vertical="center" wrapText="1"/>
    </xf>
    <xf numFmtId="0" fontId="0" fillId="0" borderId="13" xfId="0" applyBorder="1"/>
    <xf numFmtId="0" fontId="0" fillId="0" borderId="14" xfId="0" applyBorder="1"/>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0" fillId="0" borderId="15" xfId="0" applyBorder="1"/>
    <xf numFmtId="0" fontId="14" fillId="0" borderId="21" xfId="0" applyFont="1" applyFill="1" applyBorder="1" applyAlignment="1">
      <alignment vertical="center" wrapText="1"/>
    </xf>
    <xf numFmtId="0" fontId="14" fillId="7" borderId="15" xfId="0" applyFont="1" applyFill="1" applyBorder="1" applyAlignment="1">
      <alignment vertical="center" wrapText="1"/>
    </xf>
    <xf numFmtId="9" fontId="13" fillId="0" borderId="15" xfId="0" applyNumberFormat="1" applyFont="1" applyFill="1" applyBorder="1" applyAlignment="1">
      <alignment horizontal="center" vertical="center" wrapText="1"/>
    </xf>
    <xf numFmtId="9" fontId="14" fillId="0" borderId="15" xfId="0" applyNumberFormat="1" applyFont="1" applyFill="1" applyBorder="1" applyAlignment="1">
      <alignment horizontal="center" vertical="center" wrapText="1"/>
    </xf>
    <xf numFmtId="9" fontId="14" fillId="0" borderId="15" xfId="1" applyFont="1" applyFill="1" applyBorder="1" applyAlignment="1">
      <alignment horizontal="center" vertical="center" wrapText="1"/>
    </xf>
    <xf numFmtId="167" fontId="14" fillId="0" borderId="15" xfId="0" applyNumberFormat="1" applyFont="1" applyFill="1" applyBorder="1" applyAlignment="1">
      <alignment vertical="center" wrapText="1"/>
    </xf>
    <xf numFmtId="166" fontId="14" fillId="0" borderId="15" xfId="0" applyNumberFormat="1" applyFont="1" applyBorder="1" applyAlignment="1">
      <alignment vertical="center" wrapText="1"/>
    </xf>
    <xf numFmtId="1" fontId="14" fillId="0" borderId="15" xfId="0" applyNumberFormat="1" applyFont="1" applyBorder="1" applyAlignment="1">
      <alignment horizontal="center" vertical="center" wrapText="1"/>
    </xf>
    <xf numFmtId="0" fontId="14" fillId="0" borderId="23" xfId="0" applyFont="1" applyBorder="1" applyAlignment="1">
      <alignment horizontal="center" vertical="center" wrapText="1"/>
    </xf>
    <xf numFmtId="0" fontId="14" fillId="0" borderId="55" xfId="0" applyFont="1" applyBorder="1" applyAlignment="1">
      <alignment horizontal="center" vertical="center" wrapText="1"/>
    </xf>
    <xf numFmtId="17" fontId="8" fillId="5" borderId="15" xfId="2" applyNumberFormat="1" applyFont="1" applyFill="1" applyBorder="1" applyAlignment="1">
      <alignment horizontal="center" vertical="center" wrapText="1"/>
    </xf>
    <xf numFmtId="166" fontId="3" fillId="5" borderId="15" xfId="0" applyNumberFormat="1" applyFont="1" applyFill="1" applyBorder="1" applyAlignment="1">
      <alignment horizontal="center" vertical="center" wrapText="1"/>
    </xf>
    <xf numFmtId="0" fontId="0" fillId="0" borderId="0" xfId="0" applyFont="1"/>
    <xf numFmtId="166" fontId="0" fillId="0" borderId="0" xfId="0" applyNumberFormat="1" applyFont="1" applyAlignment="1">
      <alignment vertical="center" wrapText="1"/>
    </xf>
    <xf numFmtId="0" fontId="0" fillId="0" borderId="0" xfId="0" applyFont="1" applyAlignment="1">
      <alignment horizontal="center" vertical="center" wrapText="1"/>
    </xf>
    <xf numFmtId="0" fontId="0" fillId="0" borderId="0" xfId="0" applyFont="1" applyFill="1" applyBorder="1"/>
    <xf numFmtId="0" fontId="0" fillId="0" borderId="0" xfId="0" applyFont="1" applyAlignment="1">
      <alignment horizontal="center"/>
    </xf>
    <xf numFmtId="0" fontId="0" fillId="0" borderId="0" xfId="0" applyFont="1" applyFill="1" applyAlignment="1">
      <alignment horizontal="center"/>
    </xf>
    <xf numFmtId="0" fontId="0" fillId="2" borderId="0" xfId="0" applyFont="1" applyFill="1" applyAlignment="1">
      <alignment horizontal="center" vertical="center" wrapText="1"/>
    </xf>
    <xf numFmtId="166" fontId="0" fillId="2" borderId="0" xfId="0" applyNumberFormat="1" applyFont="1" applyFill="1" applyAlignment="1">
      <alignment vertical="center" wrapText="1"/>
    </xf>
    <xf numFmtId="0" fontId="0" fillId="3" borderId="0" xfId="0" applyFont="1" applyFill="1" applyAlignment="1">
      <alignment horizontal="center" vertical="center" wrapText="1"/>
    </xf>
    <xf numFmtId="166" fontId="0" fillId="3" borderId="0" xfId="0" applyNumberFormat="1" applyFont="1" applyFill="1" applyAlignment="1">
      <alignment vertical="center" wrapText="1"/>
    </xf>
    <xf numFmtId="0" fontId="0" fillId="4" borderId="0" xfId="0" applyFont="1" applyFill="1" applyAlignment="1">
      <alignment horizontal="center" vertical="center" wrapText="1"/>
    </xf>
    <xf numFmtId="166" fontId="0" fillId="4" borderId="0" xfId="0" applyNumberFormat="1" applyFont="1" applyFill="1" applyAlignment="1">
      <alignment vertical="center" wrapText="1"/>
    </xf>
    <xf numFmtId="0" fontId="0" fillId="0" borderId="0" xfId="0" applyFont="1" applyAlignment="1">
      <alignment wrapText="1"/>
    </xf>
    <xf numFmtId="0" fontId="3" fillId="5" borderId="59" xfId="0" applyFont="1" applyFill="1" applyBorder="1" applyAlignment="1">
      <alignment horizontal="center" vertical="center" wrapText="1"/>
    </xf>
    <xf numFmtId="165" fontId="0" fillId="0" borderId="0" xfId="41" applyFont="1"/>
    <xf numFmtId="165" fontId="0" fillId="0" borderId="0" xfId="41" applyFont="1" applyAlignment="1">
      <alignment vertical="center" wrapText="1"/>
    </xf>
    <xf numFmtId="165" fontId="0" fillId="0" borderId="0" xfId="0" applyNumberFormat="1" applyFont="1"/>
    <xf numFmtId="165" fontId="0" fillId="0" borderId="0" xfId="1" applyNumberFormat="1" applyFont="1"/>
    <xf numFmtId="9" fontId="0" fillId="0" borderId="0" xfId="1" applyFont="1"/>
    <xf numFmtId="0" fontId="24" fillId="0" borderId="33" xfId="0" applyFont="1" applyBorder="1" applyAlignment="1">
      <alignment vertical="center" wrapText="1"/>
    </xf>
    <xf numFmtId="10" fontId="0" fillId="8" borderId="7" xfId="0" applyNumberFormat="1" applyFont="1" applyFill="1" applyBorder="1" applyAlignment="1">
      <alignment horizontal="center" vertical="center"/>
    </xf>
    <xf numFmtId="10" fontId="0" fillId="8" borderId="26" xfId="0" applyNumberFormat="1" applyFont="1" applyFill="1" applyBorder="1" applyAlignment="1">
      <alignment horizontal="center" vertical="center"/>
    </xf>
    <xf numFmtId="0" fontId="14" fillId="0" borderId="10" xfId="0" applyFont="1" applyBorder="1" applyAlignment="1">
      <alignment horizontal="center" vertical="center" wrapText="1"/>
    </xf>
    <xf numFmtId="0" fontId="22" fillId="0" borderId="52" xfId="0" applyFont="1" applyBorder="1"/>
    <xf numFmtId="0" fontId="0" fillId="0" borderId="0" xfId="0" applyFont="1" applyAlignment="1">
      <alignment horizontal="left"/>
    </xf>
    <xf numFmtId="0" fontId="0" fillId="0" borderId="0" xfId="0" applyFont="1" applyFill="1" applyBorder="1" applyAlignment="1">
      <alignment horizontal="left"/>
    </xf>
    <xf numFmtId="0" fontId="14" fillId="0" borderId="0" xfId="0" applyFont="1" applyFill="1" applyBorder="1" applyAlignment="1">
      <alignment horizontal="left" vertical="center" wrapText="1"/>
    </xf>
    <xf numFmtId="0" fontId="0" fillId="0" borderId="14" xfId="0" applyFont="1" applyBorder="1" applyAlignment="1">
      <alignment horizontal="left"/>
    </xf>
    <xf numFmtId="0" fontId="0" fillId="0" borderId="52" xfId="0" applyBorder="1"/>
    <xf numFmtId="0" fontId="0" fillId="0" borderId="71" xfId="0" applyBorder="1"/>
    <xf numFmtId="0" fontId="0" fillId="0" borderId="54" xfId="0" applyBorder="1"/>
    <xf numFmtId="0" fontId="0" fillId="0" borderId="0" xfId="0" applyAlignment="1">
      <alignment wrapText="1"/>
    </xf>
    <xf numFmtId="0" fontId="0" fillId="0" borderId="61" xfId="0" applyBorder="1"/>
    <xf numFmtId="166" fontId="14" fillId="0" borderId="0" xfId="0" applyNumberFormat="1" applyFont="1" applyBorder="1" applyAlignment="1">
      <alignment horizontal="center" vertical="center" wrapText="1"/>
    </xf>
    <xf numFmtId="12" fontId="0" fillId="0" borderId="0" xfId="0" applyNumberFormat="1"/>
    <xf numFmtId="9" fontId="0" fillId="0" borderId="0" xfId="0" applyNumberFormat="1"/>
    <xf numFmtId="0" fontId="3" fillId="5" borderId="61" xfId="0" applyFont="1" applyFill="1" applyBorder="1" applyAlignment="1">
      <alignment horizontal="center" vertical="center" wrapText="1"/>
    </xf>
    <xf numFmtId="10" fontId="0" fillId="0" borderId="7" xfId="0" applyNumberFormat="1" applyBorder="1" applyAlignment="1">
      <alignment horizontal="left" wrapText="1"/>
    </xf>
    <xf numFmtId="13" fontId="0" fillId="0" borderId="7" xfId="0" applyNumberFormat="1" applyBorder="1" applyAlignment="1">
      <alignment horizontal="left" wrapText="1"/>
    </xf>
    <xf numFmtId="9" fontId="0" fillId="0" borderId="7" xfId="0" applyNumberFormat="1" applyBorder="1" applyAlignment="1">
      <alignment horizontal="left" wrapText="1"/>
    </xf>
    <xf numFmtId="0" fontId="0" fillId="0" borderId="7" xfId="0" applyBorder="1" applyAlignment="1">
      <alignment horizontal="left" wrapText="1"/>
    </xf>
    <xf numFmtId="0" fontId="0" fillId="0" borderId="7" xfId="0" applyBorder="1" applyAlignment="1">
      <alignment horizontal="left" vertical="center"/>
    </xf>
    <xf numFmtId="0" fontId="3" fillId="5" borderId="72" xfId="0" applyFont="1" applyFill="1" applyBorder="1" applyAlignment="1">
      <alignment horizontal="center" vertical="center" wrapText="1"/>
    </xf>
    <xf numFmtId="13" fontId="0" fillId="0" borderId="10" xfId="0" applyNumberFormat="1" applyBorder="1" applyAlignment="1">
      <alignment horizontal="left" vertical="center" wrapText="1"/>
    </xf>
    <xf numFmtId="0" fontId="0" fillId="0" borderId="10" xfId="0" applyBorder="1" applyAlignment="1">
      <alignment horizontal="left" vertical="center"/>
    </xf>
    <xf numFmtId="13" fontId="0" fillId="0" borderId="10" xfId="0" applyNumberFormat="1" applyBorder="1" applyAlignment="1">
      <alignment horizontal="left" wrapText="1"/>
    </xf>
    <xf numFmtId="0" fontId="0" fillId="0" borderId="13" xfId="0" applyBorder="1" applyAlignment="1">
      <alignment horizontal="left" vertical="center"/>
    </xf>
    <xf numFmtId="0" fontId="0" fillId="0" borderId="7" xfId="0" applyBorder="1" applyAlignment="1">
      <alignment horizontal="left"/>
    </xf>
    <xf numFmtId="0" fontId="0" fillId="0" borderId="13" xfId="0" applyBorder="1" applyAlignment="1">
      <alignment horizontal="left"/>
    </xf>
    <xf numFmtId="0" fontId="0" fillId="0" borderId="13" xfId="0" applyBorder="1" applyAlignment="1">
      <alignment horizontal="left" wrapText="1"/>
    </xf>
    <xf numFmtId="0" fontId="0" fillId="0" borderId="10" xfId="0" applyBorder="1" applyAlignment="1">
      <alignment horizontal="left"/>
    </xf>
    <xf numFmtId="0" fontId="0" fillId="0" borderId="10" xfId="0" applyBorder="1" applyAlignment="1">
      <alignment horizontal="left" wrapText="1"/>
    </xf>
    <xf numFmtId="0" fontId="0" fillId="0" borderId="61" xfId="0" applyBorder="1" applyAlignment="1">
      <alignment horizontal="left" vertical="center"/>
    </xf>
    <xf numFmtId="13" fontId="0" fillId="0" borderId="61" xfId="0" applyNumberFormat="1" applyBorder="1" applyAlignment="1">
      <alignment horizontal="left" vertical="center" wrapText="1"/>
    </xf>
    <xf numFmtId="0" fontId="25" fillId="0" borderId="59" xfId="0" applyFont="1" applyBorder="1" applyAlignment="1">
      <alignment horizontal="left" vertical="center" wrapText="1"/>
    </xf>
    <xf numFmtId="9" fontId="0" fillId="0" borderId="26" xfId="0" applyNumberFormat="1" applyBorder="1" applyAlignment="1">
      <alignment horizontal="left"/>
    </xf>
    <xf numFmtId="9" fontId="0" fillId="0" borderId="14" xfId="0" applyNumberFormat="1" applyBorder="1" applyAlignment="1">
      <alignment horizontal="left"/>
    </xf>
    <xf numFmtId="9" fontId="0" fillId="0" borderId="11" xfId="0" applyNumberFormat="1" applyBorder="1" applyAlignment="1">
      <alignment horizontal="left"/>
    </xf>
    <xf numFmtId="9" fontId="0" fillId="0" borderId="72" xfId="0" applyNumberFormat="1" applyBorder="1" applyAlignment="1">
      <alignment horizontal="left" vertical="center"/>
    </xf>
    <xf numFmtId="0" fontId="0" fillId="0" borderId="26" xfId="0" applyBorder="1" applyAlignment="1">
      <alignment horizontal="left"/>
    </xf>
    <xf numFmtId="9" fontId="0" fillId="0" borderId="26" xfId="0" applyNumberFormat="1" applyBorder="1" applyAlignment="1">
      <alignment horizontal="left" vertical="center"/>
    </xf>
    <xf numFmtId="10" fontId="0" fillId="0" borderId="11" xfId="0" applyNumberFormat="1" applyBorder="1" applyAlignment="1">
      <alignment horizontal="left" vertical="center"/>
    </xf>
    <xf numFmtId="10" fontId="0" fillId="0" borderId="13" xfId="0" applyNumberFormat="1" applyBorder="1" applyAlignment="1">
      <alignment horizontal="left" wrapText="1"/>
    </xf>
    <xf numFmtId="9" fontId="0" fillId="0" borderId="10" xfId="1" applyFont="1" applyBorder="1" applyAlignment="1">
      <alignment horizontal="left" wrapText="1"/>
    </xf>
    <xf numFmtId="9" fontId="0" fillId="0" borderId="7" xfId="1" applyFont="1" applyBorder="1" applyAlignment="1">
      <alignment horizontal="left" vertical="center" wrapText="1"/>
    </xf>
    <xf numFmtId="9" fontId="0" fillId="0" borderId="13" xfId="1" applyFont="1" applyBorder="1" applyAlignment="1">
      <alignment horizontal="left" wrapText="1"/>
    </xf>
    <xf numFmtId="9" fontId="0" fillId="0" borderId="7" xfId="1" applyFont="1" applyBorder="1" applyAlignment="1">
      <alignment horizontal="left" wrapText="1"/>
    </xf>
    <xf numFmtId="9" fontId="0" fillId="0" borderId="10" xfId="0" applyNumberFormat="1" applyBorder="1" applyAlignment="1">
      <alignment horizontal="left" vertical="center" wrapText="1"/>
    </xf>
    <xf numFmtId="0" fontId="22" fillId="0" borderId="11" xfId="0" applyFont="1" applyBorder="1"/>
    <xf numFmtId="0" fontId="22" fillId="0" borderId="0" xfId="0" applyFont="1"/>
    <xf numFmtId="0" fontId="22" fillId="0" borderId="0" xfId="0" applyFont="1" applyFill="1" applyBorder="1"/>
    <xf numFmtId="0" fontId="7" fillId="0" borderId="0" xfId="0" applyFont="1" applyFill="1" applyBorder="1" applyAlignment="1">
      <alignment vertical="center" wrapText="1"/>
    </xf>
    <xf numFmtId="0" fontId="22" fillId="0" borderId="14" xfId="0" applyFont="1" applyBorder="1"/>
    <xf numFmtId="0" fontId="23" fillId="0" borderId="0" xfId="0" applyFont="1"/>
    <xf numFmtId="0" fontId="0" fillId="0" borderId="19" xfId="0" applyBorder="1"/>
    <xf numFmtId="166" fontId="3" fillId="5" borderId="21" xfId="0" applyNumberFormat="1" applyFont="1" applyFill="1" applyBorder="1" applyAlignment="1">
      <alignment horizontal="center" vertical="center" wrapText="1"/>
    </xf>
    <xf numFmtId="0" fontId="0" fillId="0" borderId="18" xfId="0" applyBorder="1"/>
    <xf numFmtId="0" fontId="0" fillId="0" borderId="54" xfId="0" applyFont="1" applyBorder="1" applyAlignment="1">
      <alignment horizontal="left"/>
    </xf>
    <xf numFmtId="0" fontId="0" fillId="0" borderId="21" xfId="0" applyBorder="1"/>
    <xf numFmtId="0" fontId="22" fillId="0" borderId="54" xfId="0" applyFont="1" applyBorder="1"/>
    <xf numFmtId="0" fontId="0" fillId="0" borderId="60" xfId="0" applyBorder="1"/>
    <xf numFmtId="170" fontId="0" fillId="0" borderId="7" xfId="42" applyNumberFormat="1" applyFont="1" applyBorder="1" applyAlignment="1">
      <alignment horizontal="left" wrapText="1"/>
    </xf>
    <xf numFmtId="0" fontId="0" fillId="0" borderId="18" xfId="0" applyBorder="1" applyAlignment="1">
      <alignment horizontal="center" vertical="center"/>
    </xf>
    <xf numFmtId="0" fontId="0" fillId="0" borderId="47" xfId="0" applyBorder="1"/>
    <xf numFmtId="0" fontId="0" fillId="0" borderId="25" xfId="0" applyBorder="1"/>
    <xf numFmtId="0" fontId="27" fillId="0" borderId="0" xfId="0" applyFont="1"/>
    <xf numFmtId="0" fontId="27" fillId="0" borderId="0" xfId="0" applyFont="1" applyFill="1" applyBorder="1"/>
    <xf numFmtId="0" fontId="27" fillId="0" borderId="0" xfId="0" applyFont="1" applyFill="1" applyBorder="1" applyAlignment="1">
      <alignment vertical="center" wrapText="1"/>
    </xf>
    <xf numFmtId="0" fontId="27" fillId="8" borderId="0" xfId="0" applyFont="1" applyFill="1"/>
    <xf numFmtId="0" fontId="27" fillId="8" borderId="0" xfId="0" applyFont="1" applyFill="1" applyAlignment="1">
      <alignment vertical="center" wrapText="1"/>
    </xf>
    <xf numFmtId="0" fontId="27" fillId="8" borderId="0" xfId="0" applyFont="1" applyFill="1" applyBorder="1"/>
    <xf numFmtId="0" fontId="27" fillId="8" borderId="0" xfId="0" applyFont="1" applyFill="1" applyBorder="1" applyAlignment="1">
      <alignment vertical="center" wrapText="1"/>
    </xf>
    <xf numFmtId="0" fontId="27" fillId="0" borderId="19" xfId="0" applyFont="1" applyBorder="1" applyAlignment="1">
      <alignment horizontal="left" vertical="center" wrapText="1"/>
    </xf>
    <xf numFmtId="4" fontId="27" fillId="0" borderId="0" xfId="0" applyNumberFormat="1" applyFont="1"/>
    <xf numFmtId="168" fontId="27" fillId="0" borderId="0" xfId="39" applyNumberFormat="1" applyFont="1"/>
    <xf numFmtId="168" fontId="27" fillId="0" borderId="0" xfId="0" applyNumberFormat="1" applyFont="1"/>
    <xf numFmtId="3" fontId="27" fillId="0" borderId="0" xfId="0" applyNumberFormat="1" applyFont="1"/>
    <xf numFmtId="3" fontId="27" fillId="0" borderId="0" xfId="0" applyNumberFormat="1" applyFont="1" applyFill="1" applyBorder="1"/>
    <xf numFmtId="1" fontId="0" fillId="0" borderId="0" xfId="0" applyNumberFormat="1"/>
    <xf numFmtId="0" fontId="28" fillId="5" borderId="59" xfId="0" applyFont="1" applyFill="1" applyBorder="1" applyAlignment="1">
      <alignment horizontal="center" vertical="center" wrapText="1"/>
    </xf>
    <xf numFmtId="0" fontId="28" fillId="5" borderId="61" xfId="0" applyFont="1" applyFill="1" applyBorder="1" applyAlignment="1">
      <alignment horizontal="center" vertical="center" wrapText="1"/>
    </xf>
    <xf numFmtId="17" fontId="29" fillId="5" borderId="61" xfId="2" applyNumberFormat="1" applyFont="1" applyFill="1" applyBorder="1" applyAlignment="1">
      <alignment horizontal="center" vertical="center" wrapText="1"/>
    </xf>
    <xf numFmtId="166" fontId="28" fillId="5" borderId="61" xfId="0" applyNumberFormat="1" applyFont="1" applyFill="1" applyBorder="1" applyAlignment="1">
      <alignment horizontal="center" vertical="center" wrapText="1"/>
    </xf>
    <xf numFmtId="166" fontId="28" fillId="5" borderId="72" xfId="0" applyNumberFormat="1" applyFont="1" applyFill="1" applyBorder="1" applyAlignment="1">
      <alignment horizontal="center" vertical="center" wrapText="1"/>
    </xf>
    <xf numFmtId="166" fontId="28" fillId="5" borderId="33" xfId="0" applyNumberFormat="1" applyFont="1" applyFill="1" applyBorder="1" applyAlignment="1">
      <alignment horizontal="center" vertical="center" wrapText="1"/>
    </xf>
    <xf numFmtId="0" fontId="31" fillId="0" borderId="34" xfId="0" applyFont="1" applyBorder="1" applyAlignment="1">
      <alignment horizontal="center" vertical="center" wrapText="1"/>
    </xf>
    <xf numFmtId="0" fontId="32" fillId="0" borderId="10" xfId="0" applyFont="1" applyBorder="1" applyAlignment="1">
      <alignment vertical="center" wrapText="1"/>
    </xf>
    <xf numFmtId="0" fontId="33" fillId="0" borderId="10" xfId="0" applyFont="1" applyBorder="1" applyAlignment="1">
      <alignment vertical="center" wrapText="1"/>
    </xf>
    <xf numFmtId="0" fontId="34" fillId="0" borderId="52" xfId="0" applyFont="1" applyBorder="1"/>
    <xf numFmtId="0" fontId="34" fillId="0" borderId="56" xfId="0" applyFont="1" applyBorder="1"/>
    <xf numFmtId="13" fontId="32" fillId="0" borderId="52" xfId="0" applyNumberFormat="1" applyFont="1" applyBorder="1" applyAlignment="1">
      <alignment horizontal="center" vertical="center" wrapText="1"/>
    </xf>
    <xf numFmtId="0" fontId="32" fillId="0" borderId="52" xfId="0" applyFont="1" applyFill="1" applyBorder="1" applyAlignment="1">
      <alignment horizontal="center" vertical="center" wrapText="1"/>
    </xf>
    <xf numFmtId="0" fontId="32" fillId="7" borderId="10" xfId="0" applyFont="1" applyFill="1" applyBorder="1" applyAlignment="1">
      <alignment horizontal="center" vertical="center" wrapText="1"/>
    </xf>
    <xf numFmtId="9" fontId="29" fillId="0" borderId="10" xfId="0" applyNumberFormat="1" applyFont="1" applyFill="1" applyBorder="1" applyAlignment="1">
      <alignment horizontal="center" vertical="center" wrapText="1"/>
    </xf>
    <xf numFmtId="9" fontId="32" fillId="0" borderId="10" xfId="0" applyNumberFormat="1" applyFont="1" applyFill="1" applyBorder="1" applyAlignment="1">
      <alignment horizontal="center" vertical="center" wrapText="1"/>
    </xf>
    <xf numFmtId="9" fontId="32" fillId="0" borderId="10" xfId="1" applyFont="1" applyFill="1" applyBorder="1" applyAlignment="1">
      <alignment horizontal="center" vertical="center" wrapText="1"/>
    </xf>
    <xf numFmtId="0" fontId="32" fillId="0" borderId="10" xfId="0" applyFont="1" applyFill="1" applyBorder="1" applyAlignment="1">
      <alignment vertical="center" wrapText="1"/>
    </xf>
    <xf numFmtId="0" fontId="32" fillId="0" borderId="10" xfId="0" applyFont="1" applyBorder="1" applyAlignment="1">
      <alignment horizontal="center" vertical="center" wrapText="1"/>
    </xf>
    <xf numFmtId="167" fontId="32" fillId="0" borderId="10" xfId="0" applyNumberFormat="1" applyFont="1" applyFill="1" applyBorder="1" applyAlignment="1">
      <alignment horizontal="center" vertical="center" wrapText="1"/>
    </xf>
    <xf numFmtId="166" fontId="32" fillId="0" borderId="10" xfId="0" applyNumberFormat="1" applyFont="1" applyBorder="1" applyAlignment="1">
      <alignment vertical="center" wrapText="1"/>
    </xf>
    <xf numFmtId="1" fontId="32" fillId="0" borderId="10" xfId="0" applyNumberFormat="1" applyFont="1" applyBorder="1" applyAlignment="1">
      <alignment horizontal="center" vertical="center" wrapText="1"/>
    </xf>
    <xf numFmtId="1" fontId="32" fillId="0" borderId="56" xfId="0" applyNumberFormat="1" applyFont="1" applyBorder="1" applyAlignment="1">
      <alignment horizontal="center" vertical="center" wrapText="1"/>
    </xf>
    <xf numFmtId="1" fontId="31" fillId="0" borderId="11" xfId="0" applyNumberFormat="1" applyFont="1" applyBorder="1" applyAlignment="1">
      <alignment horizontal="center" vertical="center" wrapText="1"/>
    </xf>
    <xf numFmtId="0" fontId="31" fillId="0" borderId="0" xfId="0" applyFont="1" applyBorder="1" applyAlignment="1">
      <alignment horizontal="center" vertical="center" wrapText="1"/>
    </xf>
    <xf numFmtId="0" fontId="32" fillId="0" borderId="7" xfId="0" applyFont="1" applyBorder="1" applyAlignment="1">
      <alignment vertical="center" wrapText="1"/>
    </xf>
    <xf numFmtId="0" fontId="33" fillId="0" borderId="7" xfId="0" applyFont="1" applyBorder="1" applyAlignment="1">
      <alignment vertical="center" wrapText="1"/>
    </xf>
    <xf numFmtId="0" fontId="34" fillId="0" borderId="18" xfId="0" applyFont="1" applyBorder="1"/>
    <xf numFmtId="0" fontId="34" fillId="0" borderId="16" xfId="0" applyFont="1" applyBorder="1"/>
    <xf numFmtId="0" fontId="32" fillId="0" borderId="18" xfId="0" applyFont="1" applyBorder="1" applyAlignment="1">
      <alignment horizontal="center" vertical="center" wrapText="1"/>
    </xf>
    <xf numFmtId="0" fontId="32" fillId="0" borderId="18" xfId="0" applyFont="1" applyFill="1" applyBorder="1" applyAlignment="1">
      <alignment horizontal="center" vertical="center" wrapText="1"/>
    </xf>
    <xf numFmtId="0" fontId="32" fillId="7" borderId="7" xfId="0" applyFont="1" applyFill="1" applyBorder="1" applyAlignment="1">
      <alignment horizontal="center" vertical="center" wrapText="1"/>
    </xf>
    <xf numFmtId="10" fontId="29" fillId="0" borderId="7" xfId="0" applyNumberFormat="1" applyFont="1" applyFill="1" applyBorder="1" applyAlignment="1">
      <alignment horizontal="center" vertical="center" wrapText="1"/>
    </xf>
    <xf numFmtId="9" fontId="32" fillId="0" borderId="7" xfId="0" applyNumberFormat="1" applyFont="1" applyFill="1" applyBorder="1" applyAlignment="1">
      <alignment horizontal="center" vertical="center" wrapText="1"/>
    </xf>
    <xf numFmtId="9" fontId="32" fillId="0" borderId="7" xfId="1" applyFont="1" applyFill="1" applyBorder="1" applyAlignment="1">
      <alignment horizontal="center" vertical="center" wrapText="1"/>
    </xf>
    <xf numFmtId="0" fontId="32" fillId="0" borderId="7" xfId="0" applyFont="1" applyFill="1" applyBorder="1" applyAlignment="1">
      <alignment vertical="center" wrapText="1"/>
    </xf>
    <xf numFmtId="0" fontId="32" fillId="0" borderId="7" xfId="0" applyFont="1" applyBorder="1" applyAlignment="1">
      <alignment horizontal="center" vertical="center" wrapText="1"/>
    </xf>
    <xf numFmtId="167" fontId="32" fillId="0" borderId="7" xfId="0" applyNumberFormat="1" applyFont="1" applyFill="1" applyBorder="1" applyAlignment="1">
      <alignment horizontal="center" vertical="center" wrapText="1"/>
    </xf>
    <xf numFmtId="166" fontId="32" fillId="0" borderId="7" xfId="0" applyNumberFormat="1" applyFont="1" applyBorder="1" applyAlignment="1">
      <alignment vertical="center" wrapText="1"/>
    </xf>
    <xf numFmtId="1" fontId="32" fillId="0" borderId="7" xfId="0" applyNumberFormat="1" applyFont="1" applyBorder="1" applyAlignment="1">
      <alignment horizontal="center" vertical="center" wrapText="1"/>
    </xf>
    <xf numFmtId="1" fontId="32" fillId="0" borderId="16" xfId="0" applyNumberFormat="1" applyFont="1" applyBorder="1" applyAlignment="1">
      <alignment horizontal="center" vertical="center" wrapText="1"/>
    </xf>
    <xf numFmtId="1" fontId="31" fillId="0" borderId="26" xfId="0" applyNumberFormat="1" applyFont="1" applyBorder="1" applyAlignment="1">
      <alignment horizontal="center" vertical="center" wrapText="1"/>
    </xf>
    <xf numFmtId="10" fontId="35" fillId="0" borderId="0" xfId="0" applyNumberFormat="1" applyFont="1" applyBorder="1" applyAlignment="1">
      <alignment horizontal="center" vertical="center" wrapText="1"/>
    </xf>
    <xf numFmtId="0" fontId="32" fillId="0" borderId="7" xfId="0" applyFont="1" applyFill="1" applyBorder="1" applyAlignment="1">
      <alignment horizontal="center" vertical="center" wrapText="1"/>
    </xf>
    <xf numFmtId="9" fontId="29" fillId="0" borderId="7" xfId="0" applyNumberFormat="1" applyFont="1" applyFill="1" applyBorder="1" applyAlignment="1">
      <alignment horizontal="center" vertical="center" wrapText="1"/>
    </xf>
    <xf numFmtId="0" fontId="32" fillId="0" borderId="16" xfId="0" applyFont="1" applyBorder="1" applyAlignment="1">
      <alignment horizontal="center" vertical="center" wrapText="1"/>
    </xf>
    <xf numFmtId="9" fontId="32" fillId="0" borderId="7" xfId="1" applyFont="1" applyBorder="1" applyAlignment="1">
      <alignment horizontal="center" vertical="center" wrapText="1"/>
    </xf>
    <xf numFmtId="9" fontId="31" fillId="0" borderId="26" xfId="1" applyFont="1" applyBorder="1" applyAlignment="1">
      <alignment horizontal="center" vertical="center" wrapText="1"/>
    </xf>
    <xf numFmtId="0" fontId="31" fillId="0" borderId="55" xfId="0" applyFont="1" applyBorder="1" applyAlignment="1">
      <alignment horizontal="left" vertical="center" wrapText="1"/>
    </xf>
    <xf numFmtId="0" fontId="31" fillId="0" borderId="13" xfId="0" applyFont="1" applyBorder="1" applyAlignment="1">
      <alignment horizontal="left" vertical="center" wrapText="1"/>
    </xf>
    <xf numFmtId="0" fontId="33" fillId="0" borderId="13" xfId="0" applyFont="1" applyBorder="1" applyAlignment="1">
      <alignment vertical="center" wrapText="1"/>
    </xf>
    <xf numFmtId="0" fontId="31" fillId="0" borderId="13" xfId="0" applyFont="1" applyFill="1" applyBorder="1" applyAlignment="1">
      <alignment horizontal="left" vertical="center" wrapText="1"/>
    </xf>
    <xf numFmtId="9" fontId="31" fillId="0" borderId="13" xfId="0" applyNumberFormat="1"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2" fillId="7" borderId="13" xfId="0" applyFont="1" applyFill="1" applyBorder="1" applyAlignment="1">
      <alignment horizontal="center" vertical="center" wrapText="1"/>
    </xf>
    <xf numFmtId="9" fontId="29" fillId="0" borderId="13" xfId="0" applyNumberFormat="1" applyFont="1" applyFill="1" applyBorder="1" applyAlignment="1">
      <alignment horizontal="center" vertical="center" wrapText="1"/>
    </xf>
    <xf numFmtId="9" fontId="32" fillId="0" borderId="13" xfId="0" applyNumberFormat="1" applyFont="1" applyFill="1" applyBorder="1" applyAlignment="1">
      <alignment horizontal="left" vertical="center" wrapText="1"/>
    </xf>
    <xf numFmtId="9" fontId="32" fillId="0" borderId="13" xfId="1" applyFont="1" applyFill="1" applyBorder="1" applyAlignment="1">
      <alignment horizontal="left" vertical="center" wrapText="1"/>
    </xf>
    <xf numFmtId="0" fontId="32" fillId="0" borderId="13" xfId="0" applyFont="1" applyFill="1" applyBorder="1" applyAlignment="1">
      <alignment horizontal="left" vertical="center" wrapText="1"/>
    </xf>
    <xf numFmtId="0" fontId="32" fillId="0" borderId="13" xfId="0" applyFont="1" applyBorder="1" applyAlignment="1">
      <alignment horizontal="center" vertical="center" wrapText="1"/>
    </xf>
    <xf numFmtId="167" fontId="32" fillId="0" borderId="13" xfId="0" applyNumberFormat="1" applyFont="1" applyFill="1" applyBorder="1" applyAlignment="1">
      <alignment horizontal="center" vertical="center" wrapText="1"/>
    </xf>
    <xf numFmtId="166" fontId="32" fillId="0" borderId="13" xfId="0" applyNumberFormat="1" applyFont="1" applyBorder="1" applyAlignment="1">
      <alignment horizontal="left" vertical="center" wrapText="1"/>
    </xf>
    <xf numFmtId="1" fontId="32" fillId="0" borderId="13" xfId="0" applyNumberFormat="1" applyFont="1" applyBorder="1" applyAlignment="1">
      <alignment horizontal="left" vertical="center" wrapText="1"/>
    </xf>
    <xf numFmtId="1" fontId="32" fillId="0" borderId="64" xfId="0" applyNumberFormat="1" applyFont="1" applyBorder="1" applyAlignment="1">
      <alignment horizontal="left" vertical="center" wrapText="1"/>
    </xf>
    <xf numFmtId="1" fontId="31" fillId="0" borderId="14" xfId="0" applyNumberFormat="1" applyFont="1" applyBorder="1" applyAlignment="1">
      <alignment horizontal="left" vertical="center" wrapText="1"/>
    </xf>
    <xf numFmtId="0" fontId="36" fillId="0" borderId="7" xfId="0" applyFont="1" applyBorder="1"/>
    <xf numFmtId="0" fontId="31" fillId="0" borderId="13" xfId="0" applyFont="1" applyFill="1" applyBorder="1" applyAlignment="1">
      <alignment horizontal="center" vertical="center" wrapText="1"/>
    </xf>
    <xf numFmtId="167" fontId="32" fillId="0" borderId="7" xfId="0" applyNumberFormat="1" applyFont="1" applyFill="1" applyBorder="1" applyAlignment="1">
      <alignment vertical="center" wrapText="1"/>
    </xf>
    <xf numFmtId="0" fontId="33" fillId="0" borderId="15" xfId="0" applyFont="1" applyBorder="1" applyAlignment="1">
      <alignment vertical="center" wrapText="1"/>
    </xf>
    <xf numFmtId="0" fontId="36" fillId="0" borderId="15" xfId="0" applyFont="1" applyBorder="1"/>
    <xf numFmtId="0" fontId="32" fillId="7" borderId="15" xfId="0" applyFont="1" applyFill="1" applyBorder="1" applyAlignment="1">
      <alignment horizontal="center" vertical="center" wrapText="1"/>
    </xf>
    <xf numFmtId="9" fontId="29" fillId="0" borderId="15" xfId="0" applyNumberFormat="1" applyFont="1" applyFill="1" applyBorder="1" applyAlignment="1">
      <alignment horizontal="center" vertical="center" wrapText="1"/>
    </xf>
    <xf numFmtId="9" fontId="32" fillId="0" borderId="15" xfId="0" applyNumberFormat="1" applyFont="1" applyFill="1" applyBorder="1" applyAlignment="1">
      <alignment horizontal="center" vertical="center" wrapText="1"/>
    </xf>
    <xf numFmtId="9" fontId="32" fillId="0" borderId="15" xfId="1" applyFont="1" applyFill="1" applyBorder="1" applyAlignment="1">
      <alignment horizontal="center" vertical="center" wrapText="1"/>
    </xf>
    <xf numFmtId="0" fontId="32" fillId="0" borderId="15" xfId="0" applyFont="1" applyFill="1" applyBorder="1" applyAlignment="1">
      <alignment vertical="center" wrapText="1"/>
    </xf>
    <xf numFmtId="0" fontId="32" fillId="0" borderId="15" xfId="0" applyFont="1" applyBorder="1" applyAlignment="1">
      <alignment horizontal="center" vertical="center" wrapText="1"/>
    </xf>
    <xf numFmtId="167" fontId="32" fillId="0" borderId="15" xfId="0" applyNumberFormat="1" applyFont="1" applyFill="1" applyBorder="1" applyAlignment="1">
      <alignment vertical="center" wrapText="1"/>
    </xf>
    <xf numFmtId="166" fontId="32" fillId="0" borderId="15" xfId="0" applyNumberFormat="1" applyFont="1" applyBorder="1" applyAlignment="1">
      <alignment vertical="center" wrapText="1"/>
    </xf>
    <xf numFmtId="1" fontId="32" fillId="0" borderId="15" xfId="0" applyNumberFormat="1" applyFont="1" applyBorder="1" applyAlignment="1">
      <alignment horizontal="center" vertical="center" wrapText="1"/>
    </xf>
    <xf numFmtId="1" fontId="32" fillId="0" borderId="20" xfId="0" applyNumberFormat="1" applyFont="1" applyBorder="1" applyAlignment="1">
      <alignment horizontal="center" vertical="center" wrapText="1"/>
    </xf>
    <xf numFmtId="1" fontId="31" fillId="0" borderId="71" xfId="0" applyNumberFormat="1" applyFont="1" applyBorder="1" applyAlignment="1">
      <alignment horizontal="center" vertical="center" wrapText="1"/>
    </xf>
    <xf numFmtId="0" fontId="31" fillId="0" borderId="28" xfId="0" applyFont="1" applyBorder="1" applyAlignment="1">
      <alignment horizontal="center" vertical="center" wrapText="1"/>
    </xf>
    <xf numFmtId="0" fontId="36" fillId="0" borderId="13" xfId="0" applyFont="1" applyBorder="1"/>
    <xf numFmtId="166" fontId="30" fillId="0" borderId="13" xfId="0" applyNumberFormat="1" applyFont="1" applyFill="1" applyBorder="1" applyAlignment="1">
      <alignment horizontal="center" vertical="center" wrapText="1"/>
    </xf>
    <xf numFmtId="166" fontId="29" fillId="0" borderId="13" xfId="0" applyNumberFormat="1" applyFont="1" applyFill="1" applyBorder="1" applyAlignment="1">
      <alignment horizontal="center" vertical="center" wrapText="1"/>
    </xf>
    <xf numFmtId="9" fontId="32" fillId="0" borderId="13" xfId="0" applyNumberFormat="1" applyFont="1" applyFill="1" applyBorder="1" applyAlignment="1">
      <alignment horizontal="center" vertical="center" wrapText="1"/>
    </xf>
    <xf numFmtId="9" fontId="32" fillId="0" borderId="13" xfId="1" applyFont="1" applyFill="1" applyBorder="1" applyAlignment="1">
      <alignment horizontal="center" vertical="center" wrapText="1"/>
    </xf>
    <xf numFmtId="0" fontId="32" fillId="0" borderId="13" xfId="0" applyFont="1" applyFill="1" applyBorder="1" applyAlignment="1">
      <alignment vertical="center" wrapText="1"/>
    </xf>
    <xf numFmtId="167" fontId="32" fillId="0" borderId="13" xfId="0" applyNumberFormat="1" applyFont="1" applyFill="1" applyBorder="1" applyAlignment="1">
      <alignment vertical="center" wrapText="1"/>
    </xf>
    <xf numFmtId="166" fontId="32" fillId="0" borderId="13" xfId="0" applyNumberFormat="1" applyFont="1" applyBorder="1" applyAlignment="1">
      <alignment vertical="center" wrapText="1"/>
    </xf>
    <xf numFmtId="1" fontId="32" fillId="0" borderId="13" xfId="0" applyNumberFormat="1" applyFont="1" applyBorder="1" applyAlignment="1">
      <alignment horizontal="center" vertical="center" wrapText="1"/>
    </xf>
    <xf numFmtId="1" fontId="32" fillId="0" borderId="64" xfId="0" applyNumberFormat="1" applyFont="1" applyBorder="1" applyAlignment="1">
      <alignment horizontal="center" vertical="center" wrapText="1"/>
    </xf>
    <xf numFmtId="1" fontId="31" fillId="0" borderId="14" xfId="0" applyNumberFormat="1" applyFont="1" applyBorder="1" applyAlignment="1">
      <alignment horizontal="center" vertical="center" wrapText="1"/>
    </xf>
    <xf numFmtId="0" fontId="31" fillId="0" borderId="34" xfId="0" applyFont="1" applyBorder="1" applyAlignment="1">
      <alignment horizontal="center" vertical="center"/>
    </xf>
    <xf numFmtId="0" fontId="36" fillId="0" borderId="52" xfId="0" applyFont="1" applyBorder="1"/>
    <xf numFmtId="0" fontId="36" fillId="0" borderId="56" xfId="0" applyFont="1" applyBorder="1"/>
    <xf numFmtId="0" fontId="33" fillId="0" borderId="52" xfId="0" applyFont="1" applyBorder="1" applyAlignment="1">
      <alignment horizontal="center" vertical="center" wrapText="1"/>
    </xf>
    <xf numFmtId="167" fontId="32" fillId="0" borderId="10" xfId="0" applyNumberFormat="1" applyFont="1" applyFill="1" applyBorder="1" applyAlignment="1">
      <alignment vertical="center" wrapText="1"/>
    </xf>
    <xf numFmtId="0" fontId="31" fillId="0" borderId="0" xfId="0" applyFont="1" applyBorder="1" applyAlignment="1">
      <alignment horizontal="center" vertical="center"/>
    </xf>
    <xf numFmtId="0" fontId="32" fillId="8" borderId="7" xfId="0" applyFont="1" applyFill="1" applyBorder="1" applyAlignment="1">
      <alignment vertical="center" wrapText="1"/>
    </xf>
    <xf numFmtId="0" fontId="36" fillId="0" borderId="16" xfId="0" applyFont="1" applyBorder="1"/>
    <xf numFmtId="0" fontId="33" fillId="0" borderId="7" xfId="0" applyFont="1" applyBorder="1" applyAlignment="1">
      <alignment horizontal="center" vertical="center" wrapText="1"/>
    </xf>
    <xf numFmtId="0" fontId="33" fillId="8" borderId="7" xfId="0" applyFont="1" applyFill="1" applyBorder="1" applyAlignment="1">
      <alignment vertical="center" wrapText="1"/>
    </xf>
    <xf numFmtId="0" fontId="36" fillId="0" borderId="20" xfId="0" applyFont="1" applyBorder="1"/>
    <xf numFmtId="9" fontId="33" fillId="0" borderId="7" xfId="0" applyNumberFormat="1" applyFont="1" applyBorder="1" applyAlignment="1">
      <alignment horizontal="center" vertical="center" wrapText="1"/>
    </xf>
    <xf numFmtId="0" fontId="31" fillId="0" borderId="28" xfId="0" applyFont="1" applyBorder="1" applyAlignment="1">
      <alignment horizontal="center" vertical="center"/>
    </xf>
    <xf numFmtId="0" fontId="36" fillId="0" borderId="64" xfId="0" applyFont="1" applyBorder="1"/>
    <xf numFmtId="0" fontId="36" fillId="0" borderId="10" xfId="0" applyFont="1" applyBorder="1"/>
    <xf numFmtId="0" fontId="33" fillId="0" borderId="10" xfId="0" applyFont="1" applyBorder="1" applyAlignment="1">
      <alignment horizontal="center" vertical="center" wrapText="1"/>
    </xf>
    <xf numFmtId="0" fontId="32" fillId="0" borderId="10" xfId="0" applyFont="1" applyFill="1" applyBorder="1" applyAlignment="1">
      <alignment horizontal="center" vertical="center" wrapText="1"/>
    </xf>
    <xf numFmtId="169" fontId="31" fillId="0" borderId="11" xfId="0" applyNumberFormat="1" applyFont="1" applyBorder="1" applyAlignment="1">
      <alignment horizontal="center" vertical="center" wrapText="1"/>
    </xf>
    <xf numFmtId="0" fontId="31" fillId="0" borderId="44" xfId="0" applyFont="1" applyBorder="1" applyAlignment="1">
      <alignment horizontal="center" vertical="center" wrapText="1"/>
    </xf>
    <xf numFmtId="0" fontId="33" fillId="0" borderId="48" xfId="0" applyFont="1" applyBorder="1" applyAlignment="1">
      <alignment vertical="center" wrapText="1"/>
    </xf>
    <xf numFmtId="0" fontId="37" fillId="0" borderId="13" xfId="0" applyFont="1" applyBorder="1" applyAlignment="1">
      <alignment vertical="center" wrapText="1"/>
    </xf>
    <xf numFmtId="10" fontId="36" fillId="0" borderId="8" xfId="1" applyNumberFormat="1" applyFont="1" applyBorder="1" applyAlignment="1">
      <alignment horizontal="center" vertical="center" wrapText="1"/>
    </xf>
    <xf numFmtId="0" fontId="31" fillId="0" borderId="50" xfId="0" applyFont="1" applyBorder="1" applyAlignment="1">
      <alignment horizontal="center" vertical="center" wrapText="1"/>
    </xf>
    <xf numFmtId="0" fontId="33" fillId="0" borderId="70" xfId="0" applyFont="1" applyBorder="1" applyAlignment="1">
      <alignment vertical="center" wrapText="1"/>
    </xf>
    <xf numFmtId="0" fontId="37" fillId="0" borderId="7" xfId="0" applyFont="1" applyFill="1" applyBorder="1" applyAlignment="1">
      <alignment vertical="center" wrapText="1"/>
    </xf>
    <xf numFmtId="10" fontId="36" fillId="0" borderId="36" xfId="1" applyNumberFormat="1" applyFont="1" applyFill="1" applyBorder="1" applyAlignment="1">
      <alignment horizontal="center" vertical="center" wrapText="1"/>
    </xf>
    <xf numFmtId="0" fontId="34" fillId="0" borderId="10" xfId="0" applyFont="1" applyBorder="1"/>
    <xf numFmtId="9" fontId="32" fillId="0" borderId="10" xfId="0" applyNumberFormat="1" applyFont="1" applyBorder="1" applyAlignment="1">
      <alignment horizontal="center" vertical="center" wrapText="1"/>
    </xf>
    <xf numFmtId="0" fontId="34" fillId="0" borderId="7" xfId="0" applyFont="1" applyBorder="1"/>
    <xf numFmtId="9" fontId="32" fillId="0" borderId="7" xfId="0" applyNumberFormat="1" applyFont="1" applyBorder="1" applyAlignment="1">
      <alignment horizontal="center" vertical="center" wrapText="1"/>
    </xf>
    <xf numFmtId="166" fontId="31" fillId="0" borderId="26" xfId="1" applyNumberFormat="1" applyFont="1" applyBorder="1" applyAlignment="1">
      <alignment horizontal="center" vertical="center" wrapText="1"/>
    </xf>
    <xf numFmtId="0" fontId="32" fillId="8" borderId="13" xfId="0" applyFont="1" applyFill="1" applyBorder="1" applyAlignment="1">
      <alignment vertical="center" wrapText="1"/>
    </xf>
    <xf numFmtId="0" fontId="32" fillId="0" borderId="13" xfId="0" applyFont="1" applyBorder="1" applyAlignment="1">
      <alignment vertical="center" wrapText="1"/>
    </xf>
    <xf numFmtId="0" fontId="34" fillId="0" borderId="13" xfId="0" applyFont="1" applyBorder="1"/>
    <xf numFmtId="166" fontId="33" fillId="0" borderId="13" xfId="0" applyNumberFormat="1" applyFont="1" applyBorder="1" applyAlignment="1">
      <alignment horizontal="center" vertical="center" wrapText="1"/>
    </xf>
    <xf numFmtId="9" fontId="31" fillId="0" borderId="14" xfId="1" applyFont="1" applyBorder="1" applyAlignment="1">
      <alignment horizontal="center" vertical="center" wrapText="1"/>
    </xf>
    <xf numFmtId="0" fontId="31" fillId="0" borderId="10" xfId="0" applyFont="1" applyBorder="1" applyAlignment="1">
      <alignment horizontal="center" vertical="center" wrapText="1"/>
    </xf>
    <xf numFmtId="0" fontId="33" fillId="0" borderId="56" xfId="0" applyFont="1" applyBorder="1" applyAlignment="1">
      <alignment vertical="center" wrapText="1"/>
    </xf>
    <xf numFmtId="10" fontId="33" fillId="0" borderId="52" xfId="0" applyNumberFormat="1" applyFont="1" applyBorder="1" applyAlignment="1">
      <alignment horizontal="center" vertical="center" wrapText="1"/>
    </xf>
    <xf numFmtId="9" fontId="31" fillId="0" borderId="11" xfId="1" applyFont="1" applyBorder="1" applyAlignment="1">
      <alignment horizontal="center" vertical="center" wrapText="1"/>
    </xf>
    <xf numFmtId="0" fontId="31" fillId="0" borderId="7" xfId="0" applyFont="1" applyBorder="1" applyAlignment="1">
      <alignment horizontal="center" vertical="center" wrapText="1"/>
    </xf>
    <xf numFmtId="0" fontId="33" fillId="0" borderId="18" xfId="0" applyFont="1" applyBorder="1" applyAlignment="1">
      <alignment horizontal="center" vertical="center" wrapText="1"/>
    </xf>
    <xf numFmtId="0" fontId="31" fillId="0" borderId="15" xfId="0" applyFont="1" applyBorder="1" applyAlignment="1">
      <alignment horizontal="center" vertical="center" wrapText="1"/>
    </xf>
    <xf numFmtId="9" fontId="33" fillId="0" borderId="21" xfId="0" applyNumberFormat="1" applyFont="1" applyBorder="1" applyAlignment="1">
      <alignment horizontal="center" vertical="center" wrapText="1"/>
    </xf>
    <xf numFmtId="0" fontId="32" fillId="0" borderId="21" xfId="0" applyFont="1" applyFill="1" applyBorder="1" applyAlignment="1">
      <alignment horizontal="center" vertical="center" wrapText="1"/>
    </xf>
    <xf numFmtId="9" fontId="31" fillId="0" borderId="71" xfId="1" applyFont="1" applyBorder="1" applyAlignment="1">
      <alignment horizontal="center" vertical="center" wrapText="1"/>
    </xf>
    <xf numFmtId="10" fontId="31" fillId="0" borderId="77" xfId="1" applyNumberFormat="1" applyFont="1" applyBorder="1" applyAlignment="1">
      <alignment horizontal="center" vertical="center" wrapText="1"/>
    </xf>
    <xf numFmtId="0" fontId="31" fillId="0" borderId="47" xfId="0" applyFont="1" applyBorder="1" applyAlignment="1">
      <alignment horizontal="center" vertical="center" wrapText="1"/>
    </xf>
    <xf numFmtId="0" fontId="33" fillId="0" borderId="47" xfId="0" applyFont="1" applyBorder="1" applyAlignment="1">
      <alignment vertical="center" wrapText="1"/>
    </xf>
    <xf numFmtId="0" fontId="36" fillId="0" borderId="47" xfId="0" applyFont="1" applyBorder="1"/>
    <xf numFmtId="0" fontId="33" fillId="0" borderId="19" xfId="0" applyFont="1" applyBorder="1" applyAlignment="1">
      <alignment vertical="center" wrapText="1"/>
    </xf>
    <xf numFmtId="10" fontId="33" fillId="0" borderId="25" xfId="0" applyNumberFormat="1" applyFont="1" applyBorder="1" applyAlignment="1">
      <alignment horizontal="center" vertical="center" wrapText="1"/>
    </xf>
    <xf numFmtId="0" fontId="32" fillId="0" borderId="25" xfId="0" applyFont="1" applyFill="1" applyBorder="1" applyAlignment="1">
      <alignment horizontal="center" vertical="center" wrapText="1"/>
    </xf>
    <xf numFmtId="0" fontId="32" fillId="7" borderId="47" xfId="0" applyFont="1" applyFill="1" applyBorder="1" applyAlignment="1">
      <alignment horizontal="center" vertical="center" wrapText="1"/>
    </xf>
    <xf numFmtId="9" fontId="32" fillId="0" borderId="47" xfId="0" applyNumberFormat="1" applyFont="1" applyFill="1" applyBorder="1" applyAlignment="1">
      <alignment horizontal="center" vertical="center" wrapText="1"/>
    </xf>
    <xf numFmtId="9" fontId="32" fillId="0" borderId="47" xfId="1" applyFont="1" applyFill="1" applyBorder="1" applyAlignment="1">
      <alignment horizontal="center" vertical="center" wrapText="1"/>
    </xf>
    <xf numFmtId="0" fontId="32" fillId="0" borderId="47" xfId="0" applyFont="1" applyFill="1" applyBorder="1" applyAlignment="1">
      <alignment vertical="center" wrapText="1"/>
    </xf>
    <xf numFmtId="0" fontId="32" fillId="0" borderId="47" xfId="0" applyFont="1" applyBorder="1" applyAlignment="1">
      <alignment horizontal="center" vertical="center" wrapText="1"/>
    </xf>
    <xf numFmtId="167" fontId="32" fillId="0" borderId="47" xfId="0" applyNumberFormat="1" applyFont="1" applyFill="1" applyBorder="1" applyAlignment="1">
      <alignment vertical="center" wrapText="1"/>
    </xf>
    <xf numFmtId="166" fontId="32" fillId="0" borderId="47" xfId="0" applyNumberFormat="1" applyFont="1" applyBorder="1" applyAlignment="1">
      <alignment vertical="center" wrapText="1"/>
    </xf>
    <xf numFmtId="1" fontId="32" fillId="0" borderId="47" xfId="0" applyNumberFormat="1" applyFont="1" applyBorder="1" applyAlignment="1">
      <alignment horizontal="center" vertical="center" wrapText="1"/>
    </xf>
    <xf numFmtId="1" fontId="32" fillId="0" borderId="19" xfId="0" applyNumberFormat="1" applyFont="1" applyBorder="1" applyAlignment="1">
      <alignment horizontal="center" vertical="center" wrapText="1"/>
    </xf>
    <xf numFmtId="9" fontId="31" fillId="0" borderId="77" xfId="1" applyNumberFormat="1" applyFont="1" applyBorder="1" applyAlignment="1">
      <alignment horizontal="center" vertical="center" wrapText="1"/>
    </xf>
    <xf numFmtId="0" fontId="31" fillId="0" borderId="13" xfId="0" applyFont="1" applyBorder="1" applyAlignment="1">
      <alignment horizontal="center" vertical="center" wrapText="1"/>
    </xf>
    <xf numFmtId="0" fontId="33" fillId="0" borderId="64" xfId="0" applyFont="1" applyBorder="1" applyAlignment="1">
      <alignment vertical="center" wrapText="1"/>
    </xf>
    <xf numFmtId="0" fontId="33" fillId="0" borderId="54" xfId="0" applyFont="1" applyBorder="1" applyAlignment="1">
      <alignment horizontal="center" vertical="center" wrapText="1"/>
    </xf>
    <xf numFmtId="0" fontId="32" fillId="0" borderId="54" xfId="0" applyFont="1" applyFill="1" applyBorder="1" applyAlignment="1">
      <alignment horizontal="center" vertical="center" wrapText="1"/>
    </xf>
    <xf numFmtId="0" fontId="32" fillId="0" borderId="49" xfId="0" applyFont="1" applyBorder="1" applyAlignment="1">
      <alignment horizontal="center" vertical="center" wrapText="1"/>
    </xf>
    <xf numFmtId="9" fontId="32" fillId="0" borderId="52" xfId="0" applyNumberFormat="1" applyFont="1" applyBorder="1" applyAlignment="1">
      <alignment horizontal="center" vertical="center" wrapText="1"/>
    </xf>
    <xf numFmtId="0" fontId="32" fillId="0" borderId="50" xfId="0" applyFont="1" applyBorder="1" applyAlignment="1">
      <alignment horizontal="center" vertical="center" wrapText="1"/>
    </xf>
    <xf numFmtId="0" fontId="32" fillId="0" borderId="54" xfId="0" applyFont="1" applyBorder="1" applyAlignment="1">
      <alignment horizontal="center" vertical="center" wrapText="1"/>
    </xf>
    <xf numFmtId="1" fontId="32" fillId="0" borderId="14" xfId="0" applyNumberFormat="1" applyFont="1" applyBorder="1" applyAlignment="1">
      <alignment horizontal="center" vertical="center" wrapText="1"/>
    </xf>
    <xf numFmtId="0" fontId="32" fillId="0" borderId="56" xfId="0" applyFont="1" applyBorder="1" applyAlignment="1">
      <alignment vertical="center" wrapText="1"/>
    </xf>
    <xf numFmtId="0" fontId="36" fillId="0" borderId="54" xfId="0" applyFont="1" applyBorder="1"/>
    <xf numFmtId="0" fontId="31" fillId="0" borderId="49" xfId="0" applyFont="1" applyBorder="1" applyAlignment="1">
      <alignment horizontal="center" vertical="center" wrapText="1"/>
    </xf>
    <xf numFmtId="0" fontId="32" fillId="8" borderId="10" xfId="0" applyFont="1" applyFill="1" applyBorder="1" applyAlignment="1">
      <alignment vertical="center" wrapText="1"/>
    </xf>
    <xf numFmtId="0" fontId="34" fillId="8" borderId="52" xfId="0" applyFont="1" applyFill="1" applyBorder="1" applyAlignment="1">
      <alignment horizontal="left"/>
    </xf>
    <xf numFmtId="0" fontId="34" fillId="8" borderId="10" xfId="0" applyFont="1" applyFill="1" applyBorder="1" applyAlignment="1">
      <alignment horizontal="left"/>
    </xf>
    <xf numFmtId="0" fontId="34" fillId="8" borderId="10" xfId="0" applyFont="1" applyFill="1" applyBorder="1" applyAlignment="1">
      <alignment vertical="center" wrapText="1"/>
    </xf>
    <xf numFmtId="0" fontId="29" fillId="0" borderId="10" xfId="1" applyNumberFormat="1" applyFont="1" applyFill="1" applyBorder="1" applyAlignment="1">
      <alignment horizontal="center" vertical="center" wrapText="1"/>
    </xf>
    <xf numFmtId="0" fontId="31" fillId="0" borderId="17" xfId="0" applyFont="1" applyBorder="1" applyAlignment="1">
      <alignment horizontal="center" vertical="center" wrapText="1"/>
    </xf>
    <xf numFmtId="0" fontId="34" fillId="8" borderId="18" xfId="0" applyFont="1" applyFill="1" applyBorder="1"/>
    <xf numFmtId="0" fontId="34" fillId="8" borderId="7" xfId="0" applyFont="1" applyFill="1" applyBorder="1"/>
    <xf numFmtId="0" fontId="34" fillId="8" borderId="7" xfId="0" applyFont="1" applyFill="1" applyBorder="1" applyAlignment="1">
      <alignment vertical="center" wrapText="1"/>
    </xf>
    <xf numFmtId="0" fontId="32" fillId="8" borderId="15" xfId="0" applyFont="1" applyFill="1" applyBorder="1" applyAlignment="1">
      <alignment vertical="center" wrapText="1"/>
    </xf>
    <xf numFmtId="0" fontId="34" fillId="0" borderId="15" xfId="0" applyFont="1" applyBorder="1"/>
    <xf numFmtId="0" fontId="30" fillId="0" borderId="59" xfId="0" applyFont="1" applyBorder="1" applyAlignment="1">
      <alignment horizontal="left" vertical="center" wrapText="1"/>
    </xf>
    <xf numFmtId="0" fontId="31" fillId="0" borderId="2" xfId="0" applyFont="1" applyBorder="1" applyAlignment="1">
      <alignment horizontal="center" vertical="center" wrapText="1"/>
    </xf>
    <xf numFmtId="0" fontId="33" fillId="0" borderId="61" xfId="0" applyFont="1" applyBorder="1" applyAlignment="1">
      <alignment vertical="center" wrapText="1"/>
    </xf>
    <xf numFmtId="0" fontId="36" fillId="0" borderId="61" xfId="0" applyFont="1" applyBorder="1"/>
    <xf numFmtId="9" fontId="29" fillId="0" borderId="61" xfId="0" applyNumberFormat="1" applyFont="1" applyFill="1" applyBorder="1" applyAlignment="1">
      <alignment horizontal="center" vertical="center" wrapText="1"/>
    </xf>
    <xf numFmtId="9" fontId="32" fillId="0" borderId="61" xfId="0" applyNumberFormat="1" applyFont="1" applyFill="1" applyBorder="1" applyAlignment="1">
      <alignment horizontal="center" vertical="center" wrapText="1"/>
    </xf>
    <xf numFmtId="9" fontId="32" fillId="0" borderId="61" xfId="1" applyFont="1" applyFill="1" applyBorder="1" applyAlignment="1">
      <alignment horizontal="center" vertical="center" wrapText="1"/>
    </xf>
    <xf numFmtId="0" fontId="32" fillId="0" borderId="61" xfId="0" applyFont="1" applyFill="1" applyBorder="1" applyAlignment="1">
      <alignment vertical="center" wrapText="1"/>
    </xf>
    <xf numFmtId="0" fontId="32" fillId="0" borderId="61" xfId="0" applyFont="1" applyBorder="1" applyAlignment="1">
      <alignment horizontal="center" vertical="center" wrapText="1"/>
    </xf>
    <xf numFmtId="167" fontId="32" fillId="0" borderId="61" xfId="0" applyNumberFormat="1" applyFont="1" applyFill="1" applyBorder="1" applyAlignment="1">
      <alignment vertical="center" wrapText="1"/>
    </xf>
    <xf numFmtId="166" fontId="32" fillId="0" borderId="61" xfId="0" applyNumberFormat="1" applyFont="1" applyBorder="1" applyAlignment="1">
      <alignment vertical="center" wrapText="1"/>
    </xf>
    <xf numFmtId="1" fontId="32" fillId="0" borderId="61" xfId="0" applyNumberFormat="1" applyFont="1" applyBorder="1" applyAlignment="1">
      <alignment horizontal="center" vertical="center" wrapText="1"/>
    </xf>
    <xf numFmtId="1" fontId="32" fillId="0" borderId="62" xfId="0" applyNumberFormat="1" applyFont="1" applyBorder="1" applyAlignment="1">
      <alignment horizontal="center" vertical="center" wrapText="1"/>
    </xf>
    <xf numFmtId="1" fontId="31" fillId="0" borderId="72" xfId="0" applyNumberFormat="1" applyFont="1" applyBorder="1" applyAlignment="1">
      <alignment horizontal="center" vertical="center" wrapText="1"/>
    </xf>
    <xf numFmtId="171" fontId="31" fillId="0" borderId="26" xfId="0" applyNumberFormat="1" applyFont="1" applyBorder="1" applyAlignment="1">
      <alignment horizontal="center" vertical="center" wrapText="1"/>
    </xf>
    <xf numFmtId="0" fontId="31" fillId="0" borderId="6" xfId="0" applyFont="1" applyBorder="1" applyAlignment="1">
      <alignment horizontal="center" vertical="center" wrapText="1"/>
    </xf>
    <xf numFmtId="0" fontId="31" fillId="0" borderId="48" xfId="0" applyFont="1" applyFill="1" applyBorder="1" applyAlignment="1">
      <alignment horizontal="left" vertical="center" wrapText="1"/>
    </xf>
    <xf numFmtId="0" fontId="31" fillId="0" borderId="48" xfId="0" applyFont="1" applyBorder="1" applyAlignment="1">
      <alignment vertical="center" wrapText="1"/>
    </xf>
    <xf numFmtId="0" fontId="36" fillId="0" borderId="48" xfId="0" applyFont="1" applyBorder="1"/>
    <xf numFmtId="9" fontId="29" fillId="0" borderId="47" xfId="0" applyNumberFormat="1" applyFont="1" applyFill="1" applyBorder="1" applyAlignment="1">
      <alignment horizontal="center" vertical="center" wrapText="1"/>
    </xf>
    <xf numFmtId="9" fontId="32" fillId="0" borderId="48" xfId="0" applyNumberFormat="1" applyFont="1" applyFill="1" applyBorder="1" applyAlignment="1">
      <alignment horizontal="center" vertical="center" wrapText="1"/>
    </xf>
    <xf numFmtId="9" fontId="32" fillId="0" borderId="48" xfId="1" applyFont="1" applyFill="1" applyBorder="1" applyAlignment="1">
      <alignment horizontal="center" vertical="center" wrapText="1"/>
    </xf>
    <xf numFmtId="0" fontId="32" fillId="0" borderId="48" xfId="0" applyFont="1" applyFill="1" applyBorder="1" applyAlignment="1">
      <alignment vertical="center" wrapText="1"/>
    </xf>
    <xf numFmtId="0" fontId="32" fillId="0" borderId="48" xfId="0" applyFont="1" applyBorder="1" applyAlignment="1">
      <alignment horizontal="center" vertical="center" wrapText="1"/>
    </xf>
    <xf numFmtId="167" fontId="32" fillId="0" borderId="48" xfId="0" applyNumberFormat="1" applyFont="1" applyFill="1" applyBorder="1" applyAlignment="1">
      <alignment vertical="center" wrapText="1"/>
    </xf>
    <xf numFmtId="166" fontId="32" fillId="0" borderId="48" xfId="0" applyNumberFormat="1" applyFont="1" applyBorder="1" applyAlignment="1">
      <alignment vertical="center" wrapText="1"/>
    </xf>
    <xf numFmtId="1" fontId="32" fillId="0" borderId="48" xfId="0" applyNumberFormat="1" applyFont="1" applyBorder="1" applyAlignment="1">
      <alignment horizontal="center" vertical="center" wrapText="1"/>
    </xf>
    <xf numFmtId="1" fontId="32" fillId="0" borderId="4" xfId="0" applyNumberFormat="1" applyFont="1" applyBorder="1" applyAlignment="1">
      <alignment horizontal="center" vertical="center" wrapText="1"/>
    </xf>
    <xf numFmtId="9" fontId="31" fillId="0" borderId="73" xfId="1" applyFont="1" applyBorder="1" applyAlignment="1">
      <alignment horizontal="center" vertical="center" wrapText="1"/>
    </xf>
    <xf numFmtId="0" fontId="31" fillId="0" borderId="54" xfId="0" applyFont="1" applyBorder="1" applyAlignment="1">
      <alignment horizontal="center" vertical="center" wrapText="1"/>
    </xf>
    <xf numFmtId="0" fontId="31" fillId="0" borderId="13" xfId="0" applyFont="1" applyBorder="1" applyAlignment="1">
      <alignment vertical="center" wrapText="1"/>
    </xf>
    <xf numFmtId="9" fontId="32" fillId="0" borderId="54" xfId="0" applyNumberFormat="1" applyFont="1" applyFill="1" applyBorder="1" applyAlignment="1">
      <alignment horizontal="center" vertical="center" wrapText="1"/>
    </xf>
    <xf numFmtId="166" fontId="3" fillId="5" borderId="3" xfId="0" applyNumberFormat="1" applyFont="1" applyFill="1" applyBorder="1" applyAlignment="1">
      <alignment horizontal="center" vertical="center" wrapText="1"/>
    </xf>
    <xf numFmtId="1" fontId="31" fillId="0" borderId="41" xfId="0" applyNumberFormat="1" applyFont="1" applyBorder="1" applyAlignment="1">
      <alignment horizontal="center" vertical="center" wrapText="1"/>
    </xf>
    <xf numFmtId="1" fontId="31" fillId="0" borderId="37" xfId="0" applyNumberFormat="1" applyFont="1" applyBorder="1" applyAlignment="1">
      <alignment horizontal="center" vertical="center" wrapText="1"/>
    </xf>
    <xf numFmtId="1" fontId="31" fillId="0" borderId="37" xfId="0" applyNumberFormat="1" applyFont="1" applyBorder="1" applyAlignment="1">
      <alignment horizontal="left" vertical="center" wrapText="1"/>
    </xf>
    <xf numFmtId="1" fontId="31" fillId="0" borderId="43" xfId="0" applyNumberFormat="1" applyFont="1" applyBorder="1" applyAlignment="1">
      <alignment horizontal="left" vertical="center" wrapText="1"/>
    </xf>
    <xf numFmtId="1" fontId="31" fillId="0" borderId="82" xfId="0" applyNumberFormat="1" applyFont="1" applyBorder="1" applyAlignment="1">
      <alignment horizontal="center" vertical="center" wrapText="1"/>
    </xf>
    <xf numFmtId="1" fontId="31" fillId="0" borderId="43" xfId="0" applyNumberFormat="1" applyFont="1" applyBorder="1" applyAlignment="1">
      <alignment horizontal="center" vertical="center" wrapText="1"/>
    </xf>
    <xf numFmtId="1" fontId="31" fillId="0" borderId="41" xfId="0" applyNumberFormat="1" applyFont="1" applyBorder="1" applyAlignment="1">
      <alignment horizontal="left" vertical="center" wrapText="1"/>
    </xf>
    <xf numFmtId="1" fontId="31" fillId="0" borderId="82" xfId="0" applyNumberFormat="1" applyFont="1" applyBorder="1" applyAlignment="1">
      <alignment horizontal="left" vertical="center" wrapText="1"/>
    </xf>
    <xf numFmtId="1" fontId="31" fillId="0" borderId="80" xfId="0" applyNumberFormat="1" applyFont="1" applyBorder="1" applyAlignment="1">
      <alignment horizontal="left" vertical="center" wrapText="1"/>
    </xf>
    <xf numFmtId="1" fontId="32" fillId="0" borderId="41" xfId="0" applyNumberFormat="1" applyFont="1" applyBorder="1" applyAlignment="1">
      <alignment horizontal="left" vertical="center" wrapText="1"/>
    </xf>
    <xf numFmtId="1" fontId="32" fillId="0" borderId="43" xfId="0" applyNumberFormat="1" applyFont="1" applyBorder="1" applyAlignment="1">
      <alignment horizontal="center" vertical="center" wrapText="1"/>
    </xf>
    <xf numFmtId="1" fontId="31" fillId="0" borderId="3" xfId="0" applyNumberFormat="1" applyFont="1" applyBorder="1" applyAlignment="1">
      <alignment horizontal="center" vertical="center" wrapText="1"/>
    </xf>
    <xf numFmtId="1" fontId="31" fillId="0" borderId="83" xfId="0" applyNumberFormat="1" applyFont="1" applyBorder="1" applyAlignment="1">
      <alignment horizontal="left" vertical="center" wrapText="1"/>
    </xf>
    <xf numFmtId="10" fontId="0" fillId="0" borderId="0" xfId="1" applyNumberFormat="1" applyFont="1"/>
    <xf numFmtId="9" fontId="29" fillId="0" borderId="63" xfId="0" applyNumberFormat="1" applyFont="1" applyFill="1" applyBorder="1" applyAlignment="1">
      <alignment horizontal="center" vertical="center" wrapText="1"/>
    </xf>
    <xf numFmtId="0" fontId="32" fillId="7" borderId="63"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61" xfId="0" applyFont="1" applyFill="1" applyBorder="1" applyAlignment="1">
      <alignment horizontal="center" vertical="center" wrapText="1"/>
    </xf>
    <xf numFmtId="0" fontId="32" fillId="0" borderId="47" xfId="0" applyFont="1" applyFill="1" applyBorder="1" applyAlignment="1">
      <alignment horizontal="center" vertical="center" wrapText="1"/>
    </xf>
    <xf numFmtId="0" fontId="32" fillId="0" borderId="64" xfId="0" applyFont="1" applyFill="1" applyBorder="1" applyAlignment="1">
      <alignment horizontal="center" vertical="center" wrapText="1"/>
    </xf>
    <xf numFmtId="10" fontId="36" fillId="4" borderId="57" xfId="0" applyNumberFormat="1" applyFont="1" applyFill="1" applyBorder="1" applyAlignment="1">
      <alignment horizontal="center" vertical="center"/>
    </xf>
    <xf numFmtId="10" fontId="36" fillId="3" borderId="7" xfId="0" applyNumberFormat="1" applyFont="1" applyFill="1" applyBorder="1" applyAlignment="1">
      <alignment horizontal="center" vertical="center"/>
    </xf>
    <xf numFmtId="10" fontId="36" fillId="2" borderId="26" xfId="0" applyNumberFormat="1" applyFont="1" applyFill="1" applyBorder="1" applyAlignment="1">
      <alignment horizontal="center" vertical="center"/>
    </xf>
    <xf numFmtId="0" fontId="34" fillId="0" borderId="10" xfId="0" applyFont="1" applyBorder="1" applyAlignment="1">
      <alignment vertical="center" wrapText="1"/>
    </xf>
    <xf numFmtId="9" fontId="34" fillId="0" borderId="52" xfId="0" applyNumberFormat="1" applyFont="1" applyBorder="1" applyAlignment="1">
      <alignment horizontal="center" vertical="center" wrapText="1"/>
    </xf>
    <xf numFmtId="0" fontId="34" fillId="0" borderId="52" xfId="0" applyFont="1" applyFill="1" applyBorder="1" applyAlignment="1">
      <alignment horizontal="center" vertical="center" wrapText="1"/>
    </xf>
    <xf numFmtId="0" fontId="34" fillId="7" borderId="10" xfId="0" applyFont="1" applyFill="1" applyBorder="1" applyAlignment="1">
      <alignment horizontal="center" vertical="center" wrapText="1"/>
    </xf>
    <xf numFmtId="0" fontId="36" fillId="0" borderId="64" xfId="0" applyFont="1" applyFill="1" applyBorder="1" applyAlignment="1">
      <alignment vertical="center" wrapText="1"/>
    </xf>
    <xf numFmtId="9" fontId="37" fillId="0" borderId="54" xfId="0" applyNumberFormat="1" applyFont="1" applyBorder="1" applyAlignment="1">
      <alignment horizontal="center" vertical="center" wrapText="1"/>
    </xf>
    <xf numFmtId="0" fontId="34" fillId="0" borderId="54" xfId="0" applyFont="1" applyFill="1" applyBorder="1" applyAlignment="1">
      <alignment horizontal="center" vertical="center" wrapText="1"/>
    </xf>
    <xf numFmtId="0" fontId="34" fillId="7" borderId="13" xfId="0" applyFont="1" applyFill="1" applyBorder="1" applyAlignment="1">
      <alignment horizontal="center" vertical="center" wrapText="1"/>
    </xf>
    <xf numFmtId="0" fontId="34" fillId="8" borderId="52" xfId="0" applyFont="1" applyFill="1" applyBorder="1" applyAlignment="1">
      <alignment horizontal="center" vertical="center" wrapText="1"/>
    </xf>
    <xf numFmtId="0" fontId="34" fillId="8" borderId="18" xfId="0" applyFont="1" applyFill="1" applyBorder="1" applyAlignment="1">
      <alignment horizontal="center" vertical="center" wrapText="1"/>
    </xf>
    <xf numFmtId="0" fontId="34" fillId="7" borderId="7" xfId="0" applyFont="1" applyFill="1" applyBorder="1" applyAlignment="1">
      <alignment horizontal="center" vertical="center" wrapText="1"/>
    </xf>
    <xf numFmtId="0" fontId="34" fillId="0" borderId="18" xfId="0" applyFont="1" applyFill="1" applyBorder="1" applyAlignment="1">
      <alignment horizontal="center" vertical="center" wrapText="1"/>
    </xf>
    <xf numFmtId="9" fontId="34" fillId="8" borderId="18" xfId="0" applyNumberFormat="1" applyFont="1" applyFill="1" applyBorder="1" applyAlignment="1">
      <alignment horizontal="center" vertical="center" wrapText="1"/>
    </xf>
    <xf numFmtId="0" fontId="34" fillId="0" borderId="15" xfId="0" applyFont="1" applyBorder="1" applyAlignment="1">
      <alignment vertical="center" wrapText="1"/>
    </xf>
    <xf numFmtId="9" fontId="34" fillId="0" borderId="21" xfId="0" applyNumberFormat="1" applyFont="1" applyBorder="1" applyAlignment="1">
      <alignment horizontal="center" vertical="center" wrapText="1"/>
    </xf>
    <xf numFmtId="0" fontId="34" fillId="8" borderId="21" xfId="0" applyFont="1" applyFill="1" applyBorder="1" applyAlignment="1">
      <alignment horizontal="center" vertical="center" wrapText="1"/>
    </xf>
    <xf numFmtId="0" fontId="34" fillId="7" borderId="15" xfId="0" applyFont="1" applyFill="1" applyBorder="1" applyAlignment="1">
      <alignment horizontal="center" vertical="center" wrapText="1"/>
    </xf>
    <xf numFmtId="0" fontId="37" fillId="0" borderId="61" xfId="0" applyFont="1" applyBorder="1" applyAlignment="1">
      <alignment vertical="center" wrapText="1"/>
    </xf>
    <xf numFmtId="10" fontId="37" fillId="0" borderId="60" xfId="0" applyNumberFormat="1" applyFont="1" applyBorder="1" applyAlignment="1">
      <alignment horizontal="center" vertical="center" wrapText="1"/>
    </xf>
    <xf numFmtId="0" fontId="34" fillId="0" borderId="60" xfId="0" applyFont="1" applyFill="1" applyBorder="1" applyAlignment="1">
      <alignment horizontal="center" vertical="center" wrapText="1"/>
    </xf>
    <xf numFmtId="0" fontId="34" fillId="7" borderId="61" xfId="0" applyFont="1" applyFill="1" applyBorder="1" applyAlignment="1">
      <alignment horizontal="center" vertical="center" wrapText="1"/>
    </xf>
    <xf numFmtId="0" fontId="37" fillId="0" borderId="10" xfId="0" applyFont="1" applyBorder="1" applyAlignment="1">
      <alignment vertical="center" wrapText="1"/>
    </xf>
    <xf numFmtId="0" fontId="37" fillId="0" borderId="52" xfId="0" applyFont="1" applyBorder="1" applyAlignment="1">
      <alignment horizontal="center" vertical="center" wrapText="1"/>
    </xf>
    <xf numFmtId="0" fontId="37" fillId="0" borderId="7" xfId="0" applyFont="1" applyBorder="1" applyAlignment="1">
      <alignment vertical="center" wrapText="1"/>
    </xf>
    <xf numFmtId="0" fontId="37" fillId="0" borderId="18" xfId="0" applyFont="1" applyBorder="1" applyAlignment="1">
      <alignment horizontal="center" vertical="center" wrapText="1"/>
    </xf>
    <xf numFmtId="2" fontId="37" fillId="0" borderId="54" xfId="0" applyNumberFormat="1" applyFont="1" applyBorder="1" applyAlignment="1">
      <alignment horizontal="center" vertical="center" wrapText="1"/>
    </xf>
    <xf numFmtId="0" fontId="36" fillId="0" borderId="48" xfId="0" applyFont="1" applyFill="1" applyBorder="1" applyAlignment="1">
      <alignment vertical="center" wrapText="1"/>
    </xf>
    <xf numFmtId="9" fontId="36" fillId="0" borderId="48" xfId="0" applyNumberFormat="1"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7" borderId="48" xfId="0" applyFont="1" applyFill="1" applyBorder="1" applyAlignment="1">
      <alignment horizontal="center" vertical="center" wrapText="1"/>
    </xf>
    <xf numFmtId="0" fontId="36" fillId="0" borderId="13" xfId="0" applyFont="1" applyFill="1" applyBorder="1" applyAlignment="1">
      <alignment vertical="center" wrapText="1"/>
    </xf>
    <xf numFmtId="9" fontId="36" fillId="0" borderId="54" xfId="0" applyNumberFormat="1" applyFont="1" applyFill="1" applyBorder="1" applyAlignment="1">
      <alignment horizontal="center" vertical="center" wrapText="1"/>
    </xf>
    <xf numFmtId="0" fontId="34" fillId="8" borderId="54" xfId="0" applyFont="1" applyFill="1" applyBorder="1" applyAlignment="1">
      <alignment horizontal="center" vertical="center" wrapText="1"/>
    </xf>
    <xf numFmtId="0" fontId="34" fillId="7" borderId="64" xfId="0" applyFont="1" applyFill="1" applyBorder="1" applyAlignment="1">
      <alignment horizontal="center" vertical="center" wrapText="1"/>
    </xf>
    <xf numFmtId="166" fontId="28" fillId="5" borderId="3" xfId="0" applyNumberFormat="1" applyFont="1" applyFill="1" applyBorder="1" applyAlignment="1">
      <alignment horizontal="center" vertical="center" wrapText="1"/>
    </xf>
    <xf numFmtId="9" fontId="31" fillId="0" borderId="37" xfId="1" applyFont="1" applyBorder="1" applyAlignment="1">
      <alignment horizontal="center" vertical="center" wrapText="1"/>
    </xf>
    <xf numFmtId="169" fontId="31" fillId="0" borderId="41" xfId="0" applyNumberFormat="1" applyFont="1" applyBorder="1" applyAlignment="1">
      <alignment horizontal="center" vertical="center" wrapText="1"/>
    </xf>
    <xf numFmtId="166" fontId="31" fillId="0" borderId="37" xfId="1" applyNumberFormat="1" applyFont="1" applyBorder="1" applyAlignment="1">
      <alignment horizontal="center" vertical="center" wrapText="1"/>
    </xf>
    <xf numFmtId="9" fontId="31" fillId="0" borderId="43" xfId="1" applyFont="1" applyBorder="1" applyAlignment="1">
      <alignment horizontal="center" vertical="center" wrapText="1"/>
    </xf>
    <xf numFmtId="9" fontId="31" fillId="0" borderId="41" xfId="1" applyFont="1" applyBorder="1" applyAlignment="1">
      <alignment horizontal="center" vertical="center" wrapText="1"/>
    </xf>
    <xf numFmtId="9" fontId="31" fillId="0" borderId="82" xfId="1" applyFont="1" applyBorder="1" applyAlignment="1">
      <alignment horizontal="center" vertical="center" wrapText="1"/>
    </xf>
    <xf numFmtId="10" fontId="31" fillId="0" borderId="80" xfId="1" applyNumberFormat="1" applyFont="1" applyBorder="1" applyAlignment="1">
      <alignment horizontal="center" vertical="center" wrapText="1"/>
    </xf>
    <xf numFmtId="9" fontId="31" fillId="0" borderId="80" xfId="1" applyNumberFormat="1" applyFont="1" applyBorder="1" applyAlignment="1">
      <alignment horizontal="center" vertical="center" wrapText="1"/>
    </xf>
    <xf numFmtId="171" fontId="31" fillId="0" borderId="37" xfId="0" applyNumberFormat="1" applyFont="1" applyBorder="1" applyAlignment="1">
      <alignment horizontal="center" vertical="center" wrapText="1"/>
    </xf>
    <xf numFmtId="9" fontId="31" fillId="0" borderId="83" xfId="1" applyFont="1" applyBorder="1" applyAlignment="1">
      <alignment horizontal="center" vertical="center" wrapText="1"/>
    </xf>
    <xf numFmtId="0" fontId="39" fillId="0" borderId="0" xfId="0" applyFont="1" applyAlignment="1">
      <alignment horizontal="center" vertical="center"/>
    </xf>
    <xf numFmtId="0" fontId="38" fillId="0" borderId="0" xfId="0" applyFont="1" applyAlignment="1">
      <alignment horizontal="center" vertical="center"/>
    </xf>
    <xf numFmtId="0" fontId="39" fillId="0" borderId="0" xfId="0" applyFont="1" applyFill="1" applyAlignment="1">
      <alignment horizontal="center" vertical="center"/>
    </xf>
    <xf numFmtId="0" fontId="39" fillId="0" borderId="45" xfId="0" applyFont="1" applyBorder="1" applyAlignment="1">
      <alignment horizontal="center" vertical="center" wrapText="1"/>
    </xf>
    <xf numFmtId="1" fontId="39" fillId="0" borderId="70" xfId="1" applyNumberFormat="1" applyFont="1" applyBorder="1" applyAlignment="1">
      <alignment horizontal="center" vertical="center" wrapText="1"/>
    </xf>
    <xf numFmtId="9" fontId="39" fillId="0" borderId="46" xfId="1" applyFont="1" applyBorder="1" applyAlignment="1">
      <alignment horizontal="center" vertical="center" wrapText="1"/>
    </xf>
    <xf numFmtId="9" fontId="39" fillId="0" borderId="0" xfId="1" applyFont="1" applyBorder="1" applyAlignment="1">
      <alignment horizontal="center" vertical="center" wrapText="1"/>
    </xf>
    <xf numFmtId="0" fontId="39" fillId="0" borderId="0" xfId="0" applyFont="1" applyAlignment="1">
      <alignment horizontal="center" vertical="center" wrapText="1"/>
    </xf>
    <xf numFmtId="0" fontId="39" fillId="0" borderId="0" xfId="0" applyFont="1" applyFill="1" applyBorder="1" applyAlignment="1">
      <alignment horizontal="center" vertical="center"/>
    </xf>
    <xf numFmtId="0" fontId="27" fillId="0" borderId="34" xfId="0" applyFont="1" applyBorder="1"/>
    <xf numFmtId="0" fontId="27" fillId="0" borderId="34" xfId="0" applyFont="1" applyFill="1" applyBorder="1"/>
    <xf numFmtId="0" fontId="27" fillId="0" borderId="28" xfId="0" applyFont="1" applyBorder="1"/>
    <xf numFmtId="0" fontId="27" fillId="0" borderId="28" xfId="0" applyFont="1" applyFill="1" applyBorder="1"/>
    <xf numFmtId="0" fontId="26" fillId="0" borderId="0" xfId="0" applyFont="1" applyAlignment="1"/>
    <xf numFmtId="0" fontId="26" fillId="0" borderId="0" xfId="0" applyFont="1" applyFill="1" applyBorder="1" applyAlignment="1"/>
    <xf numFmtId="0" fontId="26" fillId="0" borderId="0" xfId="0" applyFont="1" applyFill="1" applyBorder="1" applyAlignment="1">
      <alignment horizontal="center" vertical="center"/>
    </xf>
    <xf numFmtId="0" fontId="40" fillId="11" borderId="59" xfId="0" applyFont="1" applyFill="1" applyBorder="1" applyAlignment="1">
      <alignment horizontal="center" vertical="center"/>
    </xf>
    <xf numFmtId="0" fontId="40" fillId="11" borderId="61" xfId="0" applyFont="1" applyFill="1" applyBorder="1" applyAlignment="1">
      <alignment horizontal="center" vertical="center"/>
    </xf>
    <xf numFmtId="17" fontId="40" fillId="11" borderId="61" xfId="2" applyNumberFormat="1" applyFont="1" applyFill="1" applyBorder="1" applyAlignment="1">
      <alignment horizontal="center" vertical="center"/>
    </xf>
    <xf numFmtId="166" fontId="40" fillId="11" borderId="61" xfId="0" applyNumberFormat="1" applyFont="1" applyFill="1" applyBorder="1" applyAlignment="1">
      <alignment horizontal="center" vertical="center"/>
    </xf>
    <xf numFmtId="166" fontId="40" fillId="11" borderId="62" xfId="0" applyNumberFormat="1" applyFont="1" applyFill="1" applyBorder="1" applyAlignment="1">
      <alignment horizontal="center" vertical="center"/>
    </xf>
    <xf numFmtId="166" fontId="41" fillId="5" borderId="2" xfId="0" applyNumberFormat="1" applyFont="1" applyFill="1" applyBorder="1" applyAlignment="1">
      <alignment horizontal="center" vertical="center"/>
    </xf>
    <xf numFmtId="166" fontId="41" fillId="5" borderId="1" xfId="0" applyNumberFormat="1" applyFont="1" applyFill="1" applyBorder="1" applyAlignment="1">
      <alignment horizontal="center" vertical="center"/>
    </xf>
    <xf numFmtId="166" fontId="41" fillId="5" borderId="3" xfId="0" applyNumberFormat="1" applyFont="1" applyFill="1" applyBorder="1" applyAlignment="1">
      <alignment horizontal="center" vertical="center"/>
    </xf>
    <xf numFmtId="166" fontId="41" fillId="5" borderId="1" xfId="0" applyNumberFormat="1" applyFont="1" applyFill="1" applyBorder="1" applyAlignment="1">
      <alignment vertical="center"/>
    </xf>
    <xf numFmtId="166" fontId="41" fillId="5" borderId="61" xfId="0" applyNumberFormat="1" applyFont="1" applyFill="1" applyBorder="1" applyAlignment="1">
      <alignment horizontal="center" vertical="center"/>
    </xf>
    <xf numFmtId="0" fontId="40" fillId="11" borderId="51" xfId="0" applyFont="1" applyFill="1" applyBorder="1" applyAlignment="1">
      <alignment horizontal="center" vertical="center"/>
    </xf>
    <xf numFmtId="0" fontId="40" fillId="11" borderId="63" xfId="0" applyFont="1" applyFill="1" applyBorder="1" applyAlignment="1">
      <alignment horizontal="center" vertical="center"/>
    </xf>
    <xf numFmtId="17" fontId="40" fillId="11" borderId="63" xfId="2" applyNumberFormat="1" applyFont="1" applyFill="1" applyBorder="1" applyAlignment="1">
      <alignment horizontal="center" vertical="center"/>
    </xf>
    <xf numFmtId="166" fontId="40" fillId="11" borderId="63" xfId="0" applyNumberFormat="1" applyFont="1" applyFill="1" applyBorder="1" applyAlignment="1">
      <alignment horizontal="center" vertical="center"/>
    </xf>
    <xf numFmtId="166" fontId="40" fillId="11" borderId="38" xfId="0" applyNumberFormat="1" applyFont="1" applyFill="1" applyBorder="1" applyAlignment="1">
      <alignment horizontal="center" vertical="center"/>
    </xf>
    <xf numFmtId="166" fontId="41" fillId="12" borderId="9" xfId="0" applyNumberFormat="1" applyFont="1" applyFill="1" applyBorder="1" applyAlignment="1">
      <alignment horizontal="center" vertical="center"/>
    </xf>
    <xf numFmtId="166" fontId="41" fillId="12" borderId="10" xfId="0" applyNumberFormat="1" applyFont="1" applyFill="1" applyBorder="1" applyAlignment="1">
      <alignment horizontal="center" vertical="center"/>
    </xf>
    <xf numFmtId="166" fontId="41" fillId="12" borderId="11" xfId="0" applyNumberFormat="1" applyFont="1" applyFill="1" applyBorder="1" applyAlignment="1">
      <alignment horizontal="center" vertical="center"/>
    </xf>
    <xf numFmtId="166" fontId="41" fillId="12" borderId="34" xfId="0" applyNumberFormat="1" applyFont="1" applyFill="1" applyBorder="1" applyAlignment="1">
      <alignment horizontal="center" vertical="center"/>
    </xf>
    <xf numFmtId="166" fontId="41" fillId="12" borderId="22" xfId="0" applyNumberFormat="1" applyFont="1" applyFill="1" applyBorder="1" applyAlignment="1">
      <alignment horizontal="center" vertical="center"/>
    </xf>
    <xf numFmtId="166" fontId="41" fillId="12" borderId="30" xfId="0" applyNumberFormat="1" applyFont="1" applyFill="1" applyBorder="1" applyAlignment="1">
      <alignment horizontal="center" vertical="center"/>
    </xf>
    <xf numFmtId="166" fontId="41" fillId="12" borderId="22" xfId="0" applyNumberFormat="1" applyFont="1" applyFill="1" applyBorder="1" applyAlignment="1">
      <alignment vertical="center"/>
    </xf>
    <xf numFmtId="166" fontId="41" fillId="12" borderId="23" xfId="0" applyNumberFormat="1" applyFont="1" applyFill="1" applyBorder="1" applyAlignment="1">
      <alignment horizontal="center" vertical="center"/>
    </xf>
    <xf numFmtId="166" fontId="41" fillId="12" borderId="63" xfId="0" applyNumberFormat="1" applyFont="1" applyFill="1" applyBorder="1" applyAlignment="1">
      <alignment horizontal="center" vertical="center"/>
    </xf>
    <xf numFmtId="166" fontId="41" fillId="12" borderId="76" xfId="0" applyNumberFormat="1" applyFont="1" applyFill="1" applyBorder="1" applyAlignment="1">
      <alignment horizontal="center" vertical="center"/>
    </xf>
    <xf numFmtId="0" fontId="42" fillId="0" borderId="65" xfId="0" applyFont="1" applyBorder="1" applyAlignment="1">
      <alignment horizontal="center" vertical="center" wrapText="1"/>
    </xf>
    <xf numFmtId="0" fontId="43" fillId="0" borderId="10" xfId="0" applyFont="1" applyBorder="1" applyAlignment="1">
      <alignment vertical="center" wrapText="1"/>
    </xf>
    <xf numFmtId="0" fontId="43" fillId="0" borderId="10" xfId="0" applyFont="1" applyBorder="1"/>
    <xf numFmtId="0" fontId="43" fillId="0" borderId="10" xfId="0" applyFont="1" applyFill="1" applyBorder="1" applyAlignment="1">
      <alignment vertical="center" wrapText="1"/>
    </xf>
    <xf numFmtId="0" fontId="43" fillId="7" borderId="10" xfId="0" applyFont="1" applyFill="1" applyBorder="1" applyAlignment="1">
      <alignment vertical="center" wrapText="1"/>
    </xf>
    <xf numFmtId="9" fontId="45" fillId="0" borderId="10" xfId="0" applyNumberFormat="1" applyFont="1" applyFill="1" applyBorder="1" applyAlignment="1">
      <alignment horizontal="center" vertical="center" wrapText="1"/>
    </xf>
    <xf numFmtId="9" fontId="46" fillId="0" borderId="10" xfId="0" applyNumberFormat="1" applyFont="1" applyFill="1" applyBorder="1" applyAlignment="1">
      <alignment horizontal="center" vertical="center" wrapText="1"/>
    </xf>
    <xf numFmtId="9" fontId="46" fillId="0" borderId="10" xfId="1" applyFont="1" applyFill="1" applyBorder="1" applyAlignment="1">
      <alignment horizontal="center" vertical="center" wrapText="1"/>
    </xf>
    <xf numFmtId="0" fontId="46" fillId="0" borderId="10" xfId="0" applyFont="1" applyFill="1" applyBorder="1" applyAlignment="1">
      <alignment vertical="center" wrapText="1"/>
    </xf>
    <xf numFmtId="0" fontId="46" fillId="0" borderId="10" xfId="0" applyFont="1" applyBorder="1" applyAlignment="1">
      <alignment horizontal="center" vertical="center" wrapText="1"/>
    </xf>
    <xf numFmtId="167" fontId="46" fillId="0" borderId="10" xfId="0" applyNumberFormat="1" applyFont="1" applyFill="1" applyBorder="1" applyAlignment="1">
      <alignment vertical="center" wrapText="1"/>
    </xf>
    <xf numFmtId="166" fontId="46" fillId="0" borderId="56" xfId="0" applyNumberFormat="1" applyFont="1" applyBorder="1" applyAlignment="1">
      <alignment vertical="center" wrapText="1"/>
    </xf>
    <xf numFmtId="166" fontId="42" fillId="0" borderId="40" xfId="0" applyNumberFormat="1" applyFont="1" applyBorder="1" applyAlignment="1">
      <alignment horizontal="center" vertical="center" wrapText="1"/>
    </xf>
    <xf numFmtId="10" fontId="42" fillId="0" borderId="40" xfId="1" applyNumberFormat="1" applyFont="1" applyBorder="1" applyAlignment="1">
      <alignment horizontal="center" vertical="center" wrapText="1"/>
    </xf>
    <xf numFmtId="10" fontId="42" fillId="0" borderId="40" xfId="0" applyNumberFormat="1" applyFont="1" applyBorder="1" applyAlignment="1">
      <alignment horizontal="center" vertical="center"/>
    </xf>
    <xf numFmtId="9" fontId="42" fillId="2" borderId="49" xfId="1" applyFont="1" applyFill="1" applyBorder="1" applyAlignment="1">
      <alignment horizontal="center" vertical="center"/>
    </xf>
    <xf numFmtId="9" fontId="42" fillId="2" borderId="39" xfId="1" applyFont="1" applyFill="1" applyBorder="1" applyAlignment="1">
      <alignment horizontal="center" vertical="center"/>
    </xf>
    <xf numFmtId="0" fontId="42" fillId="2" borderId="41" xfId="0" applyFont="1" applyFill="1" applyBorder="1" applyAlignment="1">
      <alignment horizontal="center" vertical="center"/>
    </xf>
    <xf numFmtId="10" fontId="42" fillId="0" borderId="9" xfId="0" applyNumberFormat="1" applyFont="1" applyBorder="1" applyAlignment="1">
      <alignment horizontal="center" vertical="center"/>
    </xf>
    <xf numFmtId="10" fontId="42" fillId="0" borderId="49" xfId="0" applyNumberFormat="1" applyFont="1" applyBorder="1" applyAlignment="1">
      <alignment horizontal="center" vertical="center"/>
    </xf>
    <xf numFmtId="10" fontId="42" fillId="0" borderId="39" xfId="0" applyNumberFormat="1" applyFont="1" applyBorder="1" applyAlignment="1">
      <alignment horizontal="center" vertical="center"/>
    </xf>
    <xf numFmtId="10" fontId="42" fillId="0" borderId="10" xfId="0" applyNumberFormat="1" applyFont="1" applyBorder="1" applyAlignment="1">
      <alignment horizontal="center" vertical="center"/>
    </xf>
    <xf numFmtId="10" fontId="42" fillId="0" borderId="10" xfId="1" applyNumberFormat="1" applyFont="1" applyBorder="1" applyAlignment="1">
      <alignment horizontal="center" vertical="center"/>
    </xf>
    <xf numFmtId="10" fontId="42" fillId="0" borderId="11" xfId="1" applyNumberFormat="1" applyFont="1" applyBorder="1" applyAlignment="1">
      <alignment horizontal="center" vertical="center"/>
    </xf>
    <xf numFmtId="0" fontId="42" fillId="0" borderId="41" xfId="0" applyFont="1" applyBorder="1" applyAlignment="1">
      <alignment vertical="center" wrapText="1"/>
    </xf>
    <xf numFmtId="0" fontId="43" fillId="0" borderId="25" xfId="0" applyFont="1" applyBorder="1" applyAlignment="1">
      <alignment vertical="center" wrapText="1"/>
    </xf>
    <xf numFmtId="0" fontId="43" fillId="0" borderId="47" xfId="0" applyFont="1" applyBorder="1"/>
    <xf numFmtId="0" fontId="43" fillId="7" borderId="47" xfId="0" applyFont="1" applyFill="1" applyBorder="1" applyAlignment="1">
      <alignment vertical="center" wrapText="1"/>
    </xf>
    <xf numFmtId="9" fontId="45" fillId="0" borderId="47" xfId="0" applyNumberFormat="1" applyFont="1" applyFill="1" applyBorder="1" applyAlignment="1">
      <alignment horizontal="center" vertical="center" wrapText="1"/>
    </xf>
    <xf numFmtId="9" fontId="46" fillId="0" borderId="47" xfId="0" applyNumberFormat="1" applyFont="1" applyFill="1" applyBorder="1" applyAlignment="1">
      <alignment horizontal="center" vertical="center" wrapText="1"/>
    </xf>
    <xf numFmtId="9" fontId="46" fillId="0" borderId="47" xfId="1" applyFont="1" applyFill="1" applyBorder="1" applyAlignment="1">
      <alignment horizontal="center" vertical="center" wrapText="1"/>
    </xf>
    <xf numFmtId="0" fontId="46" fillId="0" borderId="47" xfId="0" applyFont="1" applyFill="1" applyBorder="1" applyAlignment="1">
      <alignment vertical="center" wrapText="1"/>
    </xf>
    <xf numFmtId="0" fontId="46" fillId="0" borderId="47" xfId="0" applyFont="1" applyBorder="1" applyAlignment="1">
      <alignment horizontal="center" vertical="center" wrapText="1"/>
    </xf>
    <xf numFmtId="167" fontId="46" fillId="0" borderId="47" xfId="0" applyNumberFormat="1" applyFont="1" applyFill="1" applyBorder="1" applyAlignment="1">
      <alignment vertical="center" wrapText="1"/>
    </xf>
    <xf numFmtId="166" fontId="46" fillId="0" borderId="19" xfId="0" applyNumberFormat="1" applyFont="1" applyBorder="1" applyAlignment="1">
      <alignment vertical="center" wrapText="1"/>
    </xf>
    <xf numFmtId="166" fontId="42" fillId="0" borderId="31" xfId="0" applyNumberFormat="1" applyFont="1" applyBorder="1" applyAlignment="1">
      <alignment horizontal="center" vertical="center" wrapText="1"/>
    </xf>
    <xf numFmtId="10" fontId="42" fillId="0" borderId="31" xfId="1" applyNumberFormat="1" applyFont="1" applyBorder="1" applyAlignment="1">
      <alignment horizontal="center" vertical="center" wrapText="1"/>
    </xf>
    <xf numFmtId="10" fontId="42" fillId="0" borderId="31" xfId="0" applyNumberFormat="1" applyFont="1" applyBorder="1" applyAlignment="1">
      <alignment horizontal="center" vertical="center"/>
    </xf>
    <xf numFmtId="0" fontId="42" fillId="4" borderId="12" xfId="0" applyFont="1" applyFill="1" applyBorder="1" applyAlignment="1">
      <alignment horizontal="center" vertical="center" wrapText="1"/>
    </xf>
    <xf numFmtId="0" fontId="42" fillId="3" borderId="13" xfId="0" applyFont="1" applyFill="1" applyBorder="1" applyAlignment="1">
      <alignment horizontal="center" vertical="center" wrapText="1"/>
    </xf>
    <xf numFmtId="0" fontId="42" fillId="10" borderId="14" xfId="0" applyFont="1" applyFill="1" applyBorder="1" applyAlignment="1">
      <alignment horizontal="center" vertical="center" wrapText="1"/>
    </xf>
    <xf numFmtId="9" fontId="42" fillId="2" borderId="0" xfId="0" applyNumberFormat="1" applyFont="1" applyFill="1" applyBorder="1" applyAlignment="1">
      <alignment horizontal="center" vertical="center"/>
    </xf>
    <xf numFmtId="10" fontId="42" fillId="2" borderId="24" xfId="1" applyNumberFormat="1" applyFont="1" applyFill="1" applyBorder="1" applyAlignment="1">
      <alignment horizontal="center" vertical="center"/>
    </xf>
    <xf numFmtId="10" fontId="42" fillId="2" borderId="80" xfId="1" applyNumberFormat="1" applyFont="1" applyFill="1" applyBorder="1" applyAlignment="1">
      <alignment horizontal="center" vertical="center"/>
    </xf>
    <xf numFmtId="10" fontId="42" fillId="0" borderId="53" xfId="0" applyNumberFormat="1" applyFont="1" applyBorder="1" applyAlignment="1">
      <alignment horizontal="center" vertical="center"/>
    </xf>
    <xf numFmtId="10" fontId="42" fillId="0" borderId="0" xfId="0" applyNumberFormat="1" applyFont="1" applyBorder="1" applyAlignment="1">
      <alignment horizontal="center" vertical="center"/>
    </xf>
    <xf numFmtId="10" fontId="42" fillId="0" borderId="24" xfId="0" applyNumberFormat="1" applyFont="1" applyBorder="1" applyAlignment="1">
      <alignment horizontal="center" vertical="center"/>
    </xf>
    <xf numFmtId="0" fontId="42" fillId="0" borderId="80" xfId="0" applyFont="1" applyBorder="1" applyAlignment="1">
      <alignment vertical="center" wrapText="1"/>
    </xf>
    <xf numFmtId="10" fontId="42" fillId="2" borderId="39" xfId="1" applyNumberFormat="1" applyFont="1" applyFill="1" applyBorder="1" applyAlignment="1">
      <alignment horizontal="center" vertical="center"/>
    </xf>
    <xf numFmtId="10" fontId="42" fillId="2" borderId="41" xfId="1" applyNumberFormat="1" applyFont="1" applyFill="1" applyBorder="1" applyAlignment="1">
      <alignment horizontal="center" vertical="center"/>
    </xf>
    <xf numFmtId="10" fontId="42" fillId="0" borderId="9" xfId="1" applyNumberFormat="1" applyFont="1" applyBorder="1" applyAlignment="1">
      <alignment horizontal="center" vertical="center"/>
    </xf>
    <xf numFmtId="10" fontId="42" fillId="0" borderId="49" xfId="1" applyNumberFormat="1" applyFont="1" applyBorder="1" applyAlignment="1">
      <alignment horizontal="center" vertical="center"/>
    </xf>
    <xf numFmtId="10" fontId="42" fillId="0" borderId="39" xfId="1" applyNumberFormat="1" applyFont="1" applyBorder="1" applyAlignment="1">
      <alignment horizontal="center" vertical="center"/>
    </xf>
    <xf numFmtId="0" fontId="42" fillId="0" borderId="66" xfId="0" applyFont="1" applyBorder="1" applyAlignment="1">
      <alignment horizontal="center" vertical="center" wrapText="1"/>
    </xf>
    <xf numFmtId="0" fontId="43" fillId="0" borderId="18" xfId="0" applyFont="1" applyBorder="1" applyAlignment="1">
      <alignment vertical="center" wrapText="1"/>
    </xf>
    <xf numFmtId="0" fontId="43" fillId="0" borderId="7" xfId="0" applyFont="1" applyBorder="1" applyAlignment="1">
      <alignment vertical="center" wrapText="1"/>
    </xf>
    <xf numFmtId="0" fontId="43" fillId="0" borderId="7" xfId="0" applyFont="1" applyBorder="1"/>
    <xf numFmtId="0" fontId="43" fillId="0" borderId="7" xfId="0" applyFont="1" applyFill="1" applyBorder="1" applyAlignment="1">
      <alignment vertical="center" wrapText="1"/>
    </xf>
    <xf numFmtId="0" fontId="43" fillId="7" borderId="7" xfId="0" applyFont="1" applyFill="1" applyBorder="1" applyAlignment="1">
      <alignment vertical="center" wrapText="1"/>
    </xf>
    <xf numFmtId="9" fontId="45" fillId="0" borderId="7" xfId="0" applyNumberFormat="1" applyFont="1" applyFill="1" applyBorder="1" applyAlignment="1">
      <alignment horizontal="center" vertical="center" wrapText="1"/>
    </xf>
    <xf numFmtId="9" fontId="46" fillId="0" borderId="7" xfId="0" applyNumberFormat="1" applyFont="1" applyFill="1" applyBorder="1" applyAlignment="1">
      <alignment horizontal="center" vertical="center" wrapText="1"/>
    </xf>
    <xf numFmtId="9" fontId="46" fillId="0" borderId="7" xfId="1" applyFont="1" applyFill="1" applyBorder="1" applyAlignment="1">
      <alignment horizontal="center" vertical="center" wrapText="1"/>
    </xf>
    <xf numFmtId="0" fontId="46" fillId="0" borderId="7" xfId="0" applyFont="1" applyFill="1" applyBorder="1" applyAlignment="1">
      <alignment vertical="center" wrapText="1"/>
    </xf>
    <xf numFmtId="0" fontId="46" fillId="0" borderId="7" xfId="0" applyFont="1" applyBorder="1" applyAlignment="1">
      <alignment horizontal="center" vertical="center" wrapText="1"/>
    </xf>
    <xf numFmtId="167" fontId="46" fillId="0" borderId="7" xfId="0" applyNumberFormat="1" applyFont="1" applyFill="1" applyBorder="1" applyAlignment="1">
      <alignment vertical="center" wrapText="1"/>
    </xf>
    <xf numFmtId="166" fontId="46" fillId="0" borderId="16" xfId="0" applyNumberFormat="1" applyFont="1" applyBorder="1" applyAlignment="1">
      <alignment vertical="center" wrapText="1"/>
    </xf>
    <xf numFmtId="166" fontId="42" fillId="0" borderId="36" xfId="0" applyNumberFormat="1" applyFont="1" applyBorder="1" applyAlignment="1">
      <alignment horizontal="center" vertical="center" wrapText="1"/>
    </xf>
    <xf numFmtId="10" fontId="42" fillId="0" borderId="36" xfId="1" applyNumberFormat="1" applyFont="1" applyBorder="1" applyAlignment="1">
      <alignment horizontal="center" vertical="center" wrapText="1"/>
    </xf>
    <xf numFmtId="0" fontId="42" fillId="0" borderId="36" xfId="0" applyFont="1" applyBorder="1" applyAlignment="1">
      <alignment horizontal="center" vertical="center"/>
    </xf>
    <xf numFmtId="0" fontId="42" fillId="4" borderId="57" xfId="0" applyFont="1" applyFill="1" applyBorder="1" applyAlignment="1">
      <alignment horizontal="center" vertical="center" wrapText="1"/>
    </xf>
    <xf numFmtId="0" fontId="42" fillId="3" borderId="7" xfId="0" applyFont="1" applyFill="1" applyBorder="1" applyAlignment="1">
      <alignment horizontal="center" vertical="center" wrapText="1"/>
    </xf>
    <xf numFmtId="0" fontId="42" fillId="10" borderId="26" xfId="0" applyFont="1" applyFill="1" applyBorder="1" applyAlignment="1">
      <alignment horizontal="center" vertical="center" wrapText="1"/>
    </xf>
    <xf numFmtId="9" fontId="42" fillId="2" borderId="17" xfId="1" applyFont="1" applyFill="1" applyBorder="1" applyAlignment="1">
      <alignment horizontal="center" vertical="center"/>
    </xf>
    <xf numFmtId="10" fontId="42" fillId="2" borderId="35" xfId="1" applyNumberFormat="1" applyFont="1" applyFill="1" applyBorder="1" applyAlignment="1">
      <alignment horizontal="center" vertical="center"/>
    </xf>
    <xf numFmtId="10" fontId="42" fillId="2" borderId="37" xfId="1" applyNumberFormat="1" applyFont="1" applyFill="1" applyBorder="1" applyAlignment="1">
      <alignment horizontal="center" vertical="center"/>
    </xf>
    <xf numFmtId="0" fontId="42" fillId="0" borderId="57" xfId="0" applyFont="1" applyBorder="1" applyAlignment="1">
      <alignment horizontal="center" vertical="center"/>
    </xf>
    <xf numFmtId="0" fontId="42" fillId="0" borderId="17" xfId="0" applyFont="1" applyBorder="1" applyAlignment="1">
      <alignment horizontal="center" vertical="center"/>
    </xf>
    <xf numFmtId="0" fontId="42" fillId="0" borderId="35" xfId="0" applyFont="1" applyBorder="1" applyAlignment="1">
      <alignment horizontal="center" vertical="center"/>
    </xf>
    <xf numFmtId="0" fontId="42" fillId="0" borderId="7" xfId="0" applyFont="1" applyBorder="1" applyAlignment="1">
      <alignment horizontal="center" vertical="center"/>
    </xf>
    <xf numFmtId="10" fontId="42" fillId="0" borderId="7" xfId="1" applyNumberFormat="1" applyFont="1" applyBorder="1" applyAlignment="1">
      <alignment horizontal="center" vertical="center"/>
    </xf>
    <xf numFmtId="10" fontId="42" fillId="0" borderId="26" xfId="1" applyNumberFormat="1" applyFont="1" applyBorder="1" applyAlignment="1">
      <alignment horizontal="center" vertical="center"/>
    </xf>
    <xf numFmtId="0" fontId="42" fillId="0" borderId="37" xfId="0" applyFont="1" applyBorder="1" applyAlignment="1">
      <alignment vertical="center" wrapText="1"/>
    </xf>
    <xf numFmtId="0" fontId="47" fillId="0" borderId="18" xfId="0" applyFont="1" applyBorder="1" applyAlignment="1">
      <alignment vertical="center" wrapText="1"/>
    </xf>
    <xf numFmtId="0" fontId="47" fillId="0" borderId="7" xfId="0" applyFont="1" applyBorder="1" applyAlignment="1">
      <alignment vertical="center" wrapText="1"/>
    </xf>
    <xf numFmtId="0" fontId="42" fillId="0" borderId="7" xfId="0" applyFont="1" applyBorder="1"/>
    <xf numFmtId="0" fontId="42" fillId="0" borderId="16" xfId="0" applyFont="1" applyBorder="1"/>
    <xf numFmtId="0" fontId="47" fillId="0" borderId="7" xfId="0" applyFont="1" applyFill="1" applyBorder="1" applyAlignment="1">
      <alignment vertical="center" wrapText="1"/>
    </xf>
    <xf numFmtId="0" fontId="42" fillId="0" borderId="7" xfId="0" applyFont="1" applyFill="1" applyBorder="1" applyAlignment="1">
      <alignment vertical="center" wrapText="1"/>
    </xf>
    <xf numFmtId="9" fontId="41" fillId="0" borderId="7" xfId="0" applyNumberFormat="1" applyFont="1" applyFill="1" applyBorder="1" applyAlignment="1">
      <alignment horizontal="center" vertical="center" wrapText="1"/>
    </xf>
    <xf numFmtId="9" fontId="42" fillId="0" borderId="7" xfId="0" applyNumberFormat="1" applyFont="1" applyFill="1" applyBorder="1" applyAlignment="1">
      <alignment horizontal="center" vertical="center" wrapText="1"/>
    </xf>
    <xf numFmtId="9" fontId="42" fillId="0" borderId="7" xfId="1" applyFont="1" applyFill="1" applyBorder="1" applyAlignment="1">
      <alignment horizontal="center" vertical="center" wrapText="1"/>
    </xf>
    <xf numFmtId="0" fontId="42" fillId="0" borderId="7" xfId="0" applyFont="1" applyFill="1" applyBorder="1" applyAlignment="1">
      <alignment horizontal="center" vertical="center" wrapText="1"/>
    </xf>
    <xf numFmtId="167" fontId="42" fillId="0" borderId="7" xfId="0" applyNumberFormat="1" applyFont="1" applyFill="1" applyBorder="1" applyAlignment="1">
      <alignment vertical="center" wrapText="1"/>
    </xf>
    <xf numFmtId="166" fontId="42" fillId="0" borderId="16" xfId="0" applyNumberFormat="1" applyFont="1" applyFill="1" applyBorder="1" applyAlignment="1">
      <alignment vertical="center" wrapText="1"/>
    </xf>
    <xf numFmtId="166" fontId="42" fillId="0" borderId="36" xfId="0" applyNumberFormat="1" applyFont="1" applyFill="1" applyBorder="1" applyAlignment="1">
      <alignment horizontal="center" vertical="center" wrapText="1"/>
    </xf>
    <xf numFmtId="10" fontId="42" fillId="0" borderId="36" xfId="1" applyNumberFormat="1" applyFont="1" applyFill="1" applyBorder="1" applyAlignment="1">
      <alignment horizontal="center" vertical="center" wrapText="1"/>
    </xf>
    <xf numFmtId="10" fontId="42" fillId="0" borderId="36" xfId="1" applyNumberFormat="1" applyFont="1" applyFill="1" applyBorder="1" applyAlignment="1">
      <alignment horizontal="center" vertical="center"/>
    </xf>
    <xf numFmtId="0" fontId="42" fillId="3" borderId="7" xfId="0" quotePrefix="1" applyFont="1" applyFill="1" applyBorder="1" applyAlignment="1">
      <alignment horizontal="center" vertical="center" wrapText="1"/>
    </xf>
    <xf numFmtId="10" fontId="42" fillId="0" borderId="57" xfId="1" applyNumberFormat="1" applyFont="1" applyBorder="1" applyAlignment="1">
      <alignment horizontal="center" vertical="center"/>
    </xf>
    <xf numFmtId="10" fontId="42" fillId="0" borderId="17" xfId="1" applyNumberFormat="1" applyFont="1" applyBorder="1" applyAlignment="1">
      <alignment horizontal="center" vertical="center"/>
    </xf>
    <xf numFmtId="10" fontId="42" fillId="0" borderId="35" xfId="1" applyNumberFormat="1" applyFont="1" applyBorder="1" applyAlignment="1">
      <alignment horizontal="center" vertical="center"/>
    </xf>
    <xf numFmtId="0" fontId="42" fillId="0" borderId="67" xfId="0" applyFont="1" applyBorder="1" applyAlignment="1">
      <alignment horizontal="center" vertical="center" wrapText="1"/>
    </xf>
    <xf numFmtId="0" fontId="47" fillId="0" borderId="54" xfId="0" applyFont="1" applyBorder="1" applyAlignment="1">
      <alignment vertical="center" wrapText="1"/>
    </xf>
    <xf numFmtId="0" fontId="47" fillId="0" borderId="13" xfId="0" applyFont="1" applyBorder="1" applyAlignment="1">
      <alignment vertical="center" wrapText="1"/>
    </xf>
    <xf numFmtId="0" fontId="42" fillId="0" borderId="13" xfId="0" applyFont="1" applyBorder="1"/>
    <xf numFmtId="0" fontId="42" fillId="0" borderId="64" xfId="0" applyFont="1" applyBorder="1"/>
    <xf numFmtId="0" fontId="42" fillId="0" borderId="13" xfId="0" applyFont="1" applyFill="1" applyBorder="1" applyAlignment="1">
      <alignment vertical="center" wrapText="1"/>
    </xf>
    <xf numFmtId="0" fontId="42" fillId="7" borderId="13" xfId="0" applyFont="1" applyFill="1" applyBorder="1" applyAlignment="1">
      <alignment vertical="center" wrapText="1"/>
    </xf>
    <xf numFmtId="9" fontId="41" fillId="0" borderId="13" xfId="0" applyNumberFormat="1" applyFont="1" applyFill="1" applyBorder="1" applyAlignment="1">
      <alignment horizontal="center" vertical="center" wrapText="1"/>
    </xf>
    <xf numFmtId="9" fontId="42" fillId="0" borderId="13" xfId="0" applyNumberFormat="1" applyFont="1" applyFill="1" applyBorder="1" applyAlignment="1">
      <alignment horizontal="center" vertical="center" wrapText="1"/>
    </xf>
    <xf numFmtId="9" fontId="42" fillId="0" borderId="13" xfId="1" applyFont="1" applyFill="1" applyBorder="1" applyAlignment="1">
      <alignment horizontal="center" vertical="center" wrapText="1"/>
    </xf>
    <xf numFmtId="0" fontId="42" fillId="0" borderId="13" xfId="0" applyFont="1" applyBorder="1" applyAlignment="1">
      <alignment horizontal="center" vertical="center" wrapText="1"/>
    </xf>
    <xf numFmtId="167" fontId="42" fillId="0" borderId="13" xfId="0" applyNumberFormat="1" applyFont="1" applyFill="1" applyBorder="1" applyAlignment="1">
      <alignment vertical="center" wrapText="1"/>
    </xf>
    <xf numFmtId="166" fontId="42" fillId="0" borderId="64" xfId="0" applyNumberFormat="1" applyFont="1" applyBorder="1" applyAlignment="1">
      <alignment vertical="center" wrapText="1"/>
    </xf>
    <xf numFmtId="166" fontId="42" fillId="0" borderId="8" xfId="0" applyNumberFormat="1" applyFont="1" applyBorder="1" applyAlignment="1">
      <alignment horizontal="center" vertical="center" wrapText="1"/>
    </xf>
    <xf numFmtId="10" fontId="42" fillId="0" borderId="8" xfId="1" applyNumberFormat="1" applyFont="1" applyBorder="1" applyAlignment="1">
      <alignment horizontal="center" vertical="center" wrapText="1"/>
    </xf>
    <xf numFmtId="0" fontId="42" fillId="0" borderId="8" xfId="0" applyFont="1" applyFill="1" applyBorder="1" applyAlignment="1">
      <alignment horizontal="center" vertical="center"/>
    </xf>
    <xf numFmtId="9" fontId="42" fillId="2" borderId="50" xfId="1" applyFont="1" applyFill="1" applyBorder="1" applyAlignment="1">
      <alignment horizontal="center" vertical="center"/>
    </xf>
    <xf numFmtId="10" fontId="42" fillId="2" borderId="42" xfId="1" applyNumberFormat="1" applyFont="1" applyFill="1" applyBorder="1" applyAlignment="1">
      <alignment horizontal="center" vertical="center"/>
    </xf>
    <xf numFmtId="10" fontId="42" fillId="2" borderId="43" xfId="1" applyNumberFormat="1" applyFont="1" applyFill="1" applyBorder="1" applyAlignment="1">
      <alignment horizontal="center" vertical="center"/>
    </xf>
    <xf numFmtId="0" fontId="42" fillId="0" borderId="12" xfId="0" applyFont="1" applyBorder="1" applyAlignment="1">
      <alignment horizontal="center" vertical="center"/>
    </xf>
    <xf numFmtId="0" fontId="42" fillId="0" borderId="50" xfId="0" applyFont="1" applyBorder="1" applyAlignment="1">
      <alignment horizontal="center" vertical="center"/>
    </xf>
    <xf numFmtId="0" fontId="42" fillId="0" borderId="42" xfId="0" applyFont="1" applyBorder="1" applyAlignment="1">
      <alignment horizontal="center" vertical="center"/>
    </xf>
    <xf numFmtId="0" fontId="42" fillId="0" borderId="13" xfId="0" applyFont="1" applyBorder="1" applyAlignment="1">
      <alignment horizontal="center" vertical="center"/>
    </xf>
    <xf numFmtId="10" fontId="42" fillId="0" borderId="13" xfId="1" applyNumberFormat="1" applyFont="1" applyBorder="1" applyAlignment="1">
      <alignment horizontal="center" vertical="center"/>
    </xf>
    <xf numFmtId="10" fontId="42" fillId="0" borderId="14" xfId="1" applyNumberFormat="1" applyFont="1" applyBorder="1" applyAlignment="1">
      <alignment horizontal="center" vertical="center"/>
    </xf>
    <xf numFmtId="0" fontId="42" fillId="0" borderId="43" xfId="0" applyFont="1" applyBorder="1" applyAlignment="1">
      <alignment vertical="center" wrapText="1"/>
    </xf>
    <xf numFmtId="0" fontId="42" fillId="8" borderId="33" xfId="0" applyFont="1" applyFill="1" applyBorder="1" applyAlignment="1">
      <alignment horizontal="left" vertical="center" wrapText="1"/>
    </xf>
    <xf numFmtId="0" fontId="42" fillId="8" borderId="59" xfId="0" applyFont="1" applyFill="1" applyBorder="1" applyAlignment="1">
      <alignment vertical="center" wrapText="1"/>
    </xf>
    <xf numFmtId="0" fontId="42" fillId="8" borderId="68" xfId="0" applyFont="1" applyFill="1" applyBorder="1" applyAlignment="1">
      <alignment horizontal="center" vertical="center" wrapText="1"/>
    </xf>
    <xf numFmtId="0" fontId="43" fillId="8" borderId="60" xfId="0" applyFont="1" applyFill="1" applyBorder="1" applyAlignment="1">
      <alignment vertical="center" wrapText="1"/>
    </xf>
    <xf numFmtId="0" fontId="43" fillId="8" borderId="61" xfId="0" applyFont="1" applyFill="1" applyBorder="1" applyAlignment="1">
      <alignment vertical="center" wrapText="1"/>
    </xf>
    <xf numFmtId="0" fontId="43" fillId="8" borderId="61" xfId="0" applyFont="1" applyFill="1" applyBorder="1" applyAlignment="1">
      <alignment horizontal="center" vertical="center" wrapText="1"/>
    </xf>
    <xf numFmtId="9" fontId="45" fillId="8" borderId="61" xfId="0" applyNumberFormat="1" applyFont="1" applyFill="1" applyBorder="1" applyAlignment="1">
      <alignment horizontal="center" vertical="center" wrapText="1"/>
    </xf>
    <xf numFmtId="9" fontId="46" fillId="8" borderId="61" xfId="0" applyNumberFormat="1" applyFont="1" applyFill="1" applyBorder="1" applyAlignment="1">
      <alignment horizontal="center" vertical="center" wrapText="1"/>
    </xf>
    <xf numFmtId="9" fontId="46" fillId="8" borderId="61" xfId="1" applyFont="1" applyFill="1" applyBorder="1" applyAlignment="1">
      <alignment horizontal="center" vertical="center" wrapText="1"/>
    </xf>
    <xf numFmtId="0" fontId="46" fillId="8" borderId="61" xfId="0" applyFont="1" applyFill="1" applyBorder="1" applyAlignment="1">
      <alignment vertical="center" wrapText="1"/>
    </xf>
    <xf numFmtId="0" fontId="46" fillId="8" borderId="61" xfId="0" applyFont="1" applyFill="1" applyBorder="1" applyAlignment="1">
      <alignment horizontal="center" vertical="center" wrapText="1"/>
    </xf>
    <xf numFmtId="167" fontId="46" fillId="8" borderId="61" xfId="0" applyNumberFormat="1" applyFont="1" applyFill="1" applyBorder="1" applyAlignment="1">
      <alignment vertical="center" wrapText="1"/>
    </xf>
    <xf numFmtId="166" fontId="46" fillId="8" borderId="62" xfId="0" applyNumberFormat="1" applyFont="1" applyFill="1" applyBorder="1" applyAlignment="1">
      <alignment vertical="center" wrapText="1"/>
    </xf>
    <xf numFmtId="166" fontId="42" fillId="8" borderId="33" xfId="0" applyNumberFormat="1" applyFont="1" applyFill="1" applyBorder="1" applyAlignment="1">
      <alignment horizontal="center" vertical="center" wrapText="1"/>
    </xf>
    <xf numFmtId="10" fontId="42" fillId="8" borderId="33" xfId="1" applyNumberFormat="1" applyFont="1" applyFill="1" applyBorder="1" applyAlignment="1">
      <alignment horizontal="center" vertical="center" wrapText="1"/>
    </xf>
    <xf numFmtId="10" fontId="42" fillId="8" borderId="33" xfId="0" applyNumberFormat="1" applyFont="1" applyFill="1" applyBorder="1" applyAlignment="1">
      <alignment horizontal="center" vertical="center"/>
    </xf>
    <xf numFmtId="10" fontId="42" fillId="4" borderId="59" xfId="0" applyNumberFormat="1" applyFont="1" applyFill="1" applyBorder="1" applyAlignment="1">
      <alignment horizontal="center" vertical="center" wrapText="1"/>
    </xf>
    <xf numFmtId="10" fontId="42" fillId="3" borderId="63" xfId="0" applyNumberFormat="1" applyFont="1" applyFill="1" applyBorder="1" applyAlignment="1">
      <alignment horizontal="center" vertical="center" wrapText="1"/>
    </xf>
    <xf numFmtId="10" fontId="42" fillId="10" borderId="72" xfId="0" applyNumberFormat="1" applyFont="1" applyFill="1" applyBorder="1" applyAlignment="1">
      <alignment horizontal="center" vertical="center" wrapText="1"/>
    </xf>
    <xf numFmtId="9" fontId="42" fillId="2" borderId="2" xfId="1" applyFont="1" applyFill="1" applyBorder="1" applyAlignment="1">
      <alignment horizontal="center" vertical="center"/>
    </xf>
    <xf numFmtId="10" fontId="42" fillId="2" borderId="1" xfId="1" applyNumberFormat="1" applyFont="1" applyFill="1" applyBorder="1" applyAlignment="1">
      <alignment horizontal="center" vertical="center"/>
    </xf>
    <xf numFmtId="10" fontId="42" fillId="2" borderId="3" xfId="1" applyNumberFormat="1" applyFont="1" applyFill="1" applyBorder="1" applyAlignment="1">
      <alignment horizontal="center" vertical="center"/>
    </xf>
    <xf numFmtId="10" fontId="42" fillId="8" borderId="1" xfId="0" applyNumberFormat="1" applyFont="1" applyFill="1" applyBorder="1" applyAlignment="1">
      <alignment horizontal="center" vertical="center"/>
    </xf>
    <xf numFmtId="10" fontId="42" fillId="8" borderId="62" xfId="0" applyNumberFormat="1" applyFont="1" applyFill="1" applyBorder="1" applyAlignment="1">
      <alignment horizontal="center" vertical="center"/>
    </xf>
    <xf numFmtId="10" fontId="42" fillId="8" borderId="59" xfId="0" applyNumberFormat="1" applyFont="1" applyFill="1" applyBorder="1" applyAlignment="1">
      <alignment horizontal="center" vertical="center"/>
    </xf>
    <xf numFmtId="10" fontId="42" fillId="8" borderId="61" xfId="0" applyNumberFormat="1" applyFont="1" applyFill="1" applyBorder="1" applyAlignment="1">
      <alignment horizontal="center" vertical="center"/>
    </xf>
    <xf numFmtId="10" fontId="42" fillId="8" borderId="61" xfId="1" applyNumberFormat="1" applyFont="1" applyFill="1" applyBorder="1" applyAlignment="1">
      <alignment horizontal="center" vertical="center"/>
    </xf>
    <xf numFmtId="10" fontId="42" fillId="8" borderId="72" xfId="1" applyNumberFormat="1" applyFont="1" applyFill="1" applyBorder="1" applyAlignment="1">
      <alignment horizontal="center" vertical="center"/>
    </xf>
    <xf numFmtId="0" fontId="47" fillId="0" borderId="33" xfId="0" applyFont="1" applyBorder="1" applyAlignment="1">
      <alignment vertical="center" wrapText="1"/>
    </xf>
    <xf numFmtId="0" fontId="42" fillId="0" borderId="33" xfId="0" applyFont="1" applyBorder="1" applyAlignment="1">
      <alignment horizontal="left" vertical="center" wrapText="1"/>
    </xf>
    <xf numFmtId="0" fontId="42" fillId="0" borderId="59" xfId="0" applyFont="1" applyBorder="1" applyAlignment="1">
      <alignment horizontal="left" vertical="center"/>
    </xf>
    <xf numFmtId="0" fontId="42" fillId="0" borderId="89" xfId="0" applyFont="1" applyBorder="1" applyAlignment="1">
      <alignment horizontal="center" vertical="center"/>
    </xf>
    <xf numFmtId="0" fontId="47" fillId="0" borderId="23" xfId="0" applyFont="1" applyBorder="1" applyAlignment="1">
      <alignment vertical="center" wrapText="1"/>
    </xf>
    <xf numFmtId="0" fontId="47" fillId="0" borderId="63" xfId="0" applyFont="1" applyBorder="1" applyAlignment="1">
      <alignment vertical="center" wrapText="1"/>
    </xf>
    <xf numFmtId="0" fontId="42" fillId="0" borderId="63" xfId="0" applyFont="1" applyBorder="1"/>
    <xf numFmtId="0" fontId="42" fillId="0" borderId="38" xfId="0" applyFont="1" applyBorder="1"/>
    <xf numFmtId="0" fontId="42" fillId="0" borderId="63" xfId="0" applyFont="1" applyFill="1" applyBorder="1" applyAlignment="1">
      <alignment vertical="center" wrapText="1"/>
    </xf>
    <xf numFmtId="0" fontId="42" fillId="7" borderId="63" xfId="0" applyFont="1" applyFill="1" applyBorder="1" applyAlignment="1">
      <alignment vertical="center" wrapText="1"/>
    </xf>
    <xf numFmtId="9" fontId="41" fillId="0" borderId="63" xfId="0" applyNumberFormat="1" applyFont="1" applyFill="1" applyBorder="1" applyAlignment="1">
      <alignment horizontal="center" vertical="center" wrapText="1"/>
    </xf>
    <xf numFmtId="9" fontId="42" fillId="0" borderId="63" xfId="0" applyNumberFormat="1" applyFont="1" applyFill="1" applyBorder="1" applyAlignment="1">
      <alignment horizontal="center" vertical="center" wrapText="1"/>
    </xf>
    <xf numFmtId="9" fontId="42" fillId="0" borderId="63" xfId="1" applyFont="1" applyFill="1" applyBorder="1" applyAlignment="1">
      <alignment horizontal="center" vertical="center" wrapText="1"/>
    </xf>
    <xf numFmtId="0" fontId="42" fillId="0" borderId="63" xfId="0" applyFont="1" applyBorder="1" applyAlignment="1">
      <alignment horizontal="center" vertical="center" wrapText="1"/>
    </xf>
    <xf numFmtId="167" fontId="42" fillId="0" borderId="63" xfId="0" applyNumberFormat="1" applyFont="1" applyFill="1" applyBorder="1" applyAlignment="1">
      <alignment vertical="center" wrapText="1"/>
    </xf>
    <xf numFmtId="166" fontId="42" fillId="0" borderId="38" xfId="0" applyNumberFormat="1" applyFont="1" applyBorder="1" applyAlignment="1">
      <alignment vertical="center" wrapText="1"/>
    </xf>
    <xf numFmtId="166" fontId="42" fillId="0" borderId="29" xfId="0" applyNumberFormat="1" applyFont="1" applyBorder="1" applyAlignment="1">
      <alignment horizontal="center" vertical="center" wrapText="1"/>
    </xf>
    <xf numFmtId="1" fontId="42" fillId="0" borderId="29" xfId="0" applyNumberFormat="1" applyFont="1" applyBorder="1" applyAlignment="1">
      <alignment horizontal="center" vertical="center" wrapText="1"/>
    </xf>
    <xf numFmtId="10" fontId="42" fillId="0" borderId="29" xfId="0" applyNumberFormat="1" applyFont="1" applyBorder="1" applyAlignment="1">
      <alignment horizontal="center" vertical="center"/>
    </xf>
    <xf numFmtId="10" fontId="42" fillId="4" borderId="51" xfId="0" applyNumberFormat="1" applyFont="1" applyFill="1" applyBorder="1" applyAlignment="1">
      <alignment horizontal="center" vertical="center" wrapText="1"/>
    </xf>
    <xf numFmtId="10" fontId="42" fillId="10" borderId="76" xfId="0" applyNumberFormat="1" applyFont="1" applyFill="1" applyBorder="1" applyAlignment="1">
      <alignment horizontal="center" vertical="center" wrapText="1"/>
    </xf>
    <xf numFmtId="9" fontId="42" fillId="2" borderId="34" xfId="1" applyFont="1" applyFill="1" applyBorder="1" applyAlignment="1">
      <alignment horizontal="center" vertical="center"/>
    </xf>
    <xf numFmtId="10" fontId="42" fillId="2" borderId="22" xfId="1" applyNumberFormat="1" applyFont="1" applyFill="1" applyBorder="1" applyAlignment="1">
      <alignment horizontal="center" vertical="center"/>
    </xf>
    <xf numFmtId="10" fontId="42" fillId="2" borderId="30" xfId="1" applyNumberFormat="1" applyFont="1" applyFill="1" applyBorder="1" applyAlignment="1">
      <alignment horizontal="center" vertical="center"/>
    </xf>
    <xf numFmtId="10" fontId="42" fillId="0" borderId="51" xfId="0" applyNumberFormat="1" applyFont="1" applyBorder="1" applyAlignment="1">
      <alignment horizontal="center" vertical="center"/>
    </xf>
    <xf numFmtId="10" fontId="42" fillId="0" borderId="34" xfId="0" applyNumberFormat="1" applyFont="1" applyBorder="1" applyAlignment="1">
      <alignment horizontal="center" vertical="center"/>
    </xf>
    <xf numFmtId="10" fontId="42" fillId="0" borderId="22" xfId="0" applyNumberFormat="1" applyFont="1" applyBorder="1" applyAlignment="1">
      <alignment horizontal="center" vertical="center"/>
    </xf>
    <xf numFmtId="10" fontId="42" fillId="0" borderId="63" xfId="0" applyNumberFormat="1" applyFont="1" applyBorder="1" applyAlignment="1">
      <alignment horizontal="center" vertical="center"/>
    </xf>
    <xf numFmtId="10" fontId="42" fillId="0" borderId="63" xfId="1" applyNumberFormat="1" applyFont="1" applyBorder="1" applyAlignment="1">
      <alignment horizontal="center" vertical="center"/>
    </xf>
    <xf numFmtId="10" fontId="42" fillId="0" borderId="76" xfId="1" applyNumberFormat="1" applyFont="1" applyBorder="1" applyAlignment="1">
      <alignment horizontal="center" vertical="center"/>
    </xf>
    <xf numFmtId="0" fontId="47" fillId="0" borderId="29" xfId="0" applyFont="1" applyBorder="1" applyAlignment="1">
      <alignment vertical="center" wrapText="1"/>
    </xf>
    <xf numFmtId="0" fontId="42" fillId="0" borderId="40" xfId="0" applyFont="1" applyBorder="1" applyAlignment="1">
      <alignment horizontal="left" vertical="center" wrapText="1"/>
    </xf>
    <xf numFmtId="0" fontId="42" fillId="7" borderId="10" xfId="0" applyFont="1" applyFill="1" applyBorder="1" applyAlignment="1">
      <alignment vertical="center" wrapText="1"/>
    </xf>
    <xf numFmtId="9" fontId="41" fillId="0" borderId="10" xfId="0" applyNumberFormat="1" applyFont="1" applyFill="1" applyBorder="1" applyAlignment="1">
      <alignment horizontal="center" vertical="center" wrapText="1"/>
    </xf>
    <xf numFmtId="9" fontId="42" fillId="0" borderId="10" xfId="0" applyNumberFormat="1" applyFont="1" applyFill="1" applyBorder="1" applyAlignment="1">
      <alignment horizontal="center" vertical="center" wrapText="1"/>
    </xf>
    <xf numFmtId="9" fontId="42" fillId="0" borderId="10" xfId="1" applyFont="1" applyFill="1" applyBorder="1" applyAlignment="1">
      <alignment horizontal="center" vertical="center" wrapText="1"/>
    </xf>
    <xf numFmtId="0" fontId="42" fillId="0" borderId="10" xfId="0" applyFont="1" applyFill="1" applyBorder="1" applyAlignment="1">
      <alignment vertical="center" wrapText="1"/>
    </xf>
    <xf numFmtId="0" fontId="42" fillId="0" borderId="10" xfId="0" applyFont="1" applyBorder="1" applyAlignment="1">
      <alignment horizontal="center" vertical="center" wrapText="1"/>
    </xf>
    <xf numFmtId="167" fontId="42" fillId="0" borderId="10" xfId="0" applyNumberFormat="1" applyFont="1" applyFill="1" applyBorder="1" applyAlignment="1">
      <alignment vertical="center" wrapText="1"/>
    </xf>
    <xf numFmtId="166" fontId="42" fillId="0" borderId="56" xfId="0" applyNumberFormat="1" applyFont="1" applyBorder="1" applyAlignment="1">
      <alignment vertical="center" wrapText="1"/>
    </xf>
    <xf numFmtId="0" fontId="42" fillId="0" borderId="81" xfId="0" applyFont="1" applyBorder="1" applyAlignment="1">
      <alignment horizontal="left" vertical="center" wrapText="1"/>
    </xf>
    <xf numFmtId="0" fontId="43" fillId="0" borderId="13" xfId="0" applyFont="1" applyBorder="1" applyAlignment="1">
      <alignment vertical="center" wrapText="1"/>
    </xf>
    <xf numFmtId="0" fontId="43" fillId="0" borderId="13" xfId="0" applyFont="1" applyBorder="1"/>
    <xf numFmtId="0" fontId="46" fillId="0" borderId="13" xfId="0" applyFont="1" applyFill="1" applyBorder="1" applyAlignment="1">
      <alignment vertical="center" wrapText="1"/>
    </xf>
    <xf numFmtId="10" fontId="42" fillId="0" borderId="70" xfId="1" applyNumberFormat="1" applyFont="1" applyBorder="1" applyAlignment="1">
      <alignment horizontal="center" vertical="center"/>
    </xf>
    <xf numFmtId="10" fontId="42" fillId="0" borderId="46" xfId="1" applyNumberFormat="1" applyFont="1" applyBorder="1" applyAlignment="1">
      <alignment horizontal="center" vertical="center"/>
    </xf>
    <xf numFmtId="0" fontId="42" fillId="0" borderId="40" xfId="0" applyFont="1" applyBorder="1" applyAlignment="1">
      <alignment vertical="center" wrapText="1"/>
    </xf>
    <xf numFmtId="0" fontId="43" fillId="0" borderId="48" xfId="0" applyFont="1" applyBorder="1" applyAlignment="1">
      <alignment horizontal="left" vertical="center" wrapText="1"/>
    </xf>
    <xf numFmtId="0" fontId="43" fillId="0" borderId="48" xfId="0" applyFont="1" applyBorder="1" applyAlignment="1">
      <alignment horizontal="left"/>
    </xf>
    <xf numFmtId="0" fontId="46" fillId="0" borderId="48" xfId="0" applyFont="1" applyFill="1" applyBorder="1" applyAlignment="1">
      <alignment vertical="center" wrapText="1"/>
    </xf>
    <xf numFmtId="0" fontId="42" fillId="7" borderId="48" xfId="0" applyFont="1" applyFill="1" applyBorder="1" applyAlignment="1">
      <alignment vertical="center" wrapText="1"/>
    </xf>
    <xf numFmtId="9" fontId="41" fillId="0" borderId="48" xfId="0" applyNumberFormat="1" applyFont="1" applyFill="1" applyBorder="1" applyAlignment="1">
      <alignment horizontal="center" vertical="center" wrapText="1"/>
    </xf>
    <xf numFmtId="9" fontId="42" fillId="0" borderId="48" xfId="0" applyNumberFormat="1" applyFont="1" applyFill="1" applyBorder="1" applyAlignment="1">
      <alignment horizontal="center" vertical="center" wrapText="1"/>
    </xf>
    <xf numFmtId="9" fontId="42" fillId="0" borderId="48" xfId="1" applyFont="1" applyFill="1" applyBorder="1" applyAlignment="1">
      <alignment horizontal="center" vertical="center" wrapText="1"/>
    </xf>
    <xf numFmtId="0" fontId="42" fillId="0" borderId="48" xfId="0" applyFont="1" applyFill="1" applyBorder="1" applyAlignment="1">
      <alignment vertical="center" wrapText="1"/>
    </xf>
    <xf numFmtId="0" fontId="42" fillId="0" borderId="48" xfId="0" applyFont="1" applyBorder="1" applyAlignment="1">
      <alignment horizontal="center" vertical="center" wrapText="1"/>
    </xf>
    <xf numFmtId="167" fontId="42" fillId="0" borderId="48" xfId="0" applyNumberFormat="1" applyFont="1" applyFill="1" applyBorder="1" applyAlignment="1">
      <alignment vertical="center" wrapText="1"/>
    </xf>
    <xf numFmtId="166" fontId="42" fillId="0" borderId="4" xfId="0" applyNumberFormat="1" applyFont="1" applyBorder="1" applyAlignment="1">
      <alignment vertical="center" wrapText="1"/>
    </xf>
    <xf numFmtId="0" fontId="42" fillId="0" borderId="8" xfId="0" applyFont="1" applyBorder="1" applyAlignment="1">
      <alignment vertical="center" wrapText="1"/>
    </xf>
    <xf numFmtId="0" fontId="43" fillId="0" borderId="15" xfId="0" applyFont="1" applyBorder="1" applyAlignment="1">
      <alignment horizontal="left" vertical="center" wrapText="1"/>
    </xf>
    <xf numFmtId="0" fontId="43" fillId="0" borderId="15" xfId="0" applyFont="1" applyBorder="1" applyAlignment="1">
      <alignment horizontal="left"/>
    </xf>
    <xf numFmtId="0" fontId="46" fillId="0" borderId="15" xfId="0" applyFont="1" applyFill="1" applyBorder="1" applyAlignment="1">
      <alignment vertical="center" wrapText="1"/>
    </xf>
    <xf numFmtId="0" fontId="42" fillId="7" borderId="15" xfId="0" applyFont="1" applyFill="1" applyBorder="1" applyAlignment="1">
      <alignment vertical="center" wrapText="1"/>
    </xf>
    <xf numFmtId="9" fontId="41" fillId="0" borderId="15" xfId="0" applyNumberFormat="1" applyFont="1" applyFill="1" applyBorder="1" applyAlignment="1">
      <alignment horizontal="center" vertical="center" wrapText="1"/>
    </xf>
    <xf numFmtId="9" fontId="42" fillId="0" borderId="15" xfId="0" applyNumberFormat="1" applyFont="1" applyFill="1" applyBorder="1" applyAlignment="1">
      <alignment horizontal="center" vertical="center" wrapText="1"/>
    </xf>
    <xf numFmtId="9" fontId="42" fillId="0" borderId="15" xfId="1" applyFont="1" applyFill="1" applyBorder="1" applyAlignment="1">
      <alignment horizontal="center" vertical="center" wrapText="1"/>
    </xf>
    <xf numFmtId="0" fontId="42" fillId="0" borderId="15" xfId="0" applyFont="1" applyFill="1" applyBorder="1" applyAlignment="1">
      <alignment vertical="center" wrapText="1"/>
    </xf>
    <xf numFmtId="0" fontId="42" fillId="0" borderId="15" xfId="0" applyFont="1" applyBorder="1" applyAlignment="1">
      <alignment horizontal="center" vertical="center" wrapText="1"/>
    </xf>
    <xf numFmtId="167" fontId="42" fillId="0" borderId="15" xfId="0" applyNumberFormat="1" applyFont="1" applyFill="1" applyBorder="1" applyAlignment="1">
      <alignment vertical="center" wrapText="1"/>
    </xf>
    <xf numFmtId="166" fontId="42" fillId="0" borderId="20" xfId="0" applyNumberFormat="1" applyFont="1" applyBorder="1" applyAlignment="1">
      <alignment vertical="center" wrapText="1"/>
    </xf>
    <xf numFmtId="0" fontId="42" fillId="0" borderId="32" xfId="0" applyFont="1" applyBorder="1" applyAlignment="1">
      <alignment horizontal="left" vertical="center" wrapText="1"/>
    </xf>
    <xf numFmtId="0" fontId="42" fillId="0" borderId="64" xfId="0" applyFont="1" applyBorder="1" applyAlignment="1">
      <alignment horizontal="center" vertical="center" wrapText="1"/>
    </xf>
    <xf numFmtId="0" fontId="43" fillId="0" borderId="59" xfId="0" applyFont="1" applyBorder="1" applyAlignment="1">
      <alignment vertical="center" wrapText="1"/>
    </xf>
    <xf numFmtId="0" fontId="43" fillId="0" borderId="61" xfId="0" applyFont="1" applyBorder="1" applyAlignment="1">
      <alignment vertical="center" wrapText="1"/>
    </xf>
    <xf numFmtId="0" fontId="43" fillId="0" borderId="61" xfId="0" applyFont="1" applyBorder="1"/>
    <xf numFmtId="0" fontId="46" fillId="0" borderId="61" xfId="0" applyFont="1" applyFill="1" applyBorder="1" applyAlignment="1">
      <alignment vertical="center" wrapText="1"/>
    </xf>
    <xf numFmtId="0" fontId="42" fillId="7" borderId="61" xfId="0" applyFont="1" applyFill="1" applyBorder="1" applyAlignment="1">
      <alignment vertical="center" wrapText="1"/>
    </xf>
    <xf numFmtId="9" fontId="41" fillId="0" borderId="61" xfId="0" applyNumberFormat="1" applyFont="1" applyFill="1" applyBorder="1" applyAlignment="1">
      <alignment horizontal="center" vertical="center" wrapText="1"/>
    </xf>
    <xf numFmtId="9" fontId="42" fillId="0" borderId="61" xfId="0" applyNumberFormat="1" applyFont="1" applyFill="1" applyBorder="1" applyAlignment="1">
      <alignment horizontal="center" vertical="center" wrapText="1"/>
    </xf>
    <xf numFmtId="9" fontId="42" fillId="0" borderId="61" xfId="1" applyFont="1" applyFill="1" applyBorder="1" applyAlignment="1">
      <alignment horizontal="center" vertical="center" wrapText="1"/>
    </xf>
    <xf numFmtId="0" fontId="42" fillId="0" borderId="61" xfId="0" applyFont="1" applyFill="1" applyBorder="1" applyAlignment="1">
      <alignment vertical="center" wrapText="1"/>
    </xf>
    <xf numFmtId="0" fontId="42" fillId="0" borderId="61" xfId="0" applyFont="1" applyBorder="1" applyAlignment="1">
      <alignment horizontal="center" vertical="center" wrapText="1"/>
    </xf>
    <xf numFmtId="167" fontId="42" fillId="0" borderId="61" xfId="0" applyNumberFormat="1" applyFont="1" applyFill="1" applyBorder="1" applyAlignment="1">
      <alignment vertical="center" wrapText="1"/>
    </xf>
    <xf numFmtId="166" fontId="42" fillId="0" borderId="62" xfId="0" applyNumberFormat="1" applyFont="1" applyBorder="1" applyAlignment="1">
      <alignment vertical="center" wrapText="1"/>
    </xf>
    <xf numFmtId="166" fontId="42" fillId="0" borderId="33" xfId="0" applyNumberFormat="1" applyFont="1" applyBorder="1" applyAlignment="1">
      <alignment horizontal="center" vertical="center" wrapText="1"/>
    </xf>
    <xf numFmtId="1" fontId="42" fillId="0" borderId="33" xfId="0" applyNumberFormat="1" applyFont="1" applyBorder="1" applyAlignment="1">
      <alignment horizontal="center" vertical="center" wrapText="1"/>
    </xf>
    <xf numFmtId="10" fontId="42" fillId="0" borderId="33" xfId="1" applyNumberFormat="1" applyFont="1" applyBorder="1" applyAlignment="1">
      <alignment horizontal="center" vertical="center"/>
    </xf>
    <xf numFmtId="10" fontId="42" fillId="0" borderId="59" xfId="1" applyNumberFormat="1" applyFont="1" applyBorder="1" applyAlignment="1">
      <alignment horizontal="center" vertical="center" wrapText="1"/>
    </xf>
    <xf numFmtId="10" fontId="42" fillId="0" borderId="61" xfId="1" applyNumberFormat="1" applyFont="1" applyBorder="1" applyAlignment="1">
      <alignment horizontal="center" vertical="center" wrapText="1"/>
    </xf>
    <xf numFmtId="10" fontId="42" fillId="8" borderId="72" xfId="1" applyNumberFormat="1" applyFont="1" applyFill="1" applyBorder="1" applyAlignment="1">
      <alignment horizontal="center" vertical="center" wrapText="1"/>
    </xf>
    <xf numFmtId="9" fontId="42" fillId="0" borderId="2" xfId="1" applyFont="1" applyBorder="1" applyAlignment="1">
      <alignment horizontal="center" vertical="center"/>
    </xf>
    <xf numFmtId="10" fontId="42" fillId="0" borderId="1" xfId="1" applyNumberFormat="1" applyFont="1" applyBorder="1" applyAlignment="1">
      <alignment horizontal="center" vertical="center"/>
    </xf>
    <xf numFmtId="10" fontId="42" fillId="0" borderId="3" xfId="1" applyNumberFormat="1" applyFont="1" applyBorder="1" applyAlignment="1">
      <alignment horizontal="center" vertical="center"/>
    </xf>
    <xf numFmtId="10" fontId="42" fillId="0" borderId="59" xfId="1" applyNumberFormat="1" applyFont="1" applyBorder="1" applyAlignment="1">
      <alignment horizontal="center" vertical="center"/>
    </xf>
    <xf numFmtId="10" fontId="42" fillId="0" borderId="2" xfId="1" applyNumberFormat="1" applyFont="1" applyBorder="1" applyAlignment="1">
      <alignment horizontal="center" vertical="center"/>
    </xf>
    <xf numFmtId="10" fontId="42" fillId="0" borderId="61" xfId="1" applyNumberFormat="1" applyFont="1" applyBorder="1" applyAlignment="1">
      <alignment horizontal="center" vertical="center"/>
    </xf>
    <xf numFmtId="10" fontId="42" fillId="0" borderId="72" xfId="1" applyNumberFormat="1" applyFont="1" applyBorder="1" applyAlignment="1">
      <alignment horizontal="center" vertical="center"/>
    </xf>
    <xf numFmtId="0" fontId="42" fillId="0" borderId="3" xfId="0" applyFont="1" applyBorder="1" applyAlignment="1">
      <alignment vertical="center" wrapText="1"/>
    </xf>
    <xf numFmtId="0" fontId="42" fillId="0" borderId="59" xfId="0" applyFont="1" applyBorder="1" applyAlignment="1">
      <alignment horizontal="left" vertical="center" wrapText="1"/>
    </xf>
    <xf numFmtId="0" fontId="42" fillId="0" borderId="68" xfId="0" applyFont="1" applyBorder="1" applyAlignment="1">
      <alignment horizontal="center" vertical="center" wrapText="1"/>
    </xf>
    <xf numFmtId="0" fontId="47" fillId="0" borderId="60" xfId="0" applyFont="1" applyBorder="1" applyAlignment="1">
      <alignment vertical="center" wrapText="1"/>
    </xf>
    <xf numFmtId="0" fontId="47" fillId="0" borderId="61" xfId="0" applyFont="1" applyBorder="1" applyAlignment="1">
      <alignment vertical="center" wrapText="1"/>
    </xf>
    <xf numFmtId="0" fontId="42" fillId="0" borderId="60" xfId="0" applyFont="1" applyBorder="1"/>
    <xf numFmtId="0" fontId="42" fillId="0" borderId="62" xfId="0" applyFont="1" applyBorder="1"/>
    <xf numFmtId="0" fontId="47" fillId="0" borderId="62" xfId="0" applyFont="1" applyBorder="1" applyAlignment="1">
      <alignment vertical="center" wrapText="1"/>
    </xf>
    <xf numFmtId="0" fontId="42" fillId="0" borderId="60" xfId="0" applyFont="1" applyFill="1" applyBorder="1" applyAlignment="1">
      <alignment vertical="center" wrapText="1"/>
    </xf>
    <xf numFmtId="10" fontId="42" fillId="0" borderId="33" xfId="1" applyNumberFormat="1" applyFont="1" applyBorder="1" applyAlignment="1">
      <alignment horizontal="center" vertical="center" wrapText="1"/>
    </xf>
    <xf numFmtId="9" fontId="42" fillId="0" borderId="33" xfId="0" applyNumberFormat="1" applyFont="1" applyBorder="1" applyAlignment="1">
      <alignment horizontal="center" vertical="center"/>
    </xf>
    <xf numFmtId="10" fontId="42" fillId="4" borderId="9" xfId="0" applyNumberFormat="1" applyFont="1" applyFill="1" applyBorder="1" applyAlignment="1">
      <alignment horizontal="center" vertical="center" wrapText="1"/>
    </xf>
    <xf numFmtId="10" fontId="42" fillId="3" borderId="10" xfId="0" applyNumberFormat="1" applyFont="1" applyFill="1" applyBorder="1" applyAlignment="1">
      <alignment horizontal="center" vertical="center" wrapText="1"/>
    </xf>
    <xf numFmtId="10" fontId="42" fillId="10" borderId="11" xfId="0" applyNumberFormat="1" applyFont="1" applyFill="1" applyBorder="1" applyAlignment="1">
      <alignment horizontal="center" vertical="center" wrapText="1"/>
    </xf>
    <xf numFmtId="0" fontId="42" fillId="0" borderId="59" xfId="0" applyFont="1" applyBorder="1" applyAlignment="1">
      <alignment vertical="center"/>
    </xf>
    <xf numFmtId="10" fontId="42" fillId="0" borderId="2" xfId="0" applyNumberFormat="1" applyFont="1" applyBorder="1" applyAlignment="1">
      <alignment vertical="center"/>
    </xf>
    <xf numFmtId="0" fontId="42" fillId="0" borderId="1" xfId="0" applyFont="1" applyBorder="1" applyAlignment="1">
      <alignment horizontal="center" vertical="center"/>
    </xf>
    <xf numFmtId="0" fontId="42" fillId="0" borderId="59" xfId="0" applyFont="1" applyBorder="1" applyAlignment="1">
      <alignment horizontal="center" vertical="center"/>
    </xf>
    <xf numFmtId="10" fontId="42" fillId="0" borderId="3" xfId="1" applyNumberFormat="1" applyFont="1" applyBorder="1" applyAlignment="1">
      <alignment horizontal="left" vertical="center" wrapText="1"/>
    </xf>
    <xf numFmtId="0" fontId="43" fillId="8" borderId="52" xfId="0" applyFont="1" applyFill="1" applyBorder="1" applyAlignment="1">
      <alignment vertical="center" wrapText="1"/>
    </xf>
    <xf numFmtId="0" fontId="43" fillId="8" borderId="10" xfId="0" applyFont="1" applyFill="1" applyBorder="1" applyAlignment="1">
      <alignment vertical="center" wrapText="1"/>
    </xf>
    <xf numFmtId="0" fontId="43" fillId="8" borderId="52" xfId="0" applyFont="1" applyFill="1" applyBorder="1" applyAlignment="1">
      <alignment horizontal="left"/>
    </xf>
    <xf numFmtId="0" fontId="43" fillId="8" borderId="10" xfId="0" applyFont="1" applyFill="1" applyBorder="1" applyAlignment="1">
      <alignment horizontal="left"/>
    </xf>
    <xf numFmtId="0" fontId="42" fillId="8" borderId="52" xfId="0" applyFont="1" applyFill="1" applyBorder="1" applyAlignment="1">
      <alignment vertical="center" wrapText="1"/>
    </xf>
    <xf numFmtId="169" fontId="42" fillId="0" borderId="40" xfId="0" applyNumberFormat="1" applyFont="1" applyBorder="1" applyAlignment="1">
      <alignment horizontal="center" vertical="center" wrapText="1"/>
    </xf>
    <xf numFmtId="0" fontId="42" fillId="0" borderId="9" xfId="0" applyFont="1" applyBorder="1"/>
    <xf numFmtId="0" fontId="42" fillId="0" borderId="49" xfId="0" applyFont="1" applyBorder="1"/>
    <xf numFmtId="0" fontId="42" fillId="0" borderId="39" xfId="0" applyFont="1" applyBorder="1"/>
    <xf numFmtId="0" fontId="42" fillId="0" borderId="10" xfId="0" applyFont="1" applyBorder="1"/>
    <xf numFmtId="10" fontId="42" fillId="0" borderId="10" xfId="1" applyNumberFormat="1" applyFont="1" applyBorder="1"/>
    <xf numFmtId="10" fontId="42" fillId="0" borderId="11" xfId="1" applyNumberFormat="1" applyFont="1" applyBorder="1"/>
    <xf numFmtId="0" fontId="43" fillId="8" borderId="54" xfId="0" applyFont="1" applyFill="1" applyBorder="1" applyAlignment="1">
      <alignment vertical="center" wrapText="1"/>
    </xf>
    <xf numFmtId="0" fontId="43" fillId="8" borderId="13" xfId="0" applyFont="1" applyFill="1" applyBorder="1" applyAlignment="1">
      <alignment vertical="center" wrapText="1"/>
    </xf>
    <xf numFmtId="0" fontId="43" fillId="8" borderId="54" xfId="0" applyFont="1" applyFill="1" applyBorder="1"/>
    <xf numFmtId="0" fontId="43" fillId="8" borderId="13" xfId="0" applyFont="1" applyFill="1" applyBorder="1"/>
    <xf numFmtId="0" fontId="42" fillId="8" borderId="54" xfId="0" applyFont="1" applyFill="1" applyBorder="1" applyAlignment="1">
      <alignment vertical="center" wrapText="1"/>
    </xf>
    <xf numFmtId="169" fontId="42" fillId="0" borderId="8" xfId="0" applyNumberFormat="1" applyFont="1" applyBorder="1" applyAlignment="1">
      <alignment horizontal="center" vertical="center" wrapText="1"/>
    </xf>
    <xf numFmtId="9" fontId="42" fillId="0" borderId="8" xfId="0" applyNumberFormat="1" applyFont="1" applyBorder="1" applyAlignment="1">
      <alignment horizontal="center" vertical="center"/>
    </xf>
    <xf numFmtId="0" fontId="42" fillId="0" borderId="12" xfId="0" applyFont="1" applyBorder="1"/>
    <xf numFmtId="0" fontId="42" fillId="0" borderId="50" xfId="0" applyFont="1" applyBorder="1"/>
    <xf numFmtId="0" fontId="42" fillId="0" borderId="42" xfId="0" applyFont="1" applyBorder="1"/>
    <xf numFmtId="10" fontId="42" fillId="0" borderId="13" xfId="1" applyNumberFormat="1" applyFont="1" applyBorder="1"/>
    <xf numFmtId="0" fontId="42" fillId="0" borderId="52" xfId="0" applyFont="1" applyFill="1" applyBorder="1" applyAlignment="1">
      <alignment vertical="center" wrapText="1"/>
    </xf>
    <xf numFmtId="9" fontId="42" fillId="2" borderId="41" xfId="1" applyFont="1" applyFill="1" applyBorder="1" applyAlignment="1">
      <alignment horizontal="center" vertical="center"/>
    </xf>
    <xf numFmtId="0" fontId="42" fillId="0" borderId="18" xfId="0" applyFont="1" applyFill="1" applyBorder="1" applyAlignment="1">
      <alignment vertical="center" wrapText="1"/>
    </xf>
    <xf numFmtId="0" fontId="42" fillId="7" borderId="7" xfId="0" applyFont="1" applyFill="1" applyBorder="1" applyAlignment="1">
      <alignment vertical="center" wrapText="1"/>
    </xf>
    <xf numFmtId="0" fontId="42" fillId="0" borderId="7" xfId="0" applyFont="1" applyBorder="1" applyAlignment="1">
      <alignment horizontal="center" vertical="center" wrapText="1"/>
    </xf>
    <xf numFmtId="166" fontId="42" fillId="0" borderId="16" xfId="0" applyNumberFormat="1" applyFont="1" applyBorder="1" applyAlignment="1">
      <alignment vertical="center" wrapText="1"/>
    </xf>
    <xf numFmtId="0" fontId="42" fillId="0" borderId="54" xfId="0" applyFont="1" applyFill="1" applyBorder="1" applyAlignment="1">
      <alignment vertical="center" wrapText="1"/>
    </xf>
    <xf numFmtId="0" fontId="47" fillId="0" borderId="11" xfId="0" applyFont="1" applyBorder="1" applyAlignment="1">
      <alignment vertical="center" wrapText="1"/>
    </xf>
    <xf numFmtId="2" fontId="42" fillId="0" borderId="40" xfId="0" applyNumberFormat="1" applyFont="1" applyBorder="1" applyAlignment="1">
      <alignment horizontal="center" vertical="center"/>
    </xf>
    <xf numFmtId="41" fontId="42" fillId="2" borderId="41" xfId="42" applyFont="1" applyFill="1" applyBorder="1" applyAlignment="1">
      <alignment horizontal="center" vertical="center"/>
    </xf>
    <xf numFmtId="172" fontId="42" fillId="2" borderId="39" xfId="42" applyNumberFormat="1" applyFont="1" applyFill="1" applyBorder="1" applyAlignment="1">
      <alignment horizontal="center" vertical="center"/>
    </xf>
    <xf numFmtId="172" fontId="42" fillId="2" borderId="41" xfId="42" applyNumberFormat="1" applyFont="1" applyFill="1" applyBorder="1" applyAlignment="1">
      <alignment horizontal="center" vertical="center"/>
    </xf>
    <xf numFmtId="2" fontId="42" fillId="0" borderId="9" xfId="0" applyNumberFormat="1" applyFont="1" applyBorder="1" applyAlignment="1">
      <alignment horizontal="center" vertical="center"/>
    </xf>
    <xf numFmtId="2" fontId="42" fillId="0" borderId="10" xfId="0" applyNumberFormat="1" applyFont="1" applyFill="1" applyBorder="1" applyAlignment="1">
      <alignment horizontal="center" vertical="center"/>
    </xf>
    <xf numFmtId="2" fontId="42" fillId="0" borderId="10" xfId="0" applyNumberFormat="1" applyFont="1" applyBorder="1" applyAlignment="1">
      <alignment horizontal="center" vertical="center"/>
    </xf>
    <xf numFmtId="0" fontId="42" fillId="0" borderId="12" xfId="0" applyFont="1" applyBorder="1" applyAlignment="1">
      <alignment vertical="center" wrapText="1"/>
    </xf>
    <xf numFmtId="0" fontId="47" fillId="0" borderId="14" xfId="0" applyFont="1" applyBorder="1" applyAlignment="1">
      <alignment vertical="center" wrapText="1"/>
    </xf>
    <xf numFmtId="10" fontId="42" fillId="0" borderId="8" xfId="0" applyNumberFormat="1" applyFont="1" applyBorder="1" applyAlignment="1">
      <alignment horizontal="center" vertical="center"/>
    </xf>
    <xf numFmtId="10" fontId="42" fillId="4" borderId="12" xfId="0" applyNumberFormat="1" applyFont="1" applyFill="1" applyBorder="1" applyAlignment="1">
      <alignment horizontal="center" vertical="center" wrapText="1"/>
    </xf>
    <xf numFmtId="10" fontId="42" fillId="3" borderId="13" xfId="0" applyNumberFormat="1" applyFont="1" applyFill="1" applyBorder="1" applyAlignment="1">
      <alignment horizontal="center" vertical="center" wrapText="1"/>
    </xf>
    <xf numFmtId="10" fontId="42" fillId="10" borderId="14" xfId="0" applyNumberFormat="1" applyFont="1" applyFill="1" applyBorder="1" applyAlignment="1">
      <alignment horizontal="center" vertical="center" wrapText="1"/>
    </xf>
    <xf numFmtId="9" fontId="42" fillId="2" borderId="43" xfId="1" applyFont="1" applyFill="1" applyBorder="1" applyAlignment="1">
      <alignment horizontal="center" vertical="center"/>
    </xf>
    <xf numFmtId="10" fontId="42" fillId="2" borderId="24" xfId="0" applyNumberFormat="1" applyFont="1" applyFill="1" applyBorder="1" applyAlignment="1">
      <alignment horizontal="center" vertical="center"/>
    </xf>
    <xf numFmtId="10" fontId="42" fillId="2" borderId="80" xfId="0" applyNumberFormat="1" applyFont="1" applyFill="1" applyBorder="1" applyAlignment="1">
      <alignment horizontal="center" vertical="center"/>
    </xf>
    <xf numFmtId="10" fontId="42" fillId="0" borderId="12" xfId="0" applyNumberFormat="1" applyFont="1" applyBorder="1" applyAlignment="1">
      <alignment horizontal="center" vertical="center"/>
    </xf>
    <xf numFmtId="10" fontId="42" fillId="0" borderId="13" xfId="0" applyNumberFormat="1" applyFont="1" applyBorder="1" applyAlignment="1">
      <alignment horizontal="center" vertical="center"/>
    </xf>
    <xf numFmtId="10" fontId="42" fillId="2" borderId="39" xfId="0" applyNumberFormat="1" applyFont="1" applyFill="1" applyBorder="1" applyAlignment="1">
      <alignment horizontal="center" vertical="center"/>
    </xf>
    <xf numFmtId="10" fontId="42" fillId="2" borderId="41" xfId="0" applyNumberFormat="1" applyFont="1" applyFill="1" applyBorder="1" applyAlignment="1">
      <alignment horizontal="center" vertical="center"/>
    </xf>
    <xf numFmtId="10" fontId="42" fillId="0" borderId="41" xfId="1" applyNumberFormat="1" applyFont="1" applyBorder="1" applyAlignment="1">
      <alignment horizontal="left" vertical="center" wrapText="1"/>
    </xf>
    <xf numFmtId="10" fontId="42" fillId="2" borderId="35" xfId="0" applyNumberFormat="1" applyFont="1" applyFill="1" applyBorder="1" applyAlignment="1">
      <alignment horizontal="center" vertical="center"/>
    </xf>
    <xf numFmtId="10" fontId="42" fillId="2" borderId="37" xfId="0" applyNumberFormat="1" applyFont="1" applyFill="1" applyBorder="1" applyAlignment="1">
      <alignment horizontal="center" vertical="center"/>
    </xf>
    <xf numFmtId="10" fontId="42" fillId="0" borderId="57" xfId="0" applyNumberFormat="1" applyFont="1" applyBorder="1" applyAlignment="1">
      <alignment horizontal="center" vertical="center"/>
    </xf>
    <xf numFmtId="10" fontId="42" fillId="0" borderId="16" xfId="1" applyNumberFormat="1" applyFont="1" applyBorder="1" applyAlignment="1">
      <alignment horizontal="center" vertical="center"/>
    </xf>
    <xf numFmtId="10" fontId="42" fillId="0" borderId="35" xfId="0" applyNumberFormat="1" applyFont="1" applyBorder="1" applyAlignment="1">
      <alignment horizontal="center" vertical="center"/>
    </xf>
    <xf numFmtId="0" fontId="42" fillId="0" borderId="0" xfId="0" applyFont="1" applyBorder="1" applyAlignment="1">
      <alignment horizontal="left" vertical="center" wrapText="1"/>
    </xf>
    <xf numFmtId="10" fontId="42" fillId="2" borderId="42" xfId="0" applyNumberFormat="1" applyFont="1" applyFill="1" applyBorder="1" applyAlignment="1">
      <alignment horizontal="center" vertical="center"/>
    </xf>
    <xf numFmtId="10" fontId="42" fillId="2" borderId="43" xfId="0" applyNumberFormat="1" applyFont="1" applyFill="1" applyBorder="1" applyAlignment="1">
      <alignment horizontal="center" vertical="center"/>
    </xf>
    <xf numFmtId="10" fontId="42" fillId="0" borderId="64" xfId="1" applyNumberFormat="1" applyFont="1" applyBorder="1" applyAlignment="1">
      <alignment horizontal="center" vertical="center"/>
    </xf>
    <xf numFmtId="10" fontId="42" fillId="0" borderId="42" xfId="0" applyNumberFormat="1" applyFont="1" applyBorder="1" applyAlignment="1">
      <alignment horizontal="center" vertical="center"/>
    </xf>
    <xf numFmtId="10" fontId="42" fillId="0" borderId="43" xfId="1" applyNumberFormat="1" applyFont="1" applyBorder="1" applyAlignment="1">
      <alignment horizontal="left" vertical="center" wrapText="1"/>
    </xf>
    <xf numFmtId="0" fontId="42" fillId="0" borderId="0" xfId="0" applyFont="1"/>
    <xf numFmtId="0" fontId="42" fillId="0" borderId="0" xfId="0" applyFont="1" applyAlignment="1">
      <alignment horizontal="center"/>
    </xf>
    <xf numFmtId="0" fontId="41" fillId="0" borderId="0" xfId="0" applyFont="1"/>
    <xf numFmtId="0" fontId="42" fillId="0" borderId="0" xfId="0" applyFont="1" applyFill="1" applyAlignment="1">
      <alignment horizontal="center"/>
    </xf>
    <xf numFmtId="0" fontId="42" fillId="0" borderId="0" xfId="0" applyFont="1" applyAlignment="1">
      <alignment wrapText="1"/>
    </xf>
    <xf numFmtId="9" fontId="42" fillId="0" borderId="50" xfId="1" applyFont="1" applyBorder="1"/>
    <xf numFmtId="10" fontId="42" fillId="0" borderId="42" xfId="1" applyNumberFormat="1" applyFont="1" applyBorder="1"/>
    <xf numFmtId="10" fontId="42" fillId="0" borderId="43" xfId="1" applyNumberFormat="1" applyFont="1" applyBorder="1"/>
    <xf numFmtId="10" fontId="42" fillId="0" borderId="48" xfId="1" applyNumberFormat="1" applyFont="1" applyBorder="1" applyAlignment="1">
      <alignment horizontal="center" vertical="center"/>
    </xf>
    <xf numFmtId="10" fontId="42" fillId="0" borderId="80" xfId="1" applyNumberFormat="1" applyFont="1" applyBorder="1" applyAlignment="1">
      <alignment horizontal="center" vertical="center"/>
    </xf>
    <xf numFmtId="10" fontId="42" fillId="0" borderId="37" xfId="1" applyNumberFormat="1" applyFont="1" applyBorder="1" applyAlignment="1">
      <alignment horizontal="center" vertical="center"/>
    </xf>
    <xf numFmtId="10" fontId="42" fillId="0" borderId="43" xfId="1" applyNumberFormat="1" applyFont="1" applyBorder="1" applyAlignment="1">
      <alignment horizontal="center" vertical="center"/>
    </xf>
    <xf numFmtId="10" fontId="42" fillId="8" borderId="3" xfId="1" applyNumberFormat="1" applyFont="1" applyFill="1" applyBorder="1" applyAlignment="1">
      <alignment horizontal="center" vertical="center"/>
    </xf>
    <xf numFmtId="10" fontId="42" fillId="0" borderId="30" xfId="1" applyNumberFormat="1" applyFont="1" applyBorder="1" applyAlignment="1">
      <alignment horizontal="center" vertical="center"/>
    </xf>
    <xf numFmtId="10" fontId="42" fillId="0" borderId="58" xfId="1" applyNumberFormat="1" applyFont="1" applyBorder="1" applyAlignment="1">
      <alignment horizontal="center" vertical="center"/>
    </xf>
    <xf numFmtId="166" fontId="41" fillId="13" borderId="15" xfId="0" applyNumberFormat="1" applyFont="1" applyFill="1" applyBorder="1" applyAlignment="1">
      <alignment vertical="center"/>
    </xf>
    <xf numFmtId="166" fontId="41" fillId="13" borderId="71" xfId="0" applyNumberFormat="1" applyFont="1" applyFill="1" applyBorder="1" applyAlignment="1">
      <alignment vertical="center"/>
    </xf>
    <xf numFmtId="166" fontId="41" fillId="13" borderId="80" xfId="0" applyNumberFormat="1" applyFont="1" applyFill="1" applyBorder="1" applyAlignment="1">
      <alignment vertical="center"/>
    </xf>
    <xf numFmtId="10" fontId="42" fillId="0" borderId="73" xfId="1" applyNumberFormat="1" applyFont="1" applyBorder="1" applyAlignment="1">
      <alignment horizontal="center" vertical="center"/>
    </xf>
    <xf numFmtId="10" fontId="42" fillId="0" borderId="83" xfId="1" applyNumberFormat="1" applyFont="1" applyBorder="1" applyAlignment="1">
      <alignment horizontal="center" vertical="center"/>
    </xf>
    <xf numFmtId="0" fontId="42" fillId="0" borderId="30" xfId="0" applyFont="1" applyBorder="1" applyAlignment="1">
      <alignment vertical="center" wrapText="1"/>
    </xf>
    <xf numFmtId="166" fontId="42" fillId="0" borderId="40" xfId="0" applyNumberFormat="1" applyFont="1" applyBorder="1" applyAlignment="1">
      <alignment horizontal="center" vertical="center" wrapText="1"/>
    </xf>
    <xf numFmtId="0" fontId="42" fillId="0" borderId="91" xfId="0" applyFont="1" applyBorder="1" applyAlignment="1">
      <alignment horizontal="center" vertical="center" wrapText="1"/>
    </xf>
    <xf numFmtId="0" fontId="42" fillId="0" borderId="56" xfId="0" applyFont="1" applyBorder="1"/>
    <xf numFmtId="0" fontId="47" fillId="0" borderId="52" xfId="0" applyFont="1" applyBorder="1" applyAlignment="1">
      <alignment vertical="center" wrapText="1"/>
    </xf>
    <xf numFmtId="0" fontId="47" fillId="0" borderId="9" xfId="0" applyFont="1" applyBorder="1" applyAlignment="1">
      <alignment vertical="center" wrapText="1"/>
    </xf>
    <xf numFmtId="10" fontId="42" fillId="0" borderId="56" xfId="0" applyNumberFormat="1" applyFont="1" applyBorder="1" applyAlignment="1">
      <alignment horizontal="center" vertical="center"/>
    </xf>
    <xf numFmtId="0" fontId="42" fillId="0" borderId="49" xfId="0" applyFont="1" applyBorder="1" applyAlignment="1">
      <alignment vertical="center" wrapText="1"/>
    </xf>
    <xf numFmtId="0" fontId="47" fillId="0" borderId="95" xfId="0" applyFont="1" applyBorder="1" applyAlignment="1">
      <alignment vertical="center" wrapText="1"/>
    </xf>
    <xf numFmtId="10" fontId="42" fillId="0" borderId="70" xfId="1" applyNumberFormat="1" applyFont="1" applyBorder="1" applyAlignment="1">
      <alignment horizontal="center" vertical="center"/>
    </xf>
    <xf numFmtId="166" fontId="42" fillId="0" borderId="40" xfId="0" applyNumberFormat="1" applyFont="1" applyBorder="1" applyAlignment="1">
      <alignment horizontal="center" vertical="center" wrapText="1"/>
    </xf>
    <xf numFmtId="166" fontId="42" fillId="0" borderId="8" xfId="0" applyNumberFormat="1" applyFont="1" applyBorder="1" applyAlignment="1">
      <alignment horizontal="center" vertical="center" wrapText="1"/>
    </xf>
    <xf numFmtId="10" fontId="42" fillId="0" borderId="45" xfId="1" applyNumberFormat="1" applyFont="1" applyBorder="1" applyAlignment="1">
      <alignment horizontal="center" vertical="center"/>
    </xf>
    <xf numFmtId="10" fontId="42" fillId="0" borderId="48" xfId="1" applyNumberFormat="1" applyFont="1" applyBorder="1" applyAlignment="1">
      <alignment horizontal="center" vertical="center"/>
    </xf>
    <xf numFmtId="10" fontId="42" fillId="0" borderId="15" xfId="1" applyNumberFormat="1" applyFont="1" applyBorder="1" applyAlignment="1">
      <alignment horizontal="center" vertical="center"/>
    </xf>
    <xf numFmtId="10" fontId="42" fillId="0" borderId="77" xfId="1" applyNumberFormat="1" applyFont="1" applyBorder="1" applyAlignment="1">
      <alignment horizontal="center" vertical="center"/>
    </xf>
    <xf numFmtId="10" fontId="42" fillId="0" borderId="47" xfId="1" applyNumberFormat="1" applyFont="1" applyBorder="1" applyAlignment="1">
      <alignment horizontal="center" vertical="center"/>
    </xf>
    <xf numFmtId="166" fontId="42" fillId="0" borderId="84" xfId="0" applyNumberFormat="1" applyFont="1" applyBorder="1" applyAlignment="1">
      <alignment horizontal="center" vertical="center" wrapText="1"/>
    </xf>
    <xf numFmtId="0" fontId="42" fillId="0" borderId="31" xfId="0" applyFont="1" applyBorder="1" applyAlignment="1">
      <alignment horizontal="left" vertical="center" wrapText="1"/>
    </xf>
    <xf numFmtId="10" fontId="42" fillId="3" borderId="13" xfId="0" applyNumberFormat="1" applyFont="1" applyFill="1" applyBorder="1" applyAlignment="1">
      <alignment horizontal="center" vertical="center" wrapText="1"/>
    </xf>
    <xf numFmtId="10" fontId="42" fillId="3" borderId="70" xfId="0" applyNumberFormat="1" applyFont="1" applyFill="1" applyBorder="1" applyAlignment="1">
      <alignment horizontal="center" vertical="center" wrapText="1"/>
    </xf>
    <xf numFmtId="0" fontId="42" fillId="0" borderId="92" xfId="0" applyFont="1" applyBorder="1" applyAlignment="1">
      <alignment horizontal="center" vertical="center" wrapText="1"/>
    </xf>
    <xf numFmtId="0" fontId="42" fillId="0" borderId="94" xfId="0" applyFont="1" applyBorder="1" applyAlignment="1">
      <alignment horizontal="center" vertical="center" wrapText="1"/>
    </xf>
    <xf numFmtId="10" fontId="42" fillId="0" borderId="13" xfId="1" applyNumberFormat="1" applyFont="1" applyBorder="1" applyAlignment="1">
      <alignment horizontal="center" vertical="center"/>
    </xf>
    <xf numFmtId="10" fontId="42" fillId="0" borderId="12" xfId="1" applyNumberFormat="1" applyFont="1" applyBorder="1" applyAlignment="1">
      <alignment horizontal="center" vertical="center"/>
    </xf>
    <xf numFmtId="10" fontId="42" fillId="4" borderId="12" xfId="0" applyNumberFormat="1" applyFont="1" applyFill="1" applyBorder="1" applyAlignment="1">
      <alignment horizontal="center" vertical="center" wrapText="1"/>
    </xf>
    <xf numFmtId="10" fontId="42" fillId="4" borderId="45" xfId="0" applyNumberFormat="1" applyFont="1" applyFill="1" applyBorder="1" applyAlignment="1">
      <alignment horizontal="center" vertical="center" wrapText="1"/>
    </xf>
    <xf numFmtId="10" fontId="42" fillId="10" borderId="14" xfId="0" applyNumberFormat="1" applyFont="1" applyFill="1" applyBorder="1" applyAlignment="1">
      <alignment horizontal="center" vertical="center" wrapText="1"/>
    </xf>
    <xf numFmtId="10" fontId="42" fillId="10" borderId="46" xfId="0" applyNumberFormat="1" applyFont="1" applyFill="1" applyBorder="1" applyAlignment="1">
      <alignment horizontal="center" vertical="center" wrapText="1"/>
    </xf>
    <xf numFmtId="166" fontId="42" fillId="0" borderId="32" xfId="0" applyNumberFormat="1" applyFont="1" applyBorder="1" applyAlignment="1">
      <alignment horizontal="center" vertical="center" wrapText="1"/>
    </xf>
    <xf numFmtId="0" fontId="42" fillId="0" borderId="91" xfId="0" applyFont="1" applyBorder="1" applyAlignment="1">
      <alignment horizontal="center" vertical="center" wrapText="1"/>
    </xf>
    <xf numFmtId="0" fontId="42" fillId="0" borderId="85" xfId="0" applyFont="1" applyBorder="1" applyAlignment="1">
      <alignment horizontal="center" vertical="center" wrapText="1"/>
    </xf>
    <xf numFmtId="10" fontId="42" fillId="0" borderId="84" xfId="1" applyNumberFormat="1" applyFont="1" applyBorder="1" applyAlignment="1">
      <alignment horizontal="center" vertical="center"/>
    </xf>
    <xf numFmtId="10" fontId="42" fillId="0" borderId="46" xfId="1" applyNumberFormat="1" applyFont="1" applyBorder="1" applyAlignment="1">
      <alignment horizontal="center" vertical="center"/>
    </xf>
    <xf numFmtId="164" fontId="0" fillId="0" borderId="0" xfId="43" applyFont="1"/>
    <xf numFmtId="10" fontId="42" fillId="0" borderId="9" xfId="1" applyNumberFormat="1" applyFont="1" applyBorder="1"/>
    <xf numFmtId="10" fontId="42" fillId="0" borderId="12" xfId="1" applyNumberFormat="1" applyFont="1" applyBorder="1"/>
    <xf numFmtId="0" fontId="42" fillId="0" borderId="62" xfId="0" applyFont="1" applyBorder="1" applyAlignment="1">
      <alignment horizontal="center" vertical="center"/>
    </xf>
    <xf numFmtId="10" fontId="42" fillId="0" borderId="62" xfId="1" applyNumberFormat="1" applyFont="1" applyBorder="1" applyAlignment="1">
      <alignment horizontal="center" vertical="center"/>
    </xf>
    <xf numFmtId="0" fontId="42" fillId="8" borderId="43" xfId="0" applyFont="1" applyFill="1" applyBorder="1" applyAlignment="1">
      <alignment vertical="center" wrapText="1"/>
    </xf>
    <xf numFmtId="0" fontId="43" fillId="0" borderId="19" xfId="0" applyFont="1" applyBorder="1"/>
    <xf numFmtId="10" fontId="42" fillId="0" borderId="19" xfId="0" applyNumberFormat="1" applyFont="1" applyBorder="1" applyAlignment="1">
      <alignment horizontal="center" vertical="center"/>
    </xf>
    <xf numFmtId="2" fontId="42" fillId="0" borderId="56" xfId="0" applyNumberFormat="1" applyFont="1" applyBorder="1" applyAlignment="1">
      <alignment horizontal="center" vertical="center"/>
    </xf>
    <xf numFmtId="10" fontId="42" fillId="0" borderId="16" xfId="0" applyNumberFormat="1" applyFont="1" applyBorder="1" applyAlignment="1">
      <alignment horizontal="center" vertical="center"/>
    </xf>
    <xf numFmtId="0" fontId="43" fillId="0" borderId="25" xfId="0" applyFont="1" applyFill="1" applyBorder="1" applyAlignment="1">
      <alignment vertical="center" wrapText="1"/>
    </xf>
    <xf numFmtId="0" fontId="42" fillId="0" borderId="49" xfId="0" applyFont="1" applyBorder="1" applyAlignment="1">
      <alignment horizontal="left" vertical="center" wrapText="1"/>
    </xf>
    <xf numFmtId="0" fontId="42" fillId="0" borderId="50" xfId="0" applyFont="1" applyBorder="1" applyAlignment="1">
      <alignment horizontal="left" vertical="center" wrapText="1"/>
    </xf>
    <xf numFmtId="0" fontId="42" fillId="0" borderId="52" xfId="0" applyFont="1" applyBorder="1" applyAlignment="1">
      <alignment vertical="center" wrapText="1"/>
    </xf>
    <xf numFmtId="0" fontId="42" fillId="0" borderId="89" xfId="0" applyFont="1" applyBorder="1" applyAlignment="1">
      <alignment horizontal="center" vertical="center" wrapText="1"/>
    </xf>
    <xf numFmtId="0" fontId="43" fillId="0" borderId="23" xfId="0" applyFont="1" applyBorder="1" applyAlignment="1">
      <alignment vertical="center" wrapText="1"/>
    </xf>
    <xf numFmtId="0" fontId="43" fillId="0" borderId="63" xfId="0" applyFont="1" applyBorder="1" applyAlignment="1">
      <alignment vertical="center" wrapText="1"/>
    </xf>
    <xf numFmtId="10" fontId="42" fillId="0" borderId="29" xfId="1" applyNumberFormat="1" applyFont="1" applyBorder="1" applyAlignment="1">
      <alignment horizontal="center" vertical="center" wrapText="1"/>
    </xf>
    <xf numFmtId="0" fontId="42" fillId="4" borderId="51" xfId="0" applyFont="1" applyFill="1" applyBorder="1" applyAlignment="1">
      <alignment horizontal="center" vertical="center" wrapText="1"/>
    </xf>
    <xf numFmtId="0" fontId="42" fillId="3" borderId="63" xfId="0" applyFont="1" applyFill="1" applyBorder="1" applyAlignment="1">
      <alignment horizontal="center" vertical="center" wrapText="1"/>
    </xf>
    <xf numFmtId="0" fontId="42" fillId="10" borderId="76" xfId="0" applyFont="1" applyFill="1" applyBorder="1" applyAlignment="1">
      <alignment horizontal="center" vertical="center" wrapText="1"/>
    </xf>
    <xf numFmtId="0" fontId="43" fillId="0" borderId="6" xfId="0" applyFont="1" applyBorder="1" applyAlignment="1">
      <alignment vertical="center" wrapText="1"/>
    </xf>
    <xf numFmtId="0" fontId="43" fillId="0" borderId="48" xfId="0" applyFont="1" applyBorder="1" applyAlignment="1">
      <alignment vertical="center" wrapText="1"/>
    </xf>
    <xf numFmtId="10" fontId="42" fillId="0" borderId="84" xfId="1" applyNumberFormat="1" applyFont="1" applyBorder="1" applyAlignment="1">
      <alignment horizontal="center" vertical="center" wrapText="1"/>
    </xf>
    <xf numFmtId="0" fontId="42" fillId="4" borderId="74" xfId="0" applyFont="1" applyFill="1" applyBorder="1" applyAlignment="1">
      <alignment horizontal="center" vertical="center" wrapText="1"/>
    </xf>
    <xf numFmtId="0" fontId="42" fillId="3" borderId="48" xfId="0" applyFont="1" applyFill="1" applyBorder="1" applyAlignment="1">
      <alignment horizontal="center" vertical="center" wrapText="1"/>
    </xf>
    <xf numFmtId="0" fontId="42" fillId="10" borderId="73" xfId="0" applyFont="1" applyFill="1" applyBorder="1" applyAlignment="1">
      <alignment horizontal="center" vertical="center" wrapText="1"/>
    </xf>
    <xf numFmtId="0" fontId="42" fillId="0" borderId="83" xfId="0" applyFont="1" applyBorder="1" applyAlignment="1">
      <alignment vertical="center" wrapText="1"/>
    </xf>
    <xf numFmtId="0" fontId="42" fillId="0" borderId="47" xfId="0" applyFont="1" applyBorder="1" applyAlignment="1">
      <alignment horizontal="center" vertical="center" wrapText="1"/>
    </xf>
    <xf numFmtId="0" fontId="47" fillId="0" borderId="47" xfId="0" applyFont="1" applyBorder="1" applyAlignment="1">
      <alignment vertical="center" wrapText="1"/>
    </xf>
    <xf numFmtId="0" fontId="47" fillId="0" borderId="77" xfId="0" applyFont="1" applyBorder="1" applyAlignment="1">
      <alignment vertical="center" wrapText="1"/>
    </xf>
    <xf numFmtId="10" fontId="42" fillId="4" borderId="53" xfId="0" applyNumberFormat="1" applyFont="1" applyFill="1" applyBorder="1" applyAlignment="1">
      <alignment horizontal="center" vertical="center" wrapText="1"/>
    </xf>
    <xf numFmtId="10" fontId="42" fillId="3" borderId="47" xfId="0" applyNumberFormat="1" applyFont="1" applyFill="1" applyBorder="1" applyAlignment="1">
      <alignment horizontal="center" vertical="center" wrapText="1"/>
    </xf>
    <xf numFmtId="10" fontId="42" fillId="10" borderId="77" xfId="0" applyNumberFormat="1" applyFont="1" applyFill="1" applyBorder="1" applyAlignment="1">
      <alignment horizontal="center" vertical="center" wrapText="1"/>
    </xf>
    <xf numFmtId="2" fontId="42" fillId="0" borderId="47" xfId="1" applyNumberFormat="1" applyFont="1" applyBorder="1" applyAlignment="1">
      <alignment horizontal="center" vertical="center"/>
    </xf>
    <xf numFmtId="0" fontId="47" fillId="0" borderId="55" xfId="0" applyFont="1" applyBorder="1" applyAlignment="1">
      <alignment vertical="center" wrapText="1"/>
    </xf>
    <xf numFmtId="0" fontId="47" fillId="0" borderId="70" xfId="0" applyFont="1" applyBorder="1" applyAlignment="1">
      <alignment vertical="center" wrapText="1"/>
    </xf>
    <xf numFmtId="10" fontId="42" fillId="0" borderId="32" xfId="1" applyNumberFormat="1" applyFont="1" applyBorder="1" applyAlignment="1">
      <alignment horizontal="center" vertical="center" wrapText="1"/>
    </xf>
    <xf numFmtId="10" fontId="42" fillId="0" borderId="32" xfId="0" applyNumberFormat="1" applyFont="1" applyBorder="1" applyAlignment="1">
      <alignment horizontal="center" vertical="center"/>
    </xf>
    <xf numFmtId="10" fontId="42" fillId="10" borderId="70" xfId="0" applyNumberFormat="1" applyFont="1" applyFill="1" applyBorder="1" applyAlignment="1">
      <alignment horizontal="center" vertical="center" wrapText="1"/>
    </xf>
    <xf numFmtId="10" fontId="42" fillId="0" borderId="58" xfId="1" applyNumberFormat="1" applyFont="1" applyBorder="1" applyAlignment="1">
      <alignment horizontal="left" vertical="center" wrapText="1"/>
    </xf>
    <xf numFmtId="0" fontId="42" fillId="0" borderId="98" xfId="0" applyFont="1" applyBorder="1" applyAlignment="1">
      <alignment horizontal="center" vertical="center" wrapText="1"/>
    </xf>
    <xf numFmtId="0" fontId="43" fillId="0" borderId="3" xfId="0" applyFont="1" applyBorder="1" applyAlignment="1">
      <alignment vertical="center" wrapText="1"/>
    </xf>
    <xf numFmtId="0" fontId="43" fillId="0" borderId="72" xfId="0" applyFont="1" applyBorder="1" applyAlignment="1">
      <alignment vertical="center" wrapText="1"/>
    </xf>
    <xf numFmtId="10" fontId="42" fillId="0" borderId="33" xfId="0" applyNumberFormat="1" applyFont="1" applyBorder="1" applyAlignment="1">
      <alignment horizontal="center" vertical="center"/>
    </xf>
    <xf numFmtId="0" fontId="42" fillId="4" borderId="59" xfId="0" applyFont="1" applyFill="1" applyBorder="1" applyAlignment="1">
      <alignment horizontal="center" vertical="center" wrapText="1"/>
    </xf>
    <xf numFmtId="0" fontId="42" fillId="3" borderId="61" xfId="0" applyFont="1" applyFill="1" applyBorder="1" applyAlignment="1">
      <alignment horizontal="center" vertical="center" wrapText="1"/>
    </xf>
    <xf numFmtId="0" fontId="42" fillId="10" borderId="72" xfId="0" applyFont="1" applyFill="1" applyBorder="1" applyAlignment="1">
      <alignment horizontal="center" vertical="center" wrapText="1"/>
    </xf>
    <xf numFmtId="0" fontId="42" fillId="0" borderId="59" xfId="0" applyFont="1" applyBorder="1" applyAlignment="1">
      <alignment horizontal="center" vertical="center" wrapText="1"/>
    </xf>
    <xf numFmtId="0" fontId="47" fillId="0" borderId="72" xfId="0" applyFont="1" applyBorder="1" applyAlignment="1">
      <alignment vertical="center" wrapText="1"/>
    </xf>
    <xf numFmtId="0" fontId="47" fillId="0" borderId="59" xfId="0" applyFont="1" applyBorder="1" applyAlignment="1">
      <alignment vertical="center" wrapText="1"/>
    </xf>
    <xf numFmtId="2" fontId="42" fillId="0" borderId="33" xfId="0" applyNumberFormat="1" applyFont="1" applyBorder="1" applyAlignment="1">
      <alignment horizontal="center" vertical="center" wrapText="1"/>
    </xf>
    <xf numFmtId="2" fontId="42" fillId="0" borderId="33" xfId="0" applyNumberFormat="1" applyFont="1" applyBorder="1" applyAlignment="1">
      <alignment horizontal="center" vertical="center"/>
    </xf>
    <xf numFmtId="10" fontId="42" fillId="3" borderId="61" xfId="0" applyNumberFormat="1" applyFont="1" applyFill="1" applyBorder="1" applyAlignment="1">
      <alignment horizontal="center" vertical="center" wrapText="1"/>
    </xf>
    <xf numFmtId="2" fontId="42" fillId="0" borderId="59" xfId="0" applyNumberFormat="1" applyFont="1" applyFill="1" applyBorder="1" applyAlignment="1">
      <alignment horizontal="center" vertical="center"/>
    </xf>
    <xf numFmtId="2" fontId="42" fillId="0" borderId="61" xfId="0" applyNumberFormat="1" applyFont="1" applyFill="1" applyBorder="1" applyAlignment="1">
      <alignment horizontal="center" vertical="center"/>
    </xf>
    <xf numFmtId="2" fontId="42" fillId="0" borderId="61" xfId="1" applyNumberFormat="1" applyFont="1" applyBorder="1" applyAlignment="1">
      <alignment horizontal="center" vertical="center"/>
    </xf>
    <xf numFmtId="2" fontId="42" fillId="0" borderId="72" xfId="1" applyNumberFormat="1" applyFont="1" applyBorder="1" applyAlignment="1">
      <alignment horizontal="center" vertical="center"/>
    </xf>
    <xf numFmtId="0" fontId="42" fillId="0" borderId="3" xfId="0" applyFont="1" applyFill="1" applyBorder="1" applyAlignment="1">
      <alignment vertical="center" wrapText="1"/>
    </xf>
    <xf numFmtId="0" fontId="42" fillId="0" borderId="41" xfId="0" applyFont="1" applyFill="1" applyBorder="1" applyAlignment="1">
      <alignment horizontal="left" vertical="center" wrapText="1"/>
    </xf>
    <xf numFmtId="0" fontId="47" fillId="0" borderId="43" xfId="0" applyFont="1" applyBorder="1" applyAlignment="1">
      <alignment vertical="center" wrapText="1"/>
    </xf>
    <xf numFmtId="0" fontId="42" fillId="0" borderId="9" xfId="0" applyFont="1" applyFill="1" applyBorder="1" applyAlignment="1">
      <alignment vertical="center" wrapText="1"/>
    </xf>
    <xf numFmtId="0" fontId="42" fillId="0" borderId="11" xfId="0" applyFont="1" applyFill="1" applyBorder="1" applyAlignment="1">
      <alignment vertical="center" wrapText="1"/>
    </xf>
    <xf numFmtId="0" fontId="47" fillId="0" borderId="12" xfId="0" applyFont="1" applyBorder="1" applyAlignment="1">
      <alignment vertical="center" wrapText="1"/>
    </xf>
    <xf numFmtId="9" fontId="42" fillId="0" borderId="13" xfId="1" applyNumberFormat="1" applyFont="1" applyBorder="1" applyAlignment="1">
      <alignment horizontal="center" vertical="center"/>
    </xf>
    <xf numFmtId="9" fontId="42" fillId="0" borderId="14" xfId="1" applyNumberFormat="1" applyFont="1" applyBorder="1" applyAlignment="1">
      <alignment horizontal="center" vertical="center"/>
    </xf>
    <xf numFmtId="0" fontId="0" fillId="0" borderId="34" xfId="0" applyFont="1" applyBorder="1"/>
    <xf numFmtId="10" fontId="42" fillId="0" borderId="7" xfId="1" applyNumberFormat="1" applyFont="1" applyBorder="1" applyAlignment="1">
      <alignment horizontal="center" vertical="center"/>
    </xf>
    <xf numFmtId="10" fontId="42" fillId="0" borderId="15" xfId="1" applyNumberFormat="1" applyFont="1" applyBorder="1" applyAlignment="1">
      <alignment horizontal="center" vertical="center"/>
    </xf>
    <xf numFmtId="9" fontId="42" fillId="2" borderId="30" xfId="1" applyFont="1" applyFill="1" applyBorder="1" applyAlignment="1">
      <alignment horizontal="center" vertical="center"/>
    </xf>
    <xf numFmtId="9" fontId="42" fillId="2" borderId="58" xfId="1" applyFont="1" applyFill="1" applyBorder="1" applyAlignment="1">
      <alignment horizontal="center" vertical="center"/>
    </xf>
    <xf numFmtId="10" fontId="42" fillId="2" borderId="22" xfId="1" applyNumberFormat="1" applyFont="1" applyFill="1" applyBorder="1" applyAlignment="1">
      <alignment horizontal="center" vertical="center"/>
    </xf>
    <xf numFmtId="10" fontId="42" fillId="2" borderId="27" xfId="1" applyNumberFormat="1" applyFont="1" applyFill="1" applyBorder="1" applyAlignment="1">
      <alignment horizontal="center" vertical="center"/>
    </xf>
    <xf numFmtId="10" fontId="42" fillId="2" borderId="30" xfId="1" applyNumberFormat="1" applyFont="1" applyFill="1" applyBorder="1" applyAlignment="1">
      <alignment horizontal="center" vertical="center"/>
    </xf>
    <xf numFmtId="10" fontId="42" fillId="2" borderId="58" xfId="1" applyNumberFormat="1" applyFont="1" applyFill="1" applyBorder="1" applyAlignment="1">
      <alignment horizontal="center" vertical="center"/>
    </xf>
    <xf numFmtId="9" fontId="42" fillId="2" borderId="80" xfId="1" applyFont="1" applyFill="1" applyBorder="1" applyAlignment="1">
      <alignment horizontal="center" vertical="center"/>
    </xf>
    <xf numFmtId="10" fontId="42" fillId="2" borderId="24" xfId="1" applyNumberFormat="1" applyFont="1" applyFill="1" applyBorder="1" applyAlignment="1">
      <alignment horizontal="center" vertical="center"/>
    </xf>
    <xf numFmtId="10" fontId="42" fillId="0" borderId="53" xfId="1" applyNumberFormat="1" applyFont="1" applyBorder="1" applyAlignment="1">
      <alignment horizontal="center" vertical="center"/>
    </xf>
    <xf numFmtId="10" fontId="42" fillId="0" borderId="47" xfId="1" applyNumberFormat="1" applyFont="1" applyBorder="1" applyAlignment="1">
      <alignment horizontal="center" vertical="center"/>
    </xf>
    <xf numFmtId="0" fontId="42" fillId="0" borderId="57" xfId="0" applyFont="1" applyBorder="1" applyAlignment="1">
      <alignment horizontal="center" vertical="center"/>
    </xf>
    <xf numFmtId="0" fontId="42" fillId="0" borderId="12" xfId="0" applyFont="1" applyBorder="1" applyAlignment="1">
      <alignment horizontal="center" vertical="center"/>
    </xf>
    <xf numFmtId="0" fontId="42" fillId="0" borderId="35" xfId="0" applyFont="1" applyBorder="1" applyAlignment="1">
      <alignment horizontal="center" vertical="center"/>
    </xf>
    <xf numFmtId="0" fontId="42" fillId="0" borderId="42" xfId="0" applyFont="1" applyBorder="1" applyAlignment="1">
      <alignment horizontal="center" vertical="center"/>
    </xf>
    <xf numFmtId="10" fontId="42" fillId="0" borderId="74" xfId="1" applyNumberFormat="1" applyFont="1" applyBorder="1" applyAlignment="1">
      <alignment horizontal="center" vertical="center"/>
    </xf>
    <xf numFmtId="10" fontId="42" fillId="0" borderId="75" xfId="1" applyNumberFormat="1" applyFont="1" applyBorder="1" applyAlignment="1">
      <alignment horizontal="center" vertical="center"/>
    </xf>
    <xf numFmtId="10" fontId="42" fillId="2" borderId="80" xfId="1" applyNumberFormat="1" applyFont="1" applyFill="1" applyBorder="1" applyAlignment="1">
      <alignment horizontal="center" vertical="center"/>
    </xf>
    <xf numFmtId="166" fontId="40" fillId="11" borderId="62" xfId="0" applyNumberFormat="1" applyFont="1" applyFill="1" applyBorder="1" applyAlignment="1">
      <alignment horizontal="center" vertical="center"/>
    </xf>
    <xf numFmtId="166" fontId="40" fillId="11" borderId="2" xfId="0" applyNumberFormat="1" applyFont="1" applyFill="1" applyBorder="1" applyAlignment="1">
      <alignment horizontal="center" vertical="center"/>
    </xf>
    <xf numFmtId="166" fontId="40" fillId="11" borderId="3" xfId="0" applyNumberFormat="1" applyFont="1" applyFill="1" applyBorder="1" applyAlignment="1">
      <alignment horizontal="center" vertical="center"/>
    </xf>
    <xf numFmtId="166" fontId="41" fillId="13" borderId="42" xfId="0" applyNumberFormat="1" applyFont="1" applyFill="1" applyBorder="1" applyAlignment="1">
      <alignment horizontal="center" vertical="center"/>
    </xf>
    <xf numFmtId="166" fontId="41" fillId="13" borderId="50" xfId="0" applyNumberFormat="1" applyFont="1" applyFill="1" applyBorder="1" applyAlignment="1">
      <alignment horizontal="center" vertical="center"/>
    </xf>
    <xf numFmtId="166" fontId="41" fillId="13" borderId="43" xfId="0" applyNumberFormat="1" applyFont="1" applyFill="1" applyBorder="1" applyAlignment="1">
      <alignment horizontal="center" vertical="center"/>
    </xf>
    <xf numFmtId="0" fontId="40" fillId="11" borderId="63" xfId="0" applyFont="1" applyFill="1" applyBorder="1" applyAlignment="1">
      <alignment horizontal="center" vertical="center"/>
    </xf>
    <xf numFmtId="0" fontId="40" fillId="11" borderId="47" xfId="0" applyFont="1" applyFill="1" applyBorder="1" applyAlignment="1">
      <alignment horizontal="center" vertical="center"/>
    </xf>
    <xf numFmtId="0" fontId="40" fillId="11" borderId="70" xfId="0" applyFont="1" applyFill="1" applyBorder="1" applyAlignment="1">
      <alignment horizontal="center" vertical="center"/>
    </xf>
    <xf numFmtId="166" fontId="41" fillId="12" borderId="29" xfId="0" applyNumberFormat="1" applyFont="1" applyFill="1" applyBorder="1" applyAlignment="1">
      <alignment horizontal="center" vertical="center"/>
    </xf>
    <xf numFmtId="166" fontId="41" fillId="12" borderId="32" xfId="0" applyNumberFormat="1" applyFont="1" applyFill="1" applyBorder="1" applyAlignment="1">
      <alignment horizontal="center" vertical="center"/>
    </xf>
    <xf numFmtId="166" fontId="40" fillId="11" borderId="29" xfId="0" applyNumberFormat="1" applyFont="1" applyFill="1" applyBorder="1" applyAlignment="1">
      <alignment horizontal="center" vertical="center"/>
    </xf>
    <xf numFmtId="166" fontId="40" fillId="11" borderId="31" xfId="0" applyNumberFormat="1" applyFont="1" applyFill="1" applyBorder="1" applyAlignment="1">
      <alignment horizontal="center" vertical="center"/>
    </xf>
    <xf numFmtId="166" fontId="40" fillId="11" borderId="32" xfId="0" applyNumberFormat="1" applyFont="1" applyFill="1" applyBorder="1" applyAlignment="1">
      <alignment horizontal="center" vertical="center"/>
    </xf>
    <xf numFmtId="166" fontId="40" fillId="11" borderId="29" xfId="0" applyNumberFormat="1" applyFont="1" applyFill="1" applyBorder="1" applyAlignment="1">
      <alignment horizontal="center" vertical="center" wrapText="1"/>
    </xf>
    <xf numFmtId="166" fontId="40" fillId="11" borderId="31" xfId="0" applyNumberFormat="1" applyFont="1" applyFill="1" applyBorder="1" applyAlignment="1">
      <alignment horizontal="center" vertical="center" wrapText="1"/>
    </xf>
    <xf numFmtId="166" fontId="40" fillId="11" borderId="32" xfId="0" applyNumberFormat="1" applyFont="1" applyFill="1" applyBorder="1" applyAlignment="1">
      <alignment horizontal="center" vertical="center" wrapText="1"/>
    </xf>
    <xf numFmtId="10" fontId="42" fillId="2" borderId="82" xfId="1" applyNumberFormat="1" applyFont="1" applyFill="1" applyBorder="1" applyAlignment="1">
      <alignment horizontal="center" vertical="center"/>
    </xf>
    <xf numFmtId="166" fontId="42" fillId="0" borderId="8" xfId="0" applyNumberFormat="1" applyFont="1" applyBorder="1" applyAlignment="1">
      <alignment horizontal="center" vertical="center" wrapText="1"/>
    </xf>
    <xf numFmtId="166" fontId="42" fillId="0" borderId="31" xfId="0" applyNumberFormat="1" applyFont="1" applyBorder="1" applyAlignment="1">
      <alignment horizontal="center" vertical="center" wrapText="1"/>
    </xf>
    <xf numFmtId="0" fontId="40" fillId="11" borderId="29" xfId="0" applyFont="1" applyFill="1" applyBorder="1" applyAlignment="1">
      <alignment horizontal="center" vertical="center"/>
    </xf>
    <xf numFmtId="0" fontId="40" fillId="11" borderId="31" xfId="0" applyFont="1" applyFill="1" applyBorder="1" applyAlignment="1">
      <alignment horizontal="center" vertical="center"/>
    </xf>
    <xf numFmtId="0" fontId="40" fillId="11" borderId="32" xfId="0" applyFont="1" applyFill="1" applyBorder="1" applyAlignment="1">
      <alignment horizontal="center" vertical="center"/>
    </xf>
    <xf numFmtId="0" fontId="40" fillId="11" borderId="38" xfId="0" applyFont="1" applyFill="1" applyBorder="1" applyAlignment="1">
      <alignment horizontal="center" vertical="center"/>
    </xf>
    <xf numFmtId="0" fontId="40" fillId="11" borderId="23" xfId="0" applyFont="1" applyFill="1" applyBorder="1" applyAlignment="1">
      <alignment horizontal="center" vertical="center"/>
    </xf>
    <xf numFmtId="0" fontId="40" fillId="11" borderId="19" xfId="0" applyFont="1" applyFill="1" applyBorder="1" applyAlignment="1">
      <alignment horizontal="center" vertical="center"/>
    </xf>
    <xf numFmtId="0" fontId="40" fillId="11" borderId="25" xfId="0" applyFont="1" applyFill="1" applyBorder="1" applyAlignment="1">
      <alignment horizontal="center" vertical="center"/>
    </xf>
    <xf numFmtId="0" fontId="40" fillId="11" borderId="79" xfId="0" applyFont="1" applyFill="1" applyBorder="1" applyAlignment="1">
      <alignment horizontal="center" vertical="center"/>
    </xf>
    <xf numFmtId="0" fontId="40" fillId="11" borderId="55" xfId="0" applyFont="1" applyFill="1" applyBorder="1" applyAlignment="1">
      <alignment horizontal="center" vertical="center"/>
    </xf>
    <xf numFmtId="10" fontId="42" fillId="4" borderId="9" xfId="1" applyNumberFormat="1" applyFont="1" applyFill="1" applyBorder="1" applyAlignment="1">
      <alignment horizontal="center" vertical="center" wrapText="1"/>
    </xf>
    <xf numFmtId="10" fontId="42" fillId="4" borderId="12" xfId="1" applyNumberFormat="1" applyFont="1" applyFill="1" applyBorder="1" applyAlignment="1">
      <alignment horizontal="center" vertical="center" wrapText="1"/>
    </xf>
    <xf numFmtId="10" fontId="42" fillId="3" borderId="10" xfId="1" applyNumberFormat="1" applyFont="1" applyFill="1" applyBorder="1" applyAlignment="1">
      <alignment horizontal="center" vertical="center" wrapText="1"/>
    </xf>
    <xf numFmtId="10" fontId="42" fillId="3" borderId="13" xfId="1" applyNumberFormat="1" applyFont="1" applyFill="1" applyBorder="1" applyAlignment="1">
      <alignment horizontal="center" vertical="center" wrapText="1"/>
    </xf>
    <xf numFmtId="10" fontId="42" fillId="10" borderId="11" xfId="1" applyNumberFormat="1" applyFont="1" applyFill="1" applyBorder="1" applyAlignment="1">
      <alignment horizontal="center" vertical="center" wrapText="1"/>
    </xf>
    <xf numFmtId="10" fontId="42" fillId="10" borderId="14" xfId="1" applyNumberFormat="1" applyFont="1" applyFill="1" applyBorder="1" applyAlignment="1">
      <alignment horizontal="center" vertical="center" wrapText="1"/>
    </xf>
    <xf numFmtId="0" fontId="42" fillId="0" borderId="91" xfId="0" applyFont="1" applyBorder="1" applyAlignment="1">
      <alignment horizontal="center" vertical="center" wrapText="1"/>
    </xf>
    <xf numFmtId="0" fontId="42" fillId="0" borderId="92" xfId="0" applyFont="1" applyBorder="1" applyAlignment="1">
      <alignment horizontal="center" vertical="center" wrapText="1"/>
    </xf>
    <xf numFmtId="166" fontId="40" fillId="11" borderId="1" xfId="0" applyNumberFormat="1" applyFont="1" applyFill="1" applyBorder="1" applyAlignment="1">
      <alignment horizontal="center" vertical="center"/>
    </xf>
    <xf numFmtId="0" fontId="42" fillId="0" borderId="29" xfId="0" applyFont="1" applyBorder="1" applyAlignment="1">
      <alignment horizontal="left" vertical="center" wrapText="1"/>
    </xf>
    <xf numFmtId="0" fontId="42" fillId="0" borderId="33" xfId="0" applyFont="1" applyBorder="1" applyAlignment="1">
      <alignment horizontal="left" vertical="center" wrapText="1"/>
    </xf>
    <xf numFmtId="0" fontId="42" fillId="0" borderId="17" xfId="0" applyFont="1" applyBorder="1" applyAlignment="1">
      <alignment horizontal="left" vertical="center" wrapText="1"/>
    </xf>
    <xf numFmtId="0" fontId="42" fillId="0" borderId="12" xfId="0" applyFont="1" applyBorder="1" applyAlignment="1">
      <alignment horizontal="left" vertical="center" wrapText="1"/>
    </xf>
    <xf numFmtId="0" fontId="42" fillId="0" borderId="85" xfId="0" applyFont="1" applyBorder="1" applyAlignment="1">
      <alignment horizontal="center" vertical="center" wrapText="1"/>
    </xf>
    <xf numFmtId="0" fontId="42" fillId="0" borderId="66" xfId="0" applyFont="1" applyBorder="1" applyAlignment="1">
      <alignment horizontal="center" vertical="center" wrapText="1"/>
    </xf>
    <xf numFmtId="10" fontId="42" fillId="0" borderId="84" xfId="1" applyNumberFormat="1" applyFont="1" applyBorder="1" applyAlignment="1">
      <alignment horizontal="center" vertical="center"/>
    </xf>
    <xf numFmtId="10" fontId="42" fillId="0" borderId="81" xfId="1" applyNumberFormat="1" applyFont="1" applyBorder="1" applyAlignment="1">
      <alignment horizontal="center" vertical="center"/>
    </xf>
    <xf numFmtId="10" fontId="42" fillId="10" borderId="73" xfId="1" applyNumberFormat="1" applyFont="1" applyFill="1" applyBorder="1" applyAlignment="1">
      <alignment horizontal="center" vertical="center" wrapText="1"/>
    </xf>
    <xf numFmtId="10" fontId="42" fillId="10" borderId="71" xfId="1" applyNumberFormat="1" applyFont="1" applyFill="1" applyBorder="1" applyAlignment="1">
      <alignment horizontal="center" vertical="center" wrapText="1"/>
    </xf>
    <xf numFmtId="1" fontId="42" fillId="0" borderId="84" xfId="0" applyNumberFormat="1" applyFont="1" applyBorder="1" applyAlignment="1">
      <alignment horizontal="center" vertical="center" wrapText="1"/>
    </xf>
    <xf numFmtId="1" fontId="42" fillId="0" borderId="81" xfId="0" applyNumberFormat="1" applyFont="1" applyBorder="1" applyAlignment="1">
      <alignment horizontal="center" vertical="center" wrapText="1"/>
    </xf>
    <xf numFmtId="0" fontId="43" fillId="0" borderId="90" xfId="0" applyFont="1" applyBorder="1" applyAlignment="1">
      <alignment horizontal="left" vertical="center" wrapText="1"/>
    </xf>
    <xf numFmtId="0" fontId="43" fillId="0" borderId="93" xfId="0" applyFont="1" applyBorder="1" applyAlignment="1">
      <alignment horizontal="left" vertical="center" wrapText="1"/>
    </xf>
    <xf numFmtId="0" fontId="42" fillId="0" borderId="43" xfId="0" applyFont="1" applyBorder="1" applyAlignment="1">
      <alignment horizontal="left" vertical="center" wrapText="1"/>
    </xf>
    <xf numFmtId="0" fontId="42" fillId="0" borderId="80" xfId="0" applyFont="1" applyBorder="1" applyAlignment="1">
      <alignment horizontal="left" vertical="center" wrapText="1"/>
    </xf>
    <xf numFmtId="0" fontId="47" fillId="0" borderId="12" xfId="0" applyFont="1" applyBorder="1" applyAlignment="1">
      <alignment horizontal="left" vertical="center" wrapText="1"/>
    </xf>
    <xf numFmtId="0" fontId="47" fillId="0" borderId="47" xfId="0" applyFont="1" applyBorder="1" applyAlignment="1">
      <alignment horizontal="left" vertical="center" wrapText="1"/>
    </xf>
    <xf numFmtId="0" fontId="47" fillId="0" borderId="96" xfId="0" applyFont="1" applyBorder="1" applyAlignment="1">
      <alignment horizontal="left" vertical="center" wrapText="1"/>
    </xf>
    <xf numFmtId="0" fontId="47" fillId="0" borderId="97" xfId="0" applyFont="1" applyBorder="1" applyAlignment="1">
      <alignment horizontal="left" vertical="center" wrapText="1"/>
    </xf>
    <xf numFmtId="0" fontId="42" fillId="0" borderId="87" xfId="0" applyFont="1" applyBorder="1" applyAlignment="1">
      <alignment horizontal="center" vertical="center" wrapText="1"/>
    </xf>
    <xf numFmtId="0" fontId="47" fillId="0" borderId="14" xfId="0" applyFont="1" applyBorder="1" applyAlignment="1">
      <alignment horizontal="left" vertical="center" wrapText="1"/>
    </xf>
    <xf numFmtId="0" fontId="42" fillId="0" borderId="8" xfId="0" applyFont="1" applyBorder="1" applyAlignment="1">
      <alignment horizontal="center" vertical="center"/>
    </xf>
    <xf numFmtId="0" fontId="42" fillId="0" borderId="31" xfId="0" applyFont="1" applyBorder="1" applyAlignment="1">
      <alignment horizontal="center" vertical="center"/>
    </xf>
    <xf numFmtId="1" fontId="42" fillId="0" borderId="8" xfId="0" applyNumberFormat="1" applyFont="1" applyBorder="1" applyAlignment="1">
      <alignment horizontal="center" vertical="center" wrapText="1"/>
    </xf>
    <xf numFmtId="1" fontId="42" fillId="0" borderId="31" xfId="0" applyNumberFormat="1" applyFont="1" applyBorder="1" applyAlignment="1">
      <alignment horizontal="center" vertical="center" wrapText="1"/>
    </xf>
    <xf numFmtId="0" fontId="42" fillId="0" borderId="20" xfId="0" applyFont="1" applyBorder="1" applyAlignment="1">
      <alignment horizontal="center" vertical="center"/>
    </xf>
    <xf numFmtId="0" fontId="42" fillId="0" borderId="79" xfId="0" applyFont="1" applyBorder="1" applyAlignment="1">
      <alignment horizontal="center" vertical="center"/>
    </xf>
    <xf numFmtId="0" fontId="42" fillId="0" borderId="75" xfId="0" applyFont="1" applyBorder="1" applyAlignment="1">
      <alignment horizontal="center" vertical="center"/>
    </xf>
    <xf numFmtId="0" fontId="42" fillId="0" borderId="45" xfId="0" applyFont="1" applyBorder="1" applyAlignment="1">
      <alignment horizontal="center" vertical="center"/>
    </xf>
    <xf numFmtId="10" fontId="42" fillId="4" borderId="12" xfId="0" applyNumberFormat="1" applyFont="1" applyFill="1" applyBorder="1" applyAlignment="1">
      <alignment horizontal="center" vertical="center" wrapText="1"/>
    </xf>
    <xf numFmtId="10" fontId="42" fillId="4" borderId="53" xfId="0" applyNumberFormat="1" applyFont="1" applyFill="1" applyBorder="1" applyAlignment="1">
      <alignment horizontal="center" vertical="center" wrapText="1"/>
    </xf>
    <xf numFmtId="10" fontId="42" fillId="10" borderId="14" xfId="0" applyNumberFormat="1" applyFont="1" applyFill="1" applyBorder="1" applyAlignment="1">
      <alignment horizontal="center" vertical="center" wrapText="1"/>
    </xf>
    <xf numFmtId="10" fontId="42" fillId="10" borderId="77" xfId="0" applyNumberFormat="1" applyFont="1" applyFill="1" applyBorder="1" applyAlignment="1">
      <alignment horizontal="center" vertical="center" wrapText="1"/>
    </xf>
    <xf numFmtId="9" fontId="42" fillId="2" borderId="82" xfId="1" applyFont="1" applyFill="1" applyBorder="1" applyAlignment="1">
      <alignment horizontal="center" vertical="center"/>
    </xf>
    <xf numFmtId="10" fontId="42" fillId="2" borderId="88" xfId="1" applyNumberFormat="1" applyFont="1" applyFill="1" applyBorder="1" applyAlignment="1">
      <alignment horizontal="center" vertical="center"/>
    </xf>
    <xf numFmtId="0" fontId="42" fillId="0" borderId="32" xfId="0" applyFont="1" applyBorder="1" applyAlignment="1">
      <alignment horizontal="left" vertical="center" wrapText="1"/>
    </xf>
    <xf numFmtId="0" fontId="42" fillId="0" borderId="40" xfId="0" applyFont="1" applyBorder="1" applyAlignment="1">
      <alignment horizontal="left" vertical="center" wrapText="1"/>
    </xf>
    <xf numFmtId="0" fontId="42" fillId="0" borderId="8" xfId="0" applyFont="1" applyBorder="1" applyAlignment="1">
      <alignment horizontal="left" vertical="center" wrapText="1"/>
    </xf>
    <xf numFmtId="10" fontId="42" fillId="3" borderId="13" xfId="0" applyNumberFormat="1" applyFont="1" applyFill="1" applyBorder="1" applyAlignment="1">
      <alignment horizontal="center" vertical="center" wrapText="1"/>
    </xf>
    <xf numFmtId="10" fontId="42" fillId="3" borderId="47" xfId="0" applyNumberFormat="1" applyFont="1" applyFill="1" applyBorder="1" applyAlignment="1">
      <alignment horizontal="center" vertical="center" wrapText="1"/>
    </xf>
    <xf numFmtId="0" fontId="42" fillId="0" borderId="31" xfId="0" applyFont="1" applyBorder="1" applyAlignment="1">
      <alignment horizontal="left" vertical="center" wrapText="1"/>
    </xf>
    <xf numFmtId="0" fontId="42" fillId="0" borderId="9" xfId="0" applyFont="1" applyBorder="1" applyAlignment="1">
      <alignment horizontal="left" vertical="center" wrapText="1"/>
    </xf>
    <xf numFmtId="0" fontId="43" fillId="0" borderId="48" xfId="0" applyFont="1" applyBorder="1" applyAlignment="1">
      <alignment horizontal="left" vertical="center" wrapText="1"/>
    </xf>
    <xf numFmtId="0" fontId="43" fillId="0" borderId="15" xfId="0" applyFont="1" applyBorder="1" applyAlignment="1">
      <alignment horizontal="left" vertical="center" wrapText="1"/>
    </xf>
    <xf numFmtId="10" fontId="42" fillId="0" borderId="29" xfId="1" applyNumberFormat="1" applyFont="1" applyBorder="1" applyAlignment="1">
      <alignment horizontal="center" vertical="center"/>
    </xf>
    <xf numFmtId="10" fontId="42" fillId="0" borderId="32" xfId="1" applyNumberFormat="1" applyFont="1" applyBorder="1" applyAlignment="1">
      <alignment horizontal="center" vertical="center"/>
    </xf>
    <xf numFmtId="10" fontId="42" fillId="0" borderId="38" xfId="1" applyNumberFormat="1" applyFont="1" applyBorder="1" applyAlignment="1">
      <alignment horizontal="center" vertical="center"/>
    </xf>
    <xf numFmtId="10" fontId="42" fillId="0" borderId="79" xfId="1" applyNumberFormat="1" applyFont="1" applyBorder="1" applyAlignment="1">
      <alignment horizontal="center" vertical="center"/>
    </xf>
    <xf numFmtId="10" fontId="42" fillId="0" borderId="19" xfId="1" applyNumberFormat="1" applyFont="1" applyBorder="1" applyAlignment="1">
      <alignment horizontal="center" vertical="center"/>
    </xf>
    <xf numFmtId="10" fontId="42" fillId="0" borderId="39" xfId="1" applyNumberFormat="1" applyFont="1" applyBorder="1" applyAlignment="1">
      <alignment horizontal="left" vertical="center"/>
    </xf>
    <xf numFmtId="10" fontId="42" fillId="0" borderId="42" xfId="1" applyNumberFormat="1" applyFont="1" applyBorder="1" applyAlignment="1">
      <alignment horizontal="left" vertical="center"/>
    </xf>
    <xf numFmtId="10" fontId="42" fillId="0" borderId="86" xfId="1" applyNumberFormat="1" applyFont="1" applyBorder="1" applyAlignment="1">
      <alignment horizontal="center" vertical="center"/>
    </xf>
    <xf numFmtId="10" fontId="42" fillId="0" borderId="88" xfId="1" applyNumberFormat="1" applyFont="1" applyBorder="1" applyAlignment="1">
      <alignment horizontal="center" vertical="center"/>
    </xf>
    <xf numFmtId="0" fontId="42" fillId="0" borderId="83" xfId="0" applyFont="1" applyBorder="1" applyAlignment="1">
      <alignment horizontal="center" vertical="center" wrapText="1"/>
    </xf>
    <xf numFmtId="0" fontId="42" fillId="0" borderId="82" xfId="0" applyFont="1" applyBorder="1" applyAlignment="1">
      <alignment horizontal="center" vertical="center" wrapText="1"/>
    </xf>
    <xf numFmtId="10" fontId="42" fillId="0" borderId="48" xfId="1" applyNumberFormat="1" applyFont="1" applyBorder="1" applyAlignment="1">
      <alignment horizontal="center" vertical="center"/>
    </xf>
    <xf numFmtId="10" fontId="42" fillId="0" borderId="76" xfId="1" applyNumberFormat="1" applyFont="1" applyBorder="1" applyAlignment="1">
      <alignment horizontal="center" vertical="center"/>
    </xf>
    <xf numFmtId="10" fontId="42" fillId="0" borderId="77" xfId="1" applyNumberFormat="1" applyFont="1" applyBorder="1" applyAlignment="1">
      <alignment horizontal="center" vertical="center"/>
    </xf>
    <xf numFmtId="10" fontId="42" fillId="0" borderId="51" xfId="1" applyNumberFormat="1" applyFont="1" applyBorder="1" applyAlignment="1">
      <alignment horizontal="center" vertical="center"/>
    </xf>
    <xf numFmtId="10" fontId="42" fillId="0" borderId="45" xfId="1" applyNumberFormat="1" applyFont="1" applyBorder="1" applyAlignment="1">
      <alignment horizontal="center" vertical="center"/>
    </xf>
    <xf numFmtId="10" fontId="42" fillId="4" borderId="74" xfId="1" applyNumberFormat="1" applyFont="1" applyFill="1" applyBorder="1" applyAlignment="1">
      <alignment horizontal="center" vertical="center" wrapText="1"/>
    </xf>
    <xf numFmtId="10" fontId="42" fillId="4" borderId="75" xfId="1" applyNumberFormat="1" applyFont="1" applyFill="1" applyBorder="1" applyAlignment="1">
      <alignment horizontal="center" vertical="center" wrapText="1"/>
    </xf>
    <xf numFmtId="10" fontId="42" fillId="3" borderId="48" xfId="1" applyNumberFormat="1" applyFont="1" applyFill="1" applyBorder="1" applyAlignment="1">
      <alignment horizontal="center" vertical="center" wrapText="1"/>
    </xf>
    <xf numFmtId="10" fontId="42" fillId="3" borderId="15" xfId="1" applyNumberFormat="1" applyFont="1" applyFill="1" applyBorder="1" applyAlignment="1">
      <alignment horizontal="center" vertical="center" wrapText="1"/>
    </xf>
    <xf numFmtId="166" fontId="42" fillId="0" borderId="84" xfId="0" applyNumberFormat="1" applyFont="1" applyBorder="1" applyAlignment="1">
      <alignment horizontal="center" vertical="center" wrapText="1"/>
    </xf>
    <xf numFmtId="166" fontId="42" fillId="0" borderId="81" xfId="0" applyNumberFormat="1" applyFont="1" applyBorder="1" applyAlignment="1">
      <alignment horizontal="center" vertical="center" wrapText="1"/>
    </xf>
    <xf numFmtId="10" fontId="42" fillId="0" borderId="71" xfId="1" applyNumberFormat="1" applyFont="1" applyBorder="1" applyAlignment="1">
      <alignment horizontal="center" vertical="center"/>
    </xf>
    <xf numFmtId="0" fontId="50" fillId="9" borderId="1" xfId="0" applyFont="1" applyFill="1" applyBorder="1" applyAlignment="1">
      <alignment horizontal="center" vertical="center"/>
    </xf>
    <xf numFmtId="0" fontId="50" fillId="9" borderId="2" xfId="0" applyFont="1" applyFill="1" applyBorder="1" applyAlignment="1">
      <alignment horizontal="center" vertical="center"/>
    </xf>
    <xf numFmtId="0" fontId="50" fillId="9" borderId="3" xfId="0" applyFont="1" applyFill="1" applyBorder="1" applyAlignment="1">
      <alignment horizontal="center" vertical="center"/>
    </xf>
    <xf numFmtId="10" fontId="42" fillId="0" borderId="63" xfId="1" applyNumberFormat="1" applyFont="1" applyBorder="1" applyAlignment="1">
      <alignment horizontal="center" vertical="center"/>
    </xf>
    <xf numFmtId="10" fontId="42" fillId="0" borderId="70" xfId="1" applyNumberFormat="1" applyFont="1" applyBorder="1" applyAlignment="1">
      <alignment horizontal="center" vertical="center"/>
    </xf>
    <xf numFmtId="10" fontId="42" fillId="0" borderId="9" xfId="1" applyNumberFormat="1" applyFont="1" applyBorder="1" applyAlignment="1">
      <alignment horizontal="left" vertical="center"/>
    </xf>
    <xf numFmtId="10" fontId="42" fillId="0" borderId="12" xfId="1" applyNumberFormat="1" applyFont="1" applyBorder="1" applyAlignment="1">
      <alignment horizontal="left" vertical="center"/>
    </xf>
    <xf numFmtId="10" fontId="42" fillId="0" borderId="40" xfId="1" applyNumberFormat="1" applyFont="1" applyBorder="1" applyAlignment="1">
      <alignment horizontal="center" vertical="center"/>
    </xf>
    <xf numFmtId="10" fontId="42" fillId="0" borderId="8" xfId="1" applyNumberFormat="1" applyFont="1" applyBorder="1" applyAlignment="1">
      <alignment horizontal="center" vertical="center"/>
    </xf>
    <xf numFmtId="1" fontId="42" fillId="0" borderId="40" xfId="0" applyNumberFormat="1" applyFont="1" applyBorder="1" applyAlignment="1">
      <alignment horizontal="center" vertical="center" wrapText="1"/>
    </xf>
    <xf numFmtId="166" fontId="42" fillId="0" borderId="40" xfId="0" applyNumberFormat="1" applyFont="1" applyBorder="1" applyAlignment="1">
      <alignment horizontal="center" vertical="center" wrapText="1"/>
    </xf>
    <xf numFmtId="0" fontId="43" fillId="0" borderId="10" xfId="0" applyFont="1" applyBorder="1" applyAlignment="1">
      <alignment horizontal="left" vertical="center" wrapText="1"/>
    </xf>
    <xf numFmtId="0" fontId="43" fillId="0" borderId="13" xfId="0" applyFont="1" applyBorder="1" applyAlignment="1">
      <alignment horizontal="left" vertical="center" wrapText="1"/>
    </xf>
    <xf numFmtId="0" fontId="42" fillId="0" borderId="39" xfId="0" applyFont="1" applyBorder="1" applyAlignment="1">
      <alignment horizontal="left" vertical="center" wrapText="1"/>
    </xf>
    <xf numFmtId="0" fontId="42" fillId="0" borderId="35" xfId="0" applyFont="1" applyBorder="1" applyAlignment="1">
      <alignment horizontal="left" vertical="center" wrapText="1"/>
    </xf>
    <xf numFmtId="0" fontId="42" fillId="0" borderId="57" xfId="0" applyFont="1" applyBorder="1" applyAlignment="1">
      <alignment horizontal="left" vertical="center" wrapText="1"/>
    </xf>
    <xf numFmtId="0" fontId="42" fillId="0" borderId="5" xfId="0" applyFont="1" applyBorder="1" applyAlignment="1">
      <alignment horizontal="left" vertical="center" wrapText="1"/>
    </xf>
    <xf numFmtId="0" fontId="43" fillId="0" borderId="69" xfId="0" applyFont="1" applyBorder="1" applyAlignment="1">
      <alignment horizontal="left" vertical="center" wrapText="1"/>
    </xf>
    <xf numFmtId="0" fontId="43" fillId="0" borderId="78" xfId="0" applyFont="1" applyBorder="1" applyAlignment="1">
      <alignment horizontal="left" vertical="center" wrapText="1"/>
    </xf>
    <xf numFmtId="0" fontId="42" fillId="0" borderId="84" xfId="0" applyFont="1" applyBorder="1" applyAlignment="1">
      <alignment horizontal="left" vertical="center" wrapText="1"/>
    </xf>
    <xf numFmtId="0" fontId="42" fillId="0" borderId="36" xfId="0" applyFont="1" applyBorder="1" applyAlignment="1">
      <alignment horizontal="left" vertical="center" wrapText="1"/>
    </xf>
    <xf numFmtId="0" fontId="30" fillId="0" borderId="53" xfId="0" applyFont="1" applyBorder="1" applyAlignment="1">
      <alignment horizontal="left" vertical="center" wrapText="1"/>
    </xf>
    <xf numFmtId="0" fontId="30" fillId="0" borderId="45" xfId="0" applyFont="1" applyBorder="1" applyAlignment="1">
      <alignment horizontal="left" vertical="center" wrapText="1"/>
    </xf>
    <xf numFmtId="0" fontId="15" fillId="0" borderId="7" xfId="0" applyFont="1" applyFill="1" applyBorder="1" applyAlignment="1">
      <alignment horizontal="center" wrapText="1"/>
    </xf>
    <xf numFmtId="0" fontId="15" fillId="0" borderId="7" xfId="0" applyFont="1" applyFill="1" applyBorder="1" applyAlignment="1">
      <alignment horizontal="center"/>
    </xf>
    <xf numFmtId="0" fontId="11" fillId="0" borderId="20"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29" fillId="0" borderId="51" xfId="0" applyFont="1" applyBorder="1" applyAlignment="1">
      <alignment horizontal="left" vertical="center" wrapText="1"/>
    </xf>
    <xf numFmtId="0" fontId="29" fillId="0" borderId="45" xfId="0" applyFont="1" applyBorder="1" applyAlignment="1">
      <alignment horizontal="left" vertical="center" wrapText="1"/>
    </xf>
    <xf numFmtId="0" fontId="30" fillId="0" borderId="9" xfId="0" applyFont="1" applyBorder="1" applyAlignment="1">
      <alignment horizontal="left" vertical="center" wrapText="1"/>
    </xf>
    <xf numFmtId="0" fontId="30" fillId="0" borderId="12" xfId="0" applyFont="1" applyBorder="1" applyAlignment="1">
      <alignment horizontal="left" vertical="center" wrapText="1"/>
    </xf>
    <xf numFmtId="0" fontId="30" fillId="0" borderId="57" xfId="0" applyFont="1" applyBorder="1" applyAlignment="1">
      <alignment horizontal="left" vertical="center" wrapText="1"/>
    </xf>
    <xf numFmtId="0" fontId="6" fillId="0" borderId="7" xfId="0" applyFont="1" applyBorder="1" applyAlignment="1">
      <alignment horizontal="center" vertical="center"/>
    </xf>
    <xf numFmtId="0" fontId="11" fillId="0" borderId="20" xfId="0" applyFont="1" applyBorder="1" applyAlignment="1">
      <alignment horizontal="center" vertical="center"/>
    </xf>
    <xf numFmtId="0" fontId="11" fillId="0" borderId="44" xfId="0" applyFont="1" applyBorder="1" applyAlignment="1">
      <alignment horizontal="center"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6" fillId="0" borderId="7" xfId="0" applyFont="1" applyFill="1" applyBorder="1" applyAlignment="1">
      <alignment horizontal="center" vertical="center"/>
    </xf>
    <xf numFmtId="14" fontId="6" fillId="0" borderId="7" xfId="0" applyNumberFormat="1" applyFont="1" applyFill="1" applyBorder="1" applyAlignment="1">
      <alignment horizontal="center" vertical="center"/>
    </xf>
    <xf numFmtId="0" fontId="30" fillId="0" borderId="51" xfId="0" applyFont="1" applyBorder="1" applyAlignment="1">
      <alignment horizontal="left" vertical="center" wrapText="1"/>
    </xf>
    <xf numFmtId="0" fontId="30" fillId="0" borderId="9" xfId="0" applyFont="1" applyBorder="1" applyAlignment="1">
      <alignment horizontal="left" vertical="center"/>
    </xf>
    <xf numFmtId="0" fontId="30" fillId="0" borderId="57" xfId="0" applyFont="1" applyBorder="1" applyAlignment="1">
      <alignment horizontal="left" vertical="center"/>
    </xf>
    <xf numFmtId="0" fontId="30" fillId="0" borderId="12" xfId="0" applyFont="1" applyBorder="1" applyAlignment="1">
      <alignment horizontal="left" vertical="center"/>
    </xf>
    <xf numFmtId="0" fontId="30" fillId="0" borderId="51" xfId="0" applyFont="1" applyBorder="1" applyAlignment="1">
      <alignment horizontal="center" vertical="center" wrapText="1"/>
    </xf>
    <xf numFmtId="0" fontId="30" fillId="0" borderId="53" xfId="0" applyFont="1" applyBorder="1" applyAlignment="1">
      <alignment horizontal="center" vertical="center" wrapText="1"/>
    </xf>
    <xf numFmtId="0" fontId="30" fillId="0" borderId="45" xfId="0" applyFont="1" applyBorder="1" applyAlignment="1">
      <alignment horizontal="center" vertical="center" wrapText="1"/>
    </xf>
    <xf numFmtId="0" fontId="25" fillId="0" borderId="9" xfId="0" applyFont="1" applyBorder="1" applyAlignment="1">
      <alignment horizontal="left" vertical="center" wrapText="1"/>
    </xf>
    <xf numFmtId="0" fontId="25" fillId="0" borderId="57" xfId="0" applyFont="1" applyBorder="1" applyAlignment="1">
      <alignment horizontal="left" vertical="center" wrapText="1"/>
    </xf>
    <xf numFmtId="0" fontId="25" fillId="0" borderId="12" xfId="0" applyFont="1" applyBorder="1" applyAlignment="1">
      <alignment horizontal="left" vertical="center" wrapText="1"/>
    </xf>
    <xf numFmtId="0" fontId="25" fillId="0" borderId="9"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57" xfId="0" applyFont="1" applyBorder="1" applyAlignment="1">
      <alignment horizontal="center" vertical="center" wrapText="1"/>
    </xf>
    <xf numFmtId="0" fontId="0" fillId="0" borderId="0" xfId="0" applyAlignment="1">
      <alignment horizontal="center"/>
    </xf>
    <xf numFmtId="0" fontId="19" fillId="0" borderId="47" xfId="0" applyFont="1" applyBorder="1" applyAlignment="1">
      <alignment horizontal="left" vertical="center" wrapText="1"/>
    </xf>
    <xf numFmtId="0" fontId="14" fillId="0" borderId="51" xfId="0" applyFont="1" applyBorder="1" applyAlignment="1">
      <alignment horizontal="left" vertical="center" wrapText="1"/>
    </xf>
    <xf numFmtId="0" fontId="14" fillId="0" borderId="53" xfId="0" applyFont="1" applyBorder="1" applyAlignment="1">
      <alignment horizontal="left" vertical="center" wrapText="1"/>
    </xf>
    <xf numFmtId="0" fontId="14" fillId="0" borderId="45" xfId="0" applyFont="1" applyBorder="1" applyAlignment="1">
      <alignment horizontal="left" vertical="center" wrapText="1"/>
    </xf>
    <xf numFmtId="0" fontId="8" fillId="6" borderId="1" xfId="0" applyFont="1" applyFill="1" applyBorder="1" applyAlignment="1">
      <alignment horizontal="center"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15" fillId="0" borderId="22" xfId="0" applyFont="1" applyFill="1" applyBorder="1" applyAlignment="1">
      <alignment horizontal="center" wrapText="1"/>
    </xf>
    <xf numFmtId="0" fontId="15" fillId="0" borderId="23" xfId="0" applyFont="1" applyFill="1" applyBorder="1" applyAlignment="1">
      <alignment horizontal="center"/>
    </xf>
    <xf numFmtId="0" fontId="15" fillId="0" borderId="24" xfId="0" applyFont="1" applyFill="1" applyBorder="1" applyAlignment="1">
      <alignment horizontal="center"/>
    </xf>
    <xf numFmtId="0" fontId="15" fillId="0" borderId="25" xfId="0" applyFont="1" applyFill="1" applyBorder="1" applyAlignment="1">
      <alignment horizontal="center"/>
    </xf>
    <xf numFmtId="0" fontId="8" fillId="0" borderId="38"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14" fillId="0" borderId="7" xfId="0" applyFont="1" applyFill="1" applyBorder="1" applyAlignment="1">
      <alignment horizontal="center" vertical="center" wrapText="1"/>
    </xf>
    <xf numFmtId="0" fontId="14" fillId="0" borderId="26" xfId="0" applyFont="1" applyFill="1" applyBorder="1" applyAlignment="1">
      <alignment horizontal="center" vertical="center" wrapText="1"/>
    </xf>
    <xf numFmtId="14" fontId="14" fillId="0" borderId="13" xfId="0" applyNumberFormat="1" applyFont="1" applyFill="1" applyBorder="1" applyAlignment="1">
      <alignment horizontal="center" vertical="center" wrapText="1"/>
    </xf>
    <xf numFmtId="14" fontId="14" fillId="0" borderId="14" xfId="0" applyNumberFormat="1" applyFont="1" applyFill="1" applyBorder="1" applyAlignment="1">
      <alignment horizontal="center" vertical="center" wrapText="1"/>
    </xf>
    <xf numFmtId="0" fontId="4" fillId="0" borderId="31" xfId="0" applyFont="1" applyFill="1" applyBorder="1" applyAlignment="1">
      <alignment horizontal="center" vertical="center" textRotation="90"/>
    </xf>
    <xf numFmtId="0" fontId="4" fillId="0" borderId="32" xfId="0" applyFont="1" applyFill="1" applyBorder="1" applyAlignment="1">
      <alignment horizontal="center" vertical="center" textRotation="90"/>
    </xf>
    <xf numFmtId="0" fontId="16" fillId="6" borderId="1" xfId="4" applyFont="1" applyFill="1" applyBorder="1" applyAlignment="1" applyProtection="1">
      <alignment horizontal="center" wrapText="1"/>
    </xf>
    <xf numFmtId="0" fontId="16" fillId="6" borderId="3" xfId="4" applyFont="1" applyFill="1" applyBorder="1" applyAlignment="1" applyProtection="1">
      <alignment horizontal="center" wrapText="1"/>
    </xf>
    <xf numFmtId="0" fontId="21" fillId="6" borderId="29" xfId="0" applyFont="1" applyFill="1" applyBorder="1" applyAlignment="1">
      <alignment horizontal="center" vertical="center" wrapText="1"/>
    </xf>
    <xf numFmtId="0" fontId="21" fillId="6" borderId="31" xfId="0" applyFont="1" applyFill="1" applyBorder="1" applyAlignment="1">
      <alignment horizontal="center" vertical="center" wrapText="1"/>
    </xf>
    <xf numFmtId="0" fontId="21" fillId="6" borderId="32" xfId="0"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wrapText="1"/>
    </xf>
    <xf numFmtId="0" fontId="21" fillId="0" borderId="32" xfId="0" applyFont="1" applyBorder="1" applyAlignment="1">
      <alignment horizontal="center" vertical="center" wrapText="1"/>
    </xf>
    <xf numFmtId="0" fontId="8" fillId="0" borderId="1" xfId="2" applyNumberFormat="1" applyFont="1" applyBorder="1" applyAlignment="1">
      <alignment horizontal="center" vertical="center" wrapText="1"/>
    </xf>
    <xf numFmtId="0" fontId="8" fillId="0" borderId="2" xfId="2" applyNumberFormat="1" applyFont="1" applyBorder="1" applyAlignment="1">
      <alignment horizontal="center" vertical="center" wrapText="1"/>
    </xf>
    <xf numFmtId="0" fontId="8" fillId="0" borderId="3" xfId="2" applyNumberFormat="1" applyFont="1" applyBorder="1" applyAlignment="1">
      <alignment horizontal="center" vertical="center" wrapText="1"/>
    </xf>
    <xf numFmtId="0" fontId="7" fillId="6" borderId="1" xfId="0" applyFont="1" applyFill="1" applyBorder="1" applyAlignment="1">
      <alignment horizontal="center" wrapText="1"/>
    </xf>
    <xf numFmtId="0" fontId="7" fillId="6" borderId="0" xfId="0" applyFont="1" applyFill="1" applyBorder="1" applyAlignment="1">
      <alignment horizontal="center" wrapText="1"/>
    </xf>
    <xf numFmtId="0" fontId="7" fillId="6" borderId="2" xfId="0" applyFont="1" applyFill="1" applyBorder="1" applyAlignment="1">
      <alignment horizontal="center" wrapText="1"/>
    </xf>
    <xf numFmtId="0" fontId="7" fillId="6" borderId="34" xfId="0" applyFont="1" applyFill="1" applyBorder="1" applyAlignment="1">
      <alignment horizontal="center" wrapText="1"/>
    </xf>
    <xf numFmtId="0" fontId="7" fillId="6" borderId="30" xfId="0" applyFont="1" applyFill="1" applyBorder="1" applyAlignment="1">
      <alignment horizontal="center" wrapText="1"/>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8" xfId="0" applyFont="1" applyBorder="1" applyAlignment="1">
      <alignment horizontal="center" vertical="center" wrapText="1"/>
    </xf>
    <xf numFmtId="0" fontId="14" fillId="0" borderId="42" xfId="0" applyFont="1" applyBorder="1" applyAlignment="1">
      <alignment horizontal="left" wrapText="1"/>
    </xf>
    <xf numFmtId="0" fontId="14" fillId="0" borderId="50" xfId="0" applyFont="1" applyBorder="1" applyAlignment="1">
      <alignment horizontal="left" wrapText="1"/>
    </xf>
    <xf numFmtId="0" fontId="14" fillId="0" borderId="43" xfId="0" applyFont="1" applyBorder="1" applyAlignment="1">
      <alignment horizontal="left" wrapText="1"/>
    </xf>
    <xf numFmtId="0" fontId="14" fillId="0" borderId="39" xfId="0" applyFont="1" applyBorder="1" applyAlignment="1">
      <alignment horizontal="left" wrapText="1"/>
    </xf>
    <xf numFmtId="0" fontId="14" fillId="0" borderId="49" xfId="0" applyFont="1" applyBorder="1" applyAlignment="1">
      <alignment horizontal="left" wrapText="1"/>
    </xf>
    <xf numFmtId="0" fontId="14" fillId="0" borderId="41" xfId="0" applyFont="1" applyBorder="1" applyAlignment="1">
      <alignment horizontal="left" wrapText="1"/>
    </xf>
    <xf numFmtId="0" fontId="14" fillId="0" borderId="35" xfId="0" applyFont="1" applyBorder="1" applyAlignment="1">
      <alignment horizontal="left" wrapText="1"/>
    </xf>
    <xf numFmtId="0" fontId="14" fillId="0" borderId="17" xfId="0" applyFont="1" applyBorder="1" applyAlignment="1">
      <alignment horizontal="left" wrapText="1"/>
    </xf>
    <xf numFmtId="0" fontId="14" fillId="0" borderId="37" xfId="0" applyFont="1" applyBorder="1" applyAlignment="1">
      <alignment horizontal="left" wrapText="1"/>
    </xf>
    <xf numFmtId="0" fontId="14" fillId="0" borderId="35" xfId="0" applyFont="1" applyBorder="1" applyAlignment="1">
      <alignment horizontal="center" wrapText="1"/>
    </xf>
    <xf numFmtId="0" fontId="14" fillId="0" borderId="17" xfId="0" applyFont="1" applyBorder="1" applyAlignment="1">
      <alignment horizontal="center" wrapText="1"/>
    </xf>
    <xf numFmtId="0" fontId="14" fillId="0" borderId="37" xfId="0" applyFont="1" applyBorder="1" applyAlignment="1">
      <alignment horizont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cellXfs>
  <cellStyles count="44">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2" xfId="4"/>
    <cellStyle name="Hipervínculo visitado" xfId="5"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Millares" xfId="39" builtinId="3"/>
    <cellStyle name="Millares [0]" xfId="42" builtinId="6"/>
    <cellStyle name="Millares 2" xfId="40"/>
    <cellStyle name="Moneda" xfId="41" builtinId="4"/>
    <cellStyle name="Moneda [0]" xfId="43" builtinId="7"/>
    <cellStyle name="Normal" xfId="0" builtinId="0"/>
    <cellStyle name="Normal 2" xfId="2"/>
    <cellStyle name="Porcentaje" xfId="1" builtinId="5"/>
    <cellStyle name="Porcentual 2" xfId="3"/>
  </cellStyles>
  <dxfs count="17">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92D050"/>
        </patternFill>
      </fill>
    </dxf>
  </dxfs>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
              <a:t>Efectividad del Sistema</a:t>
            </a:r>
          </a:p>
        </c:rich>
      </c:tx>
      <c:layout>
        <c:manualLayout>
          <c:xMode val="edge"/>
          <c:yMode val="edge"/>
          <c:x val="0.77215826691019995"/>
          <c:y val="1.5334937111064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69543015387563"/>
          <c:y val="0.18890037735182399"/>
          <c:w val="0.809522844390128"/>
          <c:h val="0.55647569306362499"/>
        </c:manualLayout>
      </c:layout>
      <c:barChart>
        <c:barDir val="col"/>
        <c:grouping val="clustered"/>
        <c:varyColors val="0"/>
        <c:ser>
          <c:idx val="0"/>
          <c:order val="0"/>
          <c:tx>
            <c:strRef>
              <c:f>DE!$E$27</c:f>
              <c:strCache>
                <c:ptCount val="1"/>
                <c:pt idx="0">
                  <c:v>Efectividad del Sistema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DE!$E$28:$E$39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7B73-4AC0-BFB5-F62706EA2AC1}"/>
            </c:ext>
          </c:extLst>
        </c:ser>
        <c:dLbls>
          <c:showLegendKey val="0"/>
          <c:showVal val="0"/>
          <c:showCatName val="0"/>
          <c:showSerName val="0"/>
          <c:showPercent val="0"/>
          <c:showBubbleSize val="0"/>
        </c:dLbls>
        <c:gapWidth val="150"/>
        <c:axId val="1439875024"/>
        <c:axId val="1439868496"/>
      </c:barChart>
      <c:lineChart>
        <c:grouping val="standard"/>
        <c:varyColors val="0"/>
        <c:ser>
          <c:idx val="1"/>
          <c:order val="1"/>
          <c:tx>
            <c:strRef>
              <c:f>DE!$F$27</c:f>
              <c:strCache>
                <c:ptCount val="1"/>
                <c:pt idx="0">
                  <c:v>Meta</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DE!$F$28:$F$39</c:f>
              <c:numCache>
                <c:formatCode>0%</c:formatCode>
                <c:ptCount val="12"/>
                <c:pt idx="0">
                  <c:v>0.1</c:v>
                </c:pt>
                <c:pt idx="1">
                  <c:v>0.1</c:v>
                </c:pt>
                <c:pt idx="2">
                  <c:v>0.1</c:v>
                </c:pt>
                <c:pt idx="3">
                  <c:v>0.1</c:v>
                </c:pt>
                <c:pt idx="4">
                  <c:v>0.1</c:v>
                </c:pt>
                <c:pt idx="5">
                  <c:v>0.1</c:v>
                </c:pt>
                <c:pt idx="6">
                  <c:v>0.1</c:v>
                </c:pt>
                <c:pt idx="7">
                  <c:v>0.1</c:v>
                </c:pt>
                <c:pt idx="8">
                  <c:v>0.1</c:v>
                </c:pt>
                <c:pt idx="9">
                  <c:v>0.1</c:v>
                </c:pt>
                <c:pt idx="10">
                  <c:v>0.1</c:v>
                </c:pt>
                <c:pt idx="11">
                  <c:v>0.1</c:v>
                </c:pt>
              </c:numCache>
            </c:numRef>
          </c:val>
          <c:smooth val="0"/>
          <c:extLst xmlns:c16r2="http://schemas.microsoft.com/office/drawing/2015/06/chart">
            <c:ext xmlns:c16="http://schemas.microsoft.com/office/drawing/2014/chart" uri="{C3380CC4-5D6E-409C-BE32-E72D297353CC}">
              <c16:uniqueId val="{00000001-7B73-4AC0-BFB5-F62706EA2AC1}"/>
            </c:ext>
          </c:extLst>
        </c:ser>
        <c:dLbls>
          <c:showLegendKey val="0"/>
          <c:showVal val="0"/>
          <c:showCatName val="0"/>
          <c:showSerName val="0"/>
          <c:showPercent val="0"/>
          <c:showBubbleSize val="0"/>
        </c:dLbls>
        <c:marker val="1"/>
        <c:smooth val="0"/>
        <c:axId val="1439875024"/>
        <c:axId val="1439868496"/>
      </c:lineChart>
      <c:dateAx>
        <c:axId val="1439875024"/>
        <c:scaling>
          <c:orientation val="minMax"/>
        </c:scaling>
        <c:delete val="0"/>
        <c:axPos val="b"/>
        <c:numFmt formatCode="mmm\-yy"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39868496"/>
        <c:crosses val="autoZero"/>
        <c:auto val="1"/>
        <c:lblOffset val="100"/>
        <c:baseTimeUnit val="months"/>
      </c:dateAx>
      <c:valAx>
        <c:axId val="14398684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398750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799" l="0.70000000000000095" r="0.70000000000000095" t="0.75000000000000799"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9</xdr:col>
      <xdr:colOff>432706</xdr:colOff>
      <xdr:row>0</xdr:row>
      <xdr:rowOff>81642</xdr:rowOff>
    </xdr:from>
    <xdr:to>
      <xdr:col>9</xdr:col>
      <xdr:colOff>5067300</xdr:colOff>
      <xdr:row>0</xdr:row>
      <xdr:rowOff>4827761</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2706" y="81642"/>
          <a:ext cx="4634594" cy="47461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983521</xdr:colOff>
      <xdr:row>0</xdr:row>
      <xdr:rowOff>50800</xdr:rowOff>
    </xdr:from>
    <xdr:to>
      <xdr:col>0</xdr:col>
      <xdr:colOff>2145094</xdr:colOff>
      <xdr:row>3</xdr:row>
      <xdr:rowOff>127000</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983521" y="50800"/>
          <a:ext cx="1151368"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983521</xdr:colOff>
      <xdr:row>0</xdr:row>
      <xdr:rowOff>50800</xdr:rowOff>
    </xdr:from>
    <xdr:to>
      <xdr:col>2</xdr:col>
      <xdr:colOff>1039514</xdr:colOff>
      <xdr:row>3</xdr:row>
      <xdr:rowOff>127000</xdr:rowOff>
    </xdr:to>
    <xdr:pic>
      <xdr:nvPicPr>
        <xdr:cNvPr id="2" name="Imagen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a:stretch>
          <a:fillRect/>
        </a:stretch>
      </xdr:blipFill>
      <xdr:spPr>
        <a:xfrm>
          <a:off x="983521" y="50800"/>
          <a:ext cx="1151368" cy="647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85163</xdr:colOff>
      <xdr:row>25</xdr:row>
      <xdr:rowOff>61634</xdr:rowOff>
    </xdr:from>
    <xdr:to>
      <xdr:col>14</xdr:col>
      <xdr:colOff>38100</xdr:colOff>
      <xdr:row>40</xdr:row>
      <xdr:rowOff>38100</xdr:rowOff>
    </xdr:to>
    <xdr:graphicFrame macro="">
      <xdr:nvGraphicFramePr>
        <xdr:cNvPr id="2" name="1 Gráfico">
          <a:extLst>
            <a:ext uri="{FF2B5EF4-FFF2-40B4-BE49-F238E27FC236}">
              <a16:creationId xmlns:a16="http://schemas.microsoft.com/office/drawing/2014/main" xmlns=""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822231</xdr:colOff>
      <xdr:row>0</xdr:row>
      <xdr:rowOff>56030</xdr:rowOff>
    </xdr:from>
    <xdr:to>
      <xdr:col>2</xdr:col>
      <xdr:colOff>520886</xdr:colOff>
      <xdr:row>3</xdr:row>
      <xdr:rowOff>71605</xdr:rowOff>
    </xdr:to>
    <xdr:pic>
      <xdr:nvPicPr>
        <xdr:cNvPr id="4" name="Imagen 3">
          <a:extLst>
            <a:ext uri="{FF2B5EF4-FFF2-40B4-BE49-F238E27FC236}">
              <a16:creationId xmlns:a16="http://schemas.microsoft.com/office/drawing/2014/main" xmlns="" id="{00000000-0008-0000-0600-000004000000}"/>
            </a:ext>
          </a:extLst>
        </xdr:cNvPr>
        <xdr:cNvPicPr>
          <a:picLocks noChangeAspect="1"/>
        </xdr:cNvPicPr>
      </xdr:nvPicPr>
      <xdr:blipFill>
        <a:blip xmlns:r="http://schemas.openxmlformats.org/officeDocument/2006/relationships" r:embed="rId2"/>
        <a:stretch>
          <a:fillRect/>
        </a:stretch>
      </xdr:blipFill>
      <xdr:spPr>
        <a:xfrm>
          <a:off x="1031781" y="56030"/>
          <a:ext cx="679730" cy="701375"/>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0.05196</cdr:x>
      <cdr:y>0.38222</cdr:y>
    </cdr:from>
    <cdr:to>
      <cdr:x>0.12556</cdr:x>
      <cdr:y>0.68838</cdr:y>
    </cdr:to>
    <cdr:sp macro="" textlink="">
      <cdr:nvSpPr>
        <cdr:cNvPr id="2" name="2 Flecha arriba"/>
        <cdr:cNvSpPr/>
      </cdr:nvSpPr>
      <cdr:spPr>
        <a:xfrm xmlns:a="http://schemas.openxmlformats.org/drawingml/2006/main">
          <a:off x="374651" y="1203326"/>
          <a:ext cx="530786" cy="963890"/>
        </a:xfrm>
        <a:prstGeom xmlns:a="http://schemas.openxmlformats.org/drawingml/2006/main" prst="upArrow">
          <a:avLst>
            <a:gd name="adj1" fmla="val 50000"/>
            <a:gd name="adj2" fmla="val 47398"/>
          </a:avLst>
        </a:prstGeom>
      </cdr:spPr>
      <cdr:style>
        <a:lnRef xmlns:a="http://schemas.openxmlformats.org/drawingml/2006/main" idx="0">
          <a:schemeClr val="accent1"/>
        </a:lnRef>
        <a:fillRef xmlns:a="http://schemas.openxmlformats.org/drawingml/2006/main" idx="3">
          <a:schemeClr val="accent1"/>
        </a:fillRef>
        <a:effectRef xmlns:a="http://schemas.openxmlformats.org/drawingml/2006/main" idx="3">
          <a:schemeClr val="accent1"/>
        </a:effectRef>
        <a:fontRef xmlns:a="http://schemas.openxmlformats.org/drawingml/2006/main" idx="minor">
          <a:schemeClr val="lt1"/>
        </a:fontRef>
      </cdr:style>
      <cdr:txBody>
        <a:bodyPr xmlns:a="http://schemas.openxmlformats.org/drawingml/2006/main" vert="vert270" lIns="0" tIns="0" rIns="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s-CO" sz="1000" b="1"/>
            <a:t>Mejor</a:t>
          </a:r>
          <a:r>
            <a:rPr lang="es-CO" sz="1100" b="1"/>
            <a:t> si sube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Zoonambulo\Documents\ETITC\2017\Presupuesto\D:\C\Registros_Calidad\INDICADORES\Guia_indicadores_Proc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landeaccion\Downloads\INDICADORE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brimiento Cupos"/>
      <sheetName val="Logros alcanzad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O "/>
      <sheetName val="ARTES-MUSICA "/>
      <sheetName val="SALUD "/>
      <sheetName val="TRABAJO SOCIAL"/>
      <sheetName val="PSICOLOGIA "/>
      <sheetName val="REC. DEPORTES "/>
      <sheetName val="PASTORAL PES"/>
      <sheetName val="PASTORAL BTO "/>
    </sheetNames>
    <sheetDataSet>
      <sheetData sheetId="0"/>
      <sheetData sheetId="1">
        <row r="30">
          <cell r="AC30">
            <v>0.98</v>
          </cell>
          <cell r="AE30">
            <v>14677</v>
          </cell>
        </row>
      </sheetData>
      <sheetData sheetId="2">
        <row r="15">
          <cell r="AC15">
            <v>1</v>
          </cell>
          <cell r="AE15">
            <v>74</v>
          </cell>
        </row>
      </sheetData>
      <sheetData sheetId="3">
        <row r="20">
          <cell r="AC20">
            <v>97.6</v>
          </cell>
          <cell r="AE20">
            <v>1741</v>
          </cell>
        </row>
      </sheetData>
      <sheetData sheetId="4">
        <row r="22">
          <cell r="AC22">
            <v>92.142857142857139</v>
          </cell>
          <cell r="AE22">
            <v>1056</v>
          </cell>
        </row>
      </sheetData>
      <sheetData sheetId="5">
        <row r="18">
          <cell r="AC18">
            <v>99</v>
          </cell>
          <cell r="AE18">
            <v>154</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J1:CC44"/>
  <sheetViews>
    <sheetView tabSelected="1" topLeftCell="A3" zoomScale="25" zoomScaleNormal="25" zoomScalePageLayoutView="20" workbookViewId="0">
      <pane xSplit="17" ySplit="3" topLeftCell="BH27" activePane="bottomRight" state="frozen"/>
      <selection activeCell="A3" sqref="A3"/>
      <selection pane="topRight" activeCell="I3" sqref="I3"/>
      <selection pane="bottomLeft" activeCell="A6" sqref="A6"/>
      <selection pane="bottomRight" activeCell="BH27" sqref="BH27"/>
    </sheetView>
  </sheetViews>
  <sheetFormatPr baseColWidth="10" defaultColWidth="10.85546875" defaultRowHeight="15" outlineLevelCol="1"/>
  <cols>
    <col min="1" max="9" width="0" style="167" hidden="1" customWidth="1"/>
    <col min="10" max="10" width="154.140625" style="167" customWidth="1"/>
    <col min="11" max="11" width="22.140625" style="167" hidden="1" customWidth="1"/>
    <col min="12" max="12" width="10.140625" style="167" customWidth="1"/>
    <col min="13" max="13" width="129.140625" style="167" customWidth="1"/>
    <col min="14" max="14" width="17.42578125" style="171" hidden="1" customWidth="1"/>
    <col min="15" max="16" width="4.42578125" style="167" hidden="1" customWidth="1"/>
    <col min="17" max="17" width="185.140625" style="167" customWidth="1"/>
    <col min="18" max="18" width="175.140625" style="167" customWidth="1"/>
    <col min="19" max="19" width="16" style="167" hidden="1" customWidth="1"/>
    <col min="20" max="20" width="9.42578125" style="167" hidden="1" customWidth="1"/>
    <col min="21" max="21" width="9" style="72" hidden="1" customWidth="1"/>
    <col min="22" max="33" width="7.85546875" style="167" hidden="1" customWidth="1" outlineLevel="1"/>
    <col min="34" max="34" width="11.42578125" style="172" hidden="1" customWidth="1"/>
    <col min="35" max="35" width="31.42578125" style="167" hidden="1" customWidth="1"/>
    <col min="36" max="36" width="11.42578125" style="167" hidden="1" customWidth="1"/>
    <col min="37" max="37" width="8.85546875" style="167" hidden="1" customWidth="1"/>
    <col min="38" max="38" width="9.85546875" style="167" hidden="1" customWidth="1"/>
    <col min="39" max="39" width="14.140625" style="167" hidden="1" customWidth="1"/>
    <col min="40" max="40" width="61.5703125" style="167" customWidth="1"/>
    <col min="41" max="41" width="50.42578125" style="167" bestFit="1" customWidth="1"/>
    <col min="42" max="42" width="42.140625" style="167" bestFit="1" customWidth="1"/>
    <col min="43" max="43" width="40.140625" style="179" bestFit="1" customWidth="1"/>
    <col min="44" max="44" width="37.42578125" style="179" customWidth="1"/>
    <col min="45" max="45" width="46" style="179" customWidth="1"/>
    <col min="46" max="48" width="44.85546875" style="167" hidden="1" customWidth="1"/>
    <col min="49" max="49" width="2.140625" style="167" hidden="1" customWidth="1"/>
    <col min="50" max="50" width="23.85546875" style="167" hidden="1" customWidth="1"/>
    <col min="51" max="51" width="2.140625" style="167" hidden="1" customWidth="1"/>
    <col min="52" max="53" width="33.42578125" style="167" hidden="1" customWidth="1"/>
    <col min="54" max="57" width="42" style="167" hidden="1" customWidth="1"/>
    <col min="58" max="59" width="54.85546875" style="167" customWidth="1"/>
    <col min="60" max="60" width="52.85546875" style="167" customWidth="1"/>
    <col min="61" max="61" width="255.140625" style="179" customWidth="1"/>
    <col min="62" max="62" width="16.85546875" style="167" hidden="1" customWidth="1"/>
    <col min="63" max="63" width="0" style="167" hidden="1" customWidth="1"/>
    <col min="64" max="64" width="17.85546875" style="167" hidden="1" customWidth="1"/>
    <col min="65" max="66" width="0" style="167" hidden="1" customWidth="1"/>
    <col min="67" max="67" width="12.42578125" style="167" hidden="1" customWidth="1"/>
    <col min="68" max="68" width="1.140625" style="167" customWidth="1"/>
    <col min="69" max="69" width="7.42578125" style="167" bestFit="1" customWidth="1"/>
    <col min="70" max="70" width="20.85546875" style="167" bestFit="1" customWidth="1"/>
    <col min="71" max="72" width="6.42578125" style="167" bestFit="1" customWidth="1"/>
    <col min="73" max="73" width="5.85546875" style="167" bestFit="1" customWidth="1"/>
    <col min="74" max="74" width="8.42578125" style="167" bestFit="1" customWidth="1"/>
    <col min="75" max="75" width="11.85546875" style="167" customWidth="1"/>
    <col min="76" max="76" width="9.140625" style="167" bestFit="1" customWidth="1"/>
    <col min="77" max="77" width="11.85546875" style="167" customWidth="1"/>
    <col min="78" max="78" width="10.42578125" style="167" bestFit="1" customWidth="1"/>
    <col min="79" max="91" width="10.85546875" style="167"/>
    <col min="92" max="97" width="9.42578125" style="167" customWidth="1"/>
    <col min="98" max="16384" width="10.85546875" style="167"/>
  </cols>
  <sheetData>
    <row r="1" spans="10:81" ht="409.5" customHeight="1" thickBot="1">
      <c r="J1" s="1167" t="s">
        <v>202</v>
      </c>
      <c r="K1" s="1168"/>
      <c r="L1" s="1168"/>
      <c r="M1" s="1168"/>
      <c r="N1" s="1168"/>
      <c r="O1" s="1168"/>
      <c r="P1" s="1168"/>
      <c r="Q1" s="1168"/>
      <c r="R1" s="1168"/>
      <c r="S1" s="1168"/>
      <c r="T1" s="1168"/>
      <c r="U1" s="1168"/>
      <c r="V1" s="1168"/>
      <c r="W1" s="1168"/>
      <c r="X1" s="1168"/>
      <c r="Y1" s="1168"/>
      <c r="Z1" s="1168"/>
      <c r="AA1" s="1168"/>
      <c r="AB1" s="1168"/>
      <c r="AC1" s="1168"/>
      <c r="AD1" s="1168"/>
      <c r="AE1" s="1168"/>
      <c r="AF1" s="1168"/>
      <c r="AG1" s="1168"/>
      <c r="AH1" s="1168"/>
      <c r="AI1" s="1168"/>
      <c r="AJ1" s="1168"/>
      <c r="AK1" s="1168"/>
      <c r="AL1" s="1168"/>
      <c r="AM1" s="1168"/>
      <c r="AN1" s="1168"/>
      <c r="AO1" s="1168"/>
      <c r="AP1" s="1168"/>
      <c r="AQ1" s="1168"/>
      <c r="AR1" s="1168"/>
      <c r="AS1" s="1168"/>
      <c r="AT1" s="1168"/>
      <c r="AU1" s="1168"/>
      <c r="AV1" s="1168"/>
      <c r="AW1" s="1168"/>
      <c r="AX1" s="1168"/>
      <c r="AY1" s="1168"/>
      <c r="AZ1" s="1168"/>
      <c r="BA1" s="1168"/>
      <c r="BB1" s="1168"/>
      <c r="BC1" s="1168"/>
      <c r="BD1" s="1168"/>
      <c r="BE1" s="1168"/>
      <c r="BF1" s="1168"/>
      <c r="BG1" s="1168"/>
      <c r="BH1" s="1168"/>
      <c r="BI1" s="1169"/>
    </row>
    <row r="2" spans="10:81" ht="62.25" thickBot="1">
      <c r="J2" s="921"/>
      <c r="K2" s="921"/>
      <c r="L2" s="921"/>
      <c r="M2" s="921"/>
      <c r="N2" s="922"/>
      <c r="O2" s="921"/>
      <c r="P2" s="921"/>
      <c r="Q2" s="921"/>
      <c r="R2" s="921"/>
      <c r="S2" s="921"/>
      <c r="T2" s="921"/>
      <c r="U2" s="923"/>
      <c r="V2" s="921"/>
      <c r="W2" s="921"/>
      <c r="X2" s="921"/>
      <c r="Y2" s="921"/>
      <c r="Z2" s="921"/>
      <c r="AA2" s="921"/>
      <c r="AB2" s="921"/>
      <c r="AC2" s="921"/>
      <c r="AD2" s="921"/>
      <c r="AE2" s="921"/>
      <c r="AF2" s="921"/>
      <c r="AG2" s="921"/>
      <c r="AH2" s="924"/>
      <c r="AI2" s="921"/>
      <c r="AJ2" s="921"/>
      <c r="AK2" s="921"/>
      <c r="AL2" s="921"/>
      <c r="AM2" s="921"/>
      <c r="AN2" s="921"/>
      <c r="AO2" s="921"/>
      <c r="AP2" s="921"/>
      <c r="AQ2" s="925"/>
      <c r="AR2" s="925"/>
      <c r="AS2" s="925"/>
      <c r="AT2" s="921"/>
      <c r="AU2" s="921"/>
      <c r="AV2" s="921"/>
      <c r="AW2" s="921"/>
      <c r="AX2" s="921"/>
      <c r="AY2" s="921"/>
      <c r="AZ2" s="921"/>
      <c r="BA2" s="921"/>
      <c r="BB2" s="921"/>
      <c r="BC2" s="921"/>
      <c r="BD2" s="921"/>
      <c r="BE2" s="921"/>
      <c r="BF2" s="921"/>
      <c r="BG2" s="921"/>
      <c r="BH2" s="921"/>
      <c r="BI2" s="925"/>
      <c r="BQ2" s="170"/>
      <c r="BR2" s="170"/>
      <c r="BS2" s="170"/>
      <c r="BT2" s="170"/>
      <c r="BU2" s="170"/>
      <c r="BV2" s="170"/>
      <c r="BW2" s="170"/>
      <c r="BX2" s="170"/>
      <c r="BY2" s="170"/>
      <c r="BZ2" s="170"/>
      <c r="CA2" s="170"/>
      <c r="CB2" s="170"/>
      <c r="CC2" s="170"/>
    </row>
    <row r="3" spans="10:81" s="559" customFormat="1" ht="90.75" customHeight="1" thickBot="1">
      <c r="J3" s="1081" t="s">
        <v>433</v>
      </c>
      <c r="K3" s="562" t="s">
        <v>1</v>
      </c>
      <c r="L3" s="1084" t="s">
        <v>309</v>
      </c>
      <c r="M3" s="1085"/>
      <c r="N3" s="563" t="s">
        <v>50</v>
      </c>
      <c r="O3" s="563" t="s">
        <v>57</v>
      </c>
      <c r="P3" s="563" t="s">
        <v>58</v>
      </c>
      <c r="Q3" s="1067" t="s">
        <v>432</v>
      </c>
      <c r="R3" s="1067" t="s">
        <v>431</v>
      </c>
      <c r="S3" s="563" t="s">
        <v>5</v>
      </c>
      <c r="T3" s="563" t="s">
        <v>6</v>
      </c>
      <c r="U3" s="563" t="s">
        <v>4</v>
      </c>
      <c r="V3" s="564">
        <v>42736</v>
      </c>
      <c r="W3" s="564">
        <v>42767</v>
      </c>
      <c r="X3" s="564">
        <v>42795</v>
      </c>
      <c r="Y3" s="564">
        <v>42826</v>
      </c>
      <c r="Z3" s="564">
        <v>42856</v>
      </c>
      <c r="AA3" s="564">
        <v>42887</v>
      </c>
      <c r="AB3" s="564">
        <v>42917</v>
      </c>
      <c r="AC3" s="564">
        <v>42948</v>
      </c>
      <c r="AD3" s="564">
        <v>42979</v>
      </c>
      <c r="AE3" s="564">
        <v>43009</v>
      </c>
      <c r="AF3" s="564">
        <v>43040</v>
      </c>
      <c r="AG3" s="564">
        <v>43070</v>
      </c>
      <c r="AH3" s="563" t="s">
        <v>10</v>
      </c>
      <c r="AI3" s="563" t="s">
        <v>54</v>
      </c>
      <c r="AJ3" s="563" t="s">
        <v>60</v>
      </c>
      <c r="AK3" s="563" t="s">
        <v>9</v>
      </c>
      <c r="AL3" s="565" t="s">
        <v>11</v>
      </c>
      <c r="AM3" s="566" t="s">
        <v>12</v>
      </c>
      <c r="AN3" s="1072" t="s">
        <v>430</v>
      </c>
      <c r="AO3" s="1075" t="s">
        <v>310</v>
      </c>
      <c r="AP3" s="1072" t="s">
        <v>40</v>
      </c>
      <c r="AQ3" s="1098" t="s">
        <v>434</v>
      </c>
      <c r="AR3" s="1062"/>
      <c r="AS3" s="1063"/>
      <c r="AT3" s="567"/>
      <c r="AU3" s="568"/>
      <c r="AV3" s="569"/>
      <c r="AW3" s="570"/>
      <c r="AX3" s="567" t="s">
        <v>204</v>
      </c>
      <c r="AY3" s="570"/>
      <c r="AZ3" s="571" t="s">
        <v>211</v>
      </c>
      <c r="BA3" s="571" t="s">
        <v>212</v>
      </c>
      <c r="BB3" s="1061" t="s">
        <v>438</v>
      </c>
      <c r="BC3" s="1062"/>
      <c r="BD3" s="1062"/>
      <c r="BE3" s="1062"/>
      <c r="BF3" s="1062"/>
      <c r="BG3" s="1062"/>
      <c r="BH3" s="1062"/>
      <c r="BI3" s="1063"/>
      <c r="BP3" s="560"/>
      <c r="BQ3" s="561"/>
      <c r="BR3" s="561"/>
      <c r="BS3" s="561"/>
      <c r="BT3" s="561"/>
      <c r="BU3" s="561"/>
      <c r="BV3" s="561"/>
      <c r="BW3" s="561"/>
      <c r="BX3" s="561"/>
      <c r="BY3" s="561"/>
      <c r="BZ3" s="561"/>
      <c r="CA3" s="560"/>
      <c r="CB3" s="560"/>
    </row>
    <row r="4" spans="10:81" s="559" customFormat="1" ht="63.75" customHeight="1" thickBot="1">
      <c r="J4" s="1082"/>
      <c r="K4" s="572"/>
      <c r="L4" s="1086"/>
      <c r="M4" s="1087"/>
      <c r="N4" s="573"/>
      <c r="O4" s="573"/>
      <c r="P4" s="573"/>
      <c r="Q4" s="1068"/>
      <c r="R4" s="1068"/>
      <c r="S4" s="573"/>
      <c r="T4" s="573"/>
      <c r="U4" s="573"/>
      <c r="V4" s="574"/>
      <c r="W4" s="574"/>
      <c r="X4" s="574"/>
      <c r="Y4" s="574"/>
      <c r="Z4" s="574"/>
      <c r="AA4" s="574"/>
      <c r="AB4" s="574"/>
      <c r="AC4" s="574"/>
      <c r="AD4" s="574"/>
      <c r="AE4" s="574"/>
      <c r="AF4" s="574"/>
      <c r="AG4" s="574"/>
      <c r="AH4" s="573"/>
      <c r="AI4" s="573"/>
      <c r="AJ4" s="573"/>
      <c r="AK4" s="573"/>
      <c r="AL4" s="575"/>
      <c r="AM4" s="576"/>
      <c r="AN4" s="1073"/>
      <c r="AO4" s="1076"/>
      <c r="AP4" s="1073"/>
      <c r="AQ4" s="577" t="s">
        <v>435</v>
      </c>
      <c r="AR4" s="578" t="s">
        <v>436</v>
      </c>
      <c r="AS4" s="579" t="s">
        <v>437</v>
      </c>
      <c r="AT4" s="580"/>
      <c r="AU4" s="581"/>
      <c r="AV4" s="582"/>
      <c r="AW4" s="583"/>
      <c r="AX4" s="580"/>
      <c r="AY4" s="583"/>
      <c r="AZ4" s="584"/>
      <c r="BA4" s="585"/>
      <c r="BB4" s="585" t="s">
        <v>213</v>
      </c>
      <c r="BC4" s="585" t="s">
        <v>335</v>
      </c>
      <c r="BD4" s="585" t="s">
        <v>337</v>
      </c>
      <c r="BE4" s="586" t="s">
        <v>400</v>
      </c>
      <c r="BF4" s="582" t="s">
        <v>451</v>
      </c>
      <c r="BG4" s="582" t="s">
        <v>453</v>
      </c>
      <c r="BH4" s="582" t="s">
        <v>458</v>
      </c>
      <c r="BI4" s="1070" t="s">
        <v>163</v>
      </c>
      <c r="BP4" s="560"/>
      <c r="BQ4" s="561"/>
      <c r="BR4" s="561"/>
      <c r="BS4" s="561"/>
      <c r="BT4" s="561"/>
      <c r="BU4" s="561"/>
      <c r="BV4" s="561"/>
      <c r="BW4" s="561"/>
      <c r="BX4" s="561"/>
      <c r="BY4" s="561"/>
      <c r="BZ4" s="561"/>
      <c r="CA4" s="560"/>
      <c r="CB4" s="560"/>
    </row>
    <row r="5" spans="10:81" s="559" customFormat="1" ht="62.25" thickBot="1">
      <c r="J5" s="1083"/>
      <c r="K5" s="572"/>
      <c r="L5" s="1088"/>
      <c r="M5" s="1089"/>
      <c r="N5" s="573"/>
      <c r="O5" s="573"/>
      <c r="P5" s="573"/>
      <c r="Q5" s="1069"/>
      <c r="R5" s="1069"/>
      <c r="S5" s="573"/>
      <c r="T5" s="573"/>
      <c r="U5" s="573"/>
      <c r="V5" s="574"/>
      <c r="W5" s="574"/>
      <c r="X5" s="574"/>
      <c r="Y5" s="574"/>
      <c r="Z5" s="574"/>
      <c r="AA5" s="574"/>
      <c r="AB5" s="574"/>
      <c r="AC5" s="574"/>
      <c r="AD5" s="574"/>
      <c r="AE5" s="574"/>
      <c r="AF5" s="574"/>
      <c r="AG5" s="574"/>
      <c r="AH5" s="573"/>
      <c r="AI5" s="573"/>
      <c r="AJ5" s="573"/>
      <c r="AK5" s="573"/>
      <c r="AL5" s="575"/>
      <c r="AM5" s="576"/>
      <c r="AN5" s="1074"/>
      <c r="AO5" s="1077"/>
      <c r="AP5" s="1074"/>
      <c r="AQ5" s="1064"/>
      <c r="AR5" s="1065"/>
      <c r="AS5" s="1066"/>
      <c r="AT5" s="580"/>
      <c r="AU5" s="581"/>
      <c r="AV5" s="582"/>
      <c r="AW5" s="583"/>
      <c r="AX5" s="580"/>
      <c r="AY5" s="583"/>
      <c r="AZ5" s="584"/>
      <c r="BA5" s="585"/>
      <c r="BB5" s="936"/>
      <c r="BC5" s="936"/>
      <c r="BD5" s="936"/>
      <c r="BE5" s="937"/>
      <c r="BF5" s="938"/>
      <c r="BG5" s="938"/>
      <c r="BH5" s="938"/>
      <c r="BI5" s="1071"/>
      <c r="BP5" s="560"/>
      <c r="BQ5" s="561"/>
      <c r="BR5" s="561"/>
      <c r="BS5" s="561"/>
      <c r="BT5" s="561"/>
      <c r="BU5" s="561"/>
      <c r="BV5" s="561"/>
      <c r="BW5" s="561"/>
      <c r="BX5" s="561"/>
      <c r="BY5" s="561"/>
      <c r="BZ5" s="561"/>
      <c r="CA5" s="560"/>
      <c r="CB5" s="560"/>
    </row>
    <row r="6" spans="10:81" s="252" customFormat="1" ht="246.75" hidden="1" thickBot="1">
      <c r="J6" s="1099" t="s">
        <v>190</v>
      </c>
      <c r="K6" s="1141" t="s">
        <v>73</v>
      </c>
      <c r="L6" s="989">
        <v>1</v>
      </c>
      <c r="M6" s="990" t="s">
        <v>116</v>
      </c>
      <c r="N6" s="588" t="s">
        <v>112</v>
      </c>
      <c r="O6" s="589"/>
      <c r="P6" s="589"/>
      <c r="Q6" s="991" t="s">
        <v>441</v>
      </c>
      <c r="R6" s="991" t="s">
        <v>156</v>
      </c>
      <c r="S6" s="590"/>
      <c r="T6" s="591" t="s">
        <v>115</v>
      </c>
      <c r="U6" s="592"/>
      <c r="V6" s="593"/>
      <c r="W6" s="593"/>
      <c r="X6" s="593"/>
      <c r="Y6" s="593"/>
      <c r="Z6" s="593"/>
      <c r="AA6" s="593"/>
      <c r="AB6" s="593"/>
      <c r="AC6" s="593"/>
      <c r="AD6" s="593"/>
      <c r="AE6" s="593"/>
      <c r="AF6" s="593"/>
      <c r="AG6" s="593"/>
      <c r="AH6" s="594" t="e">
        <f>LOOKUP(1000000000,V6:AG6)</f>
        <v>#N/A</v>
      </c>
      <c r="AI6" s="595"/>
      <c r="AJ6" s="593" t="e">
        <f t="shared" ref="AJ6:AJ17" si="0">+IF(SLOPE(V6:AG6,$V$3:$AG$3)&gt;0,"Al alza",IF(SLOPE(V6:AG6,$V$3:$AG$3)&lt;0,"A la baja","Sin cambio"))</f>
        <v>#DIV/0!</v>
      </c>
      <c r="AK6" s="596" t="s">
        <v>13</v>
      </c>
      <c r="AL6" s="597">
        <v>9.6100000000000005E-3</v>
      </c>
      <c r="AM6" s="598" t="str">
        <f>IF($T$6="Sube",IF(ISERROR(AH6/$U$6)=TRUE,"",IF(AH6&gt;$U$6,AL6,AH6/$U$6*AL6)),IF(ISERROR($U$6/AH6)=TRUE,"",IF($U$6&lt;AH6,$U$6/AH6*AL6,AL6)))</f>
        <v/>
      </c>
      <c r="AN6" s="758" t="s">
        <v>144</v>
      </c>
      <c r="AO6" s="992" t="s">
        <v>152</v>
      </c>
      <c r="AP6" s="760">
        <v>8.3299999999999999E-2</v>
      </c>
      <c r="AQ6" s="993" t="s">
        <v>152</v>
      </c>
      <c r="AR6" s="994" t="s">
        <v>152</v>
      </c>
      <c r="AS6" s="995" t="s">
        <v>412</v>
      </c>
      <c r="AT6" s="602">
        <v>0</v>
      </c>
      <c r="AU6" s="603">
        <v>0</v>
      </c>
      <c r="AV6" s="604">
        <v>8.3299999999999999E-2</v>
      </c>
      <c r="AW6" s="605"/>
      <c r="AX6" s="606"/>
      <c r="AY6" s="607"/>
      <c r="AZ6" s="605"/>
      <c r="BA6" s="608"/>
      <c r="BB6" s="955">
        <v>8.3299999999999999E-2</v>
      </c>
      <c r="BC6" s="955">
        <v>8.3299999999999999E-2</v>
      </c>
      <c r="BD6" s="955">
        <v>8.3299999999999999E-2</v>
      </c>
      <c r="BE6" s="955">
        <v>8.3299999999999999E-2</v>
      </c>
      <c r="BF6" s="955"/>
      <c r="BG6" s="955"/>
      <c r="BH6" s="955"/>
      <c r="BI6" s="941"/>
      <c r="BP6" s="253"/>
      <c r="BQ6" s="254"/>
      <c r="BR6" s="254"/>
      <c r="BS6" s="254"/>
      <c r="BT6" s="254"/>
      <c r="BU6" s="254"/>
      <c r="BV6" s="254"/>
      <c r="BW6" s="254"/>
      <c r="BX6" s="254"/>
      <c r="BY6" s="254"/>
      <c r="BZ6" s="253"/>
      <c r="CA6" s="253"/>
      <c r="CB6" s="253"/>
    </row>
    <row r="7" spans="10:81" s="252" customFormat="1" ht="408" customHeight="1" thickBot="1">
      <c r="J7" s="1100"/>
      <c r="K7" s="1183"/>
      <c r="L7" s="1016">
        <v>2</v>
      </c>
      <c r="M7" s="1017" t="s">
        <v>408</v>
      </c>
      <c r="N7" s="612"/>
      <c r="O7" s="613"/>
      <c r="P7" s="981"/>
      <c r="Q7" s="814" t="s">
        <v>442</v>
      </c>
      <c r="R7" s="1018" t="s">
        <v>409</v>
      </c>
      <c r="S7" s="985"/>
      <c r="T7" s="614"/>
      <c r="U7" s="615"/>
      <c r="V7" s="616"/>
      <c r="W7" s="616"/>
      <c r="X7" s="616"/>
      <c r="Y7" s="616"/>
      <c r="Z7" s="616"/>
      <c r="AA7" s="616"/>
      <c r="AB7" s="616"/>
      <c r="AC7" s="616"/>
      <c r="AD7" s="616"/>
      <c r="AE7" s="616"/>
      <c r="AF7" s="616"/>
      <c r="AG7" s="616"/>
      <c r="AH7" s="617"/>
      <c r="AI7" s="618"/>
      <c r="AJ7" s="616"/>
      <c r="AK7" s="619"/>
      <c r="AL7" s="620"/>
      <c r="AM7" s="621"/>
      <c r="AN7" s="826" t="s">
        <v>107</v>
      </c>
      <c r="AO7" s="848" t="s">
        <v>152</v>
      </c>
      <c r="AP7" s="1019">
        <v>0.63</v>
      </c>
      <c r="AQ7" s="1020" t="s">
        <v>411</v>
      </c>
      <c r="AR7" s="1021" t="s">
        <v>417</v>
      </c>
      <c r="AS7" s="1022" t="s">
        <v>410</v>
      </c>
      <c r="AT7" s="628">
        <v>0</v>
      </c>
      <c r="AU7" s="629">
        <v>0.42</v>
      </c>
      <c r="AV7" s="630">
        <v>0.63</v>
      </c>
      <c r="AW7" s="631"/>
      <c r="AX7" s="632"/>
      <c r="AY7" s="633"/>
      <c r="AZ7" s="631"/>
      <c r="BA7" s="982"/>
      <c r="BB7" s="835"/>
      <c r="BC7" s="837">
        <v>0.06</v>
      </c>
      <c r="BD7" s="837">
        <v>0.24</v>
      </c>
      <c r="BE7" s="837">
        <v>0.24</v>
      </c>
      <c r="BF7" s="837">
        <v>0.48</v>
      </c>
      <c r="BG7" s="837">
        <v>0.48</v>
      </c>
      <c r="BH7" s="837">
        <v>0.5</v>
      </c>
      <c r="BI7" s="839" t="s">
        <v>462</v>
      </c>
      <c r="BP7" s="253"/>
      <c r="BQ7" s="254"/>
      <c r="BR7" s="254"/>
      <c r="BS7" s="254"/>
      <c r="BT7" s="254"/>
      <c r="BU7" s="254"/>
      <c r="BV7" s="254"/>
      <c r="BW7" s="254"/>
      <c r="BX7" s="254"/>
      <c r="BY7" s="254"/>
      <c r="BZ7" s="253"/>
      <c r="CA7" s="253"/>
      <c r="CB7" s="253"/>
    </row>
    <row r="8" spans="10:81" s="252" customFormat="1" ht="246">
      <c r="J8" s="1186" t="s">
        <v>191</v>
      </c>
      <c r="K8" s="1182"/>
      <c r="L8" s="972">
        <v>3</v>
      </c>
      <c r="M8" s="996" t="s">
        <v>149</v>
      </c>
      <c r="N8" s="588" t="s">
        <v>112</v>
      </c>
      <c r="O8" s="589"/>
      <c r="P8" s="589"/>
      <c r="Q8" s="997" t="s">
        <v>150</v>
      </c>
      <c r="R8" s="997" t="s">
        <v>118</v>
      </c>
      <c r="S8" s="590"/>
      <c r="T8" s="591"/>
      <c r="U8" s="592"/>
      <c r="V8" s="593"/>
      <c r="W8" s="593"/>
      <c r="X8" s="593"/>
      <c r="Y8" s="593"/>
      <c r="Z8" s="593"/>
      <c r="AA8" s="593"/>
      <c r="AB8" s="593"/>
      <c r="AC8" s="593"/>
      <c r="AD8" s="593"/>
      <c r="AE8" s="593"/>
      <c r="AF8" s="593"/>
      <c r="AG8" s="593"/>
      <c r="AH8" s="594" t="e">
        <f>LOOKUP(1000000000,V8:AG8)</f>
        <v>#N/A</v>
      </c>
      <c r="AI8" s="595"/>
      <c r="AJ8" s="593" t="e">
        <f t="shared" si="0"/>
        <v>#DIV/0!</v>
      </c>
      <c r="AK8" s="596" t="s">
        <v>13</v>
      </c>
      <c r="AL8" s="597">
        <v>9.6100000000000005E-3</v>
      </c>
      <c r="AM8" s="598" t="str">
        <f>IF($T$8="Sube",IF(ISERROR(AH8/$U$8)=TRUE,"",IF(AH8&gt;$U$8,AL8,AH8/$U$8*AL8)),IF(ISERROR($U$8/AH8)=TRUE,"",IF($U$8&lt;AH8,$U$8/AH8*AL8,AL8)))</f>
        <v/>
      </c>
      <c r="AN8" s="958" t="s">
        <v>144</v>
      </c>
      <c r="AO8" s="998">
        <f>9.9925/9.9204-1</f>
        <v>7.2678521027376153E-3</v>
      </c>
      <c r="AP8" s="973">
        <v>0.01</v>
      </c>
      <c r="AQ8" s="999" t="s">
        <v>450</v>
      </c>
      <c r="AR8" s="1000" t="s">
        <v>449</v>
      </c>
      <c r="AS8" s="1001" t="s">
        <v>448</v>
      </c>
      <c r="AT8" s="602">
        <v>0</v>
      </c>
      <c r="AU8" s="635">
        <v>0.85</v>
      </c>
      <c r="AV8" s="636">
        <v>0.91</v>
      </c>
      <c r="AW8" s="637"/>
      <c r="AX8" s="638"/>
      <c r="AY8" s="639"/>
      <c r="AZ8" s="637"/>
      <c r="BA8" s="609"/>
      <c r="BB8" s="929"/>
      <c r="BC8" s="929"/>
      <c r="BD8" s="929"/>
      <c r="BE8" s="939"/>
      <c r="BF8" s="940"/>
      <c r="BG8" s="940"/>
      <c r="BH8" s="940"/>
      <c r="BI8" s="1002"/>
      <c r="BP8" s="253"/>
      <c r="BQ8" s="254"/>
      <c r="BR8" s="254"/>
      <c r="BS8" s="254"/>
      <c r="BT8" s="254"/>
      <c r="BU8" s="254"/>
      <c r="BV8" s="254"/>
      <c r="BW8" s="254"/>
      <c r="BX8" s="254"/>
      <c r="BY8" s="254"/>
      <c r="BZ8" s="253"/>
      <c r="CA8" s="253"/>
      <c r="CB8" s="253"/>
    </row>
    <row r="9" spans="10:81" s="252" customFormat="1" ht="246">
      <c r="J9" s="1187"/>
      <c r="K9" s="1182"/>
      <c r="L9" s="640">
        <v>4</v>
      </c>
      <c r="M9" s="641" t="s">
        <v>117</v>
      </c>
      <c r="N9" s="642" t="s">
        <v>112</v>
      </c>
      <c r="O9" s="643"/>
      <c r="P9" s="643"/>
      <c r="Q9" s="642" t="s">
        <v>179</v>
      </c>
      <c r="R9" s="642" t="s">
        <v>119</v>
      </c>
      <c r="S9" s="644"/>
      <c r="T9" s="645"/>
      <c r="U9" s="646"/>
      <c r="V9" s="647"/>
      <c r="W9" s="647"/>
      <c r="X9" s="647"/>
      <c r="Y9" s="647"/>
      <c r="Z9" s="647"/>
      <c r="AA9" s="647"/>
      <c r="AB9" s="647"/>
      <c r="AC9" s="647"/>
      <c r="AD9" s="647"/>
      <c r="AE9" s="647"/>
      <c r="AF9" s="647"/>
      <c r="AG9" s="647"/>
      <c r="AH9" s="648" t="e">
        <f t="shared" ref="AH9:AH17" si="1">LOOKUP(1000000000,V9:AG9)</f>
        <v>#N/A</v>
      </c>
      <c r="AI9" s="649"/>
      <c r="AJ9" s="647" t="e">
        <f t="shared" si="0"/>
        <v>#DIV/0!</v>
      </c>
      <c r="AK9" s="650" t="s">
        <v>13</v>
      </c>
      <c r="AL9" s="651">
        <v>9.6100000000000005E-3</v>
      </c>
      <c r="AM9" s="652" t="str">
        <f>IF($T$9="Sube",IF(ISERROR(AH9/$U$9)=TRUE,"",IF(AH9&gt;$U$9,AL9,AH9/$U$9*AL9)),IF(ISERROR($U$9/AH9)=TRUE,"",IF($U$9&lt;AH9,$U$9/AH9*AL9,AL9)))</f>
        <v/>
      </c>
      <c r="AN9" s="653" t="s">
        <v>144</v>
      </c>
      <c r="AO9" s="654">
        <v>0.88200000000000001</v>
      </c>
      <c r="AP9" s="655" t="s">
        <v>186</v>
      </c>
      <c r="AQ9" s="656" t="s">
        <v>406</v>
      </c>
      <c r="AR9" s="657" t="s">
        <v>419</v>
      </c>
      <c r="AS9" s="658" t="s">
        <v>405</v>
      </c>
      <c r="AT9" s="659">
        <v>0</v>
      </c>
      <c r="AU9" s="660">
        <v>0.7</v>
      </c>
      <c r="AV9" s="661">
        <v>0.88500000000000001</v>
      </c>
      <c r="AW9" s="662"/>
      <c r="AX9" s="663"/>
      <c r="AY9" s="664"/>
      <c r="AZ9" s="662"/>
      <c r="BA9" s="665"/>
      <c r="BB9" s="666"/>
      <c r="BC9" s="666"/>
      <c r="BD9" s="666"/>
      <c r="BE9" s="667"/>
      <c r="BF9" s="931"/>
      <c r="BG9" s="931"/>
      <c r="BH9" s="931"/>
      <c r="BI9" s="668"/>
      <c r="BP9" s="253"/>
      <c r="BQ9" s="254"/>
      <c r="BR9" s="254"/>
      <c r="BS9" s="254"/>
      <c r="BT9" s="254"/>
      <c r="BU9" s="254"/>
      <c r="BV9" s="254"/>
      <c r="BW9" s="254"/>
      <c r="BX9" s="254"/>
      <c r="BY9" s="254"/>
      <c r="BZ9" s="253"/>
      <c r="CA9" s="253"/>
      <c r="CB9" s="253"/>
    </row>
    <row r="10" spans="10:81" s="252" customFormat="1" ht="246">
      <c r="J10" s="1187"/>
      <c r="K10" s="1182" t="s">
        <v>74</v>
      </c>
      <c r="L10" s="640">
        <v>5</v>
      </c>
      <c r="M10" s="669" t="s">
        <v>184</v>
      </c>
      <c r="N10" s="670" t="s">
        <v>114</v>
      </c>
      <c r="O10" s="671"/>
      <c r="P10" s="672"/>
      <c r="Q10" s="673" t="s">
        <v>185</v>
      </c>
      <c r="R10" s="673" t="s">
        <v>203</v>
      </c>
      <c r="S10" s="674" t="s">
        <v>145</v>
      </c>
      <c r="T10" s="674" t="s">
        <v>100</v>
      </c>
      <c r="U10" s="675"/>
      <c r="V10" s="676"/>
      <c r="W10" s="676"/>
      <c r="X10" s="676"/>
      <c r="Y10" s="676"/>
      <c r="Z10" s="676"/>
      <c r="AA10" s="676"/>
      <c r="AB10" s="676"/>
      <c r="AC10" s="676"/>
      <c r="AD10" s="676"/>
      <c r="AE10" s="676"/>
      <c r="AF10" s="676"/>
      <c r="AG10" s="676"/>
      <c r="AH10" s="677" t="e">
        <f>LOOKUP(1000000000,V10:AG10)</f>
        <v>#N/A</v>
      </c>
      <c r="AI10" s="674"/>
      <c r="AJ10" s="676" t="e">
        <f>+IF(SLOPE(V10:AG10,$V$3:$AG$3)&gt;0,"Al alza",IF(SLOPE(V10:AG10,$V$3:$AG$3)&lt;0,"A la baja","Sin cambio"))</f>
        <v>#DIV/0!</v>
      </c>
      <c r="AK10" s="678" t="s">
        <v>13</v>
      </c>
      <c r="AL10" s="679">
        <v>9.6100000000000005E-3</v>
      </c>
      <c r="AM10" s="680" t="str">
        <f>IF($T$10="Sube",IF(ISERROR(AH10/$U$10)=TRUE,"",IF(AH10&gt;$U$10,AL10,AH10/$U$10*AL10)),IF(ISERROR($U$10/AH10)=TRUE,"",IF($U$10&lt;AH10,$U$10/AH10*AL10,AL10)))</f>
        <v/>
      </c>
      <c r="AN10" s="681" t="s">
        <v>144</v>
      </c>
      <c r="AO10" s="682">
        <f>7.218/9.426-1</f>
        <v>-0.23424570337364736</v>
      </c>
      <c r="AP10" s="683">
        <v>-0.2</v>
      </c>
      <c r="AQ10" s="656" t="s">
        <v>413</v>
      </c>
      <c r="AR10" s="684" t="s">
        <v>420</v>
      </c>
      <c r="AS10" s="658" t="s">
        <v>407</v>
      </c>
      <c r="AT10" s="659">
        <v>0</v>
      </c>
      <c r="AU10" s="660">
        <v>-0.1</v>
      </c>
      <c r="AV10" s="661">
        <v>-0.2</v>
      </c>
      <c r="AW10" s="685"/>
      <c r="AX10" s="686"/>
      <c r="AY10" s="687"/>
      <c r="AZ10" s="685"/>
      <c r="BA10" s="666"/>
      <c r="BB10" s="666"/>
      <c r="BC10" s="666"/>
      <c r="BD10" s="666"/>
      <c r="BE10" s="667"/>
      <c r="BF10" s="931"/>
      <c r="BG10" s="931"/>
      <c r="BH10" s="931"/>
      <c r="BI10" s="668"/>
      <c r="BP10" s="253"/>
      <c r="BQ10" s="254"/>
      <c r="BR10" s="254"/>
      <c r="BS10" s="254"/>
      <c r="BT10" s="254"/>
      <c r="BU10" s="254"/>
      <c r="BV10" s="254"/>
      <c r="BW10" s="254"/>
      <c r="BX10" s="254"/>
      <c r="BY10" s="254"/>
      <c r="BZ10" s="253"/>
      <c r="CA10" s="253"/>
      <c r="CB10" s="253"/>
    </row>
    <row r="11" spans="10:81" s="252" customFormat="1" ht="246.75" thickBot="1">
      <c r="J11" s="1137"/>
      <c r="K11" s="1102"/>
      <c r="L11" s="688">
        <v>6</v>
      </c>
      <c r="M11" s="689" t="s">
        <v>125</v>
      </c>
      <c r="N11" s="690" t="s">
        <v>112</v>
      </c>
      <c r="O11" s="691"/>
      <c r="P11" s="692"/>
      <c r="Q11" s="690" t="s">
        <v>153</v>
      </c>
      <c r="R11" s="690" t="s">
        <v>154</v>
      </c>
      <c r="S11" s="693" t="s">
        <v>144</v>
      </c>
      <c r="T11" s="694" t="s">
        <v>100</v>
      </c>
      <c r="U11" s="695"/>
      <c r="V11" s="696"/>
      <c r="W11" s="696"/>
      <c r="X11" s="696"/>
      <c r="Y11" s="696"/>
      <c r="Z11" s="696"/>
      <c r="AA11" s="696"/>
      <c r="AB11" s="696"/>
      <c r="AC11" s="696"/>
      <c r="AD11" s="696"/>
      <c r="AE11" s="696"/>
      <c r="AF11" s="696"/>
      <c r="AG11" s="696"/>
      <c r="AH11" s="697" t="e">
        <f>LOOKUP(1000000000,V11:AG11)</f>
        <v>#N/A</v>
      </c>
      <c r="AI11" s="693"/>
      <c r="AJ11" s="696" t="e">
        <f>+IF(SLOPE(V11:AG11,$V$3:$AG$3)&gt;0,"Al alza",IF(SLOPE(V11:AG11,$V$3:$AG$3)&lt;0,"A la baja","Sin cambio"))</f>
        <v>#DIV/0!</v>
      </c>
      <c r="AK11" s="698" t="s">
        <v>13</v>
      </c>
      <c r="AL11" s="699">
        <v>9.6100000000000005E-3</v>
      </c>
      <c r="AM11" s="700" t="str">
        <f>IF($T$11="Sube",IF(ISERROR(AH11/$U$11)=TRUE,"",IF(AH11&gt;$U$11,AL11,AH11/$U$11*AL11)),IF(ISERROR($U$11/AH11)=TRUE,"",IF($U$11&lt;AH11,$U$11/AH11*AL11,AL11)))</f>
        <v/>
      </c>
      <c r="AN11" s="701" t="s">
        <v>144</v>
      </c>
      <c r="AO11" s="702">
        <v>0.91</v>
      </c>
      <c r="AP11" s="703" t="s">
        <v>395</v>
      </c>
      <c r="AQ11" s="625" t="s">
        <v>397</v>
      </c>
      <c r="AR11" s="626" t="s">
        <v>418</v>
      </c>
      <c r="AS11" s="627" t="s">
        <v>396</v>
      </c>
      <c r="AT11" s="704">
        <v>0</v>
      </c>
      <c r="AU11" s="705">
        <v>0.85</v>
      </c>
      <c r="AV11" s="706">
        <v>0.91</v>
      </c>
      <c r="AW11" s="707"/>
      <c r="AX11" s="708"/>
      <c r="AY11" s="709"/>
      <c r="AZ11" s="707"/>
      <c r="BA11" s="710"/>
      <c r="BB11" s="711"/>
      <c r="BC11" s="711"/>
      <c r="BD11" s="711"/>
      <c r="BE11" s="712"/>
      <c r="BF11" s="932"/>
      <c r="BG11" s="932"/>
      <c r="BH11" s="932"/>
      <c r="BI11" s="713"/>
      <c r="BP11" s="253"/>
      <c r="BQ11" s="254"/>
      <c r="BR11" s="254"/>
      <c r="BS11" s="254"/>
      <c r="BT11" s="254"/>
      <c r="BU11" s="254"/>
      <c r="BV11" s="254"/>
      <c r="BW11" s="254"/>
      <c r="BX11" s="254"/>
      <c r="BY11" s="254"/>
      <c r="BZ11" s="253"/>
      <c r="CA11" s="253"/>
      <c r="CB11" s="253"/>
    </row>
    <row r="12" spans="10:81" s="255" customFormat="1" ht="308.25" thickBot="1">
      <c r="J12" s="714" t="s">
        <v>200</v>
      </c>
      <c r="K12" s="715" t="s">
        <v>336</v>
      </c>
      <c r="L12" s="716">
        <v>7</v>
      </c>
      <c r="M12" s="717" t="s">
        <v>376</v>
      </c>
      <c r="N12" s="718" t="s">
        <v>113</v>
      </c>
      <c r="O12" s="719"/>
      <c r="P12" s="719"/>
      <c r="Q12" s="718" t="s">
        <v>373</v>
      </c>
      <c r="R12" s="718" t="s">
        <v>311</v>
      </c>
      <c r="S12" s="718"/>
      <c r="T12" s="718"/>
      <c r="U12" s="720"/>
      <c r="V12" s="721"/>
      <c r="W12" s="721"/>
      <c r="X12" s="721"/>
      <c r="Y12" s="721"/>
      <c r="Z12" s="721"/>
      <c r="AA12" s="721"/>
      <c r="AB12" s="721"/>
      <c r="AC12" s="721"/>
      <c r="AD12" s="721"/>
      <c r="AE12" s="721"/>
      <c r="AF12" s="721"/>
      <c r="AG12" s="721"/>
      <c r="AH12" s="722" t="e">
        <f t="shared" si="1"/>
        <v>#N/A</v>
      </c>
      <c r="AI12" s="723"/>
      <c r="AJ12" s="721" t="e">
        <f t="shared" si="0"/>
        <v>#DIV/0!</v>
      </c>
      <c r="AK12" s="724" t="s">
        <v>13</v>
      </c>
      <c r="AL12" s="725">
        <v>9.6100000000000005E-3</v>
      </c>
      <c r="AM12" s="726" t="str">
        <f>IF($T$12="Sube",IF(ISERROR(AH12/$U$12)=TRUE,"",IF(AH12&gt;$U$12,AL12,AH12/$U$12*AL12)),IF(ISERROR($U$12/AH12)=TRUE,"",IF($U$12&lt;AH12,$U$12/AH12*AL12,AL12)))</f>
        <v/>
      </c>
      <c r="AN12" s="727" t="s">
        <v>108</v>
      </c>
      <c r="AO12" s="728" t="s">
        <v>152</v>
      </c>
      <c r="AP12" s="729">
        <v>0.5</v>
      </c>
      <c r="AQ12" s="730" t="s">
        <v>384</v>
      </c>
      <c r="AR12" s="731" t="s">
        <v>421</v>
      </c>
      <c r="AS12" s="732" t="s">
        <v>383</v>
      </c>
      <c r="AT12" s="733">
        <v>0.15</v>
      </c>
      <c r="AU12" s="734">
        <v>0.3</v>
      </c>
      <c r="AV12" s="735">
        <v>0.5</v>
      </c>
      <c r="AW12" s="736" t="s">
        <v>171</v>
      </c>
      <c r="AX12" s="737">
        <v>0.95</v>
      </c>
      <c r="AY12" s="736"/>
      <c r="AZ12" s="738"/>
      <c r="BA12" s="739"/>
      <c r="BB12" s="740"/>
      <c r="BC12" s="740"/>
      <c r="BD12" s="740"/>
      <c r="BE12" s="741">
        <v>0.5</v>
      </c>
      <c r="BF12" s="933"/>
      <c r="BG12" s="933"/>
      <c r="BH12" s="933"/>
      <c r="BI12" s="742"/>
      <c r="BO12" s="256"/>
      <c r="BP12" s="257"/>
      <c r="BQ12" s="258"/>
      <c r="BR12" s="258"/>
      <c r="BS12" s="258"/>
      <c r="BT12" s="258"/>
      <c r="BU12" s="258"/>
      <c r="BV12" s="258"/>
      <c r="BW12" s="258"/>
      <c r="BX12" s="258"/>
      <c r="BY12" s="258"/>
      <c r="BZ12" s="257"/>
      <c r="CA12" s="257"/>
      <c r="CB12" s="257"/>
    </row>
    <row r="13" spans="10:81" s="252" customFormat="1" ht="369.75" thickBot="1">
      <c r="J13" s="743" t="s">
        <v>188</v>
      </c>
      <c r="K13" s="744" t="s">
        <v>73</v>
      </c>
      <c r="L13" s="745">
        <v>8</v>
      </c>
      <c r="M13" s="746" t="s">
        <v>122</v>
      </c>
      <c r="N13" s="747" t="s">
        <v>121</v>
      </c>
      <c r="O13" s="748"/>
      <c r="P13" s="749"/>
      <c r="Q13" s="747" t="s">
        <v>123</v>
      </c>
      <c r="R13" s="747" t="s">
        <v>124</v>
      </c>
      <c r="S13" s="750" t="s">
        <v>108</v>
      </c>
      <c r="T13" s="751" t="s">
        <v>100</v>
      </c>
      <c r="U13" s="752"/>
      <c r="V13" s="753"/>
      <c r="W13" s="753"/>
      <c r="X13" s="753"/>
      <c r="Y13" s="753"/>
      <c r="Z13" s="753"/>
      <c r="AA13" s="753"/>
      <c r="AB13" s="753"/>
      <c r="AC13" s="753"/>
      <c r="AD13" s="753"/>
      <c r="AE13" s="753"/>
      <c r="AF13" s="753"/>
      <c r="AG13" s="753"/>
      <c r="AH13" s="754" t="e">
        <f t="shared" ref="AH13" si="2">LOOKUP(1000000000,V13:AG13)</f>
        <v>#N/A</v>
      </c>
      <c r="AI13" s="750"/>
      <c r="AJ13" s="753" t="e">
        <f t="shared" ref="AJ13" si="3">+IF(SLOPE(V13:AG13,$V$3:$AG$3)&gt;0,"Al alza",IF(SLOPE(V13:AG13,$V$3:$AG$3)&lt;0,"A la baja","Sin cambio"))</f>
        <v>#DIV/0!</v>
      </c>
      <c r="AK13" s="755" t="s">
        <v>13</v>
      </c>
      <c r="AL13" s="756">
        <v>9.6100000000000005E-3</v>
      </c>
      <c r="AM13" s="757"/>
      <c r="AN13" s="758" t="s">
        <v>108</v>
      </c>
      <c r="AO13" s="759" t="s">
        <v>152</v>
      </c>
      <c r="AP13" s="760">
        <v>1</v>
      </c>
      <c r="AQ13" s="761" t="s">
        <v>415</v>
      </c>
      <c r="AR13" s="731" t="s">
        <v>422</v>
      </c>
      <c r="AS13" s="762" t="s">
        <v>416</v>
      </c>
      <c r="AT13" s="763">
        <v>0.5</v>
      </c>
      <c r="AU13" s="764">
        <v>0.72</v>
      </c>
      <c r="AV13" s="765">
        <v>1</v>
      </c>
      <c r="AW13" s="766"/>
      <c r="AX13" s="767"/>
      <c r="AY13" s="768"/>
      <c r="AZ13" s="766"/>
      <c r="BA13" s="769"/>
      <c r="BB13" s="770"/>
      <c r="BC13" s="770"/>
      <c r="BD13" s="770">
        <v>1</v>
      </c>
      <c r="BE13" s="771"/>
      <c r="BF13" s="934"/>
      <c r="BG13" s="934"/>
      <c r="BH13" s="934"/>
      <c r="BI13" s="772"/>
      <c r="BO13" s="259"/>
      <c r="BP13" s="253"/>
      <c r="BQ13" s="254"/>
      <c r="BR13" s="254"/>
      <c r="BS13" s="254"/>
      <c r="BT13" s="254"/>
      <c r="BU13" s="254"/>
      <c r="BV13" s="254"/>
      <c r="BW13" s="254"/>
      <c r="BX13" s="254"/>
      <c r="BY13" s="254"/>
      <c r="BZ13" s="253"/>
      <c r="CA13" s="253"/>
      <c r="CB13" s="253"/>
    </row>
    <row r="14" spans="10:81" s="252" customFormat="1" ht="369">
      <c r="J14" s="773" t="s">
        <v>192</v>
      </c>
      <c r="K14" s="1180" t="s">
        <v>48</v>
      </c>
      <c r="L14" s="1096">
        <v>9</v>
      </c>
      <c r="M14" s="1184" t="s">
        <v>126</v>
      </c>
      <c r="N14" s="588" t="s">
        <v>121</v>
      </c>
      <c r="O14" s="589"/>
      <c r="P14" s="589"/>
      <c r="Q14" s="1178" t="s">
        <v>177</v>
      </c>
      <c r="R14" s="1178" t="s">
        <v>129</v>
      </c>
      <c r="S14" s="595"/>
      <c r="T14" s="774"/>
      <c r="U14" s="775"/>
      <c r="V14" s="776"/>
      <c r="W14" s="776"/>
      <c r="X14" s="776"/>
      <c r="Y14" s="776"/>
      <c r="Z14" s="776"/>
      <c r="AA14" s="776"/>
      <c r="AB14" s="776"/>
      <c r="AC14" s="776"/>
      <c r="AD14" s="776"/>
      <c r="AE14" s="776"/>
      <c r="AF14" s="776"/>
      <c r="AG14" s="776"/>
      <c r="AH14" s="777" t="e">
        <f t="shared" si="1"/>
        <v>#N/A</v>
      </c>
      <c r="AI14" s="778"/>
      <c r="AJ14" s="776" t="e">
        <f t="shared" si="0"/>
        <v>#DIV/0!</v>
      </c>
      <c r="AK14" s="779" t="s">
        <v>13</v>
      </c>
      <c r="AL14" s="780">
        <v>9.6100000000000005E-3</v>
      </c>
      <c r="AM14" s="781" t="str">
        <f>IF($T$14="Sube",IF(ISERROR(AH14/$U$14)=TRUE,"",IF(AH14&gt;$U$14,AL14,AH14/$U$14*AL14)),IF(ISERROR($U$14/AH14)=TRUE,"",IF($U$14&lt;AH14,$U$14/AH14*AL14,AL14)))</f>
        <v/>
      </c>
      <c r="AN14" s="1177" t="s">
        <v>144</v>
      </c>
      <c r="AO14" s="1176" t="s">
        <v>152</v>
      </c>
      <c r="AP14" s="1174">
        <v>1</v>
      </c>
      <c r="AQ14" s="1090" t="s">
        <v>398</v>
      </c>
      <c r="AR14" s="1092" t="s">
        <v>423</v>
      </c>
      <c r="AS14" s="1094" t="s">
        <v>399</v>
      </c>
      <c r="AT14" s="1044">
        <v>0</v>
      </c>
      <c r="AU14" s="1046">
        <v>0.6</v>
      </c>
      <c r="AV14" s="1048">
        <v>0.8</v>
      </c>
      <c r="AW14" s="1172"/>
      <c r="AX14" s="1146"/>
      <c r="AY14" s="1149"/>
      <c r="AZ14" s="1158"/>
      <c r="BA14" s="1170"/>
      <c r="BB14" s="1170"/>
      <c r="BC14" s="1170"/>
      <c r="BD14" s="770"/>
      <c r="BE14" s="771"/>
      <c r="BF14" s="934"/>
      <c r="BG14" s="934"/>
      <c r="BH14" s="934"/>
      <c r="BI14" s="1144"/>
      <c r="BJ14" s="555"/>
      <c r="BK14" s="555"/>
      <c r="BL14" s="555"/>
      <c r="BM14" s="555"/>
      <c r="BN14" s="555"/>
      <c r="BO14" s="555"/>
      <c r="BP14" s="556"/>
      <c r="BQ14" s="254"/>
      <c r="BR14" s="254"/>
      <c r="BS14" s="254"/>
      <c r="BT14" s="254"/>
      <c r="BU14" s="254"/>
      <c r="BV14" s="254"/>
      <c r="BW14" s="254"/>
      <c r="BX14" s="254"/>
      <c r="BY14" s="254"/>
      <c r="BZ14" s="253"/>
      <c r="CA14" s="253"/>
      <c r="CB14" s="253"/>
    </row>
    <row r="15" spans="10:81" s="252" customFormat="1" ht="185.25" thickBot="1">
      <c r="J15" s="782" t="s">
        <v>193</v>
      </c>
      <c r="K15" s="1181"/>
      <c r="L15" s="1097"/>
      <c r="M15" s="1185"/>
      <c r="N15" s="783"/>
      <c r="O15" s="784"/>
      <c r="P15" s="784"/>
      <c r="Q15" s="1179"/>
      <c r="R15" s="1179"/>
      <c r="S15" s="785"/>
      <c r="T15" s="694"/>
      <c r="U15" s="695"/>
      <c r="V15" s="696"/>
      <c r="W15" s="696"/>
      <c r="X15" s="696"/>
      <c r="Y15" s="696"/>
      <c r="Z15" s="696"/>
      <c r="AA15" s="696"/>
      <c r="AB15" s="696"/>
      <c r="AC15" s="696"/>
      <c r="AD15" s="696"/>
      <c r="AE15" s="696"/>
      <c r="AF15" s="696"/>
      <c r="AG15" s="696"/>
      <c r="AH15" s="697"/>
      <c r="AI15" s="693"/>
      <c r="AJ15" s="696"/>
      <c r="AK15" s="698"/>
      <c r="AL15" s="699"/>
      <c r="AM15" s="700"/>
      <c r="AN15" s="1079"/>
      <c r="AO15" s="1123"/>
      <c r="AP15" s="1175"/>
      <c r="AQ15" s="1091"/>
      <c r="AR15" s="1093"/>
      <c r="AS15" s="1095"/>
      <c r="AT15" s="1045"/>
      <c r="AU15" s="1047"/>
      <c r="AV15" s="1049"/>
      <c r="AW15" s="1173"/>
      <c r="AX15" s="1147"/>
      <c r="AY15" s="1150"/>
      <c r="AZ15" s="1159"/>
      <c r="BA15" s="1171"/>
      <c r="BB15" s="1171"/>
      <c r="BC15" s="1171"/>
      <c r="BD15" s="786"/>
      <c r="BE15" s="787"/>
      <c r="BF15" s="935"/>
      <c r="BG15" s="935"/>
      <c r="BH15" s="935"/>
      <c r="BI15" s="1145"/>
      <c r="BJ15" s="557"/>
      <c r="BK15" s="557"/>
      <c r="BL15" s="557"/>
      <c r="BM15" s="557"/>
      <c r="BN15" s="557"/>
      <c r="BO15" s="557"/>
      <c r="BP15" s="558"/>
      <c r="BQ15" s="254"/>
      <c r="BR15" s="254"/>
      <c r="BS15" s="254"/>
      <c r="BT15" s="254"/>
      <c r="BU15" s="254"/>
      <c r="BV15" s="254"/>
      <c r="BW15" s="254"/>
      <c r="BX15" s="254"/>
      <c r="BY15" s="254"/>
      <c r="BZ15" s="253"/>
      <c r="CA15" s="253"/>
      <c r="CB15" s="253"/>
    </row>
    <row r="16" spans="10:81" s="252" customFormat="1" ht="184.5">
      <c r="J16" s="788" t="s">
        <v>194</v>
      </c>
      <c r="K16" s="1182"/>
      <c r="L16" s="1103">
        <v>10</v>
      </c>
      <c r="M16" s="1111" t="s">
        <v>127</v>
      </c>
      <c r="N16" s="789"/>
      <c r="O16" s="790"/>
      <c r="P16" s="790"/>
      <c r="Q16" s="1142" t="s">
        <v>176</v>
      </c>
      <c r="R16" s="1142" t="s">
        <v>164</v>
      </c>
      <c r="S16" s="791"/>
      <c r="T16" s="792"/>
      <c r="U16" s="793"/>
      <c r="V16" s="794"/>
      <c r="W16" s="794"/>
      <c r="X16" s="794"/>
      <c r="Y16" s="794"/>
      <c r="Z16" s="794"/>
      <c r="AA16" s="794"/>
      <c r="AB16" s="794"/>
      <c r="AC16" s="794"/>
      <c r="AD16" s="794"/>
      <c r="AE16" s="794"/>
      <c r="AF16" s="794"/>
      <c r="AG16" s="794"/>
      <c r="AH16" s="795"/>
      <c r="AI16" s="796"/>
      <c r="AJ16" s="794"/>
      <c r="AK16" s="797"/>
      <c r="AL16" s="798"/>
      <c r="AM16" s="799"/>
      <c r="AN16" s="1164" t="s">
        <v>144</v>
      </c>
      <c r="AO16" s="1109" t="s">
        <v>152</v>
      </c>
      <c r="AP16" s="1105">
        <v>1</v>
      </c>
      <c r="AQ16" s="1160" t="s">
        <v>398</v>
      </c>
      <c r="AR16" s="1162" t="s">
        <v>423</v>
      </c>
      <c r="AS16" s="1107" t="s">
        <v>399</v>
      </c>
      <c r="AT16" s="1044">
        <v>0</v>
      </c>
      <c r="AU16" s="1051">
        <v>0.6</v>
      </c>
      <c r="AV16" s="1060">
        <v>0.8</v>
      </c>
      <c r="AW16" s="1058"/>
      <c r="AX16" s="1148"/>
      <c r="AY16" s="1151"/>
      <c r="AZ16" s="1052"/>
      <c r="BA16" s="1053"/>
      <c r="BB16" s="1155"/>
      <c r="BC16" s="1053"/>
      <c r="BD16" s="1053"/>
      <c r="BE16" s="1156"/>
      <c r="BF16" s="930"/>
      <c r="BG16" s="930"/>
      <c r="BH16" s="930"/>
      <c r="BI16" s="1153"/>
      <c r="BP16" s="253"/>
      <c r="BQ16" s="254"/>
      <c r="BR16" s="254"/>
      <c r="BS16" s="254"/>
      <c r="BT16" s="254"/>
      <c r="BU16" s="254"/>
      <c r="BV16" s="254"/>
      <c r="BW16" s="254"/>
      <c r="BX16" s="254"/>
      <c r="BY16" s="254"/>
      <c r="BZ16" s="253"/>
      <c r="CA16" s="253"/>
      <c r="CB16" s="253"/>
    </row>
    <row r="17" spans="10:81" s="252" customFormat="1" ht="185.25" thickBot="1">
      <c r="J17" s="800" t="s">
        <v>195</v>
      </c>
      <c r="K17" s="1182"/>
      <c r="L17" s="1104"/>
      <c r="M17" s="1112"/>
      <c r="N17" s="801" t="s">
        <v>121</v>
      </c>
      <c r="O17" s="802"/>
      <c r="P17" s="802"/>
      <c r="Q17" s="1143"/>
      <c r="R17" s="1143"/>
      <c r="S17" s="803"/>
      <c r="T17" s="804"/>
      <c r="U17" s="805"/>
      <c r="V17" s="806"/>
      <c r="W17" s="806"/>
      <c r="X17" s="806"/>
      <c r="Y17" s="806"/>
      <c r="Z17" s="806"/>
      <c r="AA17" s="806"/>
      <c r="AB17" s="806"/>
      <c r="AC17" s="806"/>
      <c r="AD17" s="806"/>
      <c r="AE17" s="806"/>
      <c r="AF17" s="806"/>
      <c r="AG17" s="806"/>
      <c r="AH17" s="807" t="e">
        <f t="shared" si="1"/>
        <v>#N/A</v>
      </c>
      <c r="AI17" s="808"/>
      <c r="AJ17" s="806" t="e">
        <f t="shared" si="0"/>
        <v>#DIV/0!</v>
      </c>
      <c r="AK17" s="809" t="s">
        <v>13</v>
      </c>
      <c r="AL17" s="810">
        <v>9.6100000000000005E-3</v>
      </c>
      <c r="AM17" s="811" t="str">
        <f>IF($T$17="Sube",IF(ISERROR(AH17/$U$17)=TRUE,"",IF(AH17&gt;$U$17,AL17,AH17/$U$17*AL17)),IF(ISERROR($U$17/AH17)=TRUE,"",IF($U$17&lt;AH17,$U$17/AH17*AL17,AL17)))</f>
        <v/>
      </c>
      <c r="AN17" s="1165"/>
      <c r="AO17" s="1110"/>
      <c r="AP17" s="1106"/>
      <c r="AQ17" s="1161"/>
      <c r="AR17" s="1163"/>
      <c r="AS17" s="1108"/>
      <c r="AT17" s="1050"/>
      <c r="AU17" s="1051"/>
      <c r="AV17" s="1060"/>
      <c r="AW17" s="1059"/>
      <c r="AX17" s="1148"/>
      <c r="AY17" s="1152"/>
      <c r="AZ17" s="1052"/>
      <c r="BA17" s="1053"/>
      <c r="BB17" s="1043"/>
      <c r="BC17" s="1053"/>
      <c r="BD17" s="1053"/>
      <c r="BE17" s="1157"/>
      <c r="BF17" s="930"/>
      <c r="BG17" s="930"/>
      <c r="BH17" s="930"/>
      <c r="BI17" s="1154"/>
      <c r="BP17" s="253"/>
      <c r="BQ17" s="254"/>
      <c r="BR17" s="254"/>
      <c r="BS17" s="254"/>
      <c r="BT17" s="254"/>
      <c r="BU17" s="254"/>
      <c r="BV17" s="254"/>
      <c r="BW17" s="254"/>
      <c r="BX17" s="254"/>
      <c r="BY17" s="254"/>
      <c r="BZ17" s="253"/>
      <c r="CA17" s="253"/>
      <c r="CB17" s="253"/>
    </row>
    <row r="18" spans="10:81" s="252" customFormat="1" ht="308.25" thickBot="1">
      <c r="J18" s="812" t="s">
        <v>201</v>
      </c>
      <c r="K18" s="1102"/>
      <c r="L18" s="813">
        <v>10</v>
      </c>
      <c r="M18" s="814" t="s">
        <v>128</v>
      </c>
      <c r="N18" s="815" t="s">
        <v>121</v>
      </c>
      <c r="O18" s="816"/>
      <c r="P18" s="816"/>
      <c r="Q18" s="815" t="s">
        <v>175</v>
      </c>
      <c r="R18" s="815" t="s">
        <v>165</v>
      </c>
      <c r="S18" s="817"/>
      <c r="T18" s="818"/>
      <c r="U18" s="819"/>
      <c r="V18" s="820"/>
      <c r="W18" s="820"/>
      <c r="X18" s="820"/>
      <c r="Y18" s="820"/>
      <c r="Z18" s="820"/>
      <c r="AA18" s="820"/>
      <c r="AB18" s="820"/>
      <c r="AC18" s="820"/>
      <c r="AD18" s="820"/>
      <c r="AE18" s="820"/>
      <c r="AF18" s="820"/>
      <c r="AG18" s="820"/>
      <c r="AH18" s="821"/>
      <c r="AI18" s="822"/>
      <c r="AJ18" s="820"/>
      <c r="AK18" s="823"/>
      <c r="AL18" s="824"/>
      <c r="AM18" s="825"/>
      <c r="AN18" s="826" t="s">
        <v>144</v>
      </c>
      <c r="AO18" s="827" t="s">
        <v>152</v>
      </c>
      <c r="AP18" s="828">
        <v>1</v>
      </c>
      <c r="AQ18" s="829"/>
      <c r="AR18" s="830"/>
      <c r="AS18" s="831"/>
      <c r="AT18" s="832">
        <v>0</v>
      </c>
      <c r="AU18" s="833"/>
      <c r="AV18" s="834"/>
      <c r="AW18" s="835"/>
      <c r="AX18" s="836"/>
      <c r="AY18" s="833"/>
      <c r="AZ18" s="835"/>
      <c r="BA18" s="979"/>
      <c r="BB18" s="835"/>
      <c r="BC18" s="837"/>
      <c r="BD18" s="837"/>
      <c r="BE18" s="837"/>
      <c r="BF18" s="837"/>
      <c r="BG18" s="837"/>
      <c r="BH18" s="838"/>
      <c r="BI18" s="839"/>
      <c r="BP18" s="253"/>
      <c r="BQ18" s="254"/>
      <c r="BR18" s="254"/>
      <c r="BS18" s="254"/>
      <c r="BT18" s="254"/>
      <c r="BU18" s="254"/>
      <c r="BV18" s="254"/>
      <c r="BW18" s="254"/>
      <c r="BX18" s="254"/>
      <c r="BY18" s="254"/>
      <c r="BZ18" s="253"/>
      <c r="CA18" s="253"/>
      <c r="CB18" s="253"/>
    </row>
    <row r="19" spans="10:81" s="252" customFormat="1" ht="369.75" thickBot="1">
      <c r="J19" s="743" t="s">
        <v>187</v>
      </c>
      <c r="K19" s="840" t="s">
        <v>75</v>
      </c>
      <c r="L19" s="841">
        <v>11</v>
      </c>
      <c r="M19" s="842" t="s">
        <v>173</v>
      </c>
      <c r="N19" s="843" t="s">
        <v>121</v>
      </c>
      <c r="O19" s="844"/>
      <c r="P19" s="845"/>
      <c r="Q19" s="846" t="s">
        <v>174</v>
      </c>
      <c r="R19" s="843" t="s">
        <v>130</v>
      </c>
      <c r="S19" s="847" t="s">
        <v>108</v>
      </c>
      <c r="T19" s="818" t="s">
        <v>100</v>
      </c>
      <c r="U19" s="819"/>
      <c r="V19" s="820"/>
      <c r="W19" s="820"/>
      <c r="X19" s="820"/>
      <c r="Y19" s="820"/>
      <c r="Z19" s="820"/>
      <c r="AA19" s="820"/>
      <c r="AB19" s="820"/>
      <c r="AC19" s="820"/>
      <c r="AD19" s="820"/>
      <c r="AE19" s="820"/>
      <c r="AF19" s="820"/>
      <c r="AG19" s="820"/>
      <c r="AH19" s="821" t="e">
        <f t="shared" ref="AH19:AH22" si="4">LOOKUP(1000000000,V19:AG19)</f>
        <v>#N/A</v>
      </c>
      <c r="AI19" s="822"/>
      <c r="AJ19" s="820" t="e">
        <f t="shared" ref="AJ19:AJ21" si="5">+IF(SLOPE(V19:AG19,$V$3:$AG$3)&gt;0,"Al alza",IF(SLOPE(V19:AG19,$V$3:$AG$3)&lt;0,"A la baja","Sin cambio"))</f>
        <v>#DIV/0!</v>
      </c>
      <c r="AK19" s="823" t="s">
        <v>13</v>
      </c>
      <c r="AL19" s="824">
        <v>9.6100000000000005E-3</v>
      </c>
      <c r="AM19" s="825" t="str">
        <f>IF($T$19="Sube",IF(ISERROR(AH19/$U$19)=TRUE,"",IF(AH19&gt;$U$19,AL19,AH19/$U$19*AL19)),IF(ISERROR($U$19/AH19)=TRUE,"",IF($U$19&lt;AH19,$U$19/AH19*AL19,AL19)))</f>
        <v/>
      </c>
      <c r="AN19" s="826" t="s">
        <v>108</v>
      </c>
      <c r="AO19" s="848">
        <v>0.97599999999999998</v>
      </c>
      <c r="AP19" s="849">
        <v>0.95</v>
      </c>
      <c r="AQ19" s="850" t="s">
        <v>381</v>
      </c>
      <c r="AR19" s="851" t="s">
        <v>424</v>
      </c>
      <c r="AS19" s="852" t="s">
        <v>382</v>
      </c>
      <c r="AT19" s="763">
        <v>0.85</v>
      </c>
      <c r="AU19" s="764">
        <v>0.9</v>
      </c>
      <c r="AV19" s="765">
        <v>0.95</v>
      </c>
      <c r="AW19" s="853" t="s">
        <v>171</v>
      </c>
      <c r="AX19" s="854">
        <v>0.96299999999999997</v>
      </c>
      <c r="AY19" s="855" t="s">
        <v>171</v>
      </c>
      <c r="AZ19" s="856"/>
      <c r="BA19" s="978"/>
      <c r="BB19" s="953">
        <v>0.98199999999999998</v>
      </c>
      <c r="BC19" s="950"/>
      <c r="BD19" s="950">
        <v>0.97</v>
      </c>
      <c r="BE19" s="950"/>
      <c r="BF19" s="950"/>
      <c r="BG19" s="950"/>
      <c r="BH19" s="974"/>
      <c r="BI19" s="857"/>
      <c r="BP19" s="253"/>
      <c r="BQ19" s="254"/>
      <c r="BR19" s="254"/>
      <c r="BS19" s="254"/>
      <c r="BT19" s="254"/>
      <c r="BU19" s="254"/>
      <c r="BV19" s="254"/>
      <c r="BW19" s="254"/>
      <c r="BX19" s="254"/>
      <c r="BY19" s="254"/>
      <c r="BZ19" s="253"/>
      <c r="CA19" s="253"/>
      <c r="CB19" s="253"/>
    </row>
    <row r="20" spans="10:81" s="252" customFormat="1" ht="246">
      <c r="J20" s="1136" t="s">
        <v>197</v>
      </c>
      <c r="K20" s="1141" t="s">
        <v>79</v>
      </c>
      <c r="L20" s="587">
        <v>12</v>
      </c>
      <c r="M20" s="858" t="s">
        <v>137</v>
      </c>
      <c r="N20" s="859" t="s">
        <v>112</v>
      </c>
      <c r="O20" s="860"/>
      <c r="P20" s="861"/>
      <c r="Q20" s="859" t="s">
        <v>388</v>
      </c>
      <c r="R20" s="859" t="s">
        <v>389</v>
      </c>
      <c r="S20" s="862" t="s">
        <v>146</v>
      </c>
      <c r="T20" s="774"/>
      <c r="U20" s="775"/>
      <c r="V20" s="776"/>
      <c r="W20" s="776"/>
      <c r="X20" s="776"/>
      <c r="Y20" s="776"/>
      <c r="Z20" s="776"/>
      <c r="AA20" s="776"/>
      <c r="AB20" s="776"/>
      <c r="AC20" s="776"/>
      <c r="AD20" s="776"/>
      <c r="AE20" s="776"/>
      <c r="AF20" s="776"/>
      <c r="AG20" s="776"/>
      <c r="AH20" s="777" t="e">
        <f t="shared" si="4"/>
        <v>#N/A</v>
      </c>
      <c r="AI20" s="778"/>
      <c r="AJ20" s="776" t="e">
        <f t="shared" si="5"/>
        <v>#DIV/0!</v>
      </c>
      <c r="AK20" s="779" t="s">
        <v>13</v>
      </c>
      <c r="AL20" s="780">
        <v>9.6100000000000005E-3</v>
      </c>
      <c r="AM20" s="781" t="str">
        <f>IF($T$20="Sube",IF(ISERROR(AH20/$U$20)=TRUE,"",IF(AH20&gt;$U$20,AL20,AH20/$U$20*AL20)),IF(ISERROR($U$20/AH20)=TRUE,"",IF($U$20&lt;AH20,$U$20/AH20*AL20,AL20)))</f>
        <v/>
      </c>
      <c r="AN20" s="599" t="s">
        <v>144</v>
      </c>
      <c r="AO20" s="863">
        <v>41.3</v>
      </c>
      <c r="AP20" s="889">
        <v>50</v>
      </c>
      <c r="AQ20" s="850" t="s">
        <v>445</v>
      </c>
      <c r="AR20" s="851" t="s">
        <v>447</v>
      </c>
      <c r="AS20" s="852" t="s">
        <v>446</v>
      </c>
      <c r="AT20" s="602">
        <v>0</v>
      </c>
      <c r="AU20" s="635">
        <v>0.41299999999999998</v>
      </c>
      <c r="AV20" s="636">
        <v>0.5</v>
      </c>
      <c r="AW20" s="864"/>
      <c r="AX20" s="865"/>
      <c r="AY20" s="866"/>
      <c r="AZ20" s="864"/>
      <c r="BA20" s="944"/>
      <c r="BB20" s="976"/>
      <c r="BC20" s="868"/>
      <c r="BD20" s="868"/>
      <c r="BE20" s="868"/>
      <c r="BF20" s="868"/>
      <c r="BG20" s="868"/>
      <c r="BH20" s="869"/>
      <c r="BI20" s="611"/>
      <c r="BP20" s="253"/>
      <c r="BQ20" s="254"/>
      <c r="BR20" s="254"/>
      <c r="BS20" s="254"/>
      <c r="BT20" s="254"/>
      <c r="BU20" s="254"/>
      <c r="BV20" s="254"/>
      <c r="BW20" s="254"/>
      <c r="BX20" s="254"/>
      <c r="BY20" s="254"/>
      <c r="BZ20" s="253"/>
      <c r="CA20" s="253"/>
      <c r="CB20" s="253"/>
    </row>
    <row r="21" spans="10:81" s="252" customFormat="1" ht="246.75" thickBot="1">
      <c r="J21" s="1137"/>
      <c r="K21" s="1102"/>
      <c r="L21" s="688">
        <v>13</v>
      </c>
      <c r="M21" s="870" t="s">
        <v>138</v>
      </c>
      <c r="N21" s="871" t="s">
        <v>112</v>
      </c>
      <c r="O21" s="872"/>
      <c r="P21" s="873"/>
      <c r="Q21" s="871" t="s">
        <v>333</v>
      </c>
      <c r="R21" s="871" t="s">
        <v>158</v>
      </c>
      <c r="S21" s="874" t="s">
        <v>146</v>
      </c>
      <c r="T21" s="694" t="s">
        <v>100</v>
      </c>
      <c r="U21" s="695"/>
      <c r="V21" s="696"/>
      <c r="W21" s="696"/>
      <c r="X21" s="696"/>
      <c r="Y21" s="696"/>
      <c r="Z21" s="696"/>
      <c r="AA21" s="696"/>
      <c r="AB21" s="696"/>
      <c r="AC21" s="696"/>
      <c r="AD21" s="696"/>
      <c r="AE21" s="696"/>
      <c r="AF21" s="696"/>
      <c r="AG21" s="696"/>
      <c r="AH21" s="697" t="e">
        <f t="shared" si="4"/>
        <v>#N/A</v>
      </c>
      <c r="AI21" s="693"/>
      <c r="AJ21" s="696" t="e">
        <f t="shared" si="5"/>
        <v>#DIV/0!</v>
      </c>
      <c r="AK21" s="698" t="s">
        <v>13</v>
      </c>
      <c r="AL21" s="699">
        <v>9.6100000000000005E-3</v>
      </c>
      <c r="AM21" s="700" t="str">
        <f>IF($T$21="Sube",IF(ISERROR(AH21/$U$21)=TRUE,"",IF(AH21&gt;$U$21,AL21,AH21/$U$21*AL21)),IF(ISERROR($U$21/AH21)=TRUE,"",IF($U$21&lt;AH21,$U$21/AH21*AL21,AL21)))</f>
        <v/>
      </c>
      <c r="AN21" s="701" t="s">
        <v>144</v>
      </c>
      <c r="AO21" s="875">
        <v>92.8</v>
      </c>
      <c r="AP21" s="876">
        <v>0.95</v>
      </c>
      <c r="AQ21" s="899" t="s">
        <v>440</v>
      </c>
      <c r="AR21" s="900" t="s">
        <v>439</v>
      </c>
      <c r="AS21" s="901" t="s">
        <v>382</v>
      </c>
      <c r="AT21" s="926">
        <v>0</v>
      </c>
      <c r="AU21" s="927"/>
      <c r="AV21" s="928"/>
      <c r="AW21" s="877"/>
      <c r="AX21" s="878"/>
      <c r="AY21" s="879"/>
      <c r="AZ21" s="877"/>
      <c r="BA21" s="692"/>
      <c r="BB21" s="977"/>
      <c r="BC21" s="880"/>
      <c r="BD21" s="964"/>
      <c r="BE21" s="964">
        <v>0.92800000000000005</v>
      </c>
      <c r="BF21" s="964"/>
      <c r="BG21" s="964"/>
      <c r="BH21" s="712"/>
      <c r="BI21" s="980"/>
      <c r="BP21" s="253"/>
      <c r="BQ21" s="254"/>
      <c r="BR21" s="254"/>
      <c r="BS21" s="254"/>
      <c r="BT21" s="254"/>
      <c r="BU21" s="254"/>
      <c r="BV21" s="254"/>
      <c r="BW21" s="254"/>
      <c r="BX21" s="254"/>
      <c r="BY21" s="254"/>
      <c r="BZ21" s="253"/>
      <c r="CA21" s="253"/>
      <c r="CB21" s="253"/>
    </row>
    <row r="22" spans="10:81" s="252" customFormat="1" ht="207" customHeight="1">
      <c r="J22" s="1136" t="s">
        <v>189</v>
      </c>
      <c r="K22" s="948" t="s">
        <v>80</v>
      </c>
      <c r="L22" s="943">
        <v>13</v>
      </c>
      <c r="M22" s="949" t="s">
        <v>139</v>
      </c>
      <c r="N22" s="945" t="s">
        <v>121</v>
      </c>
      <c r="O22" s="867"/>
      <c r="P22" s="944"/>
      <c r="Q22" s="946" t="s">
        <v>180</v>
      </c>
      <c r="R22" s="888" t="s">
        <v>385</v>
      </c>
      <c r="S22" s="881" t="s">
        <v>145</v>
      </c>
      <c r="T22" s="774" t="s">
        <v>100</v>
      </c>
      <c r="U22" s="775"/>
      <c r="V22" s="776"/>
      <c r="W22" s="776"/>
      <c r="X22" s="776"/>
      <c r="Y22" s="776"/>
      <c r="Z22" s="776"/>
      <c r="AA22" s="776"/>
      <c r="AB22" s="776"/>
      <c r="AC22" s="776"/>
      <c r="AD22" s="776"/>
      <c r="AE22" s="776"/>
      <c r="AF22" s="776"/>
      <c r="AG22" s="776"/>
      <c r="AH22" s="777" t="e">
        <f t="shared" si="4"/>
        <v>#N/A</v>
      </c>
      <c r="AI22" s="778"/>
      <c r="AJ22" s="776" t="e">
        <f>+IF(SLOPE(V22:AG22,$V$3:$AG$3)&gt;0,"Al alza",IF(SLOPE(V22:AG22,$V$3:$AG$3)&lt;0,"A la baja","Sin cambio"))</f>
        <v>#DIV/0!</v>
      </c>
      <c r="AK22" s="779" t="s">
        <v>13</v>
      </c>
      <c r="AL22" s="780">
        <v>9.6100000000000005E-3</v>
      </c>
      <c r="AM22" s="781" t="str">
        <f>IF($T$22="Sube",IF(ISERROR(AH22/$U$22)=TRUE,"",IF(AH22&gt;$U$22,AL22,AH22/$U$22*AL22)),IF(ISERROR($U$22/AH22)=TRUE,"",IF($U$22&lt;AH22,$U$22/AH22*AL22,AL22)))</f>
        <v/>
      </c>
      <c r="AN22" s="942" t="s">
        <v>148</v>
      </c>
      <c r="AO22" s="600">
        <v>1</v>
      </c>
      <c r="AP22" s="601">
        <v>1</v>
      </c>
      <c r="AQ22" s="850" t="s">
        <v>387</v>
      </c>
      <c r="AR22" s="851" t="s">
        <v>425</v>
      </c>
      <c r="AS22" s="852" t="s">
        <v>386</v>
      </c>
      <c r="AT22" s="882">
        <v>0</v>
      </c>
      <c r="AU22" s="635">
        <v>0.75</v>
      </c>
      <c r="AV22" s="636">
        <v>0.85</v>
      </c>
      <c r="AW22" s="605"/>
      <c r="AX22" s="606"/>
      <c r="AY22" s="607" t="s">
        <v>171</v>
      </c>
      <c r="AZ22" s="605"/>
      <c r="BA22" s="947"/>
      <c r="BB22" s="954">
        <v>0.4</v>
      </c>
      <c r="BC22" s="954"/>
      <c r="BD22" s="954">
        <f>5648325168/9195800961</f>
        <v>0.61422873243504517</v>
      </c>
      <c r="BE22" s="954"/>
      <c r="BF22" s="954"/>
      <c r="BG22" s="954">
        <f>8005600597.35/9195800961</f>
        <v>0.87057132176982532</v>
      </c>
      <c r="BH22" s="939"/>
      <c r="BI22" s="611"/>
      <c r="BJ22" s="260">
        <v>2535256775.75</v>
      </c>
      <c r="BK22" s="252" t="s">
        <v>167</v>
      </c>
      <c r="BL22" s="261">
        <v>24852870354.630001</v>
      </c>
      <c r="BM22" s="252" t="s">
        <v>168</v>
      </c>
      <c r="BN22" s="262">
        <f>+BJ22/BJ25</f>
        <v>1.1527015655031936</v>
      </c>
      <c r="BP22" s="253"/>
      <c r="BQ22" s="254"/>
      <c r="BR22" s="254"/>
      <c r="BS22" s="254"/>
      <c r="BT22" s="254"/>
      <c r="BU22" s="254"/>
      <c r="BV22" s="254"/>
      <c r="BW22" s="254"/>
      <c r="BX22" s="254"/>
      <c r="BY22" s="254"/>
      <c r="BZ22" s="253"/>
      <c r="CA22" s="253"/>
      <c r="CB22" s="253"/>
    </row>
    <row r="23" spans="10:81" s="252" customFormat="1" ht="177.75" customHeight="1" thickBot="1">
      <c r="J23" s="1137"/>
      <c r="K23" s="1101" t="s">
        <v>78</v>
      </c>
      <c r="L23" s="1097">
        <v>14</v>
      </c>
      <c r="M23" s="1117" t="s">
        <v>134</v>
      </c>
      <c r="N23" s="669" t="s">
        <v>135</v>
      </c>
      <c r="O23" s="671"/>
      <c r="P23" s="672"/>
      <c r="Q23" s="1115" t="s">
        <v>155</v>
      </c>
      <c r="R23" s="1120" t="s">
        <v>136</v>
      </c>
      <c r="S23" s="883" t="s">
        <v>108</v>
      </c>
      <c r="T23" s="884" t="s">
        <v>100</v>
      </c>
      <c r="U23" s="675"/>
      <c r="V23" s="676"/>
      <c r="W23" s="676"/>
      <c r="X23" s="676"/>
      <c r="Y23" s="676"/>
      <c r="Z23" s="676"/>
      <c r="AA23" s="676"/>
      <c r="AB23" s="676"/>
      <c r="AC23" s="676"/>
      <c r="AD23" s="676"/>
      <c r="AE23" s="676"/>
      <c r="AF23" s="676"/>
      <c r="AG23" s="676"/>
      <c r="AH23" s="677" t="e">
        <f t="shared" ref="AH23" si="6">LOOKUP(1000000000,V23:AG23)</f>
        <v>#N/A</v>
      </c>
      <c r="AI23" s="674"/>
      <c r="AJ23" s="676" t="e">
        <f t="shared" ref="AJ23" si="7">+IF(SLOPE(V23:AG23,$V$3:$AG$3)&gt;0,"Al alza",IF(SLOPE(V23:AG23,$V$3:$AG$3)&lt;0,"A la baja","Sin cambio"))</f>
        <v>#DIV/0!</v>
      </c>
      <c r="AK23" s="885" t="s">
        <v>13</v>
      </c>
      <c r="AL23" s="679">
        <v>9.6100000000000005E-3</v>
      </c>
      <c r="AM23" s="886" t="e">
        <f>IF(#REF!="Sube",IF(ISERROR(AH23/#REF!)=TRUE,"",IF(AH23&gt;#REF!,AL23,AH23/#REF!*AL23)),IF(ISERROR(#REF!/AH23)=TRUE,"",IF(#REF!&lt;AH23,#REF!/AH23*AL23,AL23)))</f>
        <v>#REF!</v>
      </c>
      <c r="AN23" s="1079" t="s">
        <v>148</v>
      </c>
      <c r="AO23" s="1123" t="s">
        <v>152</v>
      </c>
      <c r="AP23" s="1121" t="s">
        <v>181</v>
      </c>
      <c r="AQ23" s="1129" t="s">
        <v>401</v>
      </c>
      <c r="AR23" s="1138" t="s">
        <v>426</v>
      </c>
      <c r="AS23" s="1131" t="s">
        <v>392</v>
      </c>
      <c r="AT23" s="1133">
        <v>0.5</v>
      </c>
      <c r="AU23" s="1134">
        <v>0.7</v>
      </c>
      <c r="AV23" s="1078">
        <v>0.9</v>
      </c>
      <c r="AW23" s="1054"/>
      <c r="AX23" s="1125"/>
      <c r="AY23" s="1056" t="s">
        <v>171</v>
      </c>
      <c r="AZ23" s="1127"/>
      <c r="BA23" s="1125"/>
      <c r="BB23" s="1042">
        <v>0</v>
      </c>
      <c r="BC23" s="1042"/>
      <c r="BD23" s="1042">
        <v>0.76</v>
      </c>
      <c r="BE23" s="1042"/>
      <c r="BF23" s="1042"/>
      <c r="BG23" s="1042">
        <v>0.9</v>
      </c>
      <c r="BH23" s="1166"/>
      <c r="BI23" s="1113"/>
      <c r="BP23" s="253"/>
      <c r="BQ23" s="254"/>
      <c r="BR23" s="254"/>
      <c r="BS23" s="254"/>
      <c r="BT23" s="254"/>
      <c r="BU23" s="254"/>
      <c r="BV23" s="254"/>
      <c r="BW23" s="254"/>
      <c r="BX23" s="254"/>
      <c r="BY23" s="254"/>
      <c r="BZ23" s="253"/>
      <c r="CA23" s="253"/>
      <c r="CB23" s="253"/>
    </row>
    <row r="24" spans="10:81" s="252" customFormat="1" ht="123.75" thickBot="1">
      <c r="J24" s="959" t="s">
        <v>198</v>
      </c>
      <c r="K24" s="1102"/>
      <c r="L24" s="1119"/>
      <c r="M24" s="1118"/>
      <c r="N24" s="690"/>
      <c r="O24" s="691"/>
      <c r="P24" s="691"/>
      <c r="Q24" s="1116"/>
      <c r="R24" s="1116"/>
      <c r="S24" s="887"/>
      <c r="T24" s="694"/>
      <c r="U24" s="695"/>
      <c r="V24" s="696"/>
      <c r="W24" s="696"/>
      <c r="X24" s="696"/>
      <c r="Y24" s="696"/>
      <c r="Z24" s="696"/>
      <c r="AA24" s="696"/>
      <c r="AB24" s="696"/>
      <c r="AC24" s="696"/>
      <c r="AD24" s="696"/>
      <c r="AE24" s="696"/>
      <c r="AF24" s="696"/>
      <c r="AG24" s="696"/>
      <c r="AH24" s="697"/>
      <c r="AI24" s="693"/>
      <c r="AJ24" s="696"/>
      <c r="AK24" s="698"/>
      <c r="AL24" s="699"/>
      <c r="AM24" s="700"/>
      <c r="AN24" s="1080"/>
      <c r="AO24" s="1124"/>
      <c r="AP24" s="1122"/>
      <c r="AQ24" s="1130"/>
      <c r="AR24" s="1139"/>
      <c r="AS24" s="1132"/>
      <c r="AT24" s="1045"/>
      <c r="AU24" s="1047"/>
      <c r="AV24" s="1049"/>
      <c r="AW24" s="1055"/>
      <c r="AX24" s="1126"/>
      <c r="AY24" s="1057"/>
      <c r="AZ24" s="1128"/>
      <c r="BA24" s="1126"/>
      <c r="BB24" s="1043"/>
      <c r="BC24" s="1043"/>
      <c r="BD24" s="1043"/>
      <c r="BE24" s="1043"/>
      <c r="BF24" s="1043"/>
      <c r="BG24" s="1043"/>
      <c r="BH24" s="1157"/>
      <c r="BI24" s="1114"/>
      <c r="BP24" s="253"/>
      <c r="BQ24" s="254"/>
      <c r="BR24" s="254"/>
      <c r="BS24" s="254"/>
      <c r="BT24" s="254"/>
      <c r="BU24" s="254"/>
      <c r="BV24" s="254"/>
      <c r="BW24" s="254"/>
      <c r="BX24" s="254"/>
      <c r="BY24" s="254"/>
      <c r="BZ24" s="253"/>
      <c r="CA24" s="253"/>
      <c r="CB24" s="253"/>
    </row>
    <row r="25" spans="10:81" s="252" customFormat="1" ht="308.25" thickBot="1">
      <c r="J25" s="1100" t="s">
        <v>196</v>
      </c>
      <c r="K25" s="986" t="s">
        <v>81</v>
      </c>
      <c r="L25" s="1023">
        <v>15</v>
      </c>
      <c r="M25" s="1024" t="s">
        <v>140</v>
      </c>
      <c r="N25" s="945" t="s">
        <v>112</v>
      </c>
      <c r="O25" s="867"/>
      <c r="P25" s="944"/>
      <c r="Q25" s="1025" t="s">
        <v>182</v>
      </c>
      <c r="R25" s="1024" t="s">
        <v>170</v>
      </c>
      <c r="S25" s="881" t="s">
        <v>147</v>
      </c>
      <c r="T25" s="774" t="s">
        <v>100</v>
      </c>
      <c r="U25" s="775"/>
      <c r="V25" s="776"/>
      <c r="W25" s="776"/>
      <c r="X25" s="776"/>
      <c r="Y25" s="776"/>
      <c r="Z25" s="776"/>
      <c r="AA25" s="776"/>
      <c r="AB25" s="776"/>
      <c r="AC25" s="776"/>
      <c r="AD25" s="776"/>
      <c r="AE25" s="776"/>
      <c r="AF25" s="776"/>
      <c r="AG25" s="776"/>
      <c r="AH25" s="777"/>
      <c r="AI25" s="778"/>
      <c r="AJ25" s="776"/>
      <c r="AK25" s="779"/>
      <c r="AL25" s="780"/>
      <c r="AM25" s="781"/>
      <c r="AN25" s="826" t="s">
        <v>107</v>
      </c>
      <c r="AO25" s="1026">
        <f>24852870354.63/23954712885.28</f>
        <v>1.0374939776423666</v>
      </c>
      <c r="AP25" s="1027" t="s">
        <v>183</v>
      </c>
      <c r="AQ25" s="730" t="s">
        <v>394</v>
      </c>
      <c r="AR25" s="1028" t="s">
        <v>427</v>
      </c>
      <c r="AS25" s="732" t="s">
        <v>380</v>
      </c>
      <c r="AT25" s="890">
        <v>0.75</v>
      </c>
      <c r="AU25" s="891">
        <v>0.9</v>
      </c>
      <c r="AV25" s="892">
        <v>1</v>
      </c>
      <c r="AW25" s="893" t="s">
        <v>171</v>
      </c>
      <c r="AX25" s="894">
        <v>0.86</v>
      </c>
      <c r="AY25" s="895"/>
      <c r="AZ25" s="895">
        <v>0.86</v>
      </c>
      <c r="BA25" s="983">
        <v>0.81</v>
      </c>
      <c r="BB25" s="1029">
        <f>8050261391/8128583746</f>
        <v>0.99036457549711021</v>
      </c>
      <c r="BC25" s="1030">
        <f>9678883433.75/9548112409.54</f>
        <v>1.0136960080276536</v>
      </c>
      <c r="BD25" s="1030">
        <f>11136729605.95/12078720547.55</f>
        <v>0.92201235736089049</v>
      </c>
      <c r="BE25" s="1031">
        <f>14851212327.2/13714919907.63</f>
        <v>1.0828508243010482</v>
      </c>
      <c r="BF25" s="1031">
        <f>16892904571.2/15246333687.38</f>
        <v>1.1079978254170664</v>
      </c>
      <c r="BG25" s="1031">
        <f>17885458278/17078805415.78</f>
        <v>1.0472312227103828</v>
      </c>
      <c r="BH25" s="1032">
        <f>19563279737.38/18618499890.41</f>
        <v>1.0507441444010555</v>
      </c>
      <c r="BI25" s="1033" t="s">
        <v>460</v>
      </c>
      <c r="BJ25" s="261">
        <v>2199404296.5</v>
      </c>
      <c r="BK25" s="252" t="s">
        <v>166</v>
      </c>
      <c r="BL25" s="252">
        <v>20823779894.189999</v>
      </c>
      <c r="BM25" s="252" t="s">
        <v>169</v>
      </c>
      <c r="BO25" s="263">
        <v>96169048</v>
      </c>
      <c r="BP25" s="264">
        <v>8050261391</v>
      </c>
      <c r="BQ25" s="254"/>
      <c r="BR25" s="254"/>
      <c r="BS25" s="254"/>
      <c r="BT25" s="254"/>
      <c r="BU25" s="254"/>
      <c r="BV25" s="254"/>
      <c r="BW25" s="254"/>
      <c r="BX25" s="254"/>
      <c r="BY25" s="254"/>
      <c r="BZ25" s="253"/>
      <c r="CA25" s="253"/>
      <c r="CB25" s="253"/>
    </row>
    <row r="26" spans="10:81" s="252" customFormat="1" ht="409.6" thickBot="1">
      <c r="J26" s="1140"/>
      <c r="K26" s="896" t="s">
        <v>72</v>
      </c>
      <c r="L26" s="1003">
        <v>16</v>
      </c>
      <c r="M26" s="1004" t="s">
        <v>120</v>
      </c>
      <c r="N26" s="690" t="s">
        <v>121</v>
      </c>
      <c r="O26" s="691"/>
      <c r="P26" s="691"/>
      <c r="Q26" s="1004" t="s">
        <v>178</v>
      </c>
      <c r="R26" s="1005" t="s">
        <v>151</v>
      </c>
      <c r="S26" s="887" t="s">
        <v>143</v>
      </c>
      <c r="T26" s="694" t="s">
        <v>100</v>
      </c>
      <c r="U26" s="695"/>
      <c r="V26" s="696"/>
      <c r="W26" s="696"/>
      <c r="X26" s="696"/>
      <c r="Y26" s="696"/>
      <c r="Z26" s="696"/>
      <c r="AA26" s="696"/>
      <c r="AB26" s="696"/>
      <c r="AC26" s="696"/>
      <c r="AD26" s="696"/>
      <c r="AE26" s="696"/>
      <c r="AF26" s="696"/>
      <c r="AG26" s="696"/>
      <c r="AH26" s="697" t="e">
        <f>LOOKUP(1000000000,V26:AG26)</f>
        <v>#N/A</v>
      </c>
      <c r="AI26" s="693"/>
      <c r="AJ26" s="696" t="e">
        <f>+IF(SLOPE(V26:AG26,$V$3:$AG$3)&gt;0,"Al alza",IF(SLOPE(V26:AG26,$V$3:$AG$3)&lt;0,"A la baja","Sin cambio"))</f>
        <v>#DIV/0!</v>
      </c>
      <c r="AK26" s="698" t="s">
        <v>13</v>
      </c>
      <c r="AL26" s="699">
        <v>9.6100000000000005E-3</v>
      </c>
      <c r="AM26" s="700" t="str">
        <f>IF($T$26="Sube",IF(ISERROR(AH26/$U$26)=TRUE,"",IF(AH26&gt;$U$26,AL26,AH26/$U$26*AL26)),IF(ISERROR($U$26/AH26)=TRUE,"",IF($U$26&lt;AH26,$U$26/AH26*AL26,AL26)))</f>
        <v/>
      </c>
      <c r="AN26" s="622" t="s">
        <v>148</v>
      </c>
      <c r="AO26" s="623">
        <f>440994470/600000000</f>
        <v>0.73499078333333334</v>
      </c>
      <c r="AP26" s="624">
        <v>0.8</v>
      </c>
      <c r="AQ26" s="1006" t="s">
        <v>403</v>
      </c>
      <c r="AR26" s="1007" t="s">
        <v>428</v>
      </c>
      <c r="AS26" s="1008" t="s">
        <v>402</v>
      </c>
      <c r="AT26" s="902">
        <v>0</v>
      </c>
      <c r="AU26" s="903">
        <v>0.73</v>
      </c>
      <c r="AV26" s="904">
        <v>0.8</v>
      </c>
      <c r="AW26" s="905"/>
      <c r="AX26" s="906"/>
      <c r="AY26" s="906" t="s">
        <v>171</v>
      </c>
      <c r="AZ26" s="906"/>
      <c r="BA26" s="906"/>
      <c r="BB26" s="957">
        <f>160000000/700000000</f>
        <v>0.22857142857142856</v>
      </c>
      <c r="BC26" s="957"/>
      <c r="BD26" s="957">
        <f>(139322549+160000000)/700000000</f>
        <v>0.42760364142857143</v>
      </c>
      <c r="BE26" s="1009"/>
      <c r="BF26" s="1009"/>
      <c r="BG26" s="957">
        <f>(160000000+378740193)/700000000</f>
        <v>0.76962884714285718</v>
      </c>
      <c r="BH26" s="956"/>
      <c r="BI26" s="634"/>
      <c r="BP26" s="253"/>
      <c r="BQ26" s="254"/>
      <c r="BR26" s="254"/>
      <c r="BS26" s="254"/>
      <c r="BT26" s="254"/>
      <c r="BU26" s="254"/>
      <c r="BV26" s="254"/>
      <c r="BW26" s="254"/>
      <c r="BX26" s="254"/>
      <c r="BY26" s="254"/>
      <c r="BZ26" s="253"/>
      <c r="CA26" s="253"/>
      <c r="CB26" s="253"/>
    </row>
    <row r="27" spans="10:81" s="252" customFormat="1" ht="307.5">
      <c r="J27" s="1099" t="s">
        <v>199</v>
      </c>
      <c r="K27" s="986" t="s">
        <v>142</v>
      </c>
      <c r="L27" s="971">
        <v>17</v>
      </c>
      <c r="M27" s="1034" t="s">
        <v>160</v>
      </c>
      <c r="N27" s="988"/>
      <c r="O27" s="867"/>
      <c r="P27" s="944"/>
      <c r="Q27" s="1036" t="s">
        <v>159</v>
      </c>
      <c r="R27" s="1037" t="s">
        <v>161</v>
      </c>
      <c r="S27" s="881"/>
      <c r="T27" s="774"/>
      <c r="U27" s="775"/>
      <c r="V27" s="776"/>
      <c r="W27" s="776"/>
      <c r="X27" s="776"/>
      <c r="Y27" s="776"/>
      <c r="Z27" s="776"/>
      <c r="AA27" s="776"/>
      <c r="AB27" s="776"/>
      <c r="AC27" s="776"/>
      <c r="AD27" s="776"/>
      <c r="AE27" s="776"/>
      <c r="AF27" s="776"/>
      <c r="AG27" s="776"/>
      <c r="AH27" s="777" t="e">
        <f t="shared" ref="AH27" si="8">LOOKUP(1000000000,V27:AG27)</f>
        <v>#N/A</v>
      </c>
      <c r="AI27" s="778"/>
      <c r="AJ27" s="776" t="e">
        <f>+IF(SLOPE(V27:AG27,$V$3:$AG$3)&gt;0,"Al alza",IF(SLOPE(V27:AG27,$V$3:$AG$3)&lt;0,"A la baja","Sin cambio"))</f>
        <v>#DIV/0!</v>
      </c>
      <c r="AK27" s="779" t="s">
        <v>13</v>
      </c>
      <c r="AL27" s="780">
        <v>9.6100000000000005E-3</v>
      </c>
      <c r="AM27" s="781" t="str">
        <f>IF($T$27="Sube",IF(ISERROR(AH27/$U$27)=TRUE,"",IF(AH27&gt;$U$27,AL27,AH27/$U$27*AL27)),IF(ISERROR($U$27/AH27)=TRUE,"",IF($U$27&lt;AH27,$U$27/AH27*AL27,AL27)))</f>
        <v/>
      </c>
      <c r="AN27" s="951" t="s">
        <v>172</v>
      </c>
      <c r="AO27" s="600">
        <v>0.67</v>
      </c>
      <c r="AP27" s="601">
        <v>1</v>
      </c>
      <c r="AQ27" s="850" t="s">
        <v>414</v>
      </c>
      <c r="AR27" s="851" t="s">
        <v>429</v>
      </c>
      <c r="AS27" s="852" t="s">
        <v>404</v>
      </c>
      <c r="AT27" s="602">
        <v>0</v>
      </c>
      <c r="AU27" s="907">
        <v>0.85</v>
      </c>
      <c r="AV27" s="908">
        <v>1</v>
      </c>
      <c r="AW27" s="605" t="s">
        <v>171</v>
      </c>
      <c r="AX27" s="606">
        <v>0.83330000000000004</v>
      </c>
      <c r="AY27" s="607" t="s">
        <v>171</v>
      </c>
      <c r="AZ27" s="605"/>
      <c r="BA27" s="947">
        <v>0.83330000000000004</v>
      </c>
      <c r="BB27" s="637">
        <v>0.9</v>
      </c>
      <c r="BC27" s="609"/>
      <c r="BD27" s="609">
        <v>1</v>
      </c>
      <c r="BE27" s="609"/>
      <c r="BF27" s="609">
        <v>0.5</v>
      </c>
      <c r="BG27" s="609"/>
      <c r="BH27" s="610">
        <v>0.8</v>
      </c>
      <c r="BI27" s="909" t="s">
        <v>459</v>
      </c>
      <c r="BJ27" s="252">
        <v>4094</v>
      </c>
      <c r="BK27" s="252">
        <v>453</v>
      </c>
      <c r="BO27" s="263">
        <v>290739021</v>
      </c>
      <c r="BP27" s="264">
        <v>8128583746</v>
      </c>
      <c r="BQ27" s="254"/>
      <c r="BR27" s="254"/>
      <c r="BS27" s="254"/>
      <c r="BT27" s="254"/>
      <c r="BU27" s="254"/>
      <c r="BV27" s="254"/>
      <c r="BW27" s="254"/>
      <c r="BX27" s="254"/>
      <c r="BY27" s="254"/>
      <c r="BZ27" s="253"/>
      <c r="CA27" s="253"/>
      <c r="CB27" s="253"/>
    </row>
    <row r="28" spans="10:81" s="252" customFormat="1" ht="409.6" thickBot="1">
      <c r="J28" s="1135"/>
      <c r="K28" s="987" t="s">
        <v>77</v>
      </c>
      <c r="L28" s="962">
        <v>18</v>
      </c>
      <c r="M28" s="1035" t="s">
        <v>131</v>
      </c>
      <c r="N28" s="669" t="s">
        <v>114</v>
      </c>
      <c r="O28" s="671"/>
      <c r="P28" s="672"/>
      <c r="Q28" s="1038" t="s">
        <v>443</v>
      </c>
      <c r="R28" s="897" t="s">
        <v>377</v>
      </c>
      <c r="S28" s="883" t="s">
        <v>147</v>
      </c>
      <c r="T28" s="884" t="s">
        <v>141</v>
      </c>
      <c r="U28" s="675"/>
      <c r="V28" s="676"/>
      <c r="W28" s="676"/>
      <c r="X28" s="676"/>
      <c r="Y28" s="676"/>
      <c r="Z28" s="676"/>
      <c r="AA28" s="676"/>
      <c r="AB28" s="676"/>
      <c r="AC28" s="676"/>
      <c r="AD28" s="676"/>
      <c r="AE28" s="676"/>
      <c r="AF28" s="676"/>
      <c r="AG28" s="676"/>
      <c r="AH28" s="677" t="e">
        <f>LOOKUP(1000000000,V28:AG28)</f>
        <v>#N/A</v>
      </c>
      <c r="AI28" s="674"/>
      <c r="AJ28" s="676" t="e">
        <f>+IF(SLOPE(V28:AG28,$V$3:$AG$3)&gt;0,"Al alza",IF(SLOPE(V28:AG28,$V$3:$AG$3)&lt;0,"A la baja","Sin cambio"))</f>
        <v>#DIV/0!</v>
      </c>
      <c r="AK28" s="885" t="s">
        <v>13</v>
      </c>
      <c r="AL28" s="679">
        <v>9.6100000000000005E-3</v>
      </c>
      <c r="AM28" s="886" t="str">
        <f>IF($T$28="Sube",IF(ISERROR(AH28/$U$28)=TRUE,"",IF(AH28&gt;$U$28,AL28,AH28/$U$28*AL28)),IF(ISERROR($U$28/AH28)=TRUE,"",IF($U$28&lt;AH28,$U$28/AH28*AL28,AL28)))</f>
        <v/>
      </c>
      <c r="AN28" s="952" t="s">
        <v>107</v>
      </c>
      <c r="AO28" s="702">
        <f>1-11.0649731314118%</f>
        <v>0.88935026868588196</v>
      </c>
      <c r="AP28" s="898">
        <v>1</v>
      </c>
      <c r="AQ28" s="966" t="s">
        <v>381</v>
      </c>
      <c r="AR28" s="960" t="s">
        <v>424</v>
      </c>
      <c r="AS28" s="968" t="s">
        <v>382</v>
      </c>
      <c r="AT28" s="659">
        <v>0</v>
      </c>
      <c r="AU28" s="910">
        <v>0.85</v>
      </c>
      <c r="AV28" s="911">
        <v>0.95</v>
      </c>
      <c r="AW28" s="912" t="s">
        <v>171</v>
      </c>
      <c r="AX28" s="913">
        <f>43/440</f>
        <v>9.7727272727272732E-2</v>
      </c>
      <c r="AY28" s="914" t="s">
        <v>171</v>
      </c>
      <c r="AZ28" s="912"/>
      <c r="BA28" s="984"/>
      <c r="BB28" s="965">
        <f>170/186</f>
        <v>0.91397849462365588</v>
      </c>
      <c r="BC28" s="964">
        <f>211/232</f>
        <v>0.90948275862068961</v>
      </c>
      <c r="BD28" s="964">
        <f>(197/202)</f>
        <v>0.97524752475247523</v>
      </c>
      <c r="BE28" s="1039">
        <f>(195/195)</f>
        <v>1</v>
      </c>
      <c r="BF28" s="1039">
        <f>(295/323)</f>
        <v>0.91331269349845201</v>
      </c>
      <c r="BG28" s="1039">
        <f>(282/318)</f>
        <v>0.8867924528301887</v>
      </c>
      <c r="BH28" s="1040">
        <f>(252/280)</f>
        <v>0.9</v>
      </c>
      <c r="BI28" s="920" t="s">
        <v>461</v>
      </c>
      <c r="BP28" s="253"/>
      <c r="BQ28" s="254"/>
      <c r="BR28" s="254"/>
      <c r="BS28" s="254"/>
      <c r="BT28" s="254"/>
      <c r="BU28" s="254"/>
      <c r="BV28" s="254"/>
      <c r="BW28" s="254"/>
      <c r="BX28" s="254"/>
      <c r="BY28" s="254"/>
      <c r="BZ28" s="253"/>
      <c r="CA28" s="253"/>
      <c r="CB28" s="253"/>
    </row>
    <row r="29" spans="10:81" s="252" customFormat="1" ht="409.6" thickBot="1">
      <c r="J29" s="1135"/>
      <c r="K29" s="915"/>
      <c r="L29" s="963">
        <v>19</v>
      </c>
      <c r="M29" s="1010" t="s">
        <v>378</v>
      </c>
      <c r="N29" s="690" t="s">
        <v>114</v>
      </c>
      <c r="O29" s="691"/>
      <c r="P29" s="691"/>
      <c r="Q29" s="1011" t="s">
        <v>444</v>
      </c>
      <c r="R29" s="1011" t="s">
        <v>379</v>
      </c>
      <c r="S29" s="887" t="s">
        <v>147</v>
      </c>
      <c r="T29" s="694" t="s">
        <v>141</v>
      </c>
      <c r="U29" s="695"/>
      <c r="V29" s="696"/>
      <c r="W29" s="696"/>
      <c r="X29" s="696"/>
      <c r="Y29" s="696"/>
      <c r="Z29" s="696"/>
      <c r="AA29" s="696"/>
      <c r="AB29" s="696"/>
      <c r="AC29" s="696"/>
      <c r="AD29" s="696"/>
      <c r="AE29" s="696"/>
      <c r="AF29" s="696"/>
      <c r="AG29" s="696"/>
      <c r="AH29" s="697" t="e">
        <f>LOOKUP(1000000000,V29:AG29)</f>
        <v>#N/A</v>
      </c>
      <c r="AI29" s="693"/>
      <c r="AJ29" s="696" t="e">
        <f>+IF(SLOPE(V29:AG29,$V$3:$AG$3)&gt;0,"Al alza",IF(SLOPE(V29:AG29,$V$3:$AG$3)&lt;0,"A la baja","Sin cambio"))</f>
        <v>#DIV/0!</v>
      </c>
      <c r="AK29" s="698" t="s">
        <v>13</v>
      </c>
      <c r="AL29" s="699">
        <v>9.6100000000000005E-3</v>
      </c>
      <c r="AM29" s="700" t="str">
        <f>IF($T$28="Sube",IF(ISERROR(AH29/$U$28)=TRUE,"",IF(AH29&gt;$U$28,AL29,AH29/$U$28*AL29)),IF(ISERROR($U$28/AH29)=TRUE,"",IF($U$28&lt;AH29,$U$28/AH29*AL29,AL29)))</f>
        <v/>
      </c>
      <c r="AN29" s="970" t="s">
        <v>148</v>
      </c>
      <c r="AO29" s="1012">
        <f>1-11.0649731314118%</f>
        <v>0.88935026868588196</v>
      </c>
      <c r="AP29" s="1013">
        <v>1</v>
      </c>
      <c r="AQ29" s="967" t="s">
        <v>455</v>
      </c>
      <c r="AR29" s="961" t="s">
        <v>456</v>
      </c>
      <c r="AS29" s="969" t="s">
        <v>457</v>
      </c>
      <c r="AT29" s="704">
        <v>0.02</v>
      </c>
      <c r="AU29" s="916">
        <v>0.03</v>
      </c>
      <c r="AV29" s="917">
        <v>0.05</v>
      </c>
      <c r="AW29" s="905" t="s">
        <v>171</v>
      </c>
      <c r="AX29" s="918"/>
      <c r="AY29" s="919" t="s">
        <v>171</v>
      </c>
      <c r="AZ29" s="905"/>
      <c r="BA29" s="906"/>
      <c r="BB29" s="950"/>
      <c r="BC29" s="950"/>
      <c r="BD29" s="950"/>
      <c r="BE29" s="950"/>
      <c r="BF29" s="950"/>
      <c r="BG29" s="1014">
        <f>+((195+323+318)/3810)-((232+431+250)/3868)</f>
        <v>-1.6616724615731215E-2</v>
      </c>
      <c r="BH29" s="974"/>
      <c r="BI29" s="1015"/>
      <c r="BP29" s="253"/>
      <c r="BQ29" s="254"/>
      <c r="BR29" s="254"/>
      <c r="BS29" s="254"/>
      <c r="BT29" s="254"/>
      <c r="BU29" s="254"/>
      <c r="BV29" s="254"/>
      <c r="BW29" s="254"/>
      <c r="BX29" s="254"/>
      <c r="BY29" s="254"/>
      <c r="BZ29" s="253"/>
      <c r="CA29" s="253"/>
      <c r="CB29" s="253"/>
    </row>
    <row r="30" spans="10:81" s="546" customFormat="1" ht="108.75" customHeight="1" thickBot="1">
      <c r="U30" s="547"/>
      <c r="AH30" s="548"/>
      <c r="AK30" s="549">
        <f>COUNTIF(AK6:AK27,"Si")</f>
        <v>16</v>
      </c>
      <c r="AL30" s="550">
        <f>COUNT(AH6:AH27)</f>
        <v>0</v>
      </c>
      <c r="AM30" s="551">
        <f>AL30/AK30</f>
        <v>0</v>
      </c>
      <c r="AN30" s="552"/>
      <c r="AP30" s="553"/>
      <c r="AQ30" s="553"/>
      <c r="AR30" s="553"/>
      <c r="AS30" s="553"/>
      <c r="AT30" s="553"/>
      <c r="AU30" s="553"/>
      <c r="AV30" s="553"/>
      <c r="AW30" s="553"/>
      <c r="AX30" s="553"/>
      <c r="AY30" s="553"/>
      <c r="AZ30" s="553"/>
      <c r="BA30" s="553"/>
      <c r="BI30" s="553"/>
      <c r="BQ30" s="554"/>
      <c r="BR30" s="554"/>
      <c r="BS30" s="554"/>
      <c r="BT30" s="554"/>
      <c r="BU30" s="554"/>
      <c r="BV30" s="554"/>
      <c r="BW30" s="554"/>
      <c r="BX30" s="554"/>
      <c r="BY30" s="554"/>
      <c r="BZ30" s="554"/>
      <c r="CA30" s="554"/>
      <c r="CB30" s="554"/>
      <c r="CC30" s="554"/>
    </row>
    <row r="31" spans="10:81">
      <c r="J31" s="1041"/>
      <c r="AK31" s="169"/>
      <c r="AL31" s="168"/>
      <c r="AM31" s="168"/>
      <c r="AN31" s="168"/>
      <c r="AP31" s="169"/>
      <c r="AQ31" s="169"/>
      <c r="AR31" s="169"/>
      <c r="AS31" s="169"/>
      <c r="AT31" s="169"/>
      <c r="AU31" s="169"/>
      <c r="AV31" s="169"/>
      <c r="AW31" s="169"/>
      <c r="AX31" s="169"/>
      <c r="AY31" s="169"/>
      <c r="AZ31" s="169"/>
      <c r="BA31" s="169"/>
      <c r="BI31" s="167"/>
      <c r="BQ31" s="170"/>
      <c r="BR31" s="170"/>
      <c r="BS31" s="170"/>
      <c r="BT31" s="170"/>
      <c r="BU31" s="170"/>
      <c r="BV31" s="170"/>
      <c r="BW31" s="170"/>
      <c r="BX31" s="170"/>
      <c r="BY31" s="170"/>
      <c r="BZ31" s="170"/>
      <c r="CA31" s="170"/>
      <c r="CB31" s="170"/>
      <c r="CC31" s="170"/>
    </row>
    <row r="32" spans="10:81" hidden="1">
      <c r="Q32" s="167" t="s">
        <v>207</v>
      </c>
      <c r="R32" s="167" t="s">
        <v>208</v>
      </c>
      <c r="AK32" s="173" t="s">
        <v>18</v>
      </c>
      <c r="AL32" s="174" t="s">
        <v>19</v>
      </c>
      <c r="AM32" s="168"/>
      <c r="AN32" s="168"/>
      <c r="AP32" s="169"/>
      <c r="AQ32" s="169"/>
      <c r="AR32" s="169"/>
      <c r="AS32" s="169"/>
      <c r="AT32" s="169"/>
      <c r="AU32" s="169"/>
      <c r="AV32" s="169"/>
      <c r="AW32" s="169"/>
      <c r="BB32" s="167" t="s">
        <v>207</v>
      </c>
      <c r="BI32" s="167" t="s">
        <v>208</v>
      </c>
      <c r="BQ32" s="170"/>
      <c r="BR32" s="170"/>
      <c r="BS32" s="170"/>
      <c r="BT32" s="170"/>
      <c r="BU32" s="170"/>
      <c r="BV32" s="170"/>
      <c r="BW32" s="170"/>
      <c r="BX32" s="170"/>
      <c r="BY32" s="170"/>
      <c r="BZ32" s="170"/>
      <c r="CA32" s="170"/>
      <c r="CB32" s="170"/>
      <c r="CC32" s="170"/>
    </row>
    <row r="33" spans="13:81" hidden="1">
      <c r="M33" s="167" t="s">
        <v>205</v>
      </c>
      <c r="Q33" s="181">
        <v>2535256775.75</v>
      </c>
      <c r="R33" s="181">
        <v>4700915130.0900002</v>
      </c>
      <c r="AK33" s="175" t="s">
        <v>20</v>
      </c>
      <c r="AL33" s="176" t="s">
        <v>21</v>
      </c>
      <c r="AM33" s="168"/>
      <c r="AN33" s="182">
        <f>+R33-1151043807-45625308-60043704-2342966-482697505</f>
        <v>2959161840.0900002</v>
      </c>
      <c r="AO33" s="181">
        <f>+Q33/AN33</f>
        <v>0.85674826614852961</v>
      </c>
      <c r="AP33" s="169"/>
      <c r="AQ33" s="169"/>
      <c r="AR33" s="169"/>
      <c r="AS33" s="169"/>
      <c r="AT33" s="169"/>
      <c r="AU33" s="169"/>
      <c r="AV33" s="169"/>
      <c r="AW33" s="169"/>
      <c r="AX33" s="167" t="s">
        <v>205</v>
      </c>
      <c r="BB33" s="181">
        <v>2535256775.75</v>
      </c>
      <c r="BC33" s="181"/>
      <c r="BD33" s="181"/>
      <c r="BE33" s="181"/>
      <c r="BF33" s="181"/>
      <c r="BG33" s="181"/>
      <c r="BH33" s="181"/>
      <c r="BI33" s="181">
        <v>4700915130.0900002</v>
      </c>
      <c r="BQ33" s="170"/>
      <c r="BR33" s="170"/>
      <c r="BS33" s="170"/>
      <c r="BT33" s="170"/>
      <c r="BU33" s="170"/>
      <c r="BV33" s="170"/>
      <c r="BW33" s="170"/>
      <c r="BX33" s="170"/>
      <c r="BY33" s="170"/>
      <c r="BZ33" s="170"/>
      <c r="CA33" s="170"/>
      <c r="CB33" s="170"/>
      <c r="CC33" s="170"/>
    </row>
    <row r="34" spans="13:81" ht="30" hidden="1">
      <c r="M34" s="170" t="s">
        <v>206</v>
      </c>
      <c r="Q34" s="181">
        <v>2631425823.75</v>
      </c>
      <c r="R34" s="181">
        <v>3249900862</v>
      </c>
      <c r="AK34" s="177" t="s">
        <v>22</v>
      </c>
      <c r="AL34" s="178" t="s">
        <v>23</v>
      </c>
      <c r="AM34" s="168"/>
      <c r="AN34" s="182">
        <f>+R34</f>
        <v>3249900862</v>
      </c>
      <c r="AO34" s="181">
        <f>+Q34/AN34</f>
        <v>0.80969418314213182</v>
      </c>
      <c r="AP34" s="169"/>
      <c r="AQ34" s="169"/>
      <c r="AR34" s="169"/>
      <c r="AS34" s="169"/>
      <c r="AT34" s="169"/>
      <c r="AU34" s="169"/>
      <c r="AV34" s="169"/>
      <c r="AW34" s="169"/>
      <c r="AX34" s="170" t="s">
        <v>206</v>
      </c>
      <c r="AY34" s="170"/>
      <c r="AZ34" s="170"/>
      <c r="BA34" s="170"/>
      <c r="BB34" s="181">
        <v>2631425823.75</v>
      </c>
      <c r="BC34" s="181"/>
      <c r="BD34" s="181"/>
      <c r="BE34" s="181"/>
      <c r="BF34" s="181"/>
      <c r="BG34" s="181"/>
      <c r="BH34" s="181"/>
      <c r="BI34" s="181">
        <v>3249900862</v>
      </c>
      <c r="BQ34" s="170"/>
      <c r="BR34" s="170"/>
      <c r="BS34" s="170"/>
      <c r="BT34" s="170"/>
      <c r="BU34" s="170"/>
      <c r="BV34" s="170"/>
      <c r="BW34" s="170"/>
      <c r="BX34" s="170"/>
      <c r="BY34" s="170"/>
      <c r="BZ34" s="170"/>
      <c r="CA34" s="170"/>
      <c r="CB34" s="170"/>
      <c r="CC34" s="170"/>
    </row>
    <row r="35" spans="13:81" hidden="1">
      <c r="BI35" s="167"/>
    </row>
    <row r="36" spans="13:81" hidden="1">
      <c r="M36" s="167" t="s">
        <v>209</v>
      </c>
      <c r="Q36" s="181">
        <f>+Q34-Q33</f>
        <v>96169048</v>
      </c>
      <c r="R36" s="183">
        <f>+R33-R34</f>
        <v>1451014268.0900002</v>
      </c>
      <c r="AN36" s="181">
        <f>+AN34-AN33</f>
        <v>290739021.90999985</v>
      </c>
      <c r="AX36" s="167" t="s">
        <v>209</v>
      </c>
      <c r="BB36" s="181">
        <v>-96169048</v>
      </c>
      <c r="BC36" s="181"/>
      <c r="BD36" s="181"/>
      <c r="BE36" s="181"/>
      <c r="BF36" s="181"/>
      <c r="BG36" s="181"/>
      <c r="BH36" s="181"/>
      <c r="BI36" s="183">
        <v>1451014268.0900002</v>
      </c>
    </row>
    <row r="37" spans="13:81" hidden="1">
      <c r="Q37" s="185">
        <f>+Q36/Q33</f>
        <v>3.7932665803269768E-2</v>
      </c>
      <c r="R37" s="183"/>
      <c r="AN37" s="185">
        <f>+AN36/AN33</f>
        <v>9.8250463347809763E-2</v>
      </c>
      <c r="BB37" s="183"/>
      <c r="BC37" s="183"/>
      <c r="BD37" s="183"/>
      <c r="BE37" s="183"/>
      <c r="BF37" s="183"/>
      <c r="BG37" s="183"/>
      <c r="BH37" s="183"/>
      <c r="BI37" s="183"/>
    </row>
    <row r="38" spans="13:81">
      <c r="Q38" s="183"/>
      <c r="R38" s="183"/>
      <c r="BI38" s="167"/>
    </row>
    <row r="39" spans="13:81">
      <c r="Q39" s="184" t="s">
        <v>452</v>
      </c>
      <c r="R39" s="184"/>
      <c r="BB39" s="184"/>
      <c r="BC39" s="184"/>
      <c r="BD39" s="184"/>
      <c r="BE39" s="184"/>
      <c r="BF39" s="184"/>
      <c r="BG39" s="184"/>
      <c r="BH39" s="184"/>
      <c r="BI39" s="184"/>
    </row>
    <row r="40" spans="13:81">
      <c r="Q40" s="183"/>
      <c r="R40" s="183"/>
    </row>
    <row r="44" spans="13:81">
      <c r="M44" s="491"/>
    </row>
  </sheetData>
  <mergeCells count="93">
    <mergeCell ref="BH23:BH24"/>
    <mergeCell ref="J1:BI1"/>
    <mergeCell ref="BB14:BB15"/>
    <mergeCell ref="AW14:AW15"/>
    <mergeCell ref="AP14:AP15"/>
    <mergeCell ref="AO14:AO15"/>
    <mergeCell ref="AN14:AN15"/>
    <mergeCell ref="R14:R15"/>
    <mergeCell ref="Q14:Q15"/>
    <mergeCell ref="K14:K18"/>
    <mergeCell ref="K10:K11"/>
    <mergeCell ref="K6:K9"/>
    <mergeCell ref="M14:M15"/>
    <mergeCell ref="J8:J11"/>
    <mergeCell ref="BA14:BA15"/>
    <mergeCell ref="BC14:BC15"/>
    <mergeCell ref="Q16:Q17"/>
    <mergeCell ref="BI14:BI15"/>
    <mergeCell ref="AX14:AX15"/>
    <mergeCell ref="AX16:AX17"/>
    <mergeCell ref="AY14:AY15"/>
    <mergeCell ref="AY16:AY17"/>
    <mergeCell ref="BI16:BI17"/>
    <mergeCell ref="BB16:BB17"/>
    <mergeCell ref="BE16:BE17"/>
    <mergeCell ref="BD16:BD17"/>
    <mergeCell ref="AZ14:AZ15"/>
    <mergeCell ref="AQ16:AQ17"/>
    <mergeCell ref="AR16:AR17"/>
    <mergeCell ref="AN16:AN17"/>
    <mergeCell ref="R16:R17"/>
    <mergeCell ref="J27:J29"/>
    <mergeCell ref="J22:J23"/>
    <mergeCell ref="AR23:AR24"/>
    <mergeCell ref="J25:J26"/>
    <mergeCell ref="J20:J21"/>
    <mergeCell ref="K20:K21"/>
    <mergeCell ref="BI23:BI24"/>
    <mergeCell ref="Q23:Q24"/>
    <mergeCell ref="M23:M24"/>
    <mergeCell ref="L23:L24"/>
    <mergeCell ref="R23:R24"/>
    <mergeCell ref="AP23:AP24"/>
    <mergeCell ref="AO23:AO24"/>
    <mergeCell ref="AX23:AX24"/>
    <mergeCell ref="BC23:BC24"/>
    <mergeCell ref="AZ23:AZ24"/>
    <mergeCell ref="BA23:BA24"/>
    <mergeCell ref="BB23:BB24"/>
    <mergeCell ref="AQ23:AQ24"/>
    <mergeCell ref="AS23:AS24"/>
    <mergeCell ref="AT23:AT24"/>
    <mergeCell ref="AU23:AU24"/>
    <mergeCell ref="AV23:AV24"/>
    <mergeCell ref="AN23:AN24"/>
    <mergeCell ref="J3:J5"/>
    <mergeCell ref="L3:M5"/>
    <mergeCell ref="AQ14:AQ15"/>
    <mergeCell ref="AR14:AR15"/>
    <mergeCell ref="AS14:AS15"/>
    <mergeCell ref="L14:L15"/>
    <mergeCell ref="AQ3:AS3"/>
    <mergeCell ref="J6:J7"/>
    <mergeCell ref="K23:K24"/>
    <mergeCell ref="L16:L17"/>
    <mergeCell ref="AP16:AP17"/>
    <mergeCell ref="AS16:AS17"/>
    <mergeCell ref="AO16:AO17"/>
    <mergeCell ref="M16:M17"/>
    <mergeCell ref="BB3:BI3"/>
    <mergeCell ref="AQ5:AS5"/>
    <mergeCell ref="Q3:Q5"/>
    <mergeCell ref="BI4:BI5"/>
    <mergeCell ref="R3:R5"/>
    <mergeCell ref="AN3:AN5"/>
    <mergeCell ref="AO3:AO5"/>
    <mergeCell ref="AP3:AP5"/>
    <mergeCell ref="BG23:BG24"/>
    <mergeCell ref="BF23:BF24"/>
    <mergeCell ref="BE23:BE24"/>
    <mergeCell ref="AT14:AT15"/>
    <mergeCell ref="AU14:AU15"/>
    <mergeCell ref="AV14:AV15"/>
    <mergeCell ref="AT16:AT17"/>
    <mergeCell ref="AU16:AU17"/>
    <mergeCell ref="AZ16:AZ17"/>
    <mergeCell ref="BA16:BA17"/>
    <mergeCell ref="BC16:BC17"/>
    <mergeCell ref="AW23:AW24"/>
    <mergeCell ref="BD23:BD24"/>
    <mergeCell ref="AY23:AY24"/>
    <mergeCell ref="AW16:AW17"/>
    <mergeCell ref="AV16:AV17"/>
  </mergeCells>
  <conditionalFormatting sqref="BB6:BH6">
    <cfRule type="cellIs" dxfId="16" priority="38" operator="greaterThan">
      <formula>AV6</formula>
    </cfRule>
  </conditionalFormatting>
  <conditionalFormatting sqref="AT7:BH7">
    <cfRule type="colorScale" priority="31">
      <colorScale>
        <cfvo type="num" val="$AT$7"/>
        <cfvo type="num" val="$AU$7"/>
        <cfvo type="num" val="$AV$7"/>
        <color rgb="FFFF0000"/>
        <color rgb="FFFFEB84"/>
        <color theme="6" tint="-0.249977111117893"/>
      </colorScale>
    </cfRule>
  </conditionalFormatting>
  <conditionalFormatting sqref="AT8:BH8">
    <cfRule type="colorScale" priority="25">
      <colorScale>
        <cfvo type="num" val="$AT$8"/>
        <cfvo type="num" val="$AU$8"/>
        <cfvo type="num" val="$AV$8"/>
        <color rgb="FFFF0000"/>
        <color rgb="FFFFEB84"/>
        <color theme="6" tint="-0.249977111117893"/>
      </colorScale>
    </cfRule>
  </conditionalFormatting>
  <conditionalFormatting sqref="AT9:BH9">
    <cfRule type="colorScale" priority="24">
      <colorScale>
        <cfvo type="num" val="$AT$9"/>
        <cfvo type="num" val="$AU$9"/>
        <cfvo type="num" val="$AV$9"/>
        <color rgb="FFFF0000"/>
        <color rgb="FFFFEB84"/>
        <color theme="6" tint="-0.249977111117893"/>
      </colorScale>
    </cfRule>
  </conditionalFormatting>
  <conditionalFormatting sqref="AT10:BH10">
    <cfRule type="colorScale" priority="23">
      <colorScale>
        <cfvo type="num" val="$AT$10"/>
        <cfvo type="num" val="$AU$10"/>
        <cfvo type="num" val="$AV$10"/>
        <color theme="6" tint="-0.249977111117893"/>
        <color rgb="FFFFEB84"/>
        <color rgb="FFFF0000"/>
      </colorScale>
    </cfRule>
  </conditionalFormatting>
  <conditionalFormatting sqref="AT11:BH11">
    <cfRule type="colorScale" priority="22">
      <colorScale>
        <cfvo type="num" val="$AT$11"/>
        <cfvo type="num" val="$AU$11"/>
        <cfvo type="num" val="$AV$11"/>
        <color rgb="FFFF0000"/>
        <color rgb="FFFFEB84"/>
        <color theme="6" tint="-0.249977111117893"/>
      </colorScale>
    </cfRule>
  </conditionalFormatting>
  <conditionalFormatting sqref="AT12:BH12">
    <cfRule type="colorScale" priority="21">
      <colorScale>
        <cfvo type="num" val="$AT$12"/>
        <cfvo type="num" val="$AU$12"/>
        <cfvo type="num" val="$AV$12"/>
        <color rgb="FFFF0000"/>
        <color rgb="FFFFEB84"/>
        <color theme="6" tint="-0.249977111117893"/>
      </colorScale>
    </cfRule>
  </conditionalFormatting>
  <conditionalFormatting sqref="AT13:BH13">
    <cfRule type="colorScale" priority="20">
      <colorScale>
        <cfvo type="num" val="$AT$13"/>
        <cfvo type="num" val="$AU$13"/>
        <cfvo type="num" val="$AV$13"/>
        <color rgb="FFFF0000"/>
        <color rgb="FFFFEB84"/>
        <color theme="6" tint="-0.249977111117893"/>
      </colorScale>
    </cfRule>
  </conditionalFormatting>
  <conditionalFormatting sqref="AT14:BH15">
    <cfRule type="colorScale" priority="19">
      <colorScale>
        <cfvo type="num" val="$AT$14"/>
        <cfvo type="num" val="$AU$14"/>
        <cfvo type="num" val="$AV$14"/>
        <color rgb="FFFF0000"/>
        <color rgb="FFFFEB84"/>
        <color theme="6" tint="-0.249977111117893"/>
      </colorScale>
    </cfRule>
  </conditionalFormatting>
  <conditionalFormatting sqref="AT16:BH16 AT17:BD17">
    <cfRule type="colorScale" priority="18">
      <colorScale>
        <cfvo type="num" val="$AT$16"/>
        <cfvo type="num" val="$AU$16"/>
        <cfvo type="num" val="$AV$16"/>
        <color rgb="FFFF0000"/>
        <color rgb="FFFFEB84"/>
        <color theme="6" tint="-0.249977111117893"/>
      </colorScale>
    </cfRule>
  </conditionalFormatting>
  <conditionalFormatting sqref="AT19:BH19">
    <cfRule type="colorScale" priority="17">
      <colorScale>
        <cfvo type="num" val="$AT$19"/>
        <cfvo type="num" val="$AU$19"/>
        <cfvo type="num" val="$AV$19"/>
        <color rgb="FFFF0000"/>
        <color rgb="FFFFEB84"/>
        <color theme="6" tint="-0.249977111117893"/>
      </colorScale>
    </cfRule>
  </conditionalFormatting>
  <conditionalFormatting sqref="AT20:BH20">
    <cfRule type="colorScale" priority="16">
      <colorScale>
        <cfvo type="num" val="$AT$20"/>
        <cfvo type="num" val="$AU$20"/>
        <cfvo type="num" val="$AV$20"/>
        <color rgb="FFFF0000"/>
        <color rgb="FFFFEB84"/>
        <color theme="6" tint="-0.249977111117893"/>
      </colorScale>
    </cfRule>
  </conditionalFormatting>
  <conditionalFormatting sqref="AT22:BH22">
    <cfRule type="colorScale" priority="15">
      <colorScale>
        <cfvo type="num" val="$AT$22"/>
        <cfvo type="num" val="$AU$22"/>
        <cfvo type="num" val="$AV$22"/>
        <color rgb="FFFF0000"/>
        <color rgb="FFFFEB84"/>
        <color theme="6" tint="-0.249977111117893"/>
      </colorScale>
    </cfRule>
  </conditionalFormatting>
  <conditionalFormatting sqref="AT23:BH23 AT24:BD24">
    <cfRule type="colorScale" priority="14">
      <colorScale>
        <cfvo type="num" val="$AT$23"/>
        <cfvo type="num" val="$AU$23"/>
        <cfvo type="num" val="$AV$23"/>
        <color rgb="FFFF0000"/>
        <color rgb="FFFFEB84"/>
        <color theme="6" tint="-0.249977111117893"/>
      </colorScale>
    </cfRule>
  </conditionalFormatting>
  <conditionalFormatting sqref="AT25:BD25">
    <cfRule type="colorScale" priority="13">
      <colorScale>
        <cfvo type="num" val="$AT$25"/>
        <cfvo type="num" val="$AU$25"/>
        <cfvo type="num" val="$AV$25"/>
        <color rgb="FFFF0000"/>
        <color rgb="FFFFEB84"/>
        <color theme="6" tint="-0.249977111117893"/>
      </colorScale>
    </cfRule>
  </conditionalFormatting>
  <conditionalFormatting sqref="AT26:BH26">
    <cfRule type="colorScale" priority="12">
      <colorScale>
        <cfvo type="num" val="$AT$26"/>
        <cfvo type="num" val="$AU$26"/>
        <cfvo type="num" val="$AV$26"/>
        <color rgb="FFFF0000"/>
        <color rgb="FFFFEB84"/>
        <color theme="6" tint="-0.249977111117893"/>
      </colorScale>
    </cfRule>
  </conditionalFormatting>
  <conditionalFormatting sqref="AT27:BH27">
    <cfRule type="colorScale" priority="11">
      <colorScale>
        <cfvo type="num" val="$AT$27"/>
        <cfvo type="num" val="$AU$27"/>
        <cfvo type="num" val="$AV$27"/>
        <color rgb="FFFF0000"/>
        <color rgb="FFFFEB84"/>
        <color theme="6" tint="-0.249977111117893"/>
      </colorScale>
    </cfRule>
  </conditionalFormatting>
  <conditionalFormatting sqref="AT28:BH28">
    <cfRule type="colorScale" priority="10">
      <colorScale>
        <cfvo type="num" val="$AT$28"/>
        <cfvo type="num" val="$AU$28"/>
        <cfvo type="num" val="$AV$28"/>
        <color rgb="FFFF0000"/>
        <color rgb="FFFFEB84"/>
        <color theme="6" tint="-0.249977111117893"/>
      </colorScale>
    </cfRule>
  </conditionalFormatting>
  <conditionalFormatting sqref="AT29:BF29">
    <cfRule type="colorScale" priority="6">
      <colorScale>
        <cfvo type="num" val="$AT$29"/>
        <cfvo type="num" val="$AU$29"/>
        <cfvo type="num" val="$AV$29"/>
        <color theme="6" tint="-0.249977111117893"/>
        <color rgb="FFFFEB84"/>
        <color rgb="FFFF0000"/>
      </colorScale>
    </cfRule>
  </conditionalFormatting>
  <conditionalFormatting sqref="AT6:BH6">
    <cfRule type="colorScale" priority="5">
      <colorScale>
        <cfvo type="num" val="$AT$6"/>
        <cfvo type="num" val="$AV$6"/>
        <color rgb="FFFF0000"/>
        <color theme="6" tint="-0.249977111117893"/>
      </colorScale>
    </cfRule>
  </conditionalFormatting>
  <conditionalFormatting sqref="BD21">
    <cfRule type="colorScale" priority="4">
      <colorScale>
        <cfvo type="num" val="$AT$19"/>
        <cfvo type="num" val="$AU$19"/>
        <cfvo type="num" val="$AV$19"/>
        <color rgb="FFFF0000"/>
        <color rgb="FFFFEB84"/>
        <color theme="6" tint="-0.249977111117893"/>
      </colorScale>
    </cfRule>
  </conditionalFormatting>
  <conditionalFormatting sqref="BE25:BH25">
    <cfRule type="colorScale" priority="3">
      <colorScale>
        <cfvo type="num" val="$AT$26"/>
        <cfvo type="num" val="$AU$26"/>
        <cfvo type="num" val="$AV$26"/>
        <color rgb="FFFF0000"/>
        <color rgb="FFFFEB84"/>
        <color theme="6" tint="-0.249977111117893"/>
      </colorScale>
    </cfRule>
  </conditionalFormatting>
  <conditionalFormatting sqref="BE21:BH21">
    <cfRule type="colorScale" priority="2">
      <colorScale>
        <cfvo type="num" val="$AT$19"/>
        <cfvo type="num" val="$AU$19"/>
        <cfvo type="num" val="$AV$19"/>
        <color rgb="FFFF0000"/>
        <color rgb="FFFFEB84"/>
        <color theme="6" tint="-0.249977111117893"/>
      </colorScale>
    </cfRule>
  </conditionalFormatting>
  <conditionalFormatting sqref="BH29">
    <cfRule type="colorScale" priority="1">
      <colorScale>
        <cfvo type="num" val="$AT$26"/>
        <cfvo type="num" val="$AU$26"/>
        <cfvo type="num" val="$AV$26"/>
        <color rgb="FFFF0000"/>
        <color rgb="FFFFEB84"/>
        <color theme="6" tint="-0.249977111117893"/>
      </colorScale>
    </cfRule>
  </conditionalFormatting>
  <dataValidations disablePrompts="1" count="2">
    <dataValidation type="list" allowBlank="1" showInputMessage="1" showErrorMessage="1" sqref="T6:T29">
      <formula1>"Sube,Baja,Tendencia Media"</formula1>
    </dataValidation>
    <dataValidation type="list" allowBlank="1" showInputMessage="1" showErrorMessage="1" sqref="AK6:AK29">
      <formula1>"Si,No"</formula1>
    </dataValidation>
  </dataValidations>
  <pageMargins left="0.19685039370078741" right="0" top="0.19685039370078741" bottom="0" header="0.31496062992125984" footer="0.31496062992125984"/>
  <pageSetup paperSize="5" scale="12" orientation="landscape" horizontalDpi="4294967295" verticalDpi="4294967295" r:id="rId1"/>
  <ignoredErrors>
    <ignoredError sqref="AH17 AH14" evalError="1"/>
  </ignoredErrors>
  <drawing r:id="rId2"/>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Estratégico'!V29:AG29</xm:f>
              <xm:sqref>AI29</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Estratégico'!V25:AG25</xm:f>
              <xm:sqref>AI25</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Estratégico'!V27:AG27</xm:f>
              <xm:sqref>AI27</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Estratégico'!V19:AG19</xm:f>
              <xm:sqref>AI19</xm:sqref>
            </x14:sparkline>
            <x14:sparkline>
              <xm:f>'Tablero Estratégico'!V28:AG28</xm:f>
              <xm:sqref>AI28</xm:sqref>
            </x14:sparkline>
            <x14:sparkline>
              <xm:f>'Tablero Estratégico'!V20:AG20</xm:f>
              <xm:sqref>AI20</xm:sqref>
            </x14:sparkline>
            <x14:sparkline>
              <xm:f>'Tablero Estratégico'!V21:AG21</xm:f>
              <xm:sqref>AI21</xm:sqref>
            </x14:sparkline>
            <x14:sparkline>
              <xm:f>'Tablero Estratégico'!V22:AG22</xm:f>
              <xm:sqref>AI22</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Estratégico'!V6:AG6</xm:f>
              <xm:sqref>AI6</xm:sqref>
            </x14:sparkline>
            <x14:sparkline>
              <xm:f>'Tablero Estratégico'!V7:AG7</xm:f>
              <xm:sqref>AI7</xm:sqref>
            </x14:sparkline>
            <x14:sparkline>
              <xm:f>'Tablero Estratégico'!V9:AG9</xm:f>
              <xm:sqref>AI9</xm:sqref>
            </x14:sparkline>
            <x14:sparkline>
              <xm:f>'Tablero Estratégico'!V12:AG12</xm:f>
              <xm:sqref>AI12</xm:sqref>
            </x14:sparkline>
            <x14:sparkline>
              <xm:f>'Tablero Estratégico'!V26:AG26</xm:f>
              <xm:sqref>AI26</xm:sqref>
            </x14:sparkline>
            <x14:sparkline>
              <xm:f>'Tablero Estratégico'!V10:AG10</xm:f>
              <xm:sqref>AI10</xm:sqref>
            </x14:sparkline>
            <x14:sparkline>
              <xm:f>'Tablero Estratégico'!V11:AG11</xm:f>
              <xm:sqref>AI11</xm:sqref>
            </x14:sparkline>
            <x14:sparkline>
              <xm:f>'Tablero Estratégico'!V14:AG14</xm:f>
              <xm:sqref>AI14</xm:sqref>
            </x14:sparkline>
            <x14:sparkline>
              <xm:f>'Tablero Estratégico'!V15:AG15</xm:f>
              <xm:sqref>AI15</xm:sqref>
            </x14:sparkline>
            <x14:sparkline>
              <xm:f>'Tablero Estratégico'!V16:AG16</xm:f>
              <xm:sqref>AI16</xm:sqref>
            </x14:sparkline>
            <x14:sparkline>
              <xm:f>'Tablero Estratégico'!V17:AG17</xm:f>
              <xm:sqref>AI17</xm:sqref>
            </x14:sparkline>
            <x14:sparkline>
              <xm:f>'Tablero Estratégico'!V18:AG18</xm:f>
              <xm:sqref>AI18</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Estratégico'!V8:AG8</xm:f>
              <xm:sqref>AI8</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Estratégico'!V13:AG13</xm:f>
              <xm:sqref>AI13</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Estratégico'!V23:AG23</xm:f>
              <xm:sqref>AI23</xm:sqref>
            </x14:sparkline>
            <x14:sparkline>
              <xm:f>'Tablero Estratégico'!V24:AG24</xm:f>
              <xm:sqref>AI24</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L80"/>
  <sheetViews>
    <sheetView topLeftCell="A4" workbookViewId="0">
      <selection activeCell="L46" sqref="L46"/>
    </sheetView>
  </sheetViews>
  <sheetFormatPr baseColWidth="10" defaultColWidth="11.42578125" defaultRowHeight="15"/>
  <cols>
    <col min="1" max="1" width="3.140625" customWidth="1"/>
    <col min="2" max="2" width="14.85546875" customWidth="1"/>
    <col min="3" max="3" width="20.140625" customWidth="1"/>
    <col min="4" max="4" width="14.140625" customWidth="1"/>
    <col min="5" max="5" width="17.140625" customWidth="1"/>
    <col min="6" max="6" width="14.42578125" customWidth="1"/>
    <col min="7" max="7" width="15" customWidth="1"/>
    <col min="8" max="8" width="15.85546875" customWidth="1"/>
    <col min="9" max="9" width="21.42578125" customWidth="1"/>
    <col min="10" max="10" width="14.42578125" customWidth="1"/>
    <col min="11" max="11" width="20.85546875" customWidth="1"/>
    <col min="12" max="12" width="13.85546875" customWidth="1"/>
  </cols>
  <sheetData>
    <row r="1" spans="2:12" ht="24" customHeight="1">
      <c r="B1" s="1236" t="s">
        <v>47</v>
      </c>
      <c r="C1" s="1237"/>
      <c r="D1" s="1240" t="s">
        <v>0</v>
      </c>
      <c r="E1" s="1241"/>
      <c r="F1" s="1241"/>
      <c r="G1" s="1241"/>
      <c r="H1" s="1241"/>
      <c r="I1" s="1242"/>
      <c r="J1" s="1249" t="s">
        <v>31</v>
      </c>
      <c r="K1" s="1250"/>
    </row>
    <row r="2" spans="2:12" ht="15" customHeight="1">
      <c r="B2" s="1238"/>
      <c r="C2" s="1239"/>
      <c r="D2" s="1243"/>
      <c r="E2" s="1244"/>
      <c r="F2" s="1244"/>
      <c r="G2" s="1244"/>
      <c r="H2" s="1244"/>
      <c r="I2" s="1245"/>
      <c r="J2" s="1251"/>
      <c r="K2" s="1252"/>
    </row>
    <row r="3" spans="2:12" ht="15" customHeight="1">
      <c r="B3" s="1238"/>
      <c r="C3" s="1239"/>
      <c r="D3" s="1246"/>
      <c r="E3" s="1247"/>
      <c r="F3" s="1247"/>
      <c r="G3" s="1247"/>
      <c r="H3" s="1247"/>
      <c r="I3" s="1248"/>
      <c r="J3" s="1251"/>
      <c r="K3" s="1252"/>
    </row>
    <row r="4" spans="2:12" ht="15" customHeight="1">
      <c r="B4" s="1238"/>
      <c r="C4" s="1239"/>
      <c r="D4" s="1253" t="s">
        <v>44</v>
      </c>
      <c r="E4" s="1253"/>
      <c r="F4" s="1253"/>
      <c r="G4" s="1253"/>
      <c r="H4" s="1253"/>
      <c r="I4" s="1253"/>
      <c r="J4" s="1255" t="s">
        <v>32</v>
      </c>
      <c r="K4" s="1256"/>
    </row>
    <row r="5" spans="2:12" ht="15.75" customHeight="1" thickBot="1">
      <c r="B5" s="1238"/>
      <c r="C5" s="1239"/>
      <c r="D5" s="1254"/>
      <c r="E5" s="1254"/>
      <c r="F5" s="1254"/>
      <c r="G5" s="1254"/>
      <c r="H5" s="1254"/>
      <c r="I5" s="1254"/>
      <c r="J5" s="1257">
        <v>42664</v>
      </c>
      <c r="K5" s="1258"/>
    </row>
    <row r="6" spans="2:12" ht="15.75" thickBot="1">
      <c r="B6" s="1233"/>
      <c r="C6" s="1234"/>
      <c r="D6" s="1234"/>
      <c r="E6" s="1234"/>
      <c r="F6" s="1234"/>
      <c r="G6" s="1234"/>
      <c r="H6" s="1234"/>
      <c r="I6" s="1235"/>
      <c r="J6" s="1261"/>
      <c r="K6" s="1262"/>
      <c r="L6" s="4"/>
    </row>
    <row r="7" spans="2:12" ht="48">
      <c r="B7" s="1263" t="s">
        <v>33</v>
      </c>
      <c r="C7" s="1266" t="s">
        <v>90</v>
      </c>
      <c r="D7" s="1263" t="s">
        <v>34</v>
      </c>
      <c r="E7" s="82" t="s">
        <v>61</v>
      </c>
      <c r="F7" s="1263" t="s">
        <v>52</v>
      </c>
      <c r="G7" s="1266" t="s">
        <v>51</v>
      </c>
      <c r="H7" s="1263" t="s">
        <v>35</v>
      </c>
      <c r="I7" s="83" t="s">
        <v>63</v>
      </c>
      <c r="J7" s="1263" t="s">
        <v>36</v>
      </c>
      <c r="K7" s="88"/>
      <c r="L7" s="5"/>
    </row>
    <row r="8" spans="2:12" ht="60">
      <c r="B8" s="1264"/>
      <c r="C8" s="1267"/>
      <c r="D8" s="1264"/>
      <c r="E8" s="82" t="s">
        <v>83</v>
      </c>
      <c r="F8" s="1264"/>
      <c r="G8" s="1267"/>
      <c r="H8" s="1264"/>
      <c r="I8" s="83" t="s">
        <v>82</v>
      </c>
      <c r="J8" s="1264"/>
      <c r="K8" s="88"/>
      <c r="L8" s="5"/>
    </row>
    <row r="9" spans="2:12" ht="36">
      <c r="B9" s="1264"/>
      <c r="C9" s="1267"/>
      <c r="D9" s="1264"/>
      <c r="E9" s="82" t="s">
        <v>68</v>
      </c>
      <c r="F9" s="1264"/>
      <c r="G9" s="1267"/>
      <c r="H9" s="1264"/>
      <c r="I9" s="83" t="s">
        <v>66</v>
      </c>
      <c r="J9" s="1264"/>
      <c r="K9" s="88"/>
      <c r="L9" s="5"/>
    </row>
    <row r="10" spans="2:12" ht="48">
      <c r="B10" s="1264"/>
      <c r="C10" s="1267"/>
      <c r="D10" s="1264"/>
      <c r="E10" s="82" t="s">
        <v>69</v>
      </c>
      <c r="F10" s="1264"/>
      <c r="G10" s="1267"/>
      <c r="H10" s="1264"/>
      <c r="I10" s="83" t="s">
        <v>67</v>
      </c>
      <c r="J10" s="1264"/>
      <c r="K10" s="88"/>
      <c r="L10" s="5"/>
    </row>
    <row r="11" spans="2:12" ht="36">
      <c r="B11" s="1264"/>
      <c r="C11" s="1267"/>
      <c r="D11" s="1264"/>
      <c r="E11" s="82" t="s">
        <v>84</v>
      </c>
      <c r="F11" s="1264"/>
      <c r="G11" s="1267"/>
      <c r="H11" s="1264"/>
      <c r="I11" s="83" t="s">
        <v>85</v>
      </c>
      <c r="J11" s="1264"/>
      <c r="K11" s="88"/>
      <c r="L11" s="5"/>
    </row>
    <row r="12" spans="2:12" ht="48.75" thickBot="1">
      <c r="B12" s="1265"/>
      <c r="C12" s="1268"/>
      <c r="D12" s="1264"/>
      <c r="E12" s="82" t="s">
        <v>70</v>
      </c>
      <c r="F12" s="1264"/>
      <c r="G12" s="1267"/>
      <c r="H12" s="1264"/>
      <c r="I12" s="83" t="s">
        <v>64</v>
      </c>
      <c r="J12" s="1264"/>
      <c r="K12" s="88"/>
      <c r="L12" s="6"/>
    </row>
    <row r="13" spans="2:12" ht="24.75" thickBot="1">
      <c r="B13" s="85" t="s">
        <v>37</v>
      </c>
      <c r="C13" s="84"/>
      <c r="D13" s="1264"/>
      <c r="E13" s="82" t="s">
        <v>71</v>
      </c>
      <c r="F13" s="1264"/>
      <c r="G13" s="1267"/>
      <c r="H13" s="1264"/>
      <c r="I13" s="83" t="s">
        <v>65</v>
      </c>
      <c r="J13" s="1264"/>
      <c r="K13" s="88"/>
      <c r="L13" s="6"/>
    </row>
    <row r="14" spans="2:12" ht="48" customHeight="1" thickBot="1">
      <c r="B14" s="85" t="s">
        <v>38</v>
      </c>
      <c r="C14" s="84"/>
      <c r="D14" s="1264"/>
      <c r="E14" s="82" t="s">
        <v>89</v>
      </c>
      <c r="F14" s="1264"/>
      <c r="G14" s="1267"/>
      <c r="H14" s="1264"/>
      <c r="I14" s="83" t="s">
        <v>87</v>
      </c>
      <c r="J14" s="1264"/>
      <c r="K14" s="88"/>
      <c r="L14" s="6"/>
    </row>
    <row r="15" spans="2:12" ht="42.95" customHeight="1" thickBot="1">
      <c r="B15" s="86" t="s">
        <v>39</v>
      </c>
      <c r="C15" s="87">
        <v>42734</v>
      </c>
      <c r="D15" s="1265"/>
      <c r="E15" s="82" t="s">
        <v>88</v>
      </c>
      <c r="F15" s="1265"/>
      <c r="G15" s="1269"/>
      <c r="H15" s="1265"/>
      <c r="I15" s="83" t="s">
        <v>86</v>
      </c>
      <c r="J15" s="1265"/>
      <c r="K15" s="89"/>
      <c r="L15" s="6"/>
    </row>
    <row r="16" spans="2:12" ht="15.75" thickBot="1">
      <c r="B16" s="1273"/>
      <c r="C16" s="1274"/>
      <c r="D16" s="1274"/>
      <c r="E16" s="1275"/>
      <c r="F16" s="1276"/>
      <c r="G16" s="1275"/>
      <c r="H16" s="1276"/>
      <c r="I16" s="1275"/>
      <c r="J16" s="1276"/>
      <c r="K16" s="1277"/>
    </row>
    <row r="17" spans="2:11">
      <c r="B17" s="1278" t="s">
        <v>40</v>
      </c>
      <c r="C17" s="42" t="s">
        <v>91</v>
      </c>
      <c r="D17" s="33">
        <v>0.1</v>
      </c>
      <c r="E17" s="1278" t="s">
        <v>41</v>
      </c>
      <c r="F17" s="34"/>
      <c r="G17" s="1281" t="s">
        <v>42</v>
      </c>
      <c r="H17" s="35"/>
      <c r="I17" s="1281" t="s">
        <v>45</v>
      </c>
      <c r="J17" s="90"/>
      <c r="K17" s="94" t="s">
        <v>43</v>
      </c>
    </row>
    <row r="18" spans="2:11">
      <c r="B18" s="1279"/>
      <c r="C18" s="43" t="s">
        <v>92</v>
      </c>
      <c r="D18" s="36">
        <v>0.1</v>
      </c>
      <c r="E18" s="1279"/>
      <c r="F18" s="37"/>
      <c r="G18" s="1282"/>
      <c r="H18" s="38"/>
      <c r="I18" s="1282"/>
      <c r="J18" s="91"/>
      <c r="K18" s="95" t="s">
        <v>43</v>
      </c>
    </row>
    <row r="19" spans="2:11">
      <c r="B19" s="1279"/>
      <c r="C19" s="43" t="s">
        <v>93</v>
      </c>
      <c r="D19" s="36">
        <v>0.1</v>
      </c>
      <c r="E19" s="1279"/>
      <c r="F19" s="37"/>
      <c r="G19" s="1282"/>
      <c r="H19" s="38"/>
      <c r="I19" s="1282"/>
      <c r="J19" s="91"/>
      <c r="K19" s="95" t="s">
        <v>43</v>
      </c>
    </row>
    <row r="20" spans="2:11">
      <c r="B20" s="1279"/>
      <c r="C20" s="43" t="s">
        <v>94</v>
      </c>
      <c r="D20" s="36">
        <v>0.1</v>
      </c>
      <c r="E20" s="1279"/>
      <c r="F20" s="37"/>
      <c r="G20" s="1282"/>
      <c r="H20" s="38"/>
      <c r="I20" s="1282"/>
      <c r="J20" s="91"/>
      <c r="K20" s="95" t="s">
        <v>43</v>
      </c>
    </row>
    <row r="21" spans="2:11">
      <c r="B21" s="1279"/>
      <c r="C21" s="43" t="s">
        <v>95</v>
      </c>
      <c r="D21" s="36">
        <v>0.1</v>
      </c>
      <c r="E21" s="1279"/>
      <c r="F21" s="37"/>
      <c r="G21" s="1282"/>
      <c r="H21" s="38"/>
      <c r="I21" s="1282"/>
      <c r="J21" s="91"/>
      <c r="K21" s="95" t="s">
        <v>43</v>
      </c>
    </row>
    <row r="22" spans="2:11">
      <c r="B22" s="1279"/>
      <c r="C22" s="43" t="s">
        <v>96</v>
      </c>
      <c r="D22" s="36">
        <v>0.1</v>
      </c>
      <c r="E22" s="1279"/>
      <c r="F22" s="37"/>
      <c r="G22" s="1282"/>
      <c r="H22" s="38"/>
      <c r="I22" s="1282"/>
      <c r="J22" s="91"/>
      <c r="K22" s="95" t="s">
        <v>43</v>
      </c>
    </row>
    <row r="23" spans="2:11">
      <c r="B23" s="1279"/>
      <c r="C23" s="43" t="s">
        <v>97</v>
      </c>
      <c r="D23" s="36">
        <v>0.1</v>
      </c>
      <c r="E23" s="1279"/>
      <c r="F23" s="37"/>
      <c r="G23" s="1282"/>
      <c r="H23" s="38"/>
      <c r="I23" s="1282"/>
      <c r="J23" s="91"/>
      <c r="K23" s="95" t="s">
        <v>43</v>
      </c>
    </row>
    <row r="24" spans="2:11">
      <c r="B24" s="1279"/>
      <c r="C24" s="43" t="s">
        <v>98</v>
      </c>
      <c r="D24" s="36">
        <v>0.1</v>
      </c>
      <c r="E24" s="1279"/>
      <c r="F24" s="37"/>
      <c r="G24" s="1282"/>
      <c r="H24" s="38"/>
      <c r="I24" s="1282"/>
      <c r="J24" s="91"/>
      <c r="K24" s="95" t="s">
        <v>43</v>
      </c>
    </row>
    <row r="25" spans="2:11" ht="15.75" thickBot="1">
      <c r="B25" s="1280"/>
      <c r="C25" s="44" t="s">
        <v>99</v>
      </c>
      <c r="D25" s="39">
        <v>0.1</v>
      </c>
      <c r="E25" s="1280"/>
      <c r="F25" s="40"/>
      <c r="G25" s="1283"/>
      <c r="H25" s="41"/>
      <c r="I25" s="1283"/>
      <c r="J25" s="92"/>
      <c r="K25" s="96" t="s">
        <v>43</v>
      </c>
    </row>
    <row r="26" spans="2:11" s="8" customFormat="1">
      <c r="B26" s="97"/>
      <c r="C26" s="98"/>
      <c r="D26" s="99"/>
      <c r="E26" s="97"/>
      <c r="F26" s="100"/>
      <c r="G26" s="97"/>
      <c r="H26" s="100"/>
      <c r="I26" s="97"/>
      <c r="J26" s="100"/>
      <c r="K26" s="93"/>
    </row>
    <row r="27" spans="2:11" ht="38.25">
      <c r="B27" s="75" t="s">
        <v>24</v>
      </c>
      <c r="C27" s="75" t="s">
        <v>25</v>
      </c>
      <c r="D27" s="74" t="s">
        <v>26</v>
      </c>
      <c r="E27" s="75" t="s">
        <v>61</v>
      </c>
      <c r="F27" s="75" t="s">
        <v>4</v>
      </c>
      <c r="G27" s="75" t="s">
        <v>53</v>
      </c>
      <c r="H27" s="14"/>
      <c r="I27" s="14"/>
      <c r="J27" s="13"/>
      <c r="K27" s="13"/>
    </row>
    <row r="28" spans="2:11">
      <c r="B28" s="12">
        <v>42736</v>
      </c>
      <c r="C28" s="11">
        <v>102</v>
      </c>
      <c r="D28" s="10">
        <f>'Tablero Estratégico'!$AL$30</f>
        <v>0</v>
      </c>
      <c r="E28" s="102" t="str">
        <f>IF(ISERROR(C28/D28)=TRUE,"Sin datos",C28/D28)</f>
        <v>Sin datos</v>
      </c>
      <c r="F28" s="3">
        <f>$D$17</f>
        <v>0.1</v>
      </c>
      <c r="G28" s="62" t="s">
        <v>59</v>
      </c>
    </row>
    <row r="29" spans="2:11">
      <c r="B29" s="12">
        <v>42767</v>
      </c>
      <c r="C29" s="11">
        <v>80</v>
      </c>
      <c r="D29" s="10">
        <f>'Tablero Estratégico'!$AL$30</f>
        <v>0</v>
      </c>
      <c r="E29" s="102" t="str">
        <f t="shared" ref="E29:E39" si="0">IF(ISERROR(C29/D29)=TRUE,"Sin datos",C29/D29)</f>
        <v>Sin datos</v>
      </c>
      <c r="F29" s="3">
        <f t="shared" ref="F29:F39" si="1">$D$17</f>
        <v>0.1</v>
      </c>
      <c r="G29" s="62" t="e">
        <f>+IF(SLOPE(E28:E29,B28:B29)&gt;0,"Al alza",IF(SLOPE(E28:E29,B28:B29)&lt;0,"A la baja","sin cambio"))</f>
        <v>#DIV/0!</v>
      </c>
    </row>
    <row r="30" spans="2:11">
      <c r="B30" s="12">
        <v>42795</v>
      </c>
      <c r="C30" s="11">
        <v>50</v>
      </c>
      <c r="D30" s="10">
        <f>'Tablero Estratégico'!$AL$30</f>
        <v>0</v>
      </c>
      <c r="E30" s="102" t="str">
        <f t="shared" si="0"/>
        <v>Sin datos</v>
      </c>
      <c r="F30" s="3">
        <f t="shared" si="1"/>
        <v>0.1</v>
      </c>
      <c r="G30" s="62" t="e">
        <f t="shared" ref="G30:G39" si="2">+IF(SLOPE(E29:E30,B29:B30)&gt;0,"Al alza",IF(SLOPE(E29:E30,B29:B30)&lt;0,"A la baja","sin cambio"))</f>
        <v>#DIV/0!</v>
      </c>
    </row>
    <row r="31" spans="2:11">
      <c r="B31" s="12">
        <v>42826</v>
      </c>
      <c r="C31" s="11">
        <v>30</v>
      </c>
      <c r="D31" s="10">
        <f>'Tablero Estratégico'!$AL$30</f>
        <v>0</v>
      </c>
      <c r="E31" s="102" t="str">
        <f t="shared" si="0"/>
        <v>Sin datos</v>
      </c>
      <c r="F31" s="3">
        <f t="shared" si="1"/>
        <v>0.1</v>
      </c>
      <c r="G31" s="62" t="e">
        <f t="shared" si="2"/>
        <v>#DIV/0!</v>
      </c>
    </row>
    <row r="32" spans="2:11">
      <c r="B32" s="12">
        <v>42856</v>
      </c>
      <c r="C32" s="11">
        <v>60</v>
      </c>
      <c r="D32" s="10">
        <f>'Tablero Estratégico'!$AL$30</f>
        <v>0</v>
      </c>
      <c r="E32" s="102" t="str">
        <f t="shared" si="0"/>
        <v>Sin datos</v>
      </c>
      <c r="F32" s="3">
        <f t="shared" si="1"/>
        <v>0.1</v>
      </c>
      <c r="G32" s="62" t="e">
        <f t="shared" si="2"/>
        <v>#DIV/0!</v>
      </c>
    </row>
    <row r="33" spans="1:11">
      <c r="B33" s="12">
        <v>42887</v>
      </c>
      <c r="C33" s="11">
        <v>100</v>
      </c>
      <c r="D33" s="10">
        <f>'Tablero Estratégico'!$AL$30</f>
        <v>0</v>
      </c>
      <c r="E33" s="102" t="str">
        <f t="shared" si="0"/>
        <v>Sin datos</v>
      </c>
      <c r="F33" s="3">
        <f t="shared" si="1"/>
        <v>0.1</v>
      </c>
      <c r="G33" s="62" t="e">
        <f t="shared" si="2"/>
        <v>#DIV/0!</v>
      </c>
    </row>
    <row r="34" spans="1:11">
      <c r="B34" s="12">
        <v>42917</v>
      </c>
      <c r="C34" s="11">
        <v>30</v>
      </c>
      <c r="D34" s="10">
        <f>'Tablero Estratégico'!$AL$30</f>
        <v>0</v>
      </c>
      <c r="E34" s="102" t="str">
        <f t="shared" si="0"/>
        <v>Sin datos</v>
      </c>
      <c r="F34" s="3">
        <f t="shared" si="1"/>
        <v>0.1</v>
      </c>
      <c r="G34" s="62" t="e">
        <f t="shared" si="2"/>
        <v>#DIV/0!</v>
      </c>
    </row>
    <row r="35" spans="1:11">
      <c r="B35" s="12">
        <v>42948</v>
      </c>
      <c r="C35" s="11">
        <v>90</v>
      </c>
      <c r="D35" s="10">
        <f>'Tablero Estratégico'!$AL$30</f>
        <v>0</v>
      </c>
      <c r="E35" s="102" t="str">
        <f t="shared" si="0"/>
        <v>Sin datos</v>
      </c>
      <c r="F35" s="3">
        <f t="shared" si="1"/>
        <v>0.1</v>
      </c>
      <c r="G35" s="62" t="e">
        <f t="shared" si="2"/>
        <v>#DIV/0!</v>
      </c>
    </row>
    <row r="36" spans="1:11">
      <c r="B36" s="12">
        <v>42979</v>
      </c>
      <c r="C36" s="11">
        <v>80</v>
      </c>
      <c r="D36" s="10">
        <f>'Tablero Estratégico'!$AL$30</f>
        <v>0</v>
      </c>
      <c r="E36" s="102" t="str">
        <f t="shared" si="0"/>
        <v>Sin datos</v>
      </c>
      <c r="F36" s="3">
        <f t="shared" si="1"/>
        <v>0.1</v>
      </c>
      <c r="G36" s="62" t="e">
        <f t="shared" si="2"/>
        <v>#DIV/0!</v>
      </c>
    </row>
    <row r="37" spans="1:11">
      <c r="B37" s="12">
        <v>43009</v>
      </c>
      <c r="C37" s="11">
        <v>100</v>
      </c>
      <c r="D37" s="10">
        <f>'Tablero Estratégico'!$AL$30</f>
        <v>0</v>
      </c>
      <c r="E37" s="102" t="str">
        <f t="shared" si="0"/>
        <v>Sin datos</v>
      </c>
      <c r="F37" s="3">
        <f t="shared" si="1"/>
        <v>0.1</v>
      </c>
      <c r="G37" s="62" t="e">
        <f t="shared" si="2"/>
        <v>#DIV/0!</v>
      </c>
    </row>
    <row r="38" spans="1:11">
      <c r="B38" s="12">
        <v>43040</v>
      </c>
      <c r="C38" s="11">
        <v>102</v>
      </c>
      <c r="D38" s="10">
        <f>'Tablero Estratégico'!$AL$30</f>
        <v>0</v>
      </c>
      <c r="E38" s="102" t="str">
        <f t="shared" si="0"/>
        <v>Sin datos</v>
      </c>
      <c r="F38" s="3">
        <f t="shared" si="1"/>
        <v>0.1</v>
      </c>
      <c r="G38" s="62" t="e">
        <f t="shared" si="2"/>
        <v>#DIV/0!</v>
      </c>
    </row>
    <row r="39" spans="1:11" ht="15.75" thickBot="1">
      <c r="B39" s="68">
        <v>43070</v>
      </c>
      <c r="C39" s="11">
        <f>COUNTIF(('Tablero Estratégico'!$AO$6:$AO$27),1)</f>
        <v>1</v>
      </c>
      <c r="D39" s="10">
        <f>'Tablero Estratégico'!$AL$30</f>
        <v>0</v>
      </c>
      <c r="E39" s="102" t="str">
        <f t="shared" si="0"/>
        <v>Sin datos</v>
      </c>
      <c r="F39" s="3">
        <f t="shared" si="1"/>
        <v>0.1</v>
      </c>
      <c r="G39" s="62" t="e">
        <f t="shared" si="2"/>
        <v>#DIV/0!</v>
      </c>
      <c r="H39" s="15"/>
      <c r="I39" s="15"/>
      <c r="J39" s="15"/>
      <c r="K39" s="15"/>
    </row>
    <row r="40" spans="1:11" ht="15.75" customHeight="1" thickBot="1">
      <c r="B40" s="1270" t="s">
        <v>60</v>
      </c>
      <c r="C40" s="1271"/>
      <c r="D40" s="1272"/>
      <c r="E40" s="69" t="e">
        <f>+IF(SLOPE(E28:E39,B28:B39)&gt;0,"Al alza",IF(SLOPE(E28:E39,B28:B39)&lt;0,"A la baja","Sin cambio"))</f>
        <v>#DIV/0!</v>
      </c>
      <c r="F40" s="103"/>
      <c r="H40" s="15"/>
      <c r="I40" s="15"/>
      <c r="J40" s="15"/>
      <c r="K40" s="15"/>
    </row>
    <row r="41" spans="1:11" s="4" customFormat="1">
      <c r="B41" s="101"/>
      <c r="C41" s="101"/>
      <c r="D41" s="101"/>
      <c r="E41" s="101"/>
      <c r="F41" s="101"/>
      <c r="G41" s="101"/>
      <c r="H41" s="14"/>
      <c r="I41" s="14"/>
      <c r="J41" s="14"/>
      <c r="K41" s="14"/>
    </row>
    <row r="42" spans="1:11" s="4" customFormat="1">
      <c r="A42" s="64"/>
      <c r="B42" s="101"/>
      <c r="C42" s="101"/>
      <c r="D42" s="101"/>
      <c r="E42" s="101"/>
      <c r="F42" s="101"/>
      <c r="G42" s="101"/>
      <c r="H42" s="14"/>
      <c r="I42" s="14"/>
      <c r="J42" s="14"/>
      <c r="K42" s="14"/>
    </row>
    <row r="43" spans="1:11" s="4" customFormat="1" ht="15.75" thickBot="1">
      <c r="A43" s="64"/>
      <c r="B43" s="101"/>
      <c r="C43" s="101"/>
      <c r="D43" s="101"/>
      <c r="E43" s="101"/>
      <c r="F43" s="101"/>
      <c r="G43" s="101"/>
      <c r="H43" s="14"/>
      <c r="I43" s="14"/>
      <c r="J43" s="14"/>
      <c r="K43" s="14"/>
    </row>
    <row r="44" spans="1:11" ht="15.75" customHeight="1" thickBot="1">
      <c r="A44" s="1259"/>
      <c r="B44" s="1233" t="s">
        <v>49</v>
      </c>
      <c r="C44" s="1234"/>
      <c r="D44" s="1234"/>
      <c r="E44" s="1234"/>
      <c r="F44" s="1234"/>
      <c r="G44" s="1234"/>
      <c r="H44" s="1234"/>
      <c r="I44" s="1234"/>
      <c r="J44" s="1234"/>
      <c r="K44" s="1235"/>
    </row>
    <row r="45" spans="1:11" ht="15.75" thickBot="1">
      <c r="A45" s="1260"/>
      <c r="B45" s="12">
        <v>42736</v>
      </c>
      <c r="C45" s="1296"/>
      <c r="D45" s="1297"/>
      <c r="E45" s="1297"/>
      <c r="F45" s="1297"/>
      <c r="G45" s="1297"/>
      <c r="H45" s="1297"/>
      <c r="I45" s="1297"/>
      <c r="J45" s="1297"/>
      <c r="K45" s="1298"/>
    </row>
    <row r="46" spans="1:11" ht="15.75" thickBot="1">
      <c r="A46" s="7"/>
      <c r="B46" s="12">
        <v>42767</v>
      </c>
      <c r="C46" s="1296"/>
      <c r="D46" s="1297"/>
      <c r="E46" s="1297"/>
      <c r="F46" s="1297"/>
      <c r="G46" s="1297"/>
      <c r="H46" s="1297"/>
      <c r="I46" s="1297"/>
      <c r="J46" s="1297"/>
      <c r="K46" s="1298"/>
    </row>
    <row r="47" spans="1:11" ht="15.75" thickBot="1">
      <c r="A47" s="8"/>
      <c r="B47" s="12">
        <v>42795</v>
      </c>
      <c r="C47" s="1296"/>
      <c r="D47" s="1297"/>
      <c r="E47" s="1297"/>
      <c r="F47" s="1297"/>
      <c r="G47" s="1297"/>
      <c r="H47" s="1297"/>
      <c r="I47" s="1297"/>
      <c r="J47" s="1297"/>
      <c r="K47" s="1298"/>
    </row>
    <row r="48" spans="1:11" ht="15.75" thickBot="1">
      <c r="A48" s="8"/>
      <c r="B48" s="12">
        <v>42826</v>
      </c>
      <c r="C48" s="1296"/>
      <c r="D48" s="1297"/>
      <c r="E48" s="1297"/>
      <c r="F48" s="1297"/>
      <c r="G48" s="1297"/>
      <c r="H48" s="1297"/>
      <c r="I48" s="1297"/>
      <c r="J48" s="1297"/>
      <c r="K48" s="1298"/>
    </row>
    <row r="49" spans="1:11" ht="15.75" thickBot="1">
      <c r="A49" s="8"/>
      <c r="B49" s="12">
        <v>42856</v>
      </c>
      <c r="C49" s="1296"/>
      <c r="D49" s="1297"/>
      <c r="E49" s="1297"/>
      <c r="F49" s="1297"/>
      <c r="G49" s="1297"/>
      <c r="H49" s="1297"/>
      <c r="I49" s="1297"/>
      <c r="J49" s="1297"/>
      <c r="K49" s="1298"/>
    </row>
    <row r="50" spans="1:11" ht="15.75" thickBot="1">
      <c r="A50" s="8"/>
      <c r="B50" s="12">
        <v>42887</v>
      </c>
      <c r="C50" s="1296"/>
      <c r="D50" s="1297"/>
      <c r="E50" s="1297"/>
      <c r="F50" s="1297"/>
      <c r="G50" s="1297"/>
      <c r="H50" s="1297"/>
      <c r="I50" s="1297"/>
      <c r="J50" s="1297"/>
      <c r="K50" s="1298"/>
    </row>
    <row r="51" spans="1:11" ht="15.75" thickBot="1">
      <c r="B51" s="12">
        <v>42917</v>
      </c>
      <c r="C51" s="1296"/>
      <c r="D51" s="1297"/>
      <c r="E51" s="1297"/>
      <c r="F51" s="1297"/>
      <c r="G51" s="1297"/>
      <c r="H51" s="1297"/>
      <c r="I51" s="1297"/>
      <c r="J51" s="1297"/>
      <c r="K51" s="1298"/>
    </row>
    <row r="52" spans="1:11" ht="15.75" thickBot="1">
      <c r="B52" s="12">
        <v>42948</v>
      </c>
      <c r="C52" s="1296"/>
      <c r="D52" s="1297"/>
      <c r="E52" s="1297"/>
      <c r="F52" s="1297"/>
      <c r="G52" s="1297"/>
      <c r="H52" s="1297"/>
      <c r="I52" s="1297"/>
      <c r="J52" s="1297"/>
      <c r="K52" s="1298"/>
    </row>
    <row r="53" spans="1:11" ht="15.75" thickBot="1">
      <c r="B53" s="12">
        <v>42979</v>
      </c>
      <c r="C53" s="1296"/>
      <c r="D53" s="1297"/>
      <c r="E53" s="1297"/>
      <c r="F53" s="1297"/>
      <c r="G53" s="1297"/>
      <c r="H53" s="1297"/>
      <c r="I53" s="1297"/>
      <c r="J53" s="1297"/>
      <c r="K53" s="1298"/>
    </row>
    <row r="54" spans="1:11" ht="15.75" thickBot="1">
      <c r="B54" s="12">
        <v>43009</v>
      </c>
      <c r="C54" s="1296"/>
      <c r="D54" s="1297"/>
      <c r="E54" s="1297"/>
      <c r="F54" s="1297"/>
      <c r="G54" s="1297"/>
      <c r="H54" s="1297"/>
      <c r="I54" s="1297"/>
      <c r="J54" s="1297"/>
      <c r="K54" s="1298"/>
    </row>
    <row r="55" spans="1:11" ht="15.75" thickBot="1">
      <c r="B55" s="12">
        <v>43040</v>
      </c>
      <c r="C55" s="1296"/>
      <c r="D55" s="1297"/>
      <c r="E55" s="1297"/>
      <c r="F55" s="1297"/>
      <c r="G55" s="1297"/>
      <c r="H55" s="1297"/>
      <c r="I55" s="1297"/>
      <c r="J55" s="1297"/>
      <c r="K55" s="1298"/>
    </row>
    <row r="56" spans="1:11" ht="15.75" thickBot="1">
      <c r="B56" s="68">
        <v>43070</v>
      </c>
      <c r="C56" s="1296"/>
      <c r="D56" s="1297"/>
      <c r="E56" s="1297"/>
      <c r="F56" s="1297"/>
      <c r="G56" s="1297"/>
      <c r="H56" s="1297"/>
      <c r="I56" s="1297"/>
      <c r="J56" s="1297"/>
      <c r="K56" s="1298"/>
    </row>
    <row r="57" spans="1:11" ht="15.75" thickBot="1">
      <c r="B57" s="45" t="s">
        <v>46</v>
      </c>
      <c r="C57" s="1233" t="s">
        <v>27</v>
      </c>
      <c r="D57" s="1234"/>
      <c r="E57" s="1234"/>
      <c r="F57" s="1234"/>
      <c r="G57" s="1235"/>
      <c r="H57" s="45" t="s">
        <v>37</v>
      </c>
      <c r="I57" s="45" t="s">
        <v>28</v>
      </c>
      <c r="J57" s="76" t="s">
        <v>29</v>
      </c>
      <c r="K57" s="45" t="s">
        <v>30</v>
      </c>
    </row>
    <row r="58" spans="1:11">
      <c r="B58" s="46"/>
      <c r="C58" s="1287"/>
      <c r="D58" s="1288"/>
      <c r="E58" s="1288"/>
      <c r="F58" s="1288"/>
      <c r="G58" s="1289"/>
      <c r="H58" s="55"/>
      <c r="I58" s="58"/>
      <c r="J58" s="52"/>
      <c r="K58" s="49"/>
    </row>
    <row r="59" spans="1:11">
      <c r="B59" s="47"/>
      <c r="C59" s="1290"/>
      <c r="D59" s="1291"/>
      <c r="E59" s="1291"/>
      <c r="F59" s="1291"/>
      <c r="G59" s="1292"/>
      <c r="H59" s="56"/>
      <c r="I59" s="59"/>
      <c r="J59" s="53"/>
      <c r="K59" s="50"/>
    </row>
    <row r="60" spans="1:11">
      <c r="B60" s="47"/>
      <c r="C60" s="1290"/>
      <c r="D60" s="1291"/>
      <c r="E60" s="1291"/>
      <c r="F60" s="1291"/>
      <c r="G60" s="1292"/>
      <c r="H60" s="56"/>
      <c r="I60" s="59"/>
      <c r="J60" s="53"/>
      <c r="K60" s="50"/>
    </row>
    <row r="61" spans="1:11">
      <c r="B61" s="47"/>
      <c r="C61" s="1290"/>
      <c r="D61" s="1291"/>
      <c r="E61" s="1291"/>
      <c r="F61" s="1291"/>
      <c r="G61" s="1292"/>
      <c r="H61" s="56"/>
      <c r="I61" s="59"/>
      <c r="J61" s="53"/>
      <c r="K61" s="50"/>
    </row>
    <row r="62" spans="1:11">
      <c r="B62" s="47"/>
      <c r="C62" s="1290"/>
      <c r="D62" s="1291"/>
      <c r="E62" s="1291"/>
      <c r="F62" s="1291"/>
      <c r="G62" s="1292"/>
      <c r="H62" s="56"/>
      <c r="I62" s="59"/>
      <c r="J62" s="53"/>
      <c r="K62" s="50"/>
    </row>
    <row r="63" spans="1:11">
      <c r="B63" s="47"/>
      <c r="C63" s="1290"/>
      <c r="D63" s="1291"/>
      <c r="E63" s="1291"/>
      <c r="F63" s="1291"/>
      <c r="G63" s="1292"/>
      <c r="H63" s="56"/>
      <c r="I63" s="59"/>
      <c r="J63" s="53"/>
      <c r="K63" s="50"/>
    </row>
    <row r="64" spans="1:11">
      <c r="B64" s="47"/>
      <c r="C64" s="1290"/>
      <c r="D64" s="1291"/>
      <c r="E64" s="1291"/>
      <c r="F64" s="1291"/>
      <c r="G64" s="1292"/>
      <c r="H64" s="56"/>
      <c r="I64" s="59"/>
      <c r="J64" s="53"/>
      <c r="K64" s="50"/>
    </row>
    <row r="65" spans="2:11">
      <c r="B65" s="47"/>
      <c r="C65" s="1293"/>
      <c r="D65" s="1294"/>
      <c r="E65" s="1294"/>
      <c r="F65" s="1294"/>
      <c r="G65" s="1295"/>
      <c r="H65" s="56"/>
      <c r="I65" s="59"/>
      <c r="J65" s="53"/>
      <c r="K65" s="50"/>
    </row>
    <row r="66" spans="2:11" ht="15.75" thickBot="1">
      <c r="B66" s="48"/>
      <c r="C66" s="1284"/>
      <c r="D66" s="1285"/>
      <c r="E66" s="1285"/>
      <c r="F66" s="1285"/>
      <c r="G66" s="1286"/>
      <c r="H66" s="57"/>
      <c r="I66" s="60"/>
      <c r="J66" s="54"/>
      <c r="K66" s="51"/>
    </row>
    <row r="67" spans="2:11">
      <c r="F67" s="15"/>
      <c r="G67" s="15"/>
      <c r="H67" s="15"/>
      <c r="I67" s="15"/>
      <c r="J67" s="15"/>
      <c r="K67" s="15"/>
    </row>
    <row r="68" spans="2:11">
      <c r="F68" s="8"/>
      <c r="G68" s="8"/>
      <c r="H68" s="8"/>
      <c r="I68" s="8"/>
    </row>
    <row r="69" spans="2:11">
      <c r="F69" s="8"/>
      <c r="G69" s="8"/>
      <c r="H69" s="8"/>
      <c r="I69" s="8"/>
    </row>
    <row r="70" spans="2:11">
      <c r="F70" s="8"/>
      <c r="G70" s="8"/>
      <c r="H70" s="8"/>
      <c r="I70" s="8"/>
    </row>
    <row r="71" spans="2:11">
      <c r="F71" s="8"/>
      <c r="G71" s="8"/>
      <c r="H71" s="8"/>
      <c r="I71" s="8"/>
    </row>
    <row r="72" spans="2:11">
      <c r="B72" s="15"/>
      <c r="C72" s="15"/>
      <c r="D72" s="15"/>
      <c r="E72" s="15"/>
      <c r="F72" s="8"/>
      <c r="G72" s="8"/>
      <c r="H72" s="8"/>
      <c r="I72" s="8"/>
    </row>
    <row r="73" spans="2:11">
      <c r="D73" s="9"/>
      <c r="E73" s="8"/>
      <c r="F73" s="8"/>
      <c r="G73" s="8"/>
      <c r="H73" s="8"/>
      <c r="I73" s="8"/>
    </row>
    <row r="74" spans="2:11">
      <c r="D74" s="9"/>
      <c r="E74" s="8"/>
      <c r="F74" s="8"/>
      <c r="G74" s="8"/>
      <c r="H74" s="8"/>
      <c r="I74" s="8"/>
    </row>
    <row r="75" spans="2:11">
      <c r="D75" s="9"/>
      <c r="E75" s="8"/>
      <c r="F75" s="8"/>
      <c r="G75" s="8"/>
      <c r="H75" s="8"/>
      <c r="I75" s="8"/>
    </row>
    <row r="76" spans="2:11">
      <c r="D76" s="9"/>
      <c r="E76" s="8"/>
    </row>
    <row r="77" spans="2:11">
      <c r="D77" s="9"/>
      <c r="E77" s="8"/>
    </row>
    <row r="78" spans="2:11">
      <c r="D78" s="8"/>
      <c r="E78" s="8"/>
    </row>
    <row r="79" spans="2:11">
      <c r="D79" s="8"/>
      <c r="E79" s="8"/>
    </row>
    <row r="80" spans="2:11">
      <c r="D80" s="8"/>
      <c r="E80" s="8"/>
    </row>
  </sheetData>
  <mergeCells count="45">
    <mergeCell ref="C57:G57"/>
    <mergeCell ref="C45:K45"/>
    <mergeCell ref="C46:K46"/>
    <mergeCell ref="C47:K47"/>
    <mergeCell ref="C48:K48"/>
    <mergeCell ref="C50:K50"/>
    <mergeCell ref="C51:K51"/>
    <mergeCell ref="C56:K56"/>
    <mergeCell ref="C49:K49"/>
    <mergeCell ref="C53:K53"/>
    <mergeCell ref="C54:K54"/>
    <mergeCell ref="C55:K55"/>
    <mergeCell ref="C52:K52"/>
    <mergeCell ref="C66:G66"/>
    <mergeCell ref="C58:G58"/>
    <mergeCell ref="C59:G59"/>
    <mergeCell ref="C60:G60"/>
    <mergeCell ref="C61:G61"/>
    <mergeCell ref="C62:G62"/>
    <mergeCell ref="C63:G63"/>
    <mergeCell ref="C64:G64"/>
    <mergeCell ref="C65:G65"/>
    <mergeCell ref="A44:A45"/>
    <mergeCell ref="B6:I6"/>
    <mergeCell ref="J6:K6"/>
    <mergeCell ref="B7:B12"/>
    <mergeCell ref="C7:C12"/>
    <mergeCell ref="D7:D15"/>
    <mergeCell ref="F7:F15"/>
    <mergeCell ref="G7:G15"/>
    <mergeCell ref="H7:H15"/>
    <mergeCell ref="J7:J15"/>
    <mergeCell ref="B40:D40"/>
    <mergeCell ref="B16:K16"/>
    <mergeCell ref="B17:B25"/>
    <mergeCell ref="E17:E25"/>
    <mergeCell ref="G17:G25"/>
    <mergeCell ref="I17:I25"/>
    <mergeCell ref="B44:K44"/>
    <mergeCell ref="B1:C5"/>
    <mergeCell ref="D1:I3"/>
    <mergeCell ref="J1:K3"/>
    <mergeCell ref="D4:I5"/>
    <mergeCell ref="J4:K4"/>
    <mergeCell ref="J5:K5"/>
  </mergeCells>
  <pageMargins left="0.7" right="0.7" top="0.75" bottom="0.75" header="0.3" footer="0.3"/>
  <pageSetup orientation="portrait" verticalDpi="0" r:id="rId1"/>
  <ignoredErrors>
    <ignoredError sqref="G29:G39"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
  <sheetViews>
    <sheetView workbookViewId="0">
      <selection activeCell="D3" sqref="D3"/>
    </sheetView>
  </sheetViews>
  <sheetFormatPr baseColWidth="10" defaultRowHeight="15"/>
  <cols>
    <col min="4" max="4" width="14" bestFit="1" customWidth="1"/>
  </cols>
  <sheetData>
    <row r="3" spans="4:4">
      <c r="D3" s="975">
        <f>19563279737.38-18618499890.41</f>
        <v>944779846.97000122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6:G18"/>
  <sheetViews>
    <sheetView workbookViewId="0">
      <selection activeCell="F11" sqref="F11"/>
    </sheetView>
  </sheetViews>
  <sheetFormatPr baseColWidth="10" defaultRowHeight="15"/>
  <cols>
    <col min="6" max="6" width="39.85546875" bestFit="1" customWidth="1"/>
  </cols>
  <sheetData>
    <row r="6" spans="6:7">
      <c r="F6" t="s">
        <v>454</v>
      </c>
    </row>
    <row r="8" spans="6:7">
      <c r="F8">
        <f>195+323+318</f>
        <v>836</v>
      </c>
      <c r="G8">
        <f>232+431+250</f>
        <v>913</v>
      </c>
    </row>
    <row r="9" spans="6:7">
      <c r="F9">
        <v>2017</v>
      </c>
      <c r="G9">
        <v>2016</v>
      </c>
    </row>
    <row r="17" spans="5:6">
      <c r="E17">
        <v>2016</v>
      </c>
      <c r="F17">
        <v>2017</v>
      </c>
    </row>
    <row r="18" spans="5:6">
      <c r="E18">
        <f>2417+111+1340</f>
        <v>3868</v>
      </c>
      <c r="F18">
        <f>2479+1331</f>
        <v>3810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E6:G17"/>
  <sheetViews>
    <sheetView workbookViewId="0">
      <selection activeCell="J9" sqref="J9"/>
    </sheetView>
  </sheetViews>
  <sheetFormatPr baseColWidth="10" defaultRowHeight="15"/>
  <sheetData>
    <row r="6" spans="5:7">
      <c r="E6" t="s">
        <v>356</v>
      </c>
      <c r="F6" t="s">
        <v>357</v>
      </c>
      <c r="G6" t="s">
        <v>358</v>
      </c>
    </row>
    <row r="7" spans="5:7">
      <c r="E7">
        <v>20</v>
      </c>
      <c r="F7">
        <v>8</v>
      </c>
      <c r="G7">
        <v>12</v>
      </c>
    </row>
    <row r="8" spans="5:7">
      <c r="E8">
        <v>8</v>
      </c>
      <c r="F8">
        <v>5</v>
      </c>
      <c r="G8">
        <v>3</v>
      </c>
    </row>
    <row r="9" spans="5:7">
      <c r="E9">
        <v>20</v>
      </c>
      <c r="F9">
        <v>8</v>
      </c>
      <c r="G9">
        <v>12</v>
      </c>
    </row>
    <row r="10" spans="5:7">
      <c r="E10">
        <v>6</v>
      </c>
      <c r="F10">
        <v>3</v>
      </c>
      <c r="G10">
        <v>3</v>
      </c>
    </row>
    <row r="11" spans="5:7">
      <c r="E11">
        <v>20</v>
      </c>
      <c r="F11">
        <v>0</v>
      </c>
      <c r="G11">
        <v>20</v>
      </c>
    </row>
    <row r="12" spans="5:7">
      <c r="E12">
        <v>11</v>
      </c>
      <c r="F12">
        <v>0</v>
      </c>
      <c r="G12">
        <v>11</v>
      </c>
    </row>
    <row r="13" spans="5:7">
      <c r="E13">
        <v>12</v>
      </c>
      <c r="F13">
        <v>0</v>
      </c>
      <c r="G13">
        <v>12</v>
      </c>
    </row>
    <row r="14" spans="5:7">
      <c r="E14">
        <v>1</v>
      </c>
      <c r="F14">
        <v>0</v>
      </c>
      <c r="G14">
        <v>1</v>
      </c>
    </row>
    <row r="15" spans="5:7">
      <c r="E15">
        <f>SUM(E7:E14)</f>
        <v>98</v>
      </c>
      <c r="F15">
        <f>SUM(F7:F14)</f>
        <v>24</v>
      </c>
      <c r="G15">
        <f>SUM(G7:G14)</f>
        <v>74</v>
      </c>
    </row>
    <row r="17" spans="6:7">
      <c r="F17" s="185">
        <f>+F15/E15</f>
        <v>0.24489795918367346</v>
      </c>
      <c r="G17" s="185">
        <f>+G15/E15</f>
        <v>0.75510204081632648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filterMode="1">
    <pageSetUpPr fitToPage="1"/>
  </sheetPr>
  <dimension ref="A1:BL60"/>
  <sheetViews>
    <sheetView zoomScale="55" zoomScaleNormal="55" zoomScalePageLayoutView="55" workbookViewId="0">
      <pane xSplit="2" ySplit="7" topLeftCell="C36" activePane="bottomRight" state="frozen"/>
      <selection activeCell="H17" sqref="H17"/>
      <selection pane="topRight" activeCell="H17" sqref="H17"/>
      <selection pane="bottomLeft" activeCell="H17" sqref="H17"/>
      <selection pane="bottomRight" activeCell="H62" sqref="H62"/>
    </sheetView>
  </sheetViews>
  <sheetFormatPr baseColWidth="10" defaultColWidth="11.42578125" defaultRowHeight="15" outlineLevelCol="1"/>
  <cols>
    <col min="1" max="1" width="34.5703125" customWidth="1"/>
    <col min="2" max="2" width="16.42578125" hidden="1" customWidth="1"/>
    <col min="3" max="3" width="56.140625" customWidth="1"/>
    <col min="4" max="4" width="40.140625" style="77" customWidth="1"/>
    <col min="5" max="6" width="4.42578125" hidden="1" customWidth="1"/>
    <col min="7" max="7" width="51" customWidth="1"/>
    <col min="8" max="8" width="48.42578125" customWidth="1"/>
    <col min="9" max="9" width="35.140625" customWidth="1"/>
    <col min="10" max="10" width="16" customWidth="1"/>
    <col min="11" max="11" width="9.42578125" customWidth="1"/>
    <col min="12" max="14" width="17.85546875" customWidth="1"/>
    <col min="15" max="15" width="16.5703125" style="72" customWidth="1"/>
    <col min="16" max="27" width="7.85546875" hidden="1" customWidth="1" outlineLevel="1"/>
    <col min="28" max="28" width="11.42578125" style="67" hidden="1" customWidth="1"/>
    <col min="29" max="29" width="31.42578125" hidden="1" customWidth="1"/>
    <col min="30" max="30" width="11.42578125" hidden="1" customWidth="1"/>
    <col min="31" max="31" width="16.42578125" customWidth="1"/>
    <col min="32" max="32" width="19.140625" customWidth="1"/>
    <col min="33" max="33" width="14.140625" customWidth="1"/>
    <col min="34" max="35" width="16.140625" customWidth="1"/>
    <col min="36" max="37" width="13.85546875" customWidth="1"/>
    <col min="38" max="38" width="88.140625" customWidth="1"/>
    <col min="39" max="39" width="34.85546875" customWidth="1"/>
    <col min="40" max="40" width="13.140625" hidden="1" customWidth="1"/>
    <col min="41" max="41" width="27.140625" bestFit="1" customWidth="1"/>
    <col min="50" max="50" width="7" bestFit="1" customWidth="1"/>
    <col min="51" max="51" width="8.85546875" bestFit="1" customWidth="1"/>
    <col min="52" max="52" width="7.42578125" bestFit="1" customWidth="1"/>
    <col min="53" max="53" width="6" bestFit="1" customWidth="1"/>
    <col min="54" max="55" width="6.42578125" bestFit="1" customWidth="1"/>
    <col min="56" max="56" width="5.85546875" bestFit="1" customWidth="1"/>
    <col min="57" max="57" width="8.42578125" bestFit="1" customWidth="1"/>
    <col min="58" max="58" width="11.85546875" customWidth="1"/>
    <col min="59" max="59" width="9.140625" bestFit="1" customWidth="1"/>
    <col min="60" max="60" width="11.85546875" customWidth="1"/>
    <col min="61" max="61" width="10.42578125" bestFit="1" customWidth="1"/>
    <col min="75" max="80" width="9.42578125" customWidth="1"/>
  </cols>
  <sheetData>
    <row r="1" spans="1:64" ht="15" customHeight="1">
      <c r="A1" s="1190" t="s">
        <v>47</v>
      </c>
      <c r="B1" s="1190"/>
      <c r="C1" s="1191"/>
      <c r="D1" s="1192" t="s">
        <v>56</v>
      </c>
      <c r="E1" s="1193"/>
      <c r="F1" s="1193"/>
      <c r="G1" s="1193"/>
      <c r="H1" s="1193"/>
      <c r="I1" s="1193"/>
      <c r="J1" s="1193"/>
      <c r="K1" s="1193"/>
      <c r="L1" s="1193"/>
      <c r="M1" s="1193"/>
      <c r="N1" s="1193"/>
      <c r="O1" s="1193"/>
      <c r="P1" s="1193"/>
      <c r="Q1" s="1193"/>
      <c r="R1" s="1193"/>
      <c r="S1" s="1193"/>
      <c r="T1" s="1193"/>
      <c r="U1" s="1193"/>
      <c r="V1" s="1193"/>
      <c r="W1" s="1193"/>
      <c r="X1" s="1193"/>
      <c r="Y1" s="1193"/>
      <c r="Z1" s="1193"/>
      <c r="AA1" s="1193"/>
      <c r="AB1" s="1193"/>
      <c r="AC1" s="1193"/>
      <c r="AD1" s="1193"/>
      <c r="AE1" s="1194"/>
      <c r="AF1" s="1206" t="s">
        <v>31</v>
      </c>
      <c r="AG1" s="1206"/>
    </row>
    <row r="2" spans="1:64" ht="15" customHeight="1">
      <c r="A2" s="1191"/>
      <c r="B2" s="1191"/>
      <c r="C2" s="1191"/>
      <c r="D2" s="1195"/>
      <c r="E2" s="1196"/>
      <c r="F2" s="1196"/>
      <c r="G2" s="1196"/>
      <c r="H2" s="1196"/>
      <c r="I2" s="1196"/>
      <c r="J2" s="1196"/>
      <c r="K2" s="1196"/>
      <c r="L2" s="1196"/>
      <c r="M2" s="1196"/>
      <c r="N2" s="1196"/>
      <c r="O2" s="1196"/>
      <c r="P2" s="1196"/>
      <c r="Q2" s="1196"/>
      <c r="R2" s="1196"/>
      <c r="S2" s="1196"/>
      <c r="T2" s="1196"/>
      <c r="U2" s="1196"/>
      <c r="V2" s="1196"/>
      <c r="W2" s="1196"/>
      <c r="X2" s="1196"/>
      <c r="Y2" s="1196"/>
      <c r="Z2" s="1196"/>
      <c r="AA2" s="1196"/>
      <c r="AB2" s="1196"/>
      <c r="AC2" s="1196"/>
      <c r="AD2" s="1196"/>
      <c r="AE2" s="1197"/>
      <c r="AF2" s="1206"/>
      <c r="AG2" s="1206"/>
    </row>
    <row r="3" spans="1:64" ht="15" customHeight="1">
      <c r="A3" s="1191"/>
      <c r="B3" s="1191"/>
      <c r="C3" s="1191"/>
      <c r="D3" s="1198"/>
      <c r="E3" s="1199"/>
      <c r="F3" s="1199"/>
      <c r="G3" s="1199"/>
      <c r="H3" s="1199"/>
      <c r="I3" s="1199"/>
      <c r="J3" s="1199"/>
      <c r="K3" s="1199"/>
      <c r="L3" s="1199"/>
      <c r="M3" s="1199"/>
      <c r="N3" s="1199"/>
      <c r="O3" s="1199"/>
      <c r="P3" s="1199"/>
      <c r="Q3" s="1199"/>
      <c r="R3" s="1199"/>
      <c r="S3" s="1199"/>
      <c r="T3" s="1199"/>
      <c r="U3" s="1199"/>
      <c r="V3" s="1199"/>
      <c r="W3" s="1199"/>
      <c r="X3" s="1199"/>
      <c r="Y3" s="1199"/>
      <c r="Z3" s="1199"/>
      <c r="AA3" s="1199"/>
      <c r="AB3" s="1199"/>
      <c r="AC3" s="1199"/>
      <c r="AD3" s="1199"/>
      <c r="AE3" s="1200"/>
      <c r="AF3" s="1206"/>
      <c r="AG3" s="1206"/>
    </row>
    <row r="4" spans="1:64" ht="15" customHeight="1">
      <c r="A4" s="1191"/>
      <c r="B4" s="1191"/>
      <c r="C4" s="1191"/>
      <c r="D4" s="1207" t="s">
        <v>44</v>
      </c>
      <c r="E4" s="1208"/>
      <c r="F4" s="1208"/>
      <c r="G4" s="1208"/>
      <c r="H4" s="1208"/>
      <c r="I4" s="1208"/>
      <c r="J4" s="1208"/>
      <c r="K4" s="1208"/>
      <c r="L4" s="1208"/>
      <c r="M4" s="1208"/>
      <c r="N4" s="1208"/>
      <c r="O4" s="1208"/>
      <c r="P4" s="1208"/>
      <c r="Q4" s="1208"/>
      <c r="R4" s="1208"/>
      <c r="S4" s="1208"/>
      <c r="T4" s="1208"/>
      <c r="U4" s="1208"/>
      <c r="V4" s="1208"/>
      <c r="W4" s="1208"/>
      <c r="X4" s="1208"/>
      <c r="Y4" s="1208"/>
      <c r="Z4" s="1208"/>
      <c r="AA4" s="1208"/>
      <c r="AB4" s="1208"/>
      <c r="AC4" s="1208"/>
      <c r="AD4" s="1208"/>
      <c r="AE4" s="1209"/>
      <c r="AF4" s="1213" t="s">
        <v>32</v>
      </c>
      <c r="AG4" s="1213"/>
      <c r="AW4" s="64"/>
      <c r="AX4" s="64"/>
      <c r="AY4" s="64"/>
      <c r="AZ4" s="64"/>
      <c r="BA4" s="64"/>
      <c r="BB4" s="64"/>
      <c r="BC4" s="64"/>
      <c r="BD4" s="64"/>
      <c r="BE4" s="64"/>
      <c r="BF4" s="64"/>
      <c r="BG4" s="64"/>
      <c r="BH4" s="64"/>
      <c r="BI4" s="64"/>
      <c r="BJ4" s="64"/>
      <c r="BK4" s="64"/>
      <c r="BL4" s="64"/>
    </row>
    <row r="5" spans="1:64" ht="15" customHeight="1">
      <c r="A5" s="1191"/>
      <c r="B5" s="1191"/>
      <c r="C5" s="1191"/>
      <c r="D5" s="1210"/>
      <c r="E5" s="1211"/>
      <c r="F5" s="1211"/>
      <c r="G5" s="1211"/>
      <c r="H5" s="1211"/>
      <c r="I5" s="1211"/>
      <c r="J5" s="1211"/>
      <c r="K5" s="1211"/>
      <c r="L5" s="1211"/>
      <c r="M5" s="1211"/>
      <c r="N5" s="1211"/>
      <c r="O5" s="1211"/>
      <c r="P5" s="1211"/>
      <c r="Q5" s="1211"/>
      <c r="R5" s="1211"/>
      <c r="S5" s="1211"/>
      <c r="T5" s="1211"/>
      <c r="U5" s="1211"/>
      <c r="V5" s="1211"/>
      <c r="W5" s="1211"/>
      <c r="X5" s="1211"/>
      <c r="Y5" s="1211"/>
      <c r="Z5" s="1211"/>
      <c r="AA5" s="1211"/>
      <c r="AB5" s="1211"/>
      <c r="AC5" s="1211"/>
      <c r="AD5" s="1211"/>
      <c r="AE5" s="1212"/>
      <c r="AF5" s="1214">
        <v>42731</v>
      </c>
      <c r="AG5" s="1214"/>
      <c r="AW5" s="64"/>
      <c r="AX5" s="64"/>
      <c r="AY5" s="64"/>
      <c r="AZ5" s="64"/>
      <c r="BA5" s="64"/>
      <c r="BB5" s="64"/>
      <c r="BC5" s="64"/>
      <c r="BD5" s="64"/>
      <c r="BE5" s="64"/>
      <c r="BF5" s="64"/>
      <c r="BG5" s="64"/>
      <c r="BH5" s="64"/>
      <c r="BI5" s="64"/>
      <c r="BJ5" s="64"/>
      <c r="BK5" s="64"/>
      <c r="BL5" s="64"/>
    </row>
    <row r="6" spans="1:64" ht="15.75" thickBot="1">
      <c r="J6">
        <v>400</v>
      </c>
      <c r="K6">
        <v>0.3</v>
      </c>
      <c r="L6">
        <f>+K6*J6</f>
        <v>120</v>
      </c>
      <c r="M6">
        <v>285</v>
      </c>
      <c r="N6">
        <f>+M6/J6</f>
        <v>0.71250000000000002</v>
      </c>
      <c r="O6" s="72">
        <v>100</v>
      </c>
      <c r="AE6">
        <f>+O6/J6</f>
        <v>0.25</v>
      </c>
      <c r="AF6">
        <v>50</v>
      </c>
      <c r="AG6">
        <f>+AF6/J6</f>
        <v>0.125</v>
      </c>
      <c r="AH6">
        <f>0.9*400</f>
        <v>360</v>
      </c>
      <c r="AW6" s="64"/>
      <c r="AX6" s="64"/>
      <c r="AY6" s="64"/>
      <c r="AZ6" s="64"/>
      <c r="BA6" s="64"/>
      <c r="BB6" s="64"/>
      <c r="BC6" s="64"/>
      <c r="BD6" s="64"/>
      <c r="BE6" s="64"/>
      <c r="BF6" s="64"/>
      <c r="BG6" s="64"/>
      <c r="BH6" s="64"/>
      <c r="BI6" s="64"/>
      <c r="BJ6" s="64"/>
      <c r="BK6" s="64"/>
      <c r="BL6" s="64"/>
    </row>
    <row r="7" spans="1:64" ht="105.75" thickBot="1">
      <c r="A7" s="266" t="s">
        <v>1</v>
      </c>
      <c r="B7" s="267"/>
      <c r="C7" s="267" t="s">
        <v>2</v>
      </c>
      <c r="D7" s="267" t="s">
        <v>50</v>
      </c>
      <c r="E7" s="267" t="s">
        <v>57</v>
      </c>
      <c r="F7" s="267" t="s">
        <v>58</v>
      </c>
      <c r="G7" s="267" t="s">
        <v>3</v>
      </c>
      <c r="H7" s="267" t="s">
        <v>62</v>
      </c>
      <c r="I7" s="267" t="s">
        <v>214</v>
      </c>
      <c r="J7" s="267" t="s">
        <v>5</v>
      </c>
      <c r="K7" s="267" t="s">
        <v>6</v>
      </c>
      <c r="L7" s="267" t="s">
        <v>374</v>
      </c>
      <c r="M7" s="267" t="s">
        <v>375</v>
      </c>
      <c r="N7" s="267" t="s">
        <v>390</v>
      </c>
      <c r="O7" s="267" t="s">
        <v>4</v>
      </c>
      <c r="P7" s="268">
        <v>42736</v>
      </c>
      <c r="Q7" s="268">
        <v>42767</v>
      </c>
      <c r="R7" s="268">
        <v>42795</v>
      </c>
      <c r="S7" s="268">
        <v>42826</v>
      </c>
      <c r="T7" s="268">
        <v>42856</v>
      </c>
      <c r="U7" s="268">
        <v>42887</v>
      </c>
      <c r="V7" s="268">
        <v>42917</v>
      </c>
      <c r="W7" s="268">
        <v>42948</v>
      </c>
      <c r="X7" s="268">
        <v>42979</v>
      </c>
      <c r="Y7" s="268">
        <v>43009</v>
      </c>
      <c r="Z7" s="268">
        <v>43040</v>
      </c>
      <c r="AA7" s="268">
        <v>43070</v>
      </c>
      <c r="AB7" s="267" t="s">
        <v>10</v>
      </c>
      <c r="AC7" s="267" t="s">
        <v>54</v>
      </c>
      <c r="AD7" s="267" t="s">
        <v>60</v>
      </c>
      <c r="AE7" s="267" t="s">
        <v>9</v>
      </c>
      <c r="AF7" s="269" t="s">
        <v>11</v>
      </c>
      <c r="AG7" s="269" t="s">
        <v>12</v>
      </c>
      <c r="AH7" s="269" t="s">
        <v>55</v>
      </c>
      <c r="AI7" s="270" t="s">
        <v>335</v>
      </c>
      <c r="AJ7" s="270" t="s">
        <v>337</v>
      </c>
      <c r="AK7" s="535" t="s">
        <v>400</v>
      </c>
      <c r="AL7" s="271" t="s">
        <v>163</v>
      </c>
      <c r="AM7" s="477" t="s">
        <v>7</v>
      </c>
      <c r="AN7" s="242" t="s">
        <v>8</v>
      </c>
      <c r="AV7" s="64"/>
      <c r="AW7" s="65"/>
      <c r="AX7" s="65"/>
      <c r="AY7" s="65"/>
      <c r="AZ7" s="65"/>
      <c r="BA7" s="65"/>
      <c r="BB7" s="65"/>
      <c r="BC7" s="65"/>
      <c r="BD7" s="65"/>
      <c r="BE7" s="65"/>
      <c r="BF7" s="65"/>
      <c r="BG7" s="65"/>
      <c r="BH7" s="65"/>
      <c r="BI7" s="65"/>
      <c r="BJ7" s="64"/>
      <c r="BK7" s="64"/>
    </row>
    <row r="8" spans="1:64" ht="36.75" hidden="1" customHeight="1">
      <c r="A8" s="1215" t="s">
        <v>215</v>
      </c>
      <c r="B8" s="272">
        <v>1</v>
      </c>
      <c r="C8" s="273" t="s">
        <v>116</v>
      </c>
      <c r="D8" s="274" t="s">
        <v>112</v>
      </c>
      <c r="E8" s="275"/>
      <c r="F8" s="276"/>
      <c r="G8" s="273" t="s">
        <v>216</v>
      </c>
      <c r="H8" s="273" t="s">
        <v>217</v>
      </c>
      <c r="I8" s="277">
        <v>0.1111111111111111</v>
      </c>
      <c r="J8" s="278" t="s">
        <v>144</v>
      </c>
      <c r="K8" s="279" t="s">
        <v>115</v>
      </c>
      <c r="L8" s="279"/>
      <c r="M8" s="279"/>
      <c r="N8" s="279"/>
      <c r="O8" s="280">
        <v>0.1111111111111111</v>
      </c>
      <c r="P8" s="281"/>
      <c r="Q8" s="281"/>
      <c r="R8" s="281"/>
      <c r="S8" s="281"/>
      <c r="T8" s="281"/>
      <c r="U8" s="281"/>
      <c r="V8" s="281"/>
      <c r="W8" s="281"/>
      <c r="X8" s="281"/>
      <c r="Y8" s="281"/>
      <c r="Z8" s="281"/>
      <c r="AA8" s="281"/>
      <c r="AB8" s="282" t="e">
        <f>LOOKUP(1000000000,P8:AA8)</f>
        <v>#N/A</v>
      </c>
      <c r="AC8" s="283"/>
      <c r="AD8" s="281" t="e">
        <f t="shared" ref="AD8:AD27" si="0">+IF(SLOPE(P8:AA8,$P$7:$AA$7)&gt;0,"Al alza",IF(SLOPE(P8:AA8,$P$7:$AA$7)&lt;0,"A la baja","Sin cambio"))</f>
        <v>#DIV/0!</v>
      </c>
      <c r="AE8" s="284" t="s">
        <v>13</v>
      </c>
      <c r="AF8" s="285">
        <v>9.6100000000000005E-3</v>
      </c>
      <c r="AG8" s="286" t="str">
        <f>IF($K$8="Sube",IF(ISERROR(AB8/$O$8)=TRUE,"",IF(AB8&gt;$O$8,AF8,AB8/$O$8*AF8)),IF(ISERROR($O$8/AB8)=TRUE,"",IF($O$8&lt;AB8,$O$8/AB8*AF8,AF8)))</f>
        <v/>
      </c>
      <c r="AH8" s="287" t="str">
        <f>IF($K$8="Sube",IF(ISERROR(AB8/$O$8)=TRUE,"",IF(AB8&gt;=$O$8,1,0)),IF(ISERROR($O$8/AB8)=TRUE,"",IF($O$8&lt;AB8,0,1)))</f>
        <v/>
      </c>
      <c r="AI8" s="288"/>
      <c r="AJ8" s="289"/>
      <c r="AK8" s="478"/>
      <c r="AL8" s="478"/>
      <c r="AM8" s="195"/>
      <c r="AN8" s="137"/>
      <c r="AV8" s="64"/>
      <c r="AW8" s="63"/>
      <c r="AX8" s="63"/>
      <c r="AY8" s="63"/>
      <c r="AZ8" s="63"/>
      <c r="BA8" s="63"/>
      <c r="BB8" s="63"/>
      <c r="BC8" s="63"/>
      <c r="BD8" s="63"/>
      <c r="BE8" s="63"/>
      <c r="BF8" s="63"/>
      <c r="BG8" s="63"/>
      <c r="BH8" s="63"/>
      <c r="BI8" s="64"/>
      <c r="BJ8" s="64"/>
      <c r="BK8" s="64"/>
    </row>
    <row r="9" spans="1:64" ht="41.25" hidden="1" thickBot="1">
      <c r="A9" s="1188"/>
      <c r="B9" s="290">
        <v>2</v>
      </c>
      <c r="C9" s="291" t="s">
        <v>218</v>
      </c>
      <c r="D9" s="292" t="s">
        <v>112</v>
      </c>
      <c r="E9" s="293"/>
      <c r="F9" s="294"/>
      <c r="G9" s="291" t="s">
        <v>219</v>
      </c>
      <c r="H9" s="291" t="s">
        <v>118</v>
      </c>
      <c r="I9" s="295" t="s">
        <v>294</v>
      </c>
      <c r="J9" s="296" t="s">
        <v>144</v>
      </c>
      <c r="K9" s="297"/>
      <c r="L9" s="297"/>
      <c r="M9" s="297"/>
      <c r="N9" s="297"/>
      <c r="O9" s="298">
        <f>+(9.9925/9.9204)-1</f>
        <v>7.2678521027376153E-3</v>
      </c>
      <c r="P9" s="299"/>
      <c r="Q9" s="299"/>
      <c r="R9" s="299"/>
      <c r="S9" s="299"/>
      <c r="T9" s="299"/>
      <c r="U9" s="299"/>
      <c r="V9" s="299"/>
      <c r="W9" s="299"/>
      <c r="X9" s="299"/>
      <c r="Y9" s="299"/>
      <c r="Z9" s="299"/>
      <c r="AA9" s="299"/>
      <c r="AB9" s="300" t="e">
        <f>LOOKUP(1000000000,P9:AA9)</f>
        <v>#N/A</v>
      </c>
      <c r="AC9" s="301"/>
      <c r="AD9" s="299" t="e">
        <f t="shared" si="0"/>
        <v>#DIV/0!</v>
      </c>
      <c r="AE9" s="302" t="s">
        <v>13</v>
      </c>
      <c r="AF9" s="303">
        <v>9.6100000000000005E-3</v>
      </c>
      <c r="AG9" s="304" t="str">
        <f>IF($K$9="Sube",IF(ISERROR(AB9/$O$9)=TRUE,"",IF(AB9&gt;$O$9,AF9,AB9/$O$9*AF9)),IF(ISERROR($O$9/AB9)=TRUE,"",IF($O$9&lt;AB9,$O$9/AB9*AF9,AF9)))</f>
        <v/>
      </c>
      <c r="AH9" s="305" t="str">
        <f>IF($K$9="Sube",IF(ISERROR(AB9/$O$9)=TRUE,"",IF(AB9&gt;=$O$9,1,0)),IF(ISERROR($O$9/AB9)=TRUE,"",IF($O$9&lt;AB9,0,1)))</f>
        <v/>
      </c>
      <c r="AI9" s="306"/>
      <c r="AJ9" s="307"/>
      <c r="AK9" s="479"/>
      <c r="AL9" s="479"/>
      <c r="AM9" s="243"/>
      <c r="AN9" s="138"/>
      <c r="AV9" s="64"/>
      <c r="AW9" s="63"/>
      <c r="AX9" s="63"/>
      <c r="AY9" s="63"/>
      <c r="AZ9" s="63"/>
      <c r="BA9" s="63"/>
      <c r="BB9" s="63"/>
      <c r="BC9" s="63"/>
      <c r="BD9" s="63"/>
      <c r="BE9" s="63"/>
      <c r="BF9" s="63"/>
      <c r="BG9" s="63"/>
      <c r="BH9" s="63"/>
      <c r="BI9" s="64"/>
      <c r="BJ9" s="64"/>
      <c r="BK9" s="64"/>
    </row>
    <row r="10" spans="1:64" ht="61.5" hidden="1" thickBot="1">
      <c r="A10" s="1188"/>
      <c r="B10" s="290">
        <v>3</v>
      </c>
      <c r="C10" s="291" t="s">
        <v>117</v>
      </c>
      <c r="D10" s="292" t="s">
        <v>112</v>
      </c>
      <c r="E10" s="293"/>
      <c r="F10" s="294"/>
      <c r="G10" s="291" t="s">
        <v>220</v>
      </c>
      <c r="H10" s="291" t="s">
        <v>119</v>
      </c>
      <c r="I10" s="308" t="s">
        <v>221</v>
      </c>
      <c r="J10" s="309" t="s">
        <v>108</v>
      </c>
      <c r="K10" s="297"/>
      <c r="L10" s="297"/>
      <c r="M10" s="297"/>
      <c r="N10" s="297"/>
      <c r="O10" s="310" t="s">
        <v>331</v>
      </c>
      <c r="P10" s="299"/>
      <c r="Q10" s="299"/>
      <c r="R10" s="299"/>
      <c r="S10" s="299"/>
      <c r="T10" s="299"/>
      <c r="U10" s="299"/>
      <c r="V10" s="299"/>
      <c r="W10" s="299"/>
      <c r="X10" s="299"/>
      <c r="Y10" s="299"/>
      <c r="Z10" s="299"/>
      <c r="AA10" s="299"/>
      <c r="AB10" s="300" t="e">
        <f t="shared" ref="AB10:AB48" si="1">LOOKUP(1000000000,P10:AA10)</f>
        <v>#N/A</v>
      </c>
      <c r="AC10" s="301"/>
      <c r="AD10" s="299" t="e">
        <f t="shared" si="0"/>
        <v>#DIV/0!</v>
      </c>
      <c r="AE10" s="302" t="s">
        <v>13</v>
      </c>
      <c r="AF10" s="303">
        <v>9.6100000000000005E-3</v>
      </c>
      <c r="AG10" s="304" t="str">
        <f>IF($K$10="Sube",IF(ISERROR(AB10/$O$10)=TRUE,"",IF(AB10&gt;$O$10,AF10,AB10/$O$10*AF10)),IF(ISERROR($O$10/AB10)=TRUE,"",IF($O$10&lt;AB10,$O$10/AB10*AF10,AF10)))</f>
        <v/>
      </c>
      <c r="AH10" s="305" t="str">
        <f>IF($K$10="Sube",IF(ISERROR(AB10/$O$10)=TRUE,"",IF(AB10&gt;=$O$10,1,0)),IF(ISERROR($O$10/AB10)=TRUE,"",IF($O$10&lt;AB10,0,1)))</f>
        <v/>
      </c>
      <c r="AI10" s="306"/>
      <c r="AJ10" s="307"/>
      <c r="AK10" s="479"/>
      <c r="AL10" s="479"/>
      <c r="AM10" s="243"/>
      <c r="AN10" s="138"/>
      <c r="AV10" s="64"/>
      <c r="AW10" s="63"/>
      <c r="AX10" s="63"/>
      <c r="AY10" s="63"/>
      <c r="AZ10" s="63"/>
      <c r="BA10" s="63"/>
      <c r="BB10" s="63"/>
      <c r="BC10" s="63"/>
      <c r="BD10" s="63"/>
      <c r="BE10" s="63"/>
      <c r="BF10" s="63"/>
      <c r="BG10" s="63"/>
      <c r="BH10" s="63"/>
      <c r="BI10" s="64"/>
      <c r="BJ10" s="64"/>
      <c r="BK10" s="64"/>
    </row>
    <row r="11" spans="1:64" ht="41.25" hidden="1" thickBot="1">
      <c r="A11" s="1188"/>
      <c r="B11" s="290"/>
      <c r="C11" s="291" t="s">
        <v>329</v>
      </c>
      <c r="D11" s="292" t="s">
        <v>121</v>
      </c>
      <c r="E11" s="295"/>
      <c r="F11" s="311"/>
      <c r="G11" s="291" t="s">
        <v>222</v>
      </c>
      <c r="H11" s="291" t="s">
        <v>223</v>
      </c>
      <c r="I11" s="312">
        <v>0.94169999999999998</v>
      </c>
      <c r="J11" s="309" t="s">
        <v>224</v>
      </c>
      <c r="K11" s="297"/>
      <c r="L11" s="297"/>
      <c r="M11" s="297"/>
      <c r="N11" s="297"/>
      <c r="O11" s="310">
        <v>1</v>
      </c>
      <c r="P11" s="299"/>
      <c r="Q11" s="299"/>
      <c r="R11" s="299"/>
      <c r="S11" s="299"/>
      <c r="T11" s="299"/>
      <c r="U11" s="299"/>
      <c r="V11" s="299"/>
      <c r="W11" s="299"/>
      <c r="X11" s="299"/>
      <c r="Y11" s="299"/>
      <c r="Z11" s="299"/>
      <c r="AA11" s="299"/>
      <c r="AB11" s="300" t="e">
        <f t="shared" si="1"/>
        <v>#N/A</v>
      </c>
      <c r="AC11" s="301"/>
      <c r="AD11" s="299" t="e">
        <f t="shared" si="0"/>
        <v>#DIV/0!</v>
      </c>
      <c r="AE11" s="302" t="s">
        <v>13</v>
      </c>
      <c r="AF11" s="303">
        <v>9.6100000000000005E-3</v>
      </c>
      <c r="AG11" s="304" t="str">
        <f>IF($K$11="Sube",IF(ISERROR(AB11/$O$11)=TRUE,"",IF(AB11&gt;$O$11,AF11,AB11/$O$11*AF11)),IF(ISERROR($O$11/AB11)=TRUE,"",IF($O$11&lt;AB11,$O$11/AB11*AF11,AF11)))</f>
        <v/>
      </c>
      <c r="AH11" s="305" t="str">
        <f>IF($K$11="Sube",IF(ISERROR(AB11/$O$11)=TRUE,"",IF(AB11&gt;=$O$11,1,0)),IF(ISERROR($O$11/AB11)=TRUE,"",IF($O$11&lt;AB11,0,1)))</f>
        <v/>
      </c>
      <c r="AI11" s="306"/>
      <c r="AJ11" s="313">
        <v>0.96</v>
      </c>
      <c r="AK11" s="536"/>
      <c r="AL11" s="480" t="s">
        <v>365</v>
      </c>
      <c r="AM11" s="249" t="s">
        <v>334</v>
      </c>
      <c r="AN11" s="138"/>
      <c r="AV11" s="64"/>
      <c r="AW11" s="63"/>
      <c r="AX11" s="63"/>
      <c r="AY11" s="63"/>
      <c r="AZ11" s="63"/>
      <c r="BA11" s="63"/>
      <c r="BB11" s="63"/>
      <c r="BC11" s="63"/>
      <c r="BD11" s="63"/>
      <c r="BE11" s="63"/>
      <c r="BF11" s="63"/>
      <c r="BG11" s="63"/>
      <c r="BH11" s="63"/>
      <c r="BI11" s="64"/>
      <c r="BJ11" s="64"/>
      <c r="BK11" s="64"/>
    </row>
    <row r="12" spans="1:64" s="191" customFormat="1" ht="102" hidden="1" thickBot="1">
      <c r="A12" s="1189"/>
      <c r="B12" s="314"/>
      <c r="C12" s="315" t="s">
        <v>225</v>
      </c>
      <c r="D12" s="316" t="s">
        <v>121</v>
      </c>
      <c r="E12" s="315"/>
      <c r="F12" s="315"/>
      <c r="G12" s="317" t="s">
        <v>226</v>
      </c>
      <c r="H12" s="317" t="s">
        <v>227</v>
      </c>
      <c r="I12" s="318">
        <v>0.97</v>
      </c>
      <c r="J12" s="319" t="s">
        <v>228</v>
      </c>
      <c r="K12" s="320"/>
      <c r="L12" s="320"/>
      <c r="M12" s="320"/>
      <c r="N12" s="320"/>
      <c r="O12" s="321">
        <v>0.98</v>
      </c>
      <c r="P12" s="322"/>
      <c r="Q12" s="322"/>
      <c r="R12" s="322"/>
      <c r="S12" s="322"/>
      <c r="T12" s="322"/>
      <c r="U12" s="322"/>
      <c r="V12" s="322"/>
      <c r="W12" s="322"/>
      <c r="X12" s="322"/>
      <c r="Y12" s="322"/>
      <c r="Z12" s="322"/>
      <c r="AA12" s="322"/>
      <c r="AB12" s="323" t="e">
        <f t="shared" si="1"/>
        <v>#N/A</v>
      </c>
      <c r="AC12" s="324"/>
      <c r="AD12" s="322" t="e">
        <f t="shared" si="0"/>
        <v>#DIV/0!</v>
      </c>
      <c r="AE12" s="325" t="s">
        <v>13</v>
      </c>
      <c r="AF12" s="326">
        <v>9.6100000000000005E-3</v>
      </c>
      <c r="AG12" s="327" t="str">
        <f>IF($K$12="Sube",IF(ISERROR(AB12/$O$12)=TRUE,"",IF(AB12&gt;$O$12,AF12,AB12/$O$12*AF12)),IF(ISERROR($O$12/AB12)=TRUE,"",IF($O$12&lt;AB12,$O$12/AB12*AF12,AF12)))</f>
        <v/>
      </c>
      <c r="AH12" s="328" t="str">
        <f>IF($K$12="Sube",IF(ISERROR(AB12/$O$12)=TRUE,"",IF(AB12&gt;=$O$12,1,0)),IF(ISERROR($O$12/AB12)=TRUE,"",IF($O$12&lt;AB12,0,1)))</f>
        <v/>
      </c>
      <c r="AI12" s="329"/>
      <c r="AJ12" s="330"/>
      <c r="AK12" s="481"/>
      <c r="AL12" s="481"/>
      <c r="AM12" s="244"/>
      <c r="AN12" s="194"/>
      <c r="AV12" s="192"/>
      <c r="AW12" s="193"/>
      <c r="AX12" s="193"/>
      <c r="AY12" s="193"/>
      <c r="AZ12" s="193"/>
      <c r="BA12" s="193"/>
      <c r="BB12" s="193"/>
      <c r="BC12" s="193"/>
      <c r="BD12" s="193"/>
      <c r="BE12" s="193"/>
      <c r="BF12" s="193"/>
      <c r="BG12" s="193"/>
      <c r="BH12" s="193"/>
      <c r="BI12" s="192"/>
      <c r="BJ12" s="192"/>
      <c r="BK12" s="192"/>
    </row>
    <row r="13" spans="1:64" ht="61.5" hidden="1" thickBot="1">
      <c r="A13" s="1219" t="s">
        <v>72</v>
      </c>
      <c r="B13" s="290">
        <v>5</v>
      </c>
      <c r="C13" s="292" t="s">
        <v>296</v>
      </c>
      <c r="D13" s="292" t="s">
        <v>113</v>
      </c>
      <c r="E13" s="331"/>
      <c r="F13" s="331"/>
      <c r="G13" s="292" t="s">
        <v>297</v>
      </c>
      <c r="H13" s="292" t="s">
        <v>298</v>
      </c>
      <c r="I13" s="332" t="s">
        <v>295</v>
      </c>
      <c r="J13" s="309" t="s">
        <v>143</v>
      </c>
      <c r="K13" s="297" t="s">
        <v>100</v>
      </c>
      <c r="L13" s="297"/>
      <c r="M13" s="297"/>
      <c r="N13" s="297"/>
      <c r="O13" s="310"/>
      <c r="P13" s="299"/>
      <c r="Q13" s="299"/>
      <c r="R13" s="299"/>
      <c r="S13" s="299"/>
      <c r="T13" s="299"/>
      <c r="U13" s="299"/>
      <c r="V13" s="299"/>
      <c r="W13" s="299"/>
      <c r="X13" s="299"/>
      <c r="Y13" s="299"/>
      <c r="Z13" s="299"/>
      <c r="AA13" s="299"/>
      <c r="AB13" s="300" t="e">
        <f t="shared" si="1"/>
        <v>#N/A</v>
      </c>
      <c r="AC13" s="301"/>
      <c r="AD13" s="299" t="e">
        <f t="shared" si="0"/>
        <v>#DIV/0!</v>
      </c>
      <c r="AE13" s="302" t="s">
        <v>13</v>
      </c>
      <c r="AF13" s="333">
        <v>9.6100000000000005E-3</v>
      </c>
      <c r="AG13" s="304" t="str">
        <f>IF($K$13="Sube",IF(ISERROR(AB13/$O$13)=TRUE,"",IF(AB13&gt;$O$13,AF13,AB13/$O$13*AF13)),IF(ISERROR($O$13/AB13)=TRUE,"",IF($O$13&lt;AB13,$O$13/AB13*AF13,AF13)))</f>
        <v/>
      </c>
      <c r="AH13" s="305" t="str">
        <f>IF($K$13="Sube",IF(ISERROR(AB13/$O$13)=TRUE,"",IF(AB13&gt;=$O$13,1,0)),IF(ISERROR($O$13/AB13)=TRUE,"",IF($O$13&lt;AB13,0,1)))</f>
        <v/>
      </c>
      <c r="AI13" s="306"/>
      <c r="AJ13" s="307"/>
      <c r="AK13" s="479"/>
      <c r="AL13" s="479"/>
      <c r="AM13" s="243"/>
      <c r="AN13" s="138"/>
      <c r="AV13" s="64"/>
      <c r="AW13" s="63"/>
      <c r="AX13" s="63"/>
      <c r="AY13" s="63"/>
      <c r="AZ13" s="63"/>
      <c r="BA13" s="63"/>
      <c r="BB13" s="63"/>
      <c r="BC13" s="63"/>
      <c r="BD13" s="63"/>
      <c r="BE13" s="63"/>
      <c r="BF13" s="63"/>
      <c r="BG13" s="63"/>
      <c r="BH13" s="63"/>
      <c r="BI13" s="64"/>
      <c r="BJ13" s="64"/>
      <c r="BK13" s="64"/>
    </row>
    <row r="14" spans="1:64" ht="66.75" hidden="1" customHeight="1" thickBot="1">
      <c r="A14" s="1220"/>
      <c r="B14" s="290">
        <v>6</v>
      </c>
      <c r="C14" s="292" t="s">
        <v>229</v>
      </c>
      <c r="D14" s="292" t="s">
        <v>121</v>
      </c>
      <c r="E14" s="331"/>
      <c r="F14" s="331"/>
      <c r="G14" s="292" t="s">
        <v>366</v>
      </c>
      <c r="H14" s="292" t="s">
        <v>230</v>
      </c>
      <c r="I14" s="332" t="s">
        <v>295</v>
      </c>
      <c r="J14" s="309" t="s">
        <v>143</v>
      </c>
      <c r="K14" s="297" t="s">
        <v>100</v>
      </c>
      <c r="L14" s="297"/>
      <c r="M14" s="297"/>
      <c r="N14" s="297"/>
      <c r="O14" s="310"/>
      <c r="P14" s="299"/>
      <c r="Q14" s="299"/>
      <c r="R14" s="299"/>
      <c r="S14" s="299"/>
      <c r="T14" s="299"/>
      <c r="U14" s="299"/>
      <c r="V14" s="299"/>
      <c r="W14" s="299"/>
      <c r="X14" s="299"/>
      <c r="Y14" s="299"/>
      <c r="Z14" s="299"/>
      <c r="AA14" s="299"/>
      <c r="AB14" s="300" t="e">
        <f t="shared" si="1"/>
        <v>#N/A</v>
      </c>
      <c r="AC14" s="301"/>
      <c r="AD14" s="299" t="e">
        <f t="shared" si="0"/>
        <v>#DIV/0!</v>
      </c>
      <c r="AE14" s="302" t="s">
        <v>13</v>
      </c>
      <c r="AF14" s="333">
        <v>9.6100000000000005E-3</v>
      </c>
      <c r="AG14" s="304" t="str">
        <f>IF($K$14="Sube",IF(ISERROR(AB14/$O$14)=TRUE,"",IF(AB14&gt;$O$14,AF14,AB14/$O$14*AF14)),IF(ISERROR($O$14/AB14)=TRUE,"",IF($O$14&lt;AB14,$O$14/AB14*AF14,AF14)))</f>
        <v/>
      </c>
      <c r="AH14" s="305" t="str">
        <f>IF($K$14="Sube",IF(ISERROR(AB14/$O$14)=TRUE,"",IF(AB14&gt;=$O$14,1,0)),IF(ISERROR($O$14/AB14)=TRUE,"",IF($O$14&lt;AB14,0,1)))</f>
        <v/>
      </c>
      <c r="AI14" s="306"/>
      <c r="AJ14" s="307"/>
      <c r="AK14" s="479"/>
      <c r="AL14" s="479"/>
      <c r="AM14" s="243"/>
      <c r="AN14" s="138"/>
      <c r="AV14" s="64"/>
      <c r="AW14" s="63"/>
      <c r="AX14" s="63"/>
      <c r="AY14" s="63"/>
      <c r="AZ14" s="63"/>
      <c r="BA14" s="63"/>
      <c r="BB14" s="63"/>
      <c r="BC14" s="63"/>
      <c r="BD14" s="63"/>
      <c r="BE14" s="63"/>
      <c r="BF14" s="63"/>
      <c r="BG14" s="63"/>
      <c r="BH14" s="63"/>
      <c r="BI14" s="64"/>
      <c r="BJ14" s="64"/>
      <c r="BK14" s="64"/>
    </row>
    <row r="15" spans="1:64" ht="66.75" hidden="1" customHeight="1" thickBot="1">
      <c r="A15" s="1220"/>
      <c r="B15" s="290"/>
      <c r="C15" s="334" t="s">
        <v>299</v>
      </c>
      <c r="D15" s="334" t="s">
        <v>113</v>
      </c>
      <c r="E15" s="335"/>
      <c r="F15" s="335"/>
      <c r="G15" s="334" t="s">
        <v>300</v>
      </c>
      <c r="H15" s="334" t="s">
        <v>301</v>
      </c>
      <c r="I15" s="332" t="s">
        <v>295</v>
      </c>
      <c r="J15" s="309" t="s">
        <v>143</v>
      </c>
      <c r="K15" s="336"/>
      <c r="L15" s="336"/>
      <c r="M15" s="336"/>
      <c r="N15" s="336"/>
      <c r="O15" s="337"/>
      <c r="P15" s="338"/>
      <c r="Q15" s="338"/>
      <c r="R15" s="338"/>
      <c r="S15" s="338"/>
      <c r="T15" s="338"/>
      <c r="U15" s="338"/>
      <c r="V15" s="338"/>
      <c r="W15" s="338"/>
      <c r="X15" s="338"/>
      <c r="Y15" s="338"/>
      <c r="Z15" s="338"/>
      <c r="AA15" s="338"/>
      <c r="AB15" s="339"/>
      <c r="AC15" s="340"/>
      <c r="AD15" s="338"/>
      <c r="AE15" s="341"/>
      <c r="AF15" s="342"/>
      <c r="AG15" s="343"/>
      <c r="AH15" s="344"/>
      <c r="AI15" s="345"/>
      <c r="AJ15" s="346"/>
      <c r="AK15" s="482"/>
      <c r="AL15" s="482"/>
      <c r="AM15" s="245"/>
      <c r="AN15" s="196"/>
      <c r="AV15" s="64"/>
      <c r="AW15" s="63"/>
      <c r="AX15" s="63"/>
      <c r="AY15" s="63"/>
      <c r="AZ15" s="63"/>
      <c r="BA15" s="63"/>
      <c r="BB15" s="63"/>
      <c r="BC15" s="63"/>
      <c r="BD15" s="63"/>
      <c r="BE15" s="63"/>
      <c r="BF15" s="63"/>
      <c r="BG15" s="63"/>
      <c r="BH15" s="63"/>
      <c r="BI15" s="64"/>
      <c r="BJ15" s="64"/>
      <c r="BK15" s="64"/>
    </row>
    <row r="16" spans="1:64" ht="61.5" hidden="1" thickBot="1">
      <c r="A16" s="1221"/>
      <c r="B16" s="347">
        <v>7</v>
      </c>
      <c r="C16" s="316" t="s">
        <v>120</v>
      </c>
      <c r="D16" s="316" t="s">
        <v>112</v>
      </c>
      <c r="E16" s="348"/>
      <c r="F16" s="348"/>
      <c r="G16" s="316" t="s">
        <v>178</v>
      </c>
      <c r="H16" s="316" t="s">
        <v>151</v>
      </c>
      <c r="I16" s="349">
        <f>44099470/60000000</f>
        <v>0.73499116666666664</v>
      </c>
      <c r="J16" s="319" t="s">
        <v>146</v>
      </c>
      <c r="K16" s="320" t="s">
        <v>100</v>
      </c>
      <c r="L16" s="320"/>
      <c r="M16" s="320"/>
      <c r="N16" s="320"/>
      <c r="O16" s="350">
        <v>0.8</v>
      </c>
      <c r="P16" s="351"/>
      <c r="Q16" s="351"/>
      <c r="R16" s="351"/>
      <c r="S16" s="351"/>
      <c r="T16" s="351"/>
      <c r="U16" s="351"/>
      <c r="V16" s="351"/>
      <c r="W16" s="351"/>
      <c r="X16" s="351"/>
      <c r="Y16" s="351"/>
      <c r="Z16" s="351"/>
      <c r="AA16" s="351"/>
      <c r="AB16" s="352" t="e">
        <f t="shared" si="1"/>
        <v>#N/A</v>
      </c>
      <c r="AC16" s="353"/>
      <c r="AD16" s="351" t="e">
        <f t="shared" si="0"/>
        <v>#DIV/0!</v>
      </c>
      <c r="AE16" s="325" t="s">
        <v>13</v>
      </c>
      <c r="AF16" s="354">
        <v>9.6100000000000005E-3</v>
      </c>
      <c r="AG16" s="355" t="str">
        <f>IF($K$16="Sube",IF(ISERROR(AB16/$O$16)=TRUE,"",IF(AB16&gt;$O$16,AF16,AB16/$O$16*AF16)),IF(ISERROR($O$16/AB16)=TRUE,"",IF($O$16&lt;AB16,$O$16/AB16*AF16,AF16)))</f>
        <v/>
      </c>
      <c r="AH16" s="356" t="str">
        <f>IF($K$16="Sube",IF(ISERROR(AB16/$O$16)=TRUE,"",IF(AB16&gt;=$O$16,1,0)),IF(ISERROR($O$16/AB16)=TRUE,"",IF($O$16&lt;AB16,0,1)))</f>
        <v/>
      </c>
      <c r="AI16" s="357"/>
      <c r="AJ16" s="358"/>
      <c r="AK16" s="483"/>
      <c r="AL16" s="483"/>
      <c r="AM16" s="197"/>
      <c r="AN16" s="151"/>
      <c r="AV16" s="64"/>
      <c r="AW16" s="63"/>
      <c r="AX16" s="63"/>
      <c r="AY16" s="63"/>
      <c r="AZ16" s="63"/>
      <c r="BA16" s="63"/>
      <c r="BB16" s="63"/>
      <c r="BC16" s="63"/>
      <c r="BD16" s="63"/>
      <c r="BE16" s="63"/>
      <c r="BF16" s="63"/>
      <c r="BG16" s="63"/>
      <c r="BH16" s="63"/>
      <c r="BI16" s="64"/>
      <c r="BJ16" s="64"/>
      <c r="BK16" s="64"/>
    </row>
    <row r="17" spans="1:63" ht="61.5" hidden="1" thickBot="1">
      <c r="A17" s="1216" t="s">
        <v>73</v>
      </c>
      <c r="B17" s="359">
        <v>8</v>
      </c>
      <c r="C17" s="274" t="s">
        <v>232</v>
      </c>
      <c r="D17" s="274" t="s">
        <v>121</v>
      </c>
      <c r="E17" s="360"/>
      <c r="F17" s="361"/>
      <c r="G17" s="274" t="s">
        <v>233</v>
      </c>
      <c r="H17" s="274" t="s">
        <v>234</v>
      </c>
      <c r="I17" s="362" t="s">
        <v>295</v>
      </c>
      <c r="J17" s="278" t="s">
        <v>144</v>
      </c>
      <c r="K17" s="279" t="s">
        <v>100</v>
      </c>
      <c r="L17" s="279"/>
      <c r="M17" s="279"/>
      <c r="N17" s="279"/>
      <c r="O17" s="280">
        <v>1</v>
      </c>
      <c r="P17" s="281"/>
      <c r="Q17" s="281"/>
      <c r="R17" s="281"/>
      <c r="S17" s="281"/>
      <c r="T17" s="281"/>
      <c r="U17" s="281"/>
      <c r="V17" s="281"/>
      <c r="W17" s="281"/>
      <c r="X17" s="281"/>
      <c r="Y17" s="281"/>
      <c r="Z17" s="281"/>
      <c r="AA17" s="281"/>
      <c r="AB17" s="282" t="e">
        <f t="shared" si="1"/>
        <v>#N/A</v>
      </c>
      <c r="AC17" s="283"/>
      <c r="AD17" s="281" t="e">
        <f t="shared" si="0"/>
        <v>#DIV/0!</v>
      </c>
      <c r="AE17" s="284" t="s">
        <v>13</v>
      </c>
      <c r="AF17" s="363">
        <v>9.6100000000000005E-3</v>
      </c>
      <c r="AG17" s="286" t="str">
        <f>IF($K$17="Sube",IF(ISERROR(AB17/$O$17)=TRUE,"",IF(AB17&gt;$O$17,AF17,AB17/$O$17*AF17)),IF(ISERROR($O$17/AB17)=TRUE,"",IF($O$17&lt;AB17,$O$17/AB17*AF17,AF17)))</f>
        <v/>
      </c>
      <c r="AH17" s="287" t="str">
        <f>IF($K$17="Sube",IF(ISERROR(AB17/$O$17)=TRUE,"",IF(AB17&gt;=$O$17,1,0)),IF(ISERROR($O$17/AB17)=TRUE,"",IF($O$17&lt;AB17,0,1)))</f>
        <v/>
      </c>
      <c r="AI17" s="288"/>
      <c r="AJ17" s="289"/>
      <c r="AK17" s="478"/>
      <c r="AL17" s="478"/>
      <c r="AM17" s="195"/>
      <c r="AN17" s="137"/>
      <c r="AO17" t="s">
        <v>313</v>
      </c>
      <c r="AV17" s="64"/>
      <c r="AW17" s="63"/>
      <c r="AX17" s="63"/>
      <c r="AY17" s="63"/>
      <c r="AZ17" s="63"/>
      <c r="BA17" s="63"/>
      <c r="BB17" s="63"/>
      <c r="BC17" s="63"/>
      <c r="BD17" s="63"/>
      <c r="BE17" s="63"/>
      <c r="BF17" s="63"/>
      <c r="BG17" s="63"/>
      <c r="BH17" s="63"/>
      <c r="BI17" s="64"/>
      <c r="BJ17" s="64"/>
      <c r="BK17" s="64"/>
    </row>
    <row r="18" spans="1:63" ht="92.25" hidden="1" thickBot="1">
      <c r="A18" s="1217"/>
      <c r="B18" s="364">
        <v>10</v>
      </c>
      <c r="C18" s="365" t="s">
        <v>235</v>
      </c>
      <c r="D18" s="292" t="s">
        <v>121</v>
      </c>
      <c r="E18" s="331"/>
      <c r="F18" s="366"/>
      <c r="G18" s="292" t="s">
        <v>317</v>
      </c>
      <c r="H18" s="292" t="s">
        <v>236</v>
      </c>
      <c r="I18" s="367" t="s">
        <v>295</v>
      </c>
      <c r="J18" s="309" t="s">
        <v>144</v>
      </c>
      <c r="K18" s="297" t="s">
        <v>100</v>
      </c>
      <c r="L18" s="297"/>
      <c r="M18" s="297"/>
      <c r="N18" s="297"/>
      <c r="O18" s="310">
        <v>1</v>
      </c>
      <c r="P18" s="299"/>
      <c r="Q18" s="299"/>
      <c r="R18" s="299"/>
      <c r="S18" s="299"/>
      <c r="T18" s="299"/>
      <c r="U18" s="299"/>
      <c r="V18" s="299"/>
      <c r="W18" s="299"/>
      <c r="X18" s="299"/>
      <c r="Y18" s="299"/>
      <c r="Z18" s="299"/>
      <c r="AA18" s="299"/>
      <c r="AB18" s="300" t="e">
        <f t="shared" si="1"/>
        <v>#N/A</v>
      </c>
      <c r="AC18" s="301"/>
      <c r="AD18" s="299" t="e">
        <f t="shared" si="0"/>
        <v>#DIV/0!</v>
      </c>
      <c r="AE18" s="302" t="s">
        <v>13</v>
      </c>
      <c r="AF18" s="333">
        <v>9.6100000000000005E-3</v>
      </c>
      <c r="AG18" s="304" t="str">
        <f>IF($K$18="Sube",IF(ISERROR(AB18/$O$18)=TRUE,"",IF(AB18&gt;$O$18,AF18,AB18/$O$18*AF18)),IF(ISERROR($O$18/AB18)=TRUE,"",IF($O$18&lt;AB18,$O$18/AB18*AF18,AF18)))</f>
        <v/>
      </c>
      <c r="AH18" s="305" t="str">
        <f>IF($K$18="Sube",IF(ISERROR(AB18/$O$18)=TRUE,"",IF(AB18&gt;=$O$18,1,0)),IF(ISERROR($O$18/AB18)=TRUE,"",IF($O$18&lt;AB18,0,1)))</f>
        <v/>
      </c>
      <c r="AI18" s="306"/>
      <c r="AJ18" s="307"/>
      <c r="AK18" s="479"/>
      <c r="AL18" s="479"/>
      <c r="AM18" s="243"/>
      <c r="AN18" s="138"/>
      <c r="AO18" s="198" t="s">
        <v>314</v>
      </c>
      <c r="AV18" s="64"/>
      <c r="AW18" s="63"/>
      <c r="AX18" s="63"/>
      <c r="AY18" s="63"/>
      <c r="AZ18" s="63"/>
      <c r="BA18" s="63"/>
      <c r="BB18" s="63"/>
      <c r="BC18" s="63"/>
      <c r="BD18" s="63"/>
      <c r="BE18" s="63"/>
      <c r="BF18" s="63"/>
      <c r="BG18" s="63"/>
      <c r="BH18" s="63"/>
      <c r="BI18" s="64"/>
      <c r="BJ18" s="64"/>
      <c r="BK18" s="64"/>
    </row>
    <row r="19" spans="1:63" ht="61.5" hidden="1" thickBot="1">
      <c r="A19" s="1217"/>
      <c r="B19" s="364">
        <v>11</v>
      </c>
      <c r="C19" s="368" t="s">
        <v>237</v>
      </c>
      <c r="D19" s="292" t="s">
        <v>113</v>
      </c>
      <c r="E19" s="331"/>
      <c r="F19" s="366"/>
      <c r="G19" s="292" t="s">
        <v>312</v>
      </c>
      <c r="H19" s="292" t="s">
        <v>315</v>
      </c>
      <c r="I19" s="367" t="s">
        <v>295</v>
      </c>
      <c r="J19" s="309" t="s">
        <v>108</v>
      </c>
      <c r="K19" s="297" t="s">
        <v>100</v>
      </c>
      <c r="L19" s="297"/>
      <c r="M19" s="297"/>
      <c r="N19" s="297"/>
      <c r="O19" s="310">
        <v>1</v>
      </c>
      <c r="P19" s="299"/>
      <c r="Q19" s="299"/>
      <c r="R19" s="299"/>
      <c r="S19" s="299"/>
      <c r="T19" s="299"/>
      <c r="U19" s="299"/>
      <c r="V19" s="299"/>
      <c r="W19" s="299"/>
      <c r="X19" s="299"/>
      <c r="Y19" s="299"/>
      <c r="Z19" s="299"/>
      <c r="AA19" s="299"/>
      <c r="AB19" s="300" t="e">
        <f t="shared" si="1"/>
        <v>#N/A</v>
      </c>
      <c r="AC19" s="301"/>
      <c r="AD19" s="299" t="e">
        <f t="shared" si="0"/>
        <v>#DIV/0!</v>
      </c>
      <c r="AE19" s="302" t="s">
        <v>13</v>
      </c>
      <c r="AF19" s="333">
        <v>9.6100000000000005E-3</v>
      </c>
      <c r="AG19" s="304" t="str">
        <f>IF($K$19="Sube",IF(ISERROR(AB19/$O$19)=TRUE,"",IF(AB19&gt;$O$19,AF19,AB19/$O$19*AF19)),IF(ISERROR($O$19/AB19)=TRUE,"",IF($O$19&lt;AB19,$O$19/AB19*AF19,AF19)))</f>
        <v/>
      </c>
      <c r="AH19" s="305" t="str">
        <f>IF($K$19="Sube",IF(ISERROR(AB19/$O$19)=TRUE,"",IF(AB19&gt;=$O$19,1,0)),IF(ISERROR($O$19/AB19)=TRUE,"",IF($O$19&lt;AB19,0,1)))</f>
        <v/>
      </c>
      <c r="AI19" s="306"/>
      <c r="AJ19" s="307"/>
      <c r="AK19" s="479"/>
      <c r="AL19" s="479"/>
      <c r="AM19" s="243"/>
      <c r="AN19" s="138"/>
      <c r="AO19" t="s">
        <v>316</v>
      </c>
      <c r="AV19" s="64"/>
      <c r="AW19" s="63"/>
      <c r="AX19" s="63"/>
      <c r="AY19" s="63"/>
      <c r="AZ19" s="63"/>
      <c r="BA19" s="63"/>
      <c r="BB19" s="63"/>
      <c r="BC19" s="63"/>
      <c r="BD19" s="63"/>
      <c r="BE19" s="63"/>
      <c r="BF19" s="63"/>
      <c r="BG19" s="63"/>
      <c r="BH19" s="63"/>
      <c r="BI19" s="64"/>
      <c r="BJ19" s="64"/>
      <c r="BK19" s="64"/>
    </row>
    <row r="20" spans="1:63" ht="41.25" hidden="1" thickBot="1">
      <c r="A20" s="1217"/>
      <c r="B20" s="364"/>
      <c r="C20" s="292" t="s">
        <v>122</v>
      </c>
      <c r="D20" s="334" t="s">
        <v>121</v>
      </c>
      <c r="E20" s="335"/>
      <c r="F20" s="369"/>
      <c r="G20" s="292" t="s">
        <v>123</v>
      </c>
      <c r="H20" s="292" t="s">
        <v>124</v>
      </c>
      <c r="I20" s="370" t="s">
        <v>330</v>
      </c>
      <c r="J20" s="309" t="s">
        <v>108</v>
      </c>
      <c r="K20" s="297" t="s">
        <v>100</v>
      </c>
      <c r="L20" s="297"/>
      <c r="M20" s="297"/>
      <c r="N20" s="297"/>
      <c r="O20" s="310">
        <v>0.9</v>
      </c>
      <c r="P20" s="299"/>
      <c r="Q20" s="299"/>
      <c r="R20" s="299"/>
      <c r="S20" s="299"/>
      <c r="T20" s="299"/>
      <c r="U20" s="299"/>
      <c r="V20" s="299"/>
      <c r="W20" s="299"/>
      <c r="X20" s="299"/>
      <c r="Y20" s="299"/>
      <c r="Z20" s="299"/>
      <c r="AA20" s="299"/>
      <c r="AB20" s="300" t="e">
        <f t="shared" ref="AB20" si="2">LOOKUP(1000000000,P20:AA20)</f>
        <v>#N/A</v>
      </c>
      <c r="AC20" s="301"/>
      <c r="AD20" s="299" t="e">
        <f t="shared" ref="AD20" si="3">+IF(SLOPE(P20:AA20,$P$7:$AA$7)&gt;0,"Al alza",IF(SLOPE(P20:AA20,$P$7:$AA$7)&lt;0,"A la baja","Sin cambio"))</f>
        <v>#DIV/0!</v>
      </c>
      <c r="AE20" s="302" t="s">
        <v>13</v>
      </c>
      <c r="AF20" s="333">
        <v>9.6100000000000005E-3</v>
      </c>
      <c r="AG20" s="304"/>
      <c r="AH20" s="305"/>
      <c r="AI20" s="306"/>
      <c r="AJ20" s="307"/>
      <c r="AK20" s="479"/>
      <c r="AL20" s="479"/>
      <c r="AM20" s="243"/>
      <c r="AN20" s="138"/>
      <c r="AV20" s="64"/>
      <c r="AW20" s="63"/>
      <c r="AX20" s="63"/>
      <c r="AY20" s="63"/>
      <c r="AZ20" s="63"/>
      <c r="BA20" s="63"/>
      <c r="BB20" s="63"/>
      <c r="BC20" s="63"/>
      <c r="BD20" s="63"/>
      <c r="BE20" s="63"/>
      <c r="BF20" s="63"/>
      <c r="BG20" s="63"/>
      <c r="BH20" s="63"/>
      <c r="BI20" s="64"/>
      <c r="BJ20" s="64"/>
      <c r="BK20" s="64"/>
    </row>
    <row r="21" spans="1:63" ht="61.5" hidden="1" thickBot="1">
      <c r="A21" s="1217"/>
      <c r="B21" s="364"/>
      <c r="C21" s="292" t="s">
        <v>238</v>
      </c>
      <c r="D21" s="334" t="s">
        <v>112</v>
      </c>
      <c r="E21" s="335"/>
      <c r="F21" s="369"/>
      <c r="G21" s="292" t="s">
        <v>239</v>
      </c>
      <c r="H21" s="292" t="s">
        <v>240</v>
      </c>
      <c r="I21" s="295" t="s">
        <v>294</v>
      </c>
      <c r="J21" s="309" t="s">
        <v>144</v>
      </c>
      <c r="K21" s="297" t="s">
        <v>100</v>
      </c>
      <c r="L21" s="297"/>
      <c r="M21" s="297"/>
      <c r="N21" s="297"/>
      <c r="O21" s="298">
        <f>+(9.9925/9.9204)-1</f>
        <v>7.2678521027376153E-3</v>
      </c>
      <c r="P21" s="299"/>
      <c r="Q21" s="299"/>
      <c r="R21" s="299"/>
      <c r="S21" s="299"/>
      <c r="T21" s="299"/>
      <c r="U21" s="299"/>
      <c r="V21" s="299"/>
      <c r="W21" s="299"/>
      <c r="X21" s="299"/>
      <c r="Y21" s="299"/>
      <c r="Z21" s="299"/>
      <c r="AA21" s="299"/>
      <c r="AB21" s="300"/>
      <c r="AC21" s="301"/>
      <c r="AD21" s="299"/>
      <c r="AE21" s="302"/>
      <c r="AF21" s="333"/>
      <c r="AG21" s="304"/>
      <c r="AH21" s="305"/>
      <c r="AI21" s="306"/>
      <c r="AJ21" s="307"/>
      <c r="AK21" s="479"/>
      <c r="AL21" s="479"/>
      <c r="AM21" s="243"/>
      <c r="AN21" s="138"/>
      <c r="AV21" s="64"/>
      <c r="AW21" s="63"/>
      <c r="AX21" s="63"/>
      <c r="AY21" s="63"/>
      <c r="AZ21" s="63"/>
      <c r="BA21" s="63"/>
      <c r="BB21" s="63"/>
      <c r="BC21" s="63"/>
      <c r="BD21" s="63"/>
      <c r="BE21" s="63"/>
      <c r="BF21" s="63"/>
      <c r="BG21" s="63"/>
      <c r="BH21" s="63"/>
      <c r="BI21" s="64"/>
      <c r="BJ21" s="64"/>
      <c r="BK21" s="64"/>
    </row>
    <row r="22" spans="1:63" ht="61.5" hidden="1" thickBot="1">
      <c r="A22" s="1218"/>
      <c r="B22" s="371">
        <v>12</v>
      </c>
      <c r="C22" s="316" t="s">
        <v>241</v>
      </c>
      <c r="D22" s="316" t="s">
        <v>112</v>
      </c>
      <c r="E22" s="348"/>
      <c r="F22" s="372"/>
      <c r="G22" s="316" t="s">
        <v>242</v>
      </c>
      <c r="H22" s="316" t="s">
        <v>243</v>
      </c>
      <c r="I22" s="308" t="s">
        <v>221</v>
      </c>
      <c r="J22" s="309" t="s">
        <v>108</v>
      </c>
      <c r="K22" s="297"/>
      <c r="L22" s="297"/>
      <c r="M22" s="297"/>
      <c r="N22" s="297"/>
      <c r="O22" s="310" t="s">
        <v>293</v>
      </c>
      <c r="P22" s="351"/>
      <c r="Q22" s="351"/>
      <c r="R22" s="351"/>
      <c r="S22" s="351"/>
      <c r="T22" s="351"/>
      <c r="U22" s="351"/>
      <c r="V22" s="351"/>
      <c r="W22" s="351"/>
      <c r="X22" s="351"/>
      <c r="Y22" s="351"/>
      <c r="Z22" s="351"/>
      <c r="AA22" s="351"/>
      <c r="AB22" s="352"/>
      <c r="AC22" s="353"/>
      <c r="AD22" s="351"/>
      <c r="AE22" s="325"/>
      <c r="AF22" s="354"/>
      <c r="AG22" s="355" t="str">
        <f>IF($K$22="Sube",IF(ISERROR(AB22/$O$22)=TRUE,"",IF(AB22&gt;$O$22,AF22,AB22/$O$22*AF22)),IF(ISERROR($O$22/AB22)=TRUE,"",IF($O$22&lt;AB22,$O$22/AB22*AF22,AF22)))</f>
        <v/>
      </c>
      <c r="AH22" s="356" t="str">
        <f>IF($K$22="Sube",IF(ISERROR(AB22/$O$22)=TRUE,"",IF(AB22&gt;=$O$22,1,0)),IF(ISERROR($O$22/AB22)=TRUE,"",IF($O$22&lt;AB22,0,1)))</f>
        <v/>
      </c>
      <c r="AI22" s="357"/>
      <c r="AJ22" s="358"/>
      <c r="AK22" s="483"/>
      <c r="AL22" s="483"/>
      <c r="AM22" s="197"/>
      <c r="AN22" s="151"/>
      <c r="AV22" s="64"/>
      <c r="AW22" s="63"/>
      <c r="AX22" s="63"/>
      <c r="AY22" s="63"/>
      <c r="AZ22" s="63"/>
      <c r="BA22" s="63"/>
      <c r="BB22" s="63"/>
      <c r="BC22" s="63"/>
      <c r="BD22" s="63"/>
      <c r="BE22" s="63"/>
      <c r="BF22" s="63"/>
      <c r="BG22" s="63"/>
      <c r="BH22" s="63"/>
      <c r="BI22" s="64"/>
      <c r="BJ22" s="64"/>
      <c r="BK22" s="64"/>
    </row>
    <row r="23" spans="1:63" ht="45" hidden="1" customHeight="1">
      <c r="A23" s="1203" t="s">
        <v>74</v>
      </c>
      <c r="B23" s="272">
        <f>+B22+1</f>
        <v>13</v>
      </c>
      <c r="C23" s="274" t="s">
        <v>244</v>
      </c>
      <c r="D23" s="274" t="s">
        <v>114</v>
      </c>
      <c r="E23" s="373"/>
      <c r="F23" s="361"/>
      <c r="G23" s="274" t="s">
        <v>245</v>
      </c>
      <c r="H23" s="274" t="s">
        <v>246</v>
      </c>
      <c r="I23" s="374" t="s">
        <v>295</v>
      </c>
      <c r="J23" s="375" t="s">
        <v>145</v>
      </c>
      <c r="K23" s="279" t="s">
        <v>100</v>
      </c>
      <c r="L23" s="279"/>
      <c r="M23" s="279"/>
      <c r="N23" s="279"/>
      <c r="O23" s="280"/>
      <c r="P23" s="281"/>
      <c r="Q23" s="281"/>
      <c r="R23" s="281"/>
      <c r="S23" s="281"/>
      <c r="T23" s="281"/>
      <c r="U23" s="281"/>
      <c r="V23" s="281"/>
      <c r="W23" s="281"/>
      <c r="X23" s="281"/>
      <c r="Y23" s="281"/>
      <c r="Z23" s="281"/>
      <c r="AA23" s="281"/>
      <c r="AB23" s="282" t="e">
        <f t="shared" si="1"/>
        <v>#N/A</v>
      </c>
      <c r="AC23" s="283"/>
      <c r="AD23" s="281" t="e">
        <f t="shared" si="0"/>
        <v>#DIV/0!</v>
      </c>
      <c r="AE23" s="284" t="s">
        <v>13</v>
      </c>
      <c r="AF23" s="363">
        <v>9.6100000000000005E-3</v>
      </c>
      <c r="AG23" s="286" t="str">
        <f>IF($K$23="Sube",IF(ISERROR(AB23/$O$23)=TRUE,"",IF(AB23&gt;$O$23,AF23,AB23/$O$23*AF23)),IF(ISERROR($O$23/AB23)=TRUE,"",IF($O$23&lt;AB23,$O$23/AB23*AF23,AF23)))</f>
        <v/>
      </c>
      <c r="AH23" s="287" t="str">
        <f>IF($K$23="Sube",IF(ISERROR(AB23/$O$23)=TRUE,"",IF(AB23&gt;=$O$23,1,0)),IF(ISERROR($O$23/AB23)=TRUE,"",IF($O$23&lt;AB23,0,1)))</f>
        <v/>
      </c>
      <c r="AI23" s="288"/>
      <c r="AJ23" s="376">
        <v>3.64</v>
      </c>
      <c r="AK23" s="537"/>
      <c r="AL23" s="484" t="s">
        <v>340</v>
      </c>
      <c r="AM23" s="195"/>
      <c r="AN23" s="137"/>
      <c r="AV23" s="64"/>
      <c r="AW23" s="63"/>
      <c r="AX23" s="63"/>
      <c r="AY23" s="63"/>
      <c r="AZ23" s="63"/>
      <c r="BA23" s="63"/>
      <c r="BB23" s="63"/>
      <c r="BC23" s="63"/>
      <c r="BD23" s="63"/>
      <c r="BE23" s="63"/>
      <c r="BF23" s="63"/>
      <c r="BG23" s="63"/>
      <c r="BH23" s="63"/>
      <c r="BI23" s="64"/>
      <c r="BJ23" s="64"/>
      <c r="BK23" s="64"/>
    </row>
    <row r="24" spans="1:63" ht="49.5" hidden="1" customHeight="1" thickBot="1">
      <c r="A24" s="1205"/>
      <c r="B24" s="377">
        <f t="shared" ref="B24:B49" si="4">+B23+1</f>
        <v>14</v>
      </c>
      <c r="C24" s="292" t="s">
        <v>125</v>
      </c>
      <c r="D24" s="378" t="s">
        <v>112</v>
      </c>
      <c r="E24" s="331"/>
      <c r="F24" s="366"/>
      <c r="G24" s="379" t="s">
        <v>153</v>
      </c>
      <c r="H24" s="379" t="s">
        <v>154</v>
      </c>
      <c r="I24" s="380">
        <f>1152/1344</f>
        <v>0.8571428571428571</v>
      </c>
      <c r="J24" s="309" t="s">
        <v>144</v>
      </c>
      <c r="K24" s="297" t="s">
        <v>100</v>
      </c>
      <c r="L24" s="297"/>
      <c r="M24" s="297"/>
      <c r="N24" s="297"/>
      <c r="O24" s="310">
        <v>0.87</v>
      </c>
      <c r="P24" s="299"/>
      <c r="Q24" s="299"/>
      <c r="R24" s="299"/>
      <c r="S24" s="299"/>
      <c r="T24" s="299"/>
      <c r="U24" s="299"/>
      <c r="V24" s="299"/>
      <c r="W24" s="299"/>
      <c r="X24" s="299"/>
      <c r="Y24" s="299"/>
      <c r="Z24" s="299"/>
      <c r="AA24" s="299"/>
      <c r="AB24" s="300" t="e">
        <f t="shared" si="1"/>
        <v>#N/A</v>
      </c>
      <c r="AC24" s="301"/>
      <c r="AD24" s="299" t="e">
        <f t="shared" si="0"/>
        <v>#DIV/0!</v>
      </c>
      <c r="AE24" s="302" t="s">
        <v>13</v>
      </c>
      <c r="AF24" s="333">
        <v>9.6100000000000005E-3</v>
      </c>
      <c r="AG24" s="304" t="str">
        <f>IF($K$24="Sube",IF(ISERROR(AB24/$O$24)=TRUE,"",IF(AB24&gt;$O$24,AF24,AB24/$O$24*AF24)),IF(ISERROR($O$24/AB24)=TRUE,"",IF($O$24&lt;AB24,$O$24/AB24*AF24,AF24)))</f>
        <v/>
      </c>
      <c r="AH24" s="305" t="str">
        <f>IF($K$24="Sube",IF(ISERROR(AB24/$O$24)=TRUE,"",IF(AB24&gt;=$O$24,1,0)),IF(ISERROR($O$24/AB24)=TRUE,"",IF($O$24&lt;AB24,0,1)))</f>
        <v/>
      </c>
      <c r="AI24" s="306"/>
      <c r="AJ24" s="307"/>
      <c r="AK24" s="479"/>
      <c r="AL24" s="479"/>
      <c r="AM24" s="243"/>
      <c r="AN24" s="138"/>
      <c r="AV24" s="64"/>
      <c r="AW24" s="63"/>
      <c r="AX24" s="63"/>
      <c r="AY24" s="63"/>
      <c r="AZ24" s="63"/>
      <c r="BA24" s="63"/>
      <c r="BB24" s="63"/>
      <c r="BC24" s="63"/>
      <c r="BD24" s="63"/>
      <c r="BE24" s="63"/>
      <c r="BF24" s="63"/>
      <c r="BG24" s="63"/>
      <c r="BH24" s="63"/>
      <c r="BI24" s="64"/>
      <c r="BJ24" s="64"/>
      <c r="BK24" s="64"/>
    </row>
    <row r="25" spans="1:63" ht="56.25" hidden="1" customHeight="1" thickBot="1">
      <c r="A25" s="1204"/>
      <c r="B25" s="381">
        <f t="shared" si="4"/>
        <v>15</v>
      </c>
      <c r="C25" s="316" t="s">
        <v>247</v>
      </c>
      <c r="D25" s="382" t="s">
        <v>112</v>
      </c>
      <c r="E25" s="348"/>
      <c r="F25" s="372"/>
      <c r="G25" s="383" t="s">
        <v>185</v>
      </c>
      <c r="H25" s="383" t="s">
        <v>203</v>
      </c>
      <c r="I25" s="384">
        <f>7.218/9.426-1</f>
        <v>-0.23424570337364736</v>
      </c>
      <c r="J25" s="319" t="s">
        <v>146</v>
      </c>
      <c r="K25" s="320" t="s">
        <v>100</v>
      </c>
      <c r="L25" s="320"/>
      <c r="M25" s="320"/>
      <c r="N25" s="320"/>
      <c r="O25" s="321">
        <f>+'Tablero Estratégico'!AP10</f>
        <v>-0.2</v>
      </c>
      <c r="P25" s="351"/>
      <c r="Q25" s="351"/>
      <c r="R25" s="351"/>
      <c r="S25" s="351"/>
      <c r="T25" s="351"/>
      <c r="U25" s="351"/>
      <c r="V25" s="351"/>
      <c r="W25" s="351"/>
      <c r="X25" s="351"/>
      <c r="Y25" s="351"/>
      <c r="Z25" s="351"/>
      <c r="AA25" s="351"/>
      <c r="AB25" s="352" t="e">
        <f t="shared" si="1"/>
        <v>#N/A</v>
      </c>
      <c r="AC25" s="353"/>
      <c r="AD25" s="351" t="e">
        <f t="shared" si="0"/>
        <v>#DIV/0!</v>
      </c>
      <c r="AE25" s="325" t="s">
        <v>13</v>
      </c>
      <c r="AF25" s="354">
        <v>9.6100000000000005E-3</v>
      </c>
      <c r="AG25" s="355" t="str">
        <f>IF($K$25="Sube",IF(ISERROR(AB25/$O$25)=TRUE,"",IF(AB25&gt;$O$25,AF25,AB25/$O$25*AF25)),IF(ISERROR($O$25/AB25)=TRUE,"",IF($O$25&lt;AB25,$O$25/AB25*AF25,AF25)))</f>
        <v/>
      </c>
      <c r="AH25" s="356" t="str">
        <f>IF($K$25="Sube",IF(ISERROR(AB25/$O$25)=TRUE,"",IF(AB25&gt;=$O$25,1,0)),IF(ISERROR($O$25/AB25)=TRUE,"",IF($O$25&lt;AB25,0,1)))</f>
        <v/>
      </c>
      <c r="AI25" s="357"/>
      <c r="AJ25" s="358"/>
      <c r="AK25" s="483"/>
      <c r="AL25" s="483"/>
      <c r="AM25" s="197"/>
      <c r="AN25" s="151"/>
      <c r="AV25" s="64"/>
      <c r="AW25" s="63"/>
      <c r="AX25" s="63"/>
      <c r="AY25" s="63"/>
      <c r="AZ25" s="63"/>
      <c r="BA25" s="63"/>
      <c r="BB25" s="63"/>
      <c r="BC25" s="63"/>
      <c r="BD25" s="63"/>
      <c r="BE25" s="63"/>
      <c r="BF25" s="63"/>
      <c r="BG25" s="63"/>
      <c r="BH25" s="63"/>
      <c r="BI25" s="64"/>
      <c r="BJ25" s="64"/>
      <c r="BK25" s="64"/>
    </row>
    <row r="26" spans="1:63" ht="122.25" hidden="1" thickBot="1">
      <c r="A26" s="1203" t="s">
        <v>48</v>
      </c>
      <c r="B26" s="272" t="e">
        <f>+#REF!+1</f>
        <v>#REF!</v>
      </c>
      <c r="C26" s="273" t="s">
        <v>126</v>
      </c>
      <c r="D26" s="273" t="s">
        <v>121</v>
      </c>
      <c r="E26" s="385"/>
      <c r="F26" s="385"/>
      <c r="G26" s="273" t="s">
        <v>248</v>
      </c>
      <c r="H26" s="273" t="s">
        <v>129</v>
      </c>
      <c r="I26" s="386">
        <v>1</v>
      </c>
      <c r="J26" s="375" t="s">
        <v>144</v>
      </c>
      <c r="K26" s="279"/>
      <c r="L26" s="279"/>
      <c r="M26" s="279"/>
      <c r="N26" s="279"/>
      <c r="O26" s="280">
        <v>1</v>
      </c>
      <c r="P26" s="281"/>
      <c r="Q26" s="281"/>
      <c r="R26" s="281"/>
      <c r="S26" s="281"/>
      <c r="T26" s="281"/>
      <c r="U26" s="281"/>
      <c r="V26" s="281"/>
      <c r="W26" s="281"/>
      <c r="X26" s="281"/>
      <c r="Y26" s="281"/>
      <c r="Z26" s="281"/>
      <c r="AA26" s="281"/>
      <c r="AB26" s="282" t="e">
        <f t="shared" si="1"/>
        <v>#N/A</v>
      </c>
      <c r="AC26" s="283"/>
      <c r="AD26" s="281" t="e">
        <f t="shared" si="0"/>
        <v>#DIV/0!</v>
      </c>
      <c r="AE26" s="284" t="s">
        <v>13</v>
      </c>
      <c r="AF26" s="363">
        <v>9.6100000000000005E-3</v>
      </c>
      <c r="AG26" s="286" t="str">
        <f>IF($K$26="Sube",IF(ISERROR(AB26/$O$26)=TRUE,"",IF(AB26&gt;$O$26,AF26,AB26/$O$26*AF26)),IF(ISERROR($O$26/AB26)=TRUE,"",IF($O$26&lt;AB26,$O$26/AB26*AF26,AF26)))</f>
        <v/>
      </c>
      <c r="AH26" s="287" t="str">
        <f>IF($K$26="Sube",IF(ISERROR(AB26/$O$26)=TRUE,"",IF(AB26&gt;=$O$26,1,0)),IF(ISERROR($O$26/AB26)=TRUE,"",IF($O$26&lt;AB26,0,1)))</f>
        <v/>
      </c>
      <c r="AI26" s="288"/>
      <c r="AJ26" s="289"/>
      <c r="AK26" s="478"/>
      <c r="AL26" s="478"/>
      <c r="AM26" s="195"/>
      <c r="AN26" s="137"/>
      <c r="AV26" s="64"/>
      <c r="AW26" s="63"/>
      <c r="AX26" s="63"/>
      <c r="AY26" s="63"/>
      <c r="AZ26" s="63"/>
      <c r="BA26" s="63"/>
      <c r="BB26" s="63"/>
      <c r="BC26" s="63"/>
      <c r="BD26" s="63"/>
      <c r="BE26" s="63"/>
      <c r="BF26" s="63"/>
      <c r="BG26" s="63"/>
      <c r="BH26" s="63"/>
      <c r="BI26" s="64"/>
      <c r="BJ26" s="64"/>
      <c r="BK26" s="64"/>
    </row>
    <row r="27" spans="1:63" ht="122.25" hidden="1" thickBot="1">
      <c r="A27" s="1205"/>
      <c r="B27" s="290" t="e">
        <f t="shared" si="4"/>
        <v>#REF!</v>
      </c>
      <c r="C27" s="291" t="s">
        <v>127</v>
      </c>
      <c r="D27" s="291" t="s">
        <v>121</v>
      </c>
      <c r="E27" s="387"/>
      <c r="F27" s="387"/>
      <c r="G27" s="365" t="s">
        <v>338</v>
      </c>
      <c r="H27" s="291" t="s">
        <v>249</v>
      </c>
      <c r="I27" s="388">
        <v>0.9</v>
      </c>
      <c r="J27" s="309" t="s">
        <v>108</v>
      </c>
      <c r="K27" s="297"/>
      <c r="L27" s="297"/>
      <c r="M27" s="297"/>
      <c r="N27" s="297"/>
      <c r="O27" s="310">
        <v>1</v>
      </c>
      <c r="P27" s="299"/>
      <c r="Q27" s="299"/>
      <c r="R27" s="299"/>
      <c r="S27" s="299"/>
      <c r="T27" s="299"/>
      <c r="U27" s="299"/>
      <c r="V27" s="299"/>
      <c r="W27" s="299"/>
      <c r="X27" s="299"/>
      <c r="Y27" s="299"/>
      <c r="Z27" s="299"/>
      <c r="AA27" s="299"/>
      <c r="AB27" s="300" t="e">
        <f t="shared" si="1"/>
        <v>#N/A</v>
      </c>
      <c r="AC27" s="301"/>
      <c r="AD27" s="299" t="e">
        <f t="shared" si="0"/>
        <v>#DIV/0!</v>
      </c>
      <c r="AE27" s="302" t="s">
        <v>13</v>
      </c>
      <c r="AF27" s="333">
        <v>9.6100000000000005E-3</v>
      </c>
      <c r="AG27" s="304" t="str">
        <f>IF($K$27="Sube",IF(ISERROR(AB27/$O$27)=TRUE,"",IF(AB27&gt;$O$27,AF27,AB27/$O$27*AF27)),IF(ISERROR($O$27/AB27)=TRUE,"",IF($O$27&lt;AB27,$O$27/AB27*AF27,AF27)))</f>
        <v/>
      </c>
      <c r="AH27" s="305" t="str">
        <f>IF($K$27="Sube",IF(ISERROR(AB27/$O$27)=TRUE,"",IF(AB27&gt;=$O$27,1,0)),IF(ISERROR($O$27/AB27)=TRUE,"",IF($O$27&lt;AB27,0,1)))</f>
        <v/>
      </c>
      <c r="AI27" s="306"/>
      <c r="AJ27" s="389">
        <f>+'Tablero Estratégico'!BD16</f>
        <v>0</v>
      </c>
      <c r="AK27" s="538"/>
      <c r="AL27" s="480" t="s">
        <v>339</v>
      </c>
      <c r="AM27" s="243"/>
      <c r="AN27" s="138"/>
      <c r="AV27" s="64"/>
      <c r="AW27" s="63"/>
      <c r="AX27" s="63"/>
      <c r="AY27" s="63"/>
      <c r="AZ27" s="63"/>
      <c r="BA27" s="63"/>
      <c r="BB27" s="63"/>
      <c r="BC27" s="63"/>
      <c r="BD27" s="63"/>
      <c r="BE27" s="63"/>
      <c r="BF27" s="63"/>
      <c r="BG27" s="63"/>
      <c r="BH27" s="63"/>
      <c r="BI27" s="64"/>
      <c r="BJ27" s="64"/>
      <c r="BK27" s="64"/>
    </row>
    <row r="28" spans="1:63" ht="142.5" hidden="1" thickBot="1">
      <c r="A28" s="1205"/>
      <c r="B28" s="290" t="e">
        <f t="shared" si="4"/>
        <v>#REF!</v>
      </c>
      <c r="C28" s="291" t="s">
        <v>128</v>
      </c>
      <c r="D28" s="291" t="s">
        <v>121</v>
      </c>
      <c r="E28" s="387"/>
      <c r="F28" s="387"/>
      <c r="G28" s="291" t="s">
        <v>250</v>
      </c>
      <c r="H28" s="291" t="s">
        <v>251</v>
      </c>
      <c r="I28" s="302" t="s">
        <v>295</v>
      </c>
      <c r="J28" s="309"/>
      <c r="K28" s="297"/>
      <c r="L28" s="297"/>
      <c r="M28" s="297"/>
      <c r="N28" s="297"/>
      <c r="O28" s="310"/>
      <c r="P28" s="299"/>
      <c r="Q28" s="299"/>
      <c r="R28" s="299"/>
      <c r="S28" s="299"/>
      <c r="T28" s="299"/>
      <c r="U28" s="299"/>
      <c r="V28" s="299"/>
      <c r="W28" s="299"/>
      <c r="X28" s="299"/>
      <c r="Y28" s="299"/>
      <c r="Z28" s="299"/>
      <c r="AA28" s="299"/>
      <c r="AB28" s="300"/>
      <c r="AC28" s="301"/>
      <c r="AD28" s="299"/>
      <c r="AE28" s="302"/>
      <c r="AF28" s="333"/>
      <c r="AG28" s="304"/>
      <c r="AH28" s="305"/>
      <c r="AI28" s="306"/>
      <c r="AJ28" s="307"/>
      <c r="AK28" s="479"/>
      <c r="AL28" s="479"/>
      <c r="AM28" s="243"/>
      <c r="AN28" s="138"/>
      <c r="AV28" s="64"/>
      <c r="AW28" s="63"/>
      <c r="AX28" s="63"/>
      <c r="AY28" s="63"/>
      <c r="AZ28" s="63"/>
      <c r="BA28" s="63"/>
      <c r="BB28" s="63"/>
      <c r="BC28" s="63"/>
      <c r="BD28" s="63"/>
      <c r="BE28" s="63"/>
      <c r="BF28" s="63"/>
      <c r="BG28" s="63"/>
      <c r="BH28" s="63"/>
      <c r="BI28" s="64"/>
      <c r="BJ28" s="64"/>
      <c r="BK28" s="64"/>
    </row>
    <row r="29" spans="1:63" ht="61.5" hidden="1" thickBot="1">
      <c r="A29" s="1204"/>
      <c r="B29" s="347" t="e">
        <f t="shared" si="4"/>
        <v>#REF!</v>
      </c>
      <c r="C29" s="390" t="s">
        <v>252</v>
      </c>
      <c r="D29" s="391" t="s">
        <v>114</v>
      </c>
      <c r="E29" s="392"/>
      <c r="F29" s="392"/>
      <c r="G29" s="391" t="s">
        <v>231</v>
      </c>
      <c r="H29" s="316" t="s">
        <v>253</v>
      </c>
      <c r="I29" s="393">
        <v>0.878</v>
      </c>
      <c r="J29" s="319" t="s">
        <v>108</v>
      </c>
      <c r="K29" s="320" t="s">
        <v>100</v>
      </c>
      <c r="L29" s="320"/>
      <c r="M29" s="320"/>
      <c r="N29" s="320"/>
      <c r="O29" s="321">
        <v>0.93</v>
      </c>
      <c r="P29" s="351"/>
      <c r="Q29" s="351"/>
      <c r="R29" s="351"/>
      <c r="S29" s="351"/>
      <c r="T29" s="351"/>
      <c r="U29" s="351"/>
      <c r="V29" s="351"/>
      <c r="W29" s="351"/>
      <c r="X29" s="351"/>
      <c r="Y29" s="351"/>
      <c r="Z29" s="351"/>
      <c r="AA29" s="351"/>
      <c r="AB29" s="352" t="e">
        <f t="shared" si="1"/>
        <v>#N/A</v>
      </c>
      <c r="AC29" s="353"/>
      <c r="AD29" s="351" t="e">
        <f t="shared" ref="AD29:AD48" si="5">+IF(SLOPE(P29:AA29,$P$7:$AA$7)&gt;0,"Al alza",IF(SLOPE(P29:AA29,$P$7:$AA$7)&lt;0,"A la baja","Sin cambio"))</f>
        <v>#DIV/0!</v>
      </c>
      <c r="AE29" s="325" t="s">
        <v>13</v>
      </c>
      <c r="AF29" s="354">
        <v>9.6100000000000005E-3</v>
      </c>
      <c r="AG29" s="355" t="str">
        <f t="shared" ref="AG29" si="6">IF(K29="Sube",IF(ISERROR(AB29/O29)=TRUE,"",IF(AB29&gt;O29,AF29,AB29/O29*AF29)),IF(ISERROR(O29/AB29)=TRUE,"",IF(O29&lt;AB29,O29/AB29*AF29,AF29)))</f>
        <v/>
      </c>
      <c r="AH29" s="356" t="str">
        <f>IF($K$29="Sube",IF(ISERROR(AB29/$O$29)=TRUE,"",IF(AB29&gt;=$O$29,1,0)),IF(ISERROR($O$29/AB29)=TRUE,"",IF($O$29&lt;AB29,0,1)))</f>
        <v/>
      </c>
      <c r="AI29" s="357"/>
      <c r="AJ29" s="394">
        <f>236943151/1000000000</f>
        <v>0.23694315099999999</v>
      </c>
      <c r="AK29" s="539"/>
      <c r="AL29" s="481" t="s">
        <v>363</v>
      </c>
      <c r="AM29" s="197"/>
      <c r="AN29" s="151"/>
      <c r="AV29" s="64"/>
      <c r="AW29" s="63"/>
      <c r="AX29" s="63"/>
      <c r="AY29" s="63"/>
      <c r="AZ29" s="63"/>
      <c r="BA29" s="63"/>
      <c r="BB29" s="63"/>
      <c r="BC29" s="63"/>
      <c r="BD29" s="63"/>
      <c r="BE29" s="63"/>
      <c r="BF29" s="63"/>
      <c r="BG29" s="63"/>
      <c r="BH29" s="63"/>
      <c r="BI29" s="64"/>
      <c r="BJ29" s="64"/>
      <c r="BK29" s="64"/>
    </row>
    <row r="30" spans="1:63" ht="61.5" hidden="1" thickBot="1">
      <c r="A30" s="1203" t="s">
        <v>75</v>
      </c>
      <c r="B30" s="395" t="e">
        <f t="shared" si="4"/>
        <v>#REF!</v>
      </c>
      <c r="C30" s="274" t="s">
        <v>109</v>
      </c>
      <c r="D30" s="274" t="s">
        <v>121</v>
      </c>
      <c r="E30" s="360"/>
      <c r="F30" s="361"/>
      <c r="G30" s="396" t="s">
        <v>321</v>
      </c>
      <c r="H30" s="274" t="s">
        <v>130</v>
      </c>
      <c r="I30" s="397">
        <v>0.97599999999999998</v>
      </c>
      <c r="J30" s="278" t="s">
        <v>108</v>
      </c>
      <c r="K30" s="279" t="s">
        <v>100</v>
      </c>
      <c r="L30" s="279"/>
      <c r="M30" s="279"/>
      <c r="N30" s="279"/>
      <c r="O30" s="280" t="s">
        <v>318</v>
      </c>
      <c r="P30" s="281"/>
      <c r="Q30" s="281"/>
      <c r="R30" s="281"/>
      <c r="S30" s="281"/>
      <c r="T30" s="281"/>
      <c r="U30" s="281"/>
      <c r="V30" s="281"/>
      <c r="W30" s="281"/>
      <c r="X30" s="281"/>
      <c r="Y30" s="281"/>
      <c r="Z30" s="281"/>
      <c r="AA30" s="281"/>
      <c r="AB30" s="282" t="e">
        <f t="shared" si="1"/>
        <v>#N/A</v>
      </c>
      <c r="AC30" s="283"/>
      <c r="AD30" s="281" t="e">
        <f t="shared" si="5"/>
        <v>#DIV/0!</v>
      </c>
      <c r="AE30" s="284" t="s">
        <v>13</v>
      </c>
      <c r="AF30" s="363">
        <v>9.6100000000000005E-3</v>
      </c>
      <c r="AG30" s="286" t="str">
        <f>IF($K$30="Sube",IF(ISERROR(AB30/$O$30)=TRUE,"",IF(AB30&gt;$O$30,AF30,AB30/$O$30*AF30)),IF(ISERROR($O$30/AB30)=TRUE,"",IF($O$30&lt;AB30,$O$30/AB30*AF30,AF30)))</f>
        <v/>
      </c>
      <c r="AH30" s="287" t="str">
        <f>IF($K$30="Sube",IF(ISERROR(AB30/$O$30)=TRUE,"",IF(AB30&gt;=$O$30,1,0)),IF(ISERROR($O$30/AB30)=TRUE,"",IF($O$30&lt;AB30,0,1)))</f>
        <v/>
      </c>
      <c r="AI30" s="288"/>
      <c r="AJ30" s="398">
        <f>+'Tablero Estratégico'!BD19</f>
        <v>0.97</v>
      </c>
      <c r="AK30" s="540"/>
      <c r="AL30" s="484" t="s">
        <v>353</v>
      </c>
      <c r="AM30" s="195"/>
      <c r="AN30" s="137"/>
      <c r="AV30" s="64"/>
      <c r="AW30" s="63"/>
      <c r="AX30" s="63"/>
      <c r="AY30" s="63"/>
      <c r="AZ30" s="63"/>
      <c r="BA30" s="63"/>
      <c r="BB30" s="63"/>
      <c r="BC30" s="63"/>
      <c r="BD30" s="63"/>
      <c r="BE30" s="63"/>
      <c r="BF30" s="63"/>
      <c r="BG30" s="63"/>
      <c r="BH30" s="63"/>
      <c r="BI30" s="64"/>
      <c r="BJ30" s="64"/>
      <c r="BK30" s="64"/>
    </row>
    <row r="31" spans="1:63" ht="81.75" hidden="1" thickBot="1">
      <c r="A31" s="1205"/>
      <c r="B31" s="399" t="e">
        <f t="shared" si="4"/>
        <v>#REF!</v>
      </c>
      <c r="C31" s="292" t="s">
        <v>110</v>
      </c>
      <c r="D31" s="292" t="s">
        <v>112</v>
      </c>
      <c r="E31" s="331"/>
      <c r="F31" s="331"/>
      <c r="G31" s="292" t="s">
        <v>319</v>
      </c>
      <c r="H31" s="292" t="s">
        <v>320</v>
      </c>
      <c r="I31" s="400" t="s">
        <v>295</v>
      </c>
      <c r="J31" s="296" t="s">
        <v>108</v>
      </c>
      <c r="K31" s="297" t="s">
        <v>100</v>
      </c>
      <c r="L31" s="297"/>
      <c r="M31" s="297"/>
      <c r="N31" s="297"/>
      <c r="O31" s="310"/>
      <c r="P31" s="299"/>
      <c r="Q31" s="299"/>
      <c r="R31" s="299"/>
      <c r="S31" s="299"/>
      <c r="T31" s="299"/>
      <c r="U31" s="299"/>
      <c r="V31" s="299"/>
      <c r="W31" s="299"/>
      <c r="X31" s="299"/>
      <c r="Y31" s="299"/>
      <c r="Z31" s="299"/>
      <c r="AA31" s="299"/>
      <c r="AB31" s="300" t="e">
        <f t="shared" si="1"/>
        <v>#N/A</v>
      </c>
      <c r="AC31" s="301"/>
      <c r="AD31" s="299" t="e">
        <f t="shared" si="5"/>
        <v>#DIV/0!</v>
      </c>
      <c r="AE31" s="302" t="s">
        <v>13</v>
      </c>
      <c r="AF31" s="333">
        <v>9.6100000000000005E-3</v>
      </c>
      <c r="AG31" s="304" t="str">
        <f>IF($K$31="Sube",IF(ISERROR(AB31/$O$31)=TRUE,"",IF(AB31&gt;$O$31,AF31,AB31/$O$31*AF31)),IF(ISERROR($O$31/AB31)=TRUE,"",IF($O$31&lt;AB31,$O$31/AB31*AF31,AF31)))</f>
        <v/>
      </c>
      <c r="AH31" s="305" t="str">
        <f>IF($K$31="Sube",IF(ISERROR(AB31/$O$31)=TRUE,"",IF(AB31&gt;=$O$31,1,0)),IF(ISERROR($O$31/AB31)=TRUE,"",IF($O$31&lt;AB31,0,1)))</f>
        <v/>
      </c>
      <c r="AI31" s="306"/>
      <c r="AJ31" s="307">
        <v>17702</v>
      </c>
      <c r="AK31" s="479"/>
      <c r="AL31" s="480" t="s">
        <v>354</v>
      </c>
      <c r="AM31" s="243"/>
      <c r="AN31" s="138"/>
      <c r="AV31" s="64"/>
      <c r="AW31" s="63"/>
      <c r="AX31" s="63"/>
      <c r="AY31" s="63"/>
      <c r="AZ31" s="63"/>
      <c r="BA31" s="63"/>
      <c r="BB31" s="63"/>
      <c r="BC31" s="63"/>
      <c r="BD31" s="63"/>
      <c r="BE31" s="63"/>
      <c r="BF31" s="63"/>
      <c r="BG31" s="63"/>
      <c r="BH31" s="63"/>
      <c r="BI31" s="64"/>
      <c r="BJ31" s="64"/>
      <c r="BK31" s="64"/>
    </row>
    <row r="32" spans="1:63" ht="61.5" hidden="1" thickBot="1">
      <c r="A32" s="1204"/>
      <c r="B32" s="401" t="e">
        <f t="shared" si="4"/>
        <v>#REF!</v>
      </c>
      <c r="C32" s="334" t="s">
        <v>111</v>
      </c>
      <c r="D32" s="334" t="s">
        <v>121</v>
      </c>
      <c r="E32" s="335"/>
      <c r="F32" s="335"/>
      <c r="G32" s="334" t="s">
        <v>322</v>
      </c>
      <c r="H32" s="334" t="s">
        <v>254</v>
      </c>
      <c r="I32" s="402">
        <v>0.98</v>
      </c>
      <c r="J32" s="403" t="s">
        <v>108</v>
      </c>
      <c r="K32" s="336" t="s">
        <v>100</v>
      </c>
      <c r="L32" s="336"/>
      <c r="M32" s="336"/>
      <c r="N32" s="336"/>
      <c r="O32" s="337">
        <v>1</v>
      </c>
      <c r="P32" s="338"/>
      <c r="Q32" s="338"/>
      <c r="R32" s="338"/>
      <c r="S32" s="338"/>
      <c r="T32" s="338"/>
      <c r="U32" s="338"/>
      <c r="V32" s="338"/>
      <c r="W32" s="338"/>
      <c r="X32" s="338"/>
      <c r="Y32" s="338"/>
      <c r="Z32" s="338"/>
      <c r="AA32" s="338"/>
      <c r="AB32" s="339" t="e">
        <f t="shared" si="1"/>
        <v>#N/A</v>
      </c>
      <c r="AC32" s="340"/>
      <c r="AD32" s="338" t="e">
        <f t="shared" si="5"/>
        <v>#DIV/0!</v>
      </c>
      <c r="AE32" s="341" t="s">
        <v>13</v>
      </c>
      <c r="AF32" s="342">
        <v>9.6100000000000005E-3</v>
      </c>
      <c r="AG32" s="343" t="str">
        <f>IF($K$32="Sube",IF(ISERROR(AB32/$O$32)=TRUE,"",IF(AB32&gt;$O$32,AF32,AB32/$O$32*AF32)),IF(ISERROR($O$32/AB32)=TRUE,"",IF($O$32&lt;AB32,$O$32/AB32*AF32,AF32)))</f>
        <v/>
      </c>
      <c r="AH32" s="344" t="str">
        <f>IF($K$32="Sube",IF(ISERROR(AB32/$O$32)=TRUE,"",IF(AB32&gt;=$O$32,1,0)),IF(ISERROR($O$32/AB32)=TRUE,"",IF($O$32&lt;AB32,0,1)))</f>
        <v/>
      </c>
      <c r="AI32" s="345"/>
      <c r="AJ32" s="404">
        <v>0.81</v>
      </c>
      <c r="AK32" s="541"/>
      <c r="AL32" s="485" t="s">
        <v>355</v>
      </c>
      <c r="AM32" s="245"/>
      <c r="AN32" s="196"/>
      <c r="AV32" s="64"/>
      <c r="AW32" s="63"/>
      <c r="AX32" s="63"/>
      <c r="AY32" s="63"/>
      <c r="AZ32" s="63"/>
      <c r="BA32" s="63"/>
      <c r="BB32" s="63"/>
      <c r="BC32" s="63"/>
      <c r="BD32" s="63"/>
      <c r="BE32" s="63"/>
      <c r="BF32" s="63"/>
      <c r="BG32" s="63"/>
      <c r="BH32" s="63"/>
      <c r="BI32" s="64"/>
      <c r="BJ32" s="64"/>
      <c r="BK32" s="64"/>
    </row>
    <row r="33" spans="1:63" s="4" customFormat="1" ht="122.25" hidden="1" thickBot="1">
      <c r="A33" s="1203" t="s">
        <v>77</v>
      </c>
      <c r="B33" s="395" t="e">
        <f>+#REF!+1</f>
        <v>#REF!</v>
      </c>
      <c r="C33" s="274" t="s">
        <v>131</v>
      </c>
      <c r="D33" s="274" t="s">
        <v>114</v>
      </c>
      <c r="E33" s="373"/>
      <c r="F33" s="373"/>
      <c r="G33" s="274" t="s">
        <v>132</v>
      </c>
      <c r="H33" s="274" t="s">
        <v>133</v>
      </c>
      <c r="I33" s="397">
        <f>+'Tablero Estratégico'!AO28</f>
        <v>0.88935026868588196</v>
      </c>
      <c r="J33" s="278" t="s">
        <v>147</v>
      </c>
      <c r="K33" s="279" t="s">
        <v>141</v>
      </c>
      <c r="L33" s="493"/>
      <c r="M33" s="493"/>
      <c r="N33" s="493"/>
      <c r="O33" s="492">
        <f>+'Tablero Estratégico'!AP28</f>
        <v>1</v>
      </c>
      <c r="P33" s="281"/>
      <c r="Q33" s="281"/>
      <c r="R33" s="281"/>
      <c r="S33" s="281"/>
      <c r="T33" s="281"/>
      <c r="U33" s="281"/>
      <c r="V33" s="281"/>
      <c r="W33" s="281"/>
      <c r="X33" s="281"/>
      <c r="Y33" s="281"/>
      <c r="Z33" s="281"/>
      <c r="AA33" s="281"/>
      <c r="AB33" s="282" t="e">
        <f t="shared" si="1"/>
        <v>#N/A</v>
      </c>
      <c r="AC33" s="283"/>
      <c r="AD33" s="281" t="e">
        <f t="shared" si="5"/>
        <v>#DIV/0!</v>
      </c>
      <c r="AE33" s="284" t="s">
        <v>13</v>
      </c>
      <c r="AF33" s="363">
        <v>9.6100000000000005E-3</v>
      </c>
      <c r="AG33" s="286" t="str">
        <f>IF($K$33="Sube",IF(ISERROR(AB33/$O$33)=TRUE,"",IF(AB33&gt;$O$33,AF33,AB33/$O$33*AF33)),IF(ISERROR($O$33/AB33)=TRUE,"",IF($O$33&lt;AB33,$O$33/AB33*AF33,AF33)))</f>
        <v/>
      </c>
      <c r="AH33" s="287" t="str">
        <f>IF($K$33="Sube",IF(ISERROR(AB33/$O$33)=TRUE,"",IF(AB33&gt;=$O$33,1,0)),IF(ISERROR($O$33/AB33)=TRUE,"",IF($O$33&lt;AB33,0,1)))</f>
        <v/>
      </c>
      <c r="AI33" s="288"/>
      <c r="AJ33" s="405">
        <f>+'Tablero Estratégico'!BD28</f>
        <v>0.97524752475247523</v>
      </c>
      <c r="AK33" s="542"/>
      <c r="AL33" s="486" t="str">
        <f>+'Tablero Estratégico'!BI28</f>
        <v>Se recibieron 280 PQRSD y se responden de manera oportuna 252. Las 28 restantes tienen respuestas parciales durante el tiempo dentro de los terminos establecidos por ley.  Se mantiene la divulgación y socialización de la importancia de la atención oprtuna de las PQRDS. Se realizó reinducción en el uso de la herramienta actual de gestión.</v>
      </c>
      <c r="AM33" s="195"/>
      <c r="AN33" s="127"/>
      <c r="AO33" s="241" t="s">
        <v>323</v>
      </c>
      <c r="AV33" s="64"/>
      <c r="AW33" s="63"/>
      <c r="AX33" s="63"/>
      <c r="AY33" s="63"/>
      <c r="AZ33" s="63"/>
      <c r="BA33" s="63"/>
      <c r="BB33" s="63"/>
      <c r="BC33" s="63"/>
      <c r="BD33" s="63"/>
      <c r="BE33" s="63"/>
      <c r="BF33" s="63"/>
      <c r="BG33" s="63"/>
      <c r="BH33" s="63"/>
      <c r="BI33" s="64"/>
      <c r="BJ33" s="64"/>
      <c r="BK33" s="64"/>
    </row>
    <row r="34" spans="1:63" s="4" customFormat="1" ht="57" hidden="1" customHeight="1">
      <c r="A34" s="1188"/>
      <c r="B34" s="406"/>
      <c r="C34" s="407" t="s">
        <v>359</v>
      </c>
      <c r="D34" s="407" t="s">
        <v>114</v>
      </c>
      <c r="E34" s="408"/>
      <c r="F34" s="408"/>
      <c r="G34" s="409" t="s">
        <v>360</v>
      </c>
      <c r="H34" s="407" t="s">
        <v>361</v>
      </c>
      <c r="I34" s="410" t="s">
        <v>295</v>
      </c>
      <c r="J34" s="411" t="s">
        <v>108</v>
      </c>
      <c r="K34" s="412"/>
      <c r="L34" s="412"/>
      <c r="M34" s="412"/>
      <c r="N34" s="412"/>
      <c r="O34" s="310" t="s">
        <v>362</v>
      </c>
      <c r="P34" s="413"/>
      <c r="Q34" s="413"/>
      <c r="R34" s="413"/>
      <c r="S34" s="413"/>
      <c r="T34" s="413"/>
      <c r="U34" s="413"/>
      <c r="V34" s="413"/>
      <c r="W34" s="413"/>
      <c r="X34" s="413"/>
      <c r="Y34" s="413"/>
      <c r="Z34" s="413"/>
      <c r="AA34" s="413"/>
      <c r="AB34" s="414"/>
      <c r="AC34" s="415"/>
      <c r="AD34" s="413"/>
      <c r="AE34" s="416"/>
      <c r="AF34" s="417"/>
      <c r="AG34" s="418"/>
      <c r="AH34" s="419"/>
      <c r="AI34" s="420"/>
      <c r="AJ34" s="421">
        <v>0.9</v>
      </c>
      <c r="AK34" s="543"/>
      <c r="AL34" s="486" t="s">
        <v>372</v>
      </c>
      <c r="AM34" s="251"/>
      <c r="AN34" s="250"/>
      <c r="AO34" s="241"/>
      <c r="AV34" s="64"/>
      <c r="AW34" s="63"/>
      <c r="AX34" s="63"/>
      <c r="AY34" s="63"/>
      <c r="AZ34" s="63"/>
      <c r="BA34" s="63"/>
      <c r="BB34" s="63"/>
      <c r="BC34" s="63"/>
      <c r="BD34" s="63"/>
      <c r="BE34" s="63"/>
      <c r="BF34" s="63"/>
      <c r="BG34" s="63"/>
      <c r="BH34" s="63"/>
      <c r="BI34" s="64"/>
      <c r="BJ34" s="64"/>
      <c r="BK34" s="64"/>
    </row>
    <row r="35" spans="1:63" s="4" customFormat="1" ht="61.5" hidden="1" thickBot="1">
      <c r="A35" s="1204"/>
      <c r="B35" s="422" t="e">
        <f>+#REF!+1</f>
        <v>#REF!</v>
      </c>
      <c r="C35" s="316" t="s">
        <v>255</v>
      </c>
      <c r="D35" s="316" t="s">
        <v>114</v>
      </c>
      <c r="E35" s="348"/>
      <c r="F35" s="348"/>
      <c r="G35" s="423" t="s">
        <v>324</v>
      </c>
      <c r="H35" s="316" t="s">
        <v>256</v>
      </c>
      <c r="I35" s="424" t="s">
        <v>295</v>
      </c>
      <c r="J35" s="425" t="s">
        <v>108</v>
      </c>
      <c r="K35" s="320" t="s">
        <v>100</v>
      </c>
      <c r="L35" s="320"/>
      <c r="M35" s="320"/>
      <c r="N35" s="320"/>
      <c r="O35" s="321"/>
      <c r="P35" s="351"/>
      <c r="Q35" s="351"/>
      <c r="R35" s="351"/>
      <c r="S35" s="351"/>
      <c r="T35" s="351"/>
      <c r="U35" s="351"/>
      <c r="V35" s="351"/>
      <c r="W35" s="351"/>
      <c r="X35" s="351"/>
      <c r="Y35" s="351"/>
      <c r="Z35" s="351"/>
      <c r="AA35" s="351"/>
      <c r="AB35" s="352" t="e">
        <f t="shared" si="1"/>
        <v>#N/A</v>
      </c>
      <c r="AC35" s="353"/>
      <c r="AD35" s="351" t="e">
        <f t="shared" si="5"/>
        <v>#DIV/0!</v>
      </c>
      <c r="AE35" s="325" t="s">
        <v>13</v>
      </c>
      <c r="AF35" s="354">
        <v>9.6100000000000005E-3</v>
      </c>
      <c r="AG35" s="355" t="str">
        <f>IF($K$35="Sube",IF(ISERROR(AB35/$O$35)=TRUE,"",IF(AB35&gt;$O$35,AF35,AB35/$O$35*AF35)),IF(ISERROR($O$35/AB35)=TRUE,"",IF($O$35&lt;AB35,$O$35/AB35*AF35,AF35)))</f>
        <v/>
      </c>
      <c r="AH35" s="356" t="str">
        <f>IF($K$35="Sube",IF(ISERROR(AB35/$O$35)=TRUE,"",IF(AB35&gt;=$O$35,1,0)),IF(ISERROR($O$35/AB35)=TRUE,"",IF($O$35&lt;AB35,0,1)))</f>
        <v/>
      </c>
      <c r="AI35" s="357"/>
      <c r="AJ35" s="394">
        <v>1</v>
      </c>
      <c r="AK35" s="539"/>
      <c r="AL35" s="481" t="s">
        <v>371</v>
      </c>
      <c r="AM35" s="197"/>
      <c r="AN35" s="150"/>
      <c r="AO35" s="241"/>
      <c r="AV35" s="64"/>
      <c r="AW35" s="63"/>
      <c r="AX35" s="63"/>
      <c r="AY35" s="63"/>
      <c r="AZ35" s="63"/>
      <c r="BA35" s="63"/>
      <c r="BB35" s="63"/>
      <c r="BC35" s="63"/>
      <c r="BD35" s="63"/>
      <c r="BE35" s="63"/>
      <c r="BF35" s="63"/>
      <c r="BG35" s="63"/>
      <c r="BH35" s="63"/>
      <c r="BI35" s="64"/>
      <c r="BJ35" s="64"/>
      <c r="BK35" s="64"/>
    </row>
    <row r="36" spans="1:63" s="236" customFormat="1" ht="63.75" customHeight="1">
      <c r="A36" s="1201" t="s">
        <v>78</v>
      </c>
      <c r="B36" s="426" t="e">
        <f t="shared" si="4"/>
        <v>#REF!</v>
      </c>
      <c r="C36" s="273" t="s">
        <v>325</v>
      </c>
      <c r="D36" s="273" t="s">
        <v>121</v>
      </c>
      <c r="E36" s="385"/>
      <c r="F36" s="385"/>
      <c r="G36" s="273" t="s">
        <v>326</v>
      </c>
      <c r="H36" s="273" t="s">
        <v>327</v>
      </c>
      <c r="I36" s="427">
        <v>0.75</v>
      </c>
      <c r="J36" s="278" t="s">
        <v>108</v>
      </c>
      <c r="K36" s="279" t="s">
        <v>100</v>
      </c>
      <c r="L36" s="279"/>
      <c r="M36" s="279"/>
      <c r="N36" s="279"/>
      <c r="O36" s="280" t="s">
        <v>369</v>
      </c>
      <c r="P36" s="281"/>
      <c r="Q36" s="281"/>
      <c r="R36" s="281"/>
      <c r="S36" s="281"/>
      <c r="T36" s="281"/>
      <c r="U36" s="281"/>
      <c r="V36" s="281"/>
      <c r="W36" s="281"/>
      <c r="X36" s="281"/>
      <c r="Y36" s="281"/>
      <c r="Z36" s="281"/>
      <c r="AA36" s="281"/>
      <c r="AB36" s="282" t="e">
        <f t="shared" si="1"/>
        <v>#N/A</v>
      </c>
      <c r="AC36" s="283"/>
      <c r="AD36" s="281" t="e">
        <f t="shared" si="5"/>
        <v>#DIV/0!</v>
      </c>
      <c r="AE36" s="284" t="s">
        <v>13</v>
      </c>
      <c r="AF36" s="363">
        <v>9.6100000000000005E-3</v>
      </c>
      <c r="AG36" s="286" t="str">
        <f>IF($K$36="Sube",IF(ISERROR(AB36/$O$36)=TRUE,"",IF(AB36&gt;$O$36,AF36,AB36/$O$36*AF36)),IF(ISERROR($O$36/AB36)=TRUE,"",IF($O$36&lt;AB36,$O$36/AB36*AF36,AF36)))</f>
        <v/>
      </c>
      <c r="AH36" s="287" t="str">
        <f>IF($K$36="Sube",IF(ISERROR(AB36/$O$36)=TRUE,"",IF(AB36&gt;=$O$36,1,0)),IF(ISERROR($O$36/AB36)=TRUE,"",IF($O$36&lt;AB36,0,1)))</f>
        <v/>
      </c>
      <c r="AI36" s="288"/>
      <c r="AJ36" s="421">
        <v>0.75</v>
      </c>
      <c r="AK36" s="543"/>
      <c r="AL36" s="487" t="s">
        <v>370</v>
      </c>
      <c r="AM36" s="190"/>
      <c r="AN36" s="235"/>
      <c r="AV36" s="237"/>
      <c r="AW36" s="238"/>
      <c r="AX36" s="238"/>
      <c r="AY36" s="238"/>
      <c r="AZ36" s="238"/>
      <c r="BA36" s="238"/>
      <c r="BB36" s="238"/>
      <c r="BC36" s="238"/>
      <c r="BD36" s="238"/>
      <c r="BE36" s="238"/>
      <c r="BF36" s="238"/>
      <c r="BG36" s="238"/>
      <c r="BH36" s="238"/>
      <c r="BI36" s="237"/>
      <c r="BJ36" s="237"/>
      <c r="BK36" s="237"/>
    </row>
    <row r="37" spans="1:63" s="236" customFormat="1" ht="61.5" hidden="1" thickBot="1">
      <c r="A37" s="1202"/>
      <c r="B37" s="428" t="e">
        <f>+B36+1</f>
        <v>#REF!</v>
      </c>
      <c r="C37" s="391" t="s">
        <v>134</v>
      </c>
      <c r="D37" s="391" t="s">
        <v>135</v>
      </c>
      <c r="E37" s="392"/>
      <c r="F37" s="392"/>
      <c r="G37" s="391" t="s">
        <v>257</v>
      </c>
      <c r="H37" s="391" t="s">
        <v>136</v>
      </c>
      <c r="I37" s="429" t="s">
        <v>295</v>
      </c>
      <c r="J37" s="425" t="s">
        <v>258</v>
      </c>
      <c r="K37" s="320" t="s">
        <v>100</v>
      </c>
      <c r="L37" s="320"/>
      <c r="M37" s="320"/>
      <c r="N37" s="320"/>
      <c r="O37" s="321"/>
      <c r="P37" s="351"/>
      <c r="Q37" s="351"/>
      <c r="R37" s="351"/>
      <c r="S37" s="351"/>
      <c r="T37" s="351"/>
      <c r="U37" s="351"/>
      <c r="V37" s="351"/>
      <c r="W37" s="351"/>
      <c r="X37" s="351"/>
      <c r="Y37" s="351"/>
      <c r="Z37" s="351"/>
      <c r="AA37" s="351"/>
      <c r="AB37" s="352" t="e">
        <f t="shared" si="1"/>
        <v>#N/A</v>
      </c>
      <c r="AC37" s="353"/>
      <c r="AD37" s="351" t="e">
        <f t="shared" si="5"/>
        <v>#DIV/0!</v>
      </c>
      <c r="AE37" s="325" t="s">
        <v>13</v>
      </c>
      <c r="AF37" s="354">
        <v>9.6100000000000005E-3</v>
      </c>
      <c r="AG37" s="355" t="str">
        <f>IF($K$37="Sube",IF(ISERROR(AB37/$O$37)=TRUE,"",IF(AB37&gt;$O$37,AF37,AB37/$O$37*AF37)),IF(ISERROR($O$37/AB37)=TRUE,"",IF($O$37&lt;AB37,$O$37/AB37*AF37,AF37)))</f>
        <v/>
      </c>
      <c r="AH37" s="356" t="str">
        <f>IF($K$37="Sube",IF(ISERROR(AB37/$O$37)=TRUE,"",IF(AB37&gt;=$O$37,1,0)),IF(ISERROR($O$37/AB37)=TRUE,"",IF($O$37&lt;AB37,0,1)))</f>
        <v/>
      </c>
      <c r="AI37" s="357"/>
      <c r="AJ37" s="430"/>
      <c r="AK37" s="488"/>
      <c r="AL37" s="488"/>
      <c r="AM37" s="246"/>
      <c r="AN37" s="239"/>
      <c r="AV37" s="237"/>
      <c r="AW37" s="238"/>
      <c r="AX37" s="238"/>
      <c r="AY37" s="238"/>
      <c r="AZ37" s="238"/>
      <c r="BA37" s="238"/>
      <c r="BB37" s="238"/>
      <c r="BC37" s="238"/>
      <c r="BD37" s="238"/>
      <c r="BE37" s="238"/>
      <c r="BF37" s="238"/>
      <c r="BG37" s="238"/>
      <c r="BH37" s="238"/>
      <c r="BI37" s="237"/>
      <c r="BJ37" s="237"/>
      <c r="BK37" s="237"/>
    </row>
    <row r="38" spans="1:63" ht="63" hidden="1">
      <c r="A38" s="1203" t="s">
        <v>259</v>
      </c>
      <c r="B38" s="272" t="e">
        <f t="shared" si="4"/>
        <v>#REF!</v>
      </c>
      <c r="C38" s="431" t="s">
        <v>260</v>
      </c>
      <c r="D38" s="273" t="s">
        <v>121</v>
      </c>
      <c r="E38" s="275"/>
      <c r="F38" s="385"/>
      <c r="G38" s="501" t="s">
        <v>261</v>
      </c>
      <c r="H38" s="501" t="s">
        <v>391</v>
      </c>
      <c r="I38" s="502">
        <v>0</v>
      </c>
      <c r="J38" s="503" t="s">
        <v>262</v>
      </c>
      <c r="K38" s="504" t="s">
        <v>100</v>
      </c>
      <c r="L38" s="498" t="s">
        <v>387</v>
      </c>
      <c r="M38" s="499" t="s">
        <v>393</v>
      </c>
      <c r="N38" s="500" t="s">
        <v>392</v>
      </c>
      <c r="O38" s="280">
        <v>1</v>
      </c>
      <c r="P38" s="281"/>
      <c r="Q38" s="281"/>
      <c r="R38" s="281"/>
      <c r="S38" s="281"/>
      <c r="T38" s="281"/>
      <c r="U38" s="281"/>
      <c r="V38" s="281"/>
      <c r="W38" s="281"/>
      <c r="X38" s="281"/>
      <c r="Y38" s="281"/>
      <c r="Z38" s="281"/>
      <c r="AA38" s="281"/>
      <c r="AB38" s="282" t="e">
        <f t="shared" si="1"/>
        <v>#N/A</v>
      </c>
      <c r="AC38" s="283"/>
      <c r="AD38" s="281" t="e">
        <f t="shared" si="5"/>
        <v>#DIV/0!</v>
      </c>
      <c r="AE38" s="284" t="s">
        <v>13</v>
      </c>
      <c r="AF38" s="363">
        <v>9.6100000000000005E-3</v>
      </c>
      <c r="AG38" s="286" t="str">
        <f>IF($K$38="Sube",IF(ISERROR(AB38/$O$38)=TRUE,"",IF(AB38&gt;$O$38,AF38,AB38/$O$38*AF38)),IF(ISERROR($O$38/AB38)=TRUE,"",IF($O$38&lt;AB38,$O$38/AB38*AF38,AF38)))</f>
        <v/>
      </c>
      <c r="AH38" s="287" t="str">
        <f>IF($K$38="Sube",IF(ISERROR(AB38/$O$38)=TRUE,"",IF(AB38&gt;=$O$38,1,0)),IF(ISERROR($O$38/AB38)=TRUE,"",IF($O$38&lt;AB38,0,1)))</f>
        <v/>
      </c>
      <c r="AI38" s="288"/>
      <c r="AJ38" s="289"/>
      <c r="AK38" s="478"/>
      <c r="AL38" s="484" t="s">
        <v>364</v>
      </c>
      <c r="AM38" s="195"/>
      <c r="AN38" s="137"/>
      <c r="AV38" s="64"/>
      <c r="AW38" s="63"/>
      <c r="AX38" s="63"/>
      <c r="AY38" s="63"/>
      <c r="AZ38" s="63"/>
      <c r="BA38" s="63"/>
      <c r="BB38" s="63"/>
      <c r="BC38" s="63"/>
      <c r="BD38" s="63"/>
      <c r="BE38" s="63"/>
      <c r="BF38" s="63"/>
      <c r="BG38" s="63"/>
      <c r="BH38" s="63"/>
      <c r="BI38" s="64"/>
      <c r="BJ38" s="64"/>
      <c r="BK38" s="64"/>
    </row>
    <row r="39" spans="1:63" ht="77.25" hidden="1" thickBot="1">
      <c r="A39" s="1204"/>
      <c r="B39" s="347" t="e">
        <f>+#REF!+1</f>
        <v>#REF!</v>
      </c>
      <c r="C39" s="423" t="s">
        <v>263</v>
      </c>
      <c r="D39" s="316" t="s">
        <v>113</v>
      </c>
      <c r="E39" s="432"/>
      <c r="F39" s="348"/>
      <c r="G39" s="505" t="s">
        <v>264</v>
      </c>
      <c r="H39" s="379" t="s">
        <v>265</v>
      </c>
      <c r="I39" s="506">
        <v>0.85</v>
      </c>
      <c r="J39" s="507" t="s">
        <v>258</v>
      </c>
      <c r="K39" s="508" t="s">
        <v>100</v>
      </c>
      <c r="L39" s="319"/>
      <c r="M39" s="319"/>
      <c r="N39" s="319"/>
      <c r="O39" s="321">
        <v>0.92</v>
      </c>
      <c r="P39" s="351"/>
      <c r="Q39" s="351"/>
      <c r="R39" s="351"/>
      <c r="S39" s="351"/>
      <c r="T39" s="351"/>
      <c r="U39" s="351"/>
      <c r="V39" s="351"/>
      <c r="W39" s="351"/>
      <c r="X39" s="351"/>
      <c r="Y39" s="351"/>
      <c r="Z39" s="351"/>
      <c r="AA39" s="351"/>
      <c r="AB39" s="352" t="e">
        <f t="shared" si="1"/>
        <v>#N/A</v>
      </c>
      <c r="AC39" s="353">
        <f>+(4*100)/4</f>
        <v>100</v>
      </c>
      <c r="AD39" s="351" t="e">
        <f t="shared" si="5"/>
        <v>#DIV/0!</v>
      </c>
      <c r="AE39" s="325" t="s">
        <v>13</v>
      </c>
      <c r="AF39" s="354">
        <v>9.6100000000000005E-3</v>
      </c>
      <c r="AG39" s="355" t="str">
        <f>IF($K$39="Sube",IF(ISERROR(AB39/$O$39)=TRUE,"",IF(AB39&gt;$O$39,AF39,AB39/$O$39*AF39)),IF(ISERROR($O$39/AB39)=TRUE,"",IF($O$39&lt;AB39,$O$39/AB39*AF39,AF39)))</f>
        <v/>
      </c>
      <c r="AH39" s="356" t="str">
        <f>IF($K$39="Sube",IF(ISERROR(AB39/$O$39)=TRUE,"",IF(AB39&gt;=$O$39,1,0)),IF(ISERROR($O$39/AB39)=TRUE,"",IF($O$39&lt;AB39,0,1)))</f>
        <v/>
      </c>
      <c r="AI39" s="357"/>
      <c r="AJ39" s="358"/>
      <c r="AK39" s="483"/>
      <c r="AL39" s="483"/>
      <c r="AM39" s="197"/>
      <c r="AN39" s="151"/>
      <c r="AO39" s="198" t="s">
        <v>266</v>
      </c>
      <c r="AV39" s="64"/>
      <c r="AW39" s="63"/>
      <c r="AX39" s="63"/>
      <c r="AY39" s="63"/>
      <c r="AZ39" s="63"/>
      <c r="BA39" s="63"/>
      <c r="BB39" s="63"/>
      <c r="BC39" s="63"/>
      <c r="BD39" s="63"/>
      <c r="BE39" s="63"/>
      <c r="BF39" s="63"/>
      <c r="BG39" s="63"/>
      <c r="BH39" s="63"/>
      <c r="BI39" s="64"/>
      <c r="BJ39" s="64"/>
      <c r="BK39" s="64"/>
    </row>
    <row r="40" spans="1:63" ht="42" hidden="1">
      <c r="A40" s="1203" t="s">
        <v>79</v>
      </c>
      <c r="B40" s="433" t="e">
        <f t="shared" si="4"/>
        <v>#REF!</v>
      </c>
      <c r="C40" s="434" t="s">
        <v>137</v>
      </c>
      <c r="D40" s="434" t="s">
        <v>112</v>
      </c>
      <c r="E40" s="435"/>
      <c r="F40" s="436"/>
      <c r="G40" s="437" t="str">
        <f>+'Tablero Estratégico'!Q20</f>
        <v>Resultado de la medición del clima laboral en el período</v>
      </c>
      <c r="H40" s="437" t="s">
        <v>157</v>
      </c>
      <c r="I40" s="509">
        <f>+'Tablero Estratégico'!AO20</f>
        <v>41.3</v>
      </c>
      <c r="J40" s="509" t="s">
        <v>146</v>
      </c>
      <c r="K40" s="504" t="s">
        <v>100</v>
      </c>
      <c r="L40" s="375"/>
      <c r="M40" s="375"/>
      <c r="N40" s="375"/>
      <c r="O40" s="438">
        <f>+'Tablero Estratégico'!AP20</f>
        <v>50</v>
      </c>
      <c r="P40" s="281"/>
      <c r="Q40" s="281"/>
      <c r="R40" s="281"/>
      <c r="S40" s="281"/>
      <c r="T40" s="281"/>
      <c r="U40" s="281"/>
      <c r="V40" s="281"/>
      <c r="W40" s="281"/>
      <c r="X40" s="281"/>
      <c r="Y40" s="281"/>
      <c r="Z40" s="281"/>
      <c r="AA40" s="281"/>
      <c r="AB40" s="282" t="e">
        <f t="shared" si="1"/>
        <v>#N/A</v>
      </c>
      <c r="AC40" s="283"/>
      <c r="AD40" s="281" t="e">
        <f t="shared" si="5"/>
        <v>#DIV/0!</v>
      </c>
      <c r="AE40" s="284" t="s">
        <v>13</v>
      </c>
      <c r="AF40" s="363">
        <v>9.6100000000000005E-3</v>
      </c>
      <c r="AG40" s="286" t="str">
        <f>IF($K$40="Sube",IF(ISERROR(AB40/$O$40)=TRUE,"",IF(AB40&gt;$O$40,AF40,AB40/$O$40*AF40)),IF(ISERROR($O$40/AB40)=TRUE,"",IF($O$40&lt;AB40,$O$40/AB40*AF40,AF40)))</f>
        <v/>
      </c>
      <c r="AH40" s="287" t="str">
        <f>IF($K$40="Sube",IF(ISERROR(AB40/$O$40)=TRUE,"",IF(AB40&gt;=$O$40,1,0)),IF(ISERROR($O$40/AB40)=TRUE,"",IF($O$40&lt;AB40,0,1)))</f>
        <v/>
      </c>
      <c r="AI40" s="288"/>
      <c r="AJ40" s="289"/>
      <c r="AK40" s="478"/>
      <c r="AL40" s="478"/>
      <c r="AM40" s="195"/>
      <c r="AN40" s="137"/>
      <c r="AV40" s="64"/>
      <c r="AW40" s="63"/>
      <c r="AX40" s="63"/>
      <c r="AY40" s="63"/>
      <c r="AZ40" s="63"/>
      <c r="BA40" s="63"/>
      <c r="BB40" s="63"/>
      <c r="BC40" s="63"/>
      <c r="BD40" s="63"/>
      <c r="BE40" s="63"/>
      <c r="BF40" s="63"/>
      <c r="BG40" s="63"/>
      <c r="BH40" s="63"/>
      <c r="BI40" s="64"/>
      <c r="BJ40" s="64"/>
      <c r="BK40" s="64"/>
    </row>
    <row r="41" spans="1:63" ht="42" hidden="1">
      <c r="A41" s="1205"/>
      <c r="B41" s="439" t="e">
        <f t="shared" si="4"/>
        <v>#REF!</v>
      </c>
      <c r="C41" s="365" t="s">
        <v>138</v>
      </c>
      <c r="D41" s="365" t="s">
        <v>112</v>
      </c>
      <c r="E41" s="440"/>
      <c r="F41" s="441"/>
      <c r="G41" s="442" t="s">
        <v>162</v>
      </c>
      <c r="H41" s="442" t="s">
        <v>158</v>
      </c>
      <c r="I41" s="510"/>
      <c r="J41" s="510" t="s">
        <v>146</v>
      </c>
      <c r="K41" s="511" t="s">
        <v>100</v>
      </c>
      <c r="L41" s="309"/>
      <c r="M41" s="309"/>
      <c r="N41" s="309"/>
      <c r="O41" s="310"/>
      <c r="P41" s="299"/>
      <c r="Q41" s="299"/>
      <c r="R41" s="299"/>
      <c r="S41" s="299"/>
      <c r="T41" s="299"/>
      <c r="U41" s="299"/>
      <c r="V41" s="299"/>
      <c r="W41" s="299"/>
      <c r="X41" s="299"/>
      <c r="Y41" s="299"/>
      <c r="Z41" s="299"/>
      <c r="AA41" s="299"/>
      <c r="AB41" s="300" t="e">
        <f t="shared" si="1"/>
        <v>#N/A</v>
      </c>
      <c r="AC41" s="301"/>
      <c r="AD41" s="299" t="e">
        <f t="shared" si="5"/>
        <v>#DIV/0!</v>
      </c>
      <c r="AE41" s="302" t="s">
        <v>13</v>
      </c>
      <c r="AF41" s="333">
        <v>9.6100000000000005E-3</v>
      </c>
      <c r="AG41" s="304" t="str">
        <f>IF($K$41="Sube",IF(ISERROR(AB41/$O$41)=TRUE,"",IF(AB41&gt;$O$41,AF41,AB41/$O$41*AF41)),IF(ISERROR($O$41/AB41)=TRUE,"",IF($O$41&lt;AB41,$O$41/AB41*AF41,AF41)))</f>
        <v/>
      </c>
      <c r="AH41" s="305" t="str">
        <f>IF($K$41="Sube",IF(ISERROR(AB41/$O$41)=TRUE,"",IF(AB41&gt;=$O$41,1,0)),IF(ISERROR($O$41/AB41)=TRUE,"",IF($O$41&lt;AB41,0,1)))</f>
        <v/>
      </c>
      <c r="AI41" s="306"/>
      <c r="AJ41" s="307"/>
      <c r="AK41" s="479"/>
      <c r="AL41" s="479"/>
      <c r="AM41" s="243"/>
      <c r="AN41" s="138"/>
      <c r="AV41" s="64"/>
      <c r="AW41" s="63"/>
      <c r="AX41" s="63"/>
      <c r="AY41" s="63"/>
      <c r="AZ41" s="63"/>
      <c r="BA41" s="63"/>
      <c r="BB41" s="63"/>
      <c r="BC41" s="63"/>
      <c r="BD41" s="63"/>
      <c r="BE41" s="63"/>
      <c r="BF41" s="63"/>
      <c r="BG41" s="63"/>
      <c r="BH41" s="63"/>
      <c r="BI41" s="64"/>
      <c r="BJ41" s="64"/>
      <c r="BK41" s="64"/>
    </row>
    <row r="42" spans="1:63" ht="42" hidden="1">
      <c r="A42" s="1205"/>
      <c r="B42" s="439" t="e">
        <f>+#REF!+1</f>
        <v>#REF!</v>
      </c>
      <c r="C42" s="365" t="s">
        <v>267</v>
      </c>
      <c r="D42" s="365" t="s">
        <v>112</v>
      </c>
      <c r="E42" s="440"/>
      <c r="F42" s="441"/>
      <c r="G42" s="442" t="s">
        <v>268</v>
      </c>
      <c r="H42" s="442" t="s">
        <v>269</v>
      </c>
      <c r="I42" s="510" t="s">
        <v>295</v>
      </c>
      <c r="J42" s="512" t="s">
        <v>262</v>
      </c>
      <c r="K42" s="511" t="s">
        <v>100</v>
      </c>
      <c r="L42" s="309"/>
      <c r="M42" s="309"/>
      <c r="N42" s="309"/>
      <c r="O42" s="310"/>
      <c r="P42" s="299"/>
      <c r="Q42" s="299"/>
      <c r="R42" s="299"/>
      <c r="S42" s="299"/>
      <c r="T42" s="299"/>
      <c r="U42" s="299"/>
      <c r="V42" s="299"/>
      <c r="W42" s="299"/>
      <c r="X42" s="299"/>
      <c r="Y42" s="299"/>
      <c r="Z42" s="299"/>
      <c r="AA42" s="299"/>
      <c r="AB42" s="300" t="e">
        <f t="shared" si="1"/>
        <v>#N/A</v>
      </c>
      <c r="AC42" s="301"/>
      <c r="AD42" s="299" t="e">
        <f t="shared" si="5"/>
        <v>#DIV/0!</v>
      </c>
      <c r="AE42" s="302" t="s">
        <v>13</v>
      </c>
      <c r="AF42" s="333">
        <v>9.6100000000000005E-3</v>
      </c>
      <c r="AG42" s="304" t="str">
        <f>IF($K$42="Sube",IF(ISERROR(AB42/$O$42)=TRUE,"",IF(AB42&gt;$O$42,AF42,AB42/$O$42*AF42)),IF(ISERROR($O$42/AB42)=TRUE,"",IF($O$42&lt;AB42,$O$42/AB42*AF42,AF42)))</f>
        <v/>
      </c>
      <c r="AH42" s="305" t="str">
        <f>IF($K$42="Sube",IF(ISERROR(AB42/$O$42)=TRUE,"",IF(AB42&gt;=$O$42,1,0)),IF(ISERROR($O$42/AB42)=TRUE,"",IF($O$42&lt;AB42,0,1)))</f>
        <v/>
      </c>
      <c r="AI42" s="306"/>
      <c r="AJ42" s="307"/>
      <c r="AK42" s="479"/>
      <c r="AL42" s="479"/>
      <c r="AM42" s="243"/>
      <c r="AN42" s="138"/>
      <c r="AV42" s="64"/>
      <c r="AW42" s="63"/>
      <c r="AX42" s="63"/>
      <c r="AY42" s="63"/>
      <c r="AZ42" s="63"/>
      <c r="BA42" s="63"/>
      <c r="BB42" s="63"/>
      <c r="BC42" s="63"/>
      <c r="BD42" s="63"/>
      <c r="BE42" s="63"/>
      <c r="BF42" s="63"/>
      <c r="BG42" s="63"/>
      <c r="BH42" s="63"/>
      <c r="BI42" s="64"/>
      <c r="BJ42" s="64"/>
      <c r="BK42" s="64"/>
    </row>
    <row r="43" spans="1:63" ht="33.75" hidden="1" customHeight="1">
      <c r="A43" s="1205"/>
      <c r="B43" s="439" t="e">
        <f t="shared" si="4"/>
        <v>#REF!</v>
      </c>
      <c r="C43" s="365" t="s">
        <v>270</v>
      </c>
      <c r="D43" s="365" t="s">
        <v>121</v>
      </c>
      <c r="E43" s="440"/>
      <c r="F43" s="441"/>
      <c r="G43" s="442" t="s">
        <v>271</v>
      </c>
      <c r="H43" s="442" t="s">
        <v>272</v>
      </c>
      <c r="I43" s="513">
        <v>1</v>
      </c>
      <c r="J43" s="510" t="s">
        <v>108</v>
      </c>
      <c r="K43" s="511" t="s">
        <v>100</v>
      </c>
      <c r="L43" s="309"/>
      <c r="M43" s="309"/>
      <c r="N43" s="309"/>
      <c r="O43" s="310">
        <v>1</v>
      </c>
      <c r="P43" s="299"/>
      <c r="Q43" s="299"/>
      <c r="R43" s="299"/>
      <c r="S43" s="299"/>
      <c r="T43" s="299"/>
      <c r="U43" s="299"/>
      <c r="V43" s="299"/>
      <c r="W43" s="299"/>
      <c r="X43" s="299"/>
      <c r="Y43" s="299"/>
      <c r="Z43" s="299"/>
      <c r="AA43" s="299"/>
      <c r="AB43" s="300" t="e">
        <f t="shared" si="1"/>
        <v>#N/A</v>
      </c>
      <c r="AC43" s="301"/>
      <c r="AD43" s="299" t="e">
        <f t="shared" si="5"/>
        <v>#DIV/0!</v>
      </c>
      <c r="AE43" s="302" t="s">
        <v>13</v>
      </c>
      <c r="AF43" s="333">
        <v>9.6100000000000005E-3</v>
      </c>
      <c r="AG43" s="304" t="str">
        <f>IF($K$43="Sube",IF(ISERROR(AB43/$O$43)=TRUE,"",IF(AB43&gt;$O$43,AF43,AB43/$O$43*AF43)),IF(ISERROR($O$43/AB43)=TRUE,"",IF($O$43&lt;AB43,$O$43/AB43*AF43,AF43)))</f>
        <v/>
      </c>
      <c r="AH43" s="305" t="str">
        <f>IF($K$43="Sube",IF(ISERROR(AB43/$O$43)=TRUE,"",IF(AB43&gt;=$O$43,1,0)),IF(ISERROR($O$43/AB43)=TRUE,"",IF($O$43&lt;AB43,0,1)))</f>
        <v/>
      </c>
      <c r="AI43" s="306"/>
      <c r="AJ43" s="307"/>
      <c r="AK43" s="479"/>
      <c r="AL43" s="479"/>
      <c r="AM43" s="243"/>
      <c r="AN43" s="138"/>
      <c r="AV43" s="64"/>
      <c r="AW43" s="63"/>
      <c r="AX43" s="63"/>
      <c r="AY43" s="63"/>
      <c r="AZ43" s="63"/>
      <c r="BA43" s="63"/>
      <c r="BB43" s="63"/>
      <c r="BC43" s="63"/>
      <c r="BD43" s="63"/>
      <c r="BE43" s="63"/>
      <c r="BF43" s="63"/>
      <c r="BG43" s="63"/>
      <c r="BH43" s="63"/>
      <c r="BI43" s="64"/>
      <c r="BJ43" s="64"/>
      <c r="BK43" s="64"/>
    </row>
    <row r="44" spans="1:63" ht="63" hidden="1">
      <c r="A44" s="1205"/>
      <c r="B44" s="439" t="e">
        <f t="shared" si="4"/>
        <v>#REF!</v>
      </c>
      <c r="C44" s="365" t="s">
        <v>273</v>
      </c>
      <c r="D44" s="365" t="s">
        <v>121</v>
      </c>
      <c r="E44" s="441"/>
      <c r="F44" s="441"/>
      <c r="G44" s="442" t="s">
        <v>274</v>
      </c>
      <c r="H44" s="442" t="s">
        <v>275</v>
      </c>
      <c r="I44" s="510" t="s">
        <v>295</v>
      </c>
      <c r="J44" s="512" t="s">
        <v>146</v>
      </c>
      <c r="K44" s="511" t="s">
        <v>100</v>
      </c>
      <c r="L44" s="309"/>
      <c r="M44" s="309"/>
      <c r="N44" s="309"/>
      <c r="O44" s="310"/>
      <c r="P44" s="299"/>
      <c r="Q44" s="299"/>
      <c r="R44" s="299"/>
      <c r="S44" s="299"/>
      <c r="T44" s="299"/>
      <c r="U44" s="299"/>
      <c r="V44" s="299"/>
      <c r="W44" s="299"/>
      <c r="X44" s="299"/>
      <c r="Y44" s="299"/>
      <c r="Z44" s="299"/>
      <c r="AA44" s="299"/>
      <c r="AB44" s="300" t="e">
        <f t="shared" si="1"/>
        <v>#N/A</v>
      </c>
      <c r="AC44" s="301"/>
      <c r="AD44" s="299" t="e">
        <f t="shared" si="5"/>
        <v>#DIV/0!</v>
      </c>
      <c r="AE44" s="302" t="s">
        <v>13</v>
      </c>
      <c r="AF44" s="333">
        <v>9.6100000000000005E-3</v>
      </c>
      <c r="AG44" s="304" t="str">
        <f>IF($K$44="Sube",IF(ISERROR(AB44/$O$44)=TRUE,"",IF(AB44&gt;$O$44,AF44,AB44/$O$44*AF44)),IF(ISERROR($O$44/AB44)=TRUE,"",IF($O$44&lt;AB44,$O$44/AB44*AF44,AF44)))</f>
        <v/>
      </c>
      <c r="AH44" s="305" t="str">
        <f>IF($K$44="Sube",IF(ISERROR(AB44/$O$44)=TRUE,"",IF(AB44&gt;=$O$44,1,0)),IF(ISERROR($O$44/AB44)=TRUE,"",IF($O$44&lt;AB44,0,1)))</f>
        <v/>
      </c>
      <c r="AI44" s="306"/>
      <c r="AJ44" s="307"/>
      <c r="AK44" s="479"/>
      <c r="AL44" s="479"/>
      <c r="AM44" s="243"/>
      <c r="AN44" s="138"/>
      <c r="AV44" s="64"/>
      <c r="AW44" s="63"/>
      <c r="AX44" s="63"/>
      <c r="AY44" s="63"/>
      <c r="AZ44" s="63"/>
      <c r="BA44" s="63"/>
      <c r="BB44" s="63"/>
      <c r="BC44" s="63"/>
      <c r="BD44" s="63"/>
      <c r="BE44" s="63"/>
      <c r="BF44" s="63"/>
      <c r="BG44" s="63"/>
      <c r="BH44" s="63"/>
      <c r="BI44" s="64"/>
      <c r="BJ44" s="64"/>
      <c r="BK44" s="64"/>
    </row>
    <row r="45" spans="1:63" ht="63.75" hidden="1" thickBot="1">
      <c r="A45" s="1204"/>
      <c r="B45" s="377"/>
      <c r="C45" s="443" t="s">
        <v>276</v>
      </c>
      <c r="D45" s="443" t="s">
        <v>121</v>
      </c>
      <c r="E45" s="444"/>
      <c r="F45" s="444"/>
      <c r="G45" s="514" t="s">
        <v>277</v>
      </c>
      <c r="H45" s="514" t="s">
        <v>278</v>
      </c>
      <c r="I45" s="515">
        <v>1</v>
      </c>
      <c r="J45" s="516" t="s">
        <v>146</v>
      </c>
      <c r="K45" s="517" t="s">
        <v>141</v>
      </c>
      <c r="L45" s="494"/>
      <c r="M45" s="494"/>
      <c r="N45" s="494"/>
      <c r="O45" s="337">
        <v>1</v>
      </c>
      <c r="P45" s="338"/>
      <c r="Q45" s="338"/>
      <c r="R45" s="338"/>
      <c r="S45" s="338"/>
      <c r="T45" s="338"/>
      <c r="U45" s="338"/>
      <c r="V45" s="338"/>
      <c r="W45" s="338"/>
      <c r="X45" s="338"/>
      <c r="Y45" s="338"/>
      <c r="Z45" s="338"/>
      <c r="AA45" s="338"/>
      <c r="AB45" s="339"/>
      <c r="AC45" s="340"/>
      <c r="AD45" s="338"/>
      <c r="AE45" s="341"/>
      <c r="AF45" s="342"/>
      <c r="AG45" s="343"/>
      <c r="AH45" s="344"/>
      <c r="AI45" s="345"/>
      <c r="AJ45" s="346"/>
      <c r="AK45" s="482"/>
      <c r="AL45" s="482"/>
      <c r="AM45" s="245"/>
      <c r="AN45" s="196"/>
      <c r="AV45" s="64"/>
      <c r="AW45" s="63"/>
      <c r="AX45" s="63"/>
      <c r="AY45" s="63"/>
      <c r="AZ45" s="63"/>
      <c r="BA45" s="63"/>
      <c r="BB45" s="63"/>
      <c r="BC45" s="63"/>
      <c r="BD45" s="63"/>
      <c r="BE45" s="63"/>
      <c r="BF45" s="63"/>
      <c r="BG45" s="63"/>
      <c r="BH45" s="63"/>
      <c r="BI45" s="64"/>
      <c r="BJ45" s="64"/>
      <c r="BK45" s="64"/>
    </row>
    <row r="46" spans="1:63" s="4" customFormat="1" ht="42.75" hidden="1" thickBot="1">
      <c r="A46" s="445" t="s">
        <v>80</v>
      </c>
      <c r="B46" s="446" t="e">
        <f>+#REF!+1</f>
        <v>#REF!</v>
      </c>
      <c r="C46" s="447" t="s">
        <v>139</v>
      </c>
      <c r="D46" s="447" t="s">
        <v>121</v>
      </c>
      <c r="E46" s="448"/>
      <c r="F46" s="448"/>
      <c r="G46" s="518" t="s">
        <v>279</v>
      </c>
      <c r="H46" s="518" t="s">
        <v>280</v>
      </c>
      <c r="I46" s="519">
        <f>+'Tablero Estratégico'!AO22</f>
        <v>1</v>
      </c>
      <c r="J46" s="520" t="str">
        <f>+'Tablero Estratégico'!AN22</f>
        <v>Trimestral</v>
      </c>
      <c r="K46" s="521" t="s">
        <v>100</v>
      </c>
      <c r="L46" s="495"/>
      <c r="M46" s="495"/>
      <c r="N46" s="495"/>
      <c r="O46" s="449">
        <v>1</v>
      </c>
      <c r="P46" s="450"/>
      <c r="Q46" s="450"/>
      <c r="R46" s="450"/>
      <c r="S46" s="450"/>
      <c r="T46" s="450"/>
      <c r="U46" s="450"/>
      <c r="V46" s="450"/>
      <c r="W46" s="450"/>
      <c r="X46" s="450"/>
      <c r="Y46" s="450"/>
      <c r="Z46" s="450"/>
      <c r="AA46" s="450"/>
      <c r="AB46" s="451" t="e">
        <f t="shared" si="1"/>
        <v>#N/A</v>
      </c>
      <c r="AC46" s="452"/>
      <c r="AD46" s="450" t="e">
        <f t="shared" si="5"/>
        <v>#DIV/0!</v>
      </c>
      <c r="AE46" s="453" t="s">
        <v>13</v>
      </c>
      <c r="AF46" s="454">
        <v>9.6100000000000005E-3</v>
      </c>
      <c r="AG46" s="455" t="str">
        <f>IF($K$46="Sube",IF(ISERROR(AB46/$O$46)=TRUE,"",IF(AB46&gt;$O$46,AF46,AB46/$O$46*AF46)),IF(ISERROR($O$46/AB46)=TRUE,"",IF($O$46&lt;AB46,$O$46/AB46*AF46,AF46)))</f>
        <v/>
      </c>
      <c r="AH46" s="456" t="str">
        <f>IF($K$46="Sube",IF(ISERROR(AB46/$O$46)=TRUE,"",IF(AB46&gt;=$O$46,1,0)),IF(ISERROR($O$46/AB46)=TRUE,"",IF($O$46&lt;AB46,0,1)))</f>
        <v/>
      </c>
      <c r="AI46" s="457"/>
      <c r="AJ46" s="458">
        <f>+'Tablero Estratégico'!BD22</f>
        <v>0.61422873243504517</v>
      </c>
      <c r="AK46" s="489"/>
      <c r="AL46" s="489">
        <f>+'Tablero Estratégico'!BI22</f>
        <v>0</v>
      </c>
      <c r="AM46" s="247"/>
      <c r="AN46" s="199"/>
      <c r="AO46" s="241"/>
      <c r="AV46" s="64"/>
      <c r="AW46" s="63"/>
      <c r="AX46" s="63"/>
      <c r="AY46" s="63"/>
      <c r="AZ46" s="63"/>
      <c r="BA46" s="63"/>
      <c r="BB46" s="63"/>
      <c r="BC46" s="63"/>
      <c r="BD46" s="63"/>
      <c r="BE46" s="63"/>
      <c r="BF46" s="63"/>
      <c r="BG46" s="63"/>
      <c r="BH46" s="63"/>
      <c r="BI46" s="64"/>
      <c r="BJ46" s="64"/>
      <c r="BK46" s="64"/>
    </row>
    <row r="47" spans="1:63" ht="63" hidden="1">
      <c r="A47" s="1203" t="s">
        <v>81</v>
      </c>
      <c r="B47" s="395" t="e">
        <f>+#REF!+1</f>
        <v>#REF!</v>
      </c>
      <c r="C47" s="273" t="s">
        <v>281</v>
      </c>
      <c r="D47" s="274" t="s">
        <v>114</v>
      </c>
      <c r="E47" s="373"/>
      <c r="F47" s="373"/>
      <c r="G47" s="522" t="s">
        <v>282</v>
      </c>
      <c r="H47" s="522" t="s">
        <v>283</v>
      </c>
      <c r="I47" s="523"/>
      <c r="J47" s="503" t="s">
        <v>147</v>
      </c>
      <c r="K47" s="504" t="s">
        <v>141</v>
      </c>
      <c r="L47" s="375"/>
      <c r="M47" s="375"/>
      <c r="N47" s="375"/>
      <c r="O47" s="280"/>
      <c r="P47" s="281"/>
      <c r="Q47" s="281"/>
      <c r="R47" s="281"/>
      <c r="S47" s="281"/>
      <c r="T47" s="281"/>
      <c r="U47" s="281"/>
      <c r="V47" s="281"/>
      <c r="W47" s="281"/>
      <c r="X47" s="281"/>
      <c r="Y47" s="281"/>
      <c r="Z47" s="281"/>
      <c r="AA47" s="281"/>
      <c r="AB47" s="282" t="e">
        <f t="shared" si="1"/>
        <v>#N/A</v>
      </c>
      <c r="AC47" s="283"/>
      <c r="AD47" s="281" t="e">
        <f t="shared" si="5"/>
        <v>#DIV/0!</v>
      </c>
      <c r="AE47" s="284" t="s">
        <v>13</v>
      </c>
      <c r="AF47" s="363">
        <v>9.6100000000000005E-3</v>
      </c>
      <c r="AG47" s="286" t="str">
        <f>IF($K$47="Sube",IF(ISERROR(AB47/$O$47)=TRUE,"",IF(AB47&gt;$O$47,AF47,AB47/$O$47*AF47)),IF(ISERROR($O$47/AB47)=TRUE,"",IF($O$47&lt;AB47,$O$47/AB47*AF47,AF47)))</f>
        <v/>
      </c>
      <c r="AH47" s="287" t="str">
        <f>IF($K$47="Sube",IF(ISERROR(AB47/$O$47)=TRUE,"",IF(AB47&gt;=$O$47,1,0)),IF(ISERROR($O$47/AB47)=TRUE,"",IF($O$47&lt;AB47,0,1)))</f>
        <v/>
      </c>
      <c r="AI47" s="288"/>
      <c r="AJ47" s="289"/>
      <c r="AK47" s="478"/>
      <c r="AL47" s="478"/>
      <c r="AM47" s="195"/>
      <c r="AN47" s="137"/>
      <c r="AV47" s="64"/>
      <c r="AW47" s="63"/>
      <c r="AX47" s="63"/>
      <c r="AY47" s="63"/>
      <c r="AZ47" s="63"/>
      <c r="BA47" s="63"/>
      <c r="BB47" s="63"/>
      <c r="BC47" s="63"/>
      <c r="BD47" s="63"/>
      <c r="BE47" s="63"/>
      <c r="BF47" s="63"/>
      <c r="BG47" s="63"/>
      <c r="BH47" s="63"/>
      <c r="BI47" s="64"/>
      <c r="BJ47" s="64"/>
      <c r="BK47" s="64"/>
    </row>
    <row r="48" spans="1:63" ht="81" hidden="1">
      <c r="A48" s="1205"/>
      <c r="B48" s="399" t="e">
        <f t="shared" si="4"/>
        <v>#REF!</v>
      </c>
      <c r="C48" s="292" t="s">
        <v>284</v>
      </c>
      <c r="D48" s="292" t="s">
        <v>121</v>
      </c>
      <c r="E48" s="331"/>
      <c r="F48" s="331"/>
      <c r="G48" s="524" t="s">
        <v>285</v>
      </c>
      <c r="H48" s="524" t="s">
        <v>286</v>
      </c>
      <c r="I48" s="525"/>
      <c r="J48" s="512" t="s">
        <v>147</v>
      </c>
      <c r="K48" s="511" t="s">
        <v>100</v>
      </c>
      <c r="L48" s="309"/>
      <c r="M48" s="309"/>
      <c r="N48" s="309"/>
      <c r="O48" s="310"/>
      <c r="P48" s="299"/>
      <c r="Q48" s="299"/>
      <c r="R48" s="299"/>
      <c r="S48" s="299"/>
      <c r="T48" s="299"/>
      <c r="U48" s="299"/>
      <c r="V48" s="299"/>
      <c r="W48" s="299"/>
      <c r="X48" s="299"/>
      <c r="Y48" s="299"/>
      <c r="Z48" s="299"/>
      <c r="AA48" s="299"/>
      <c r="AB48" s="300" t="e">
        <f t="shared" si="1"/>
        <v>#N/A</v>
      </c>
      <c r="AC48" s="301"/>
      <c r="AD48" s="299" t="e">
        <f t="shared" si="5"/>
        <v>#DIV/0!</v>
      </c>
      <c r="AE48" s="302" t="s">
        <v>13</v>
      </c>
      <c r="AF48" s="333">
        <v>9.6100000000000005E-3</v>
      </c>
      <c r="AG48" s="304" t="str">
        <f>IF($K$48="Sube",IF(ISERROR(AB48/$O$48)=TRUE,"",IF(AB48&gt;$O$48,AF48,AB48/$O$48*AF48)),IF(ISERROR($O$48/AB48)=TRUE,"",IF($O$48&lt;AB48,$O$48/AB48*AF48,AF48)))</f>
        <v/>
      </c>
      <c r="AH48" s="305" t="str">
        <f>IF($K$48="Sube",IF(ISERROR(AB48/$O$48)=TRUE,"",IF(AB48&gt;=$O$48,1,0)),IF(ISERROR($O$48/AB48)=TRUE,"",IF($O$48&lt;AB48,0,1)))</f>
        <v/>
      </c>
      <c r="AI48" s="306"/>
      <c r="AJ48" s="459">
        <f>+'Tablero Estratégico'!BD25</f>
        <v>0.92201235736089049</v>
      </c>
      <c r="AK48" s="544"/>
      <c r="AL48" s="480" t="str">
        <f>+'Tablero Estratégico'!BI25</f>
        <v>Con corte al mes de Octubre se han recaudado: $19.563.279.737,38 y se han comprometido: $18.618.499.890,41. Queda un saldo de $944.779.847 para comprometer (sin incluir recursos CREE.)</v>
      </c>
      <c r="AM48" s="243"/>
      <c r="AN48" s="138"/>
      <c r="AV48" s="64"/>
      <c r="AW48" s="63"/>
      <c r="AX48" s="63"/>
      <c r="AY48" s="63"/>
      <c r="AZ48" s="63"/>
      <c r="BA48" s="63"/>
      <c r="BB48" s="63"/>
      <c r="BC48" s="63"/>
      <c r="BD48" s="63"/>
      <c r="BE48" s="63"/>
      <c r="BF48" s="63"/>
      <c r="BG48" s="63"/>
      <c r="BH48" s="63"/>
      <c r="BI48" s="64"/>
      <c r="BJ48" s="64"/>
      <c r="BK48" s="64"/>
    </row>
    <row r="49" spans="1:64" ht="42.75" hidden="1" thickBot="1">
      <c r="A49" s="1204"/>
      <c r="B49" s="422" t="e">
        <f t="shared" si="4"/>
        <v>#REF!</v>
      </c>
      <c r="C49" s="316" t="s">
        <v>140</v>
      </c>
      <c r="D49" s="316" t="s">
        <v>112</v>
      </c>
      <c r="E49" s="348"/>
      <c r="F49" s="348"/>
      <c r="G49" s="379" t="s">
        <v>182</v>
      </c>
      <c r="H49" s="379" t="s">
        <v>170</v>
      </c>
      <c r="I49" s="526">
        <f>+'Tablero Estratégico'!AO25</f>
        <v>1.0374939776423666</v>
      </c>
      <c r="J49" s="507" t="s">
        <v>147</v>
      </c>
      <c r="K49" s="508" t="s">
        <v>100</v>
      </c>
      <c r="L49" s="319"/>
      <c r="M49" s="319"/>
      <c r="N49" s="319"/>
      <c r="O49" s="321" t="str">
        <f>+'Tablero Estratégico'!AP25</f>
        <v>≥  1,00</v>
      </c>
      <c r="P49" s="351"/>
      <c r="Q49" s="351"/>
      <c r="R49" s="351"/>
      <c r="S49" s="351"/>
      <c r="T49" s="351"/>
      <c r="U49" s="351"/>
      <c r="V49" s="351"/>
      <c r="W49" s="351"/>
      <c r="X49" s="351"/>
      <c r="Y49" s="351"/>
      <c r="Z49" s="351"/>
      <c r="AA49" s="351"/>
      <c r="AB49" s="352"/>
      <c r="AC49" s="353"/>
      <c r="AD49" s="351"/>
      <c r="AE49" s="325"/>
      <c r="AF49" s="354"/>
      <c r="AG49" s="355"/>
      <c r="AH49" s="356"/>
      <c r="AI49" s="357"/>
      <c r="AJ49" s="358"/>
      <c r="AK49" s="483"/>
      <c r="AL49" s="483"/>
      <c r="AM49" s="197"/>
      <c r="AN49" s="151"/>
      <c r="AV49" s="64"/>
      <c r="AW49" s="63"/>
      <c r="AX49" s="63"/>
      <c r="AY49" s="63"/>
      <c r="AZ49" s="63"/>
      <c r="BA49" s="63"/>
      <c r="BB49" s="63"/>
      <c r="BC49" s="63"/>
      <c r="BD49" s="63"/>
      <c r="BE49" s="63"/>
      <c r="BF49" s="63"/>
      <c r="BG49" s="63"/>
      <c r="BH49" s="63"/>
      <c r="BI49" s="64"/>
      <c r="BJ49" s="64"/>
      <c r="BK49" s="64"/>
    </row>
    <row r="50" spans="1:64" ht="81" hidden="1">
      <c r="A50" s="1188" t="s">
        <v>287</v>
      </c>
      <c r="B50" s="460" t="e">
        <f>+#REF!+1</f>
        <v>#REF!</v>
      </c>
      <c r="C50" s="461" t="s">
        <v>328</v>
      </c>
      <c r="D50" s="462" t="s">
        <v>113</v>
      </c>
      <c r="E50" s="463"/>
      <c r="F50" s="463"/>
      <c r="G50" s="527" t="s">
        <v>288</v>
      </c>
      <c r="H50" s="527" t="s">
        <v>289</v>
      </c>
      <c r="I50" s="528">
        <v>0.4</v>
      </c>
      <c r="J50" s="529" t="s">
        <v>108</v>
      </c>
      <c r="K50" s="530" t="s">
        <v>100</v>
      </c>
      <c r="L50" s="496"/>
      <c r="M50" s="496"/>
      <c r="N50" s="496"/>
      <c r="O50" s="464">
        <v>0.85</v>
      </c>
      <c r="P50" s="465"/>
      <c r="Q50" s="465"/>
      <c r="R50" s="465"/>
      <c r="S50" s="465"/>
      <c r="T50" s="465"/>
      <c r="U50" s="465"/>
      <c r="V50" s="465"/>
      <c r="W50" s="465"/>
      <c r="X50" s="465"/>
      <c r="Y50" s="465"/>
      <c r="Z50" s="465"/>
      <c r="AA50" s="465"/>
      <c r="AB50" s="466"/>
      <c r="AC50" s="467"/>
      <c r="AD50" s="465"/>
      <c r="AE50" s="468"/>
      <c r="AF50" s="469"/>
      <c r="AG50" s="470"/>
      <c r="AH50" s="471"/>
      <c r="AI50" s="472"/>
      <c r="AJ50" s="473">
        <v>0.4</v>
      </c>
      <c r="AK50" s="545"/>
      <c r="AL50" s="490" t="s">
        <v>367</v>
      </c>
      <c r="AM50" s="243"/>
      <c r="AN50" s="138"/>
      <c r="AV50" s="64"/>
      <c r="AW50" s="63"/>
      <c r="AX50" s="63"/>
      <c r="AY50" s="63"/>
      <c r="AZ50" s="63"/>
      <c r="BA50" s="63"/>
      <c r="BB50" s="63"/>
      <c r="BC50" s="63"/>
      <c r="BD50" s="63"/>
      <c r="BE50" s="63"/>
      <c r="BF50" s="63"/>
      <c r="BG50" s="63"/>
      <c r="BH50" s="63"/>
      <c r="BI50" s="64"/>
      <c r="BJ50" s="64"/>
      <c r="BK50" s="64"/>
    </row>
    <row r="51" spans="1:64" ht="63.75" hidden="1" thickBot="1">
      <c r="A51" s="1189"/>
      <c r="B51" s="474"/>
      <c r="C51" s="317" t="s">
        <v>290</v>
      </c>
      <c r="D51" s="475" t="s">
        <v>113</v>
      </c>
      <c r="E51" s="348"/>
      <c r="F51" s="348"/>
      <c r="G51" s="531" t="s">
        <v>291</v>
      </c>
      <c r="H51" s="531" t="s">
        <v>292</v>
      </c>
      <c r="I51" s="532">
        <v>0.4</v>
      </c>
      <c r="J51" s="533" t="s">
        <v>108</v>
      </c>
      <c r="K51" s="534" t="s">
        <v>100</v>
      </c>
      <c r="L51" s="497"/>
      <c r="M51" s="497"/>
      <c r="N51" s="497"/>
      <c r="O51" s="321">
        <v>0.85</v>
      </c>
      <c r="P51" s="476"/>
      <c r="Q51" s="351"/>
      <c r="R51" s="351"/>
      <c r="S51" s="351"/>
      <c r="T51" s="351"/>
      <c r="U51" s="351"/>
      <c r="V51" s="351"/>
      <c r="W51" s="351"/>
      <c r="X51" s="351"/>
      <c r="Y51" s="351"/>
      <c r="Z51" s="351"/>
      <c r="AA51" s="351"/>
      <c r="AB51" s="352"/>
      <c r="AC51" s="353"/>
      <c r="AD51" s="351"/>
      <c r="AE51" s="325"/>
      <c r="AF51" s="354"/>
      <c r="AG51" s="355"/>
      <c r="AH51" s="356"/>
      <c r="AI51" s="357"/>
      <c r="AJ51" s="394">
        <v>0.4</v>
      </c>
      <c r="AK51" s="539"/>
      <c r="AL51" s="481" t="s">
        <v>368</v>
      </c>
      <c r="AM51" s="197"/>
      <c r="AN51" s="151"/>
      <c r="AV51" s="64"/>
      <c r="AW51" s="63"/>
      <c r="AX51" s="63"/>
      <c r="AY51" s="63"/>
      <c r="AZ51" s="63"/>
      <c r="BA51" s="63"/>
      <c r="BB51" s="63"/>
      <c r="BC51" s="63"/>
      <c r="BD51" s="63"/>
      <c r="BE51" s="63"/>
      <c r="BF51" s="63"/>
      <c r="BG51" s="63"/>
      <c r="BH51" s="63"/>
      <c r="BI51" s="64"/>
      <c r="BJ51" s="64"/>
      <c r="BK51" s="64"/>
    </row>
    <row r="52" spans="1:64" ht="15.75" hidden="1" thickBot="1">
      <c r="O52" s="240"/>
      <c r="AE52" s="70" t="s">
        <v>14</v>
      </c>
      <c r="AF52" s="80">
        <f>SUM(AF8:AF51)</f>
        <v>0.3363500000000002</v>
      </c>
      <c r="AG52" s="79">
        <f>SUMIFS(AG8:AG51,AE8:AE51,"Si")/SUMIFS(AF8:AF51,AE8:AE51,"Si")</f>
        <v>0</v>
      </c>
      <c r="AH52" s="71">
        <f>SUMIFS(AH8:AH51,AE8:AE51,"Si")/AE54</f>
        <v>0</v>
      </c>
      <c r="AI52" s="200"/>
      <c r="AJ52" s="200"/>
      <c r="AK52" s="200"/>
      <c r="AL52" s="200"/>
      <c r="AW52" s="64"/>
      <c r="AX52" s="63"/>
      <c r="AY52" s="63"/>
      <c r="AZ52" s="63"/>
      <c r="BA52" s="63"/>
      <c r="BB52" s="63"/>
      <c r="BC52" s="63"/>
      <c r="BD52" s="63"/>
      <c r="BE52" s="63"/>
      <c r="BF52" s="63"/>
      <c r="BG52" s="63"/>
      <c r="BH52" s="63"/>
      <c r="BI52" s="63"/>
      <c r="BJ52" s="64"/>
      <c r="BK52" s="64"/>
      <c r="BL52" s="64"/>
    </row>
    <row r="53" spans="1:64" ht="38.25" hidden="1">
      <c r="O53" s="240"/>
      <c r="AE53" s="22" t="s">
        <v>15</v>
      </c>
      <c r="AF53" s="189" t="s">
        <v>16</v>
      </c>
      <c r="AG53" s="23" t="s">
        <v>17</v>
      </c>
      <c r="AM53" s="19"/>
      <c r="AW53" s="64"/>
      <c r="AX53" s="64"/>
      <c r="AY53" s="64"/>
      <c r="AZ53" s="64"/>
      <c r="BA53" s="64"/>
      <c r="BB53" s="64"/>
      <c r="BC53" s="64"/>
      <c r="BD53" s="64"/>
      <c r="BE53" s="64"/>
      <c r="BF53" s="64"/>
      <c r="BG53" s="64"/>
      <c r="BH53" s="64"/>
      <c r="BI53" s="64"/>
      <c r="BJ53" s="64"/>
      <c r="BK53" s="64"/>
      <c r="BL53" s="64"/>
    </row>
    <row r="54" spans="1:64" ht="15.75" hidden="1" thickBot="1">
      <c r="G54" s="63"/>
      <c r="O54" s="240"/>
      <c r="AE54" s="24">
        <f>COUNTIF(AE8:AE51,"Si")</f>
        <v>35</v>
      </c>
      <c r="AF54" s="25">
        <f>COUNT(AB8:AB51)</f>
        <v>0</v>
      </c>
      <c r="AG54" s="26">
        <f>AF54/AE54</f>
        <v>0</v>
      </c>
      <c r="AM54" s="19"/>
      <c r="AW54" s="64"/>
      <c r="AX54" s="64"/>
      <c r="AY54" s="64"/>
      <c r="AZ54" s="64"/>
      <c r="BA54" s="64"/>
      <c r="BB54" s="64"/>
      <c r="BC54" s="64"/>
      <c r="BD54" s="64"/>
      <c r="BE54" s="64"/>
      <c r="BF54" s="64"/>
      <c r="BG54" s="64"/>
      <c r="BH54" s="64"/>
      <c r="BI54" s="64"/>
      <c r="BJ54" s="64"/>
      <c r="BK54" s="64"/>
      <c r="BL54" s="64"/>
    </row>
    <row r="55" spans="1:64">
      <c r="O55" s="240"/>
      <c r="AE55" s="1"/>
      <c r="AF55" s="2"/>
      <c r="AG55" s="2"/>
      <c r="AM55" s="1"/>
      <c r="AW55" s="64"/>
      <c r="AX55" s="64"/>
      <c r="AY55" s="64"/>
      <c r="AZ55" s="64"/>
      <c r="BA55" s="64"/>
      <c r="BB55" s="64"/>
      <c r="BC55" s="64"/>
      <c r="BD55" s="64"/>
      <c r="BE55" s="64"/>
      <c r="BF55" s="64"/>
      <c r="BG55" s="64"/>
      <c r="BH55" s="64"/>
      <c r="BI55" s="64"/>
      <c r="BJ55" s="64"/>
      <c r="BK55" s="64"/>
      <c r="BL55" s="64"/>
    </row>
    <row r="56" spans="1:64">
      <c r="O56" s="240"/>
      <c r="AE56" s="27" t="s">
        <v>18</v>
      </c>
      <c r="AF56" s="28" t="s">
        <v>19</v>
      </c>
      <c r="AG56" s="2"/>
      <c r="AM56" s="1"/>
      <c r="AW56" s="64"/>
      <c r="AX56" s="64"/>
      <c r="AY56" s="64"/>
      <c r="AZ56" s="64"/>
      <c r="BA56" s="64"/>
      <c r="BB56" s="64"/>
      <c r="BC56" s="64"/>
      <c r="BD56" s="64"/>
      <c r="BE56" s="64"/>
      <c r="BF56" s="64"/>
      <c r="BG56" s="64"/>
      <c r="BH56" s="64"/>
      <c r="BI56" s="64"/>
      <c r="BJ56" s="64"/>
      <c r="BK56" s="64"/>
      <c r="BL56" s="64"/>
    </row>
    <row r="57" spans="1:64">
      <c r="O57" s="240"/>
      <c r="AE57" s="29" t="s">
        <v>20</v>
      </c>
      <c r="AF57" s="30" t="s">
        <v>21</v>
      </c>
      <c r="AG57" s="2"/>
      <c r="AM57" s="1"/>
      <c r="AW57" s="64"/>
      <c r="AX57" s="64"/>
      <c r="AY57" s="64"/>
      <c r="AZ57" s="64"/>
      <c r="BA57" s="64"/>
      <c r="BB57" s="64"/>
      <c r="BC57" s="64"/>
      <c r="BD57" s="64"/>
      <c r="BE57" s="64"/>
      <c r="BF57" s="64"/>
      <c r="BG57" s="64"/>
      <c r="BH57" s="64"/>
      <c r="BI57" s="64"/>
      <c r="BJ57" s="64"/>
      <c r="BK57" s="64"/>
      <c r="BL57" s="64"/>
    </row>
    <row r="58" spans="1:64">
      <c r="O58" s="240"/>
      <c r="AE58" s="31" t="s">
        <v>22</v>
      </c>
      <c r="AF58" s="32" t="s">
        <v>23</v>
      </c>
      <c r="AG58" s="2"/>
      <c r="AM58" s="1"/>
      <c r="AW58" s="64"/>
      <c r="AX58" s="64"/>
      <c r="AY58" s="64"/>
      <c r="AZ58" s="64"/>
      <c r="BA58" s="64"/>
      <c r="BB58" s="64"/>
      <c r="BC58" s="64"/>
      <c r="BD58" s="64"/>
      <c r="BE58" s="64"/>
      <c r="BF58" s="64"/>
      <c r="BG58" s="64"/>
      <c r="BH58" s="64"/>
      <c r="BI58" s="64"/>
      <c r="BJ58" s="64"/>
      <c r="BK58" s="64"/>
      <c r="BL58" s="64"/>
    </row>
    <row r="59" spans="1:64">
      <c r="O59" s="240"/>
    </row>
    <row r="60" spans="1:64">
      <c r="O60" s="240"/>
    </row>
  </sheetData>
  <autoFilter ref="A7:BL54">
    <filterColumn colId="0">
      <filters>
        <filter val="Gestión de recursos fisicos"/>
      </filters>
    </filterColumn>
  </autoFilter>
  <mergeCells count="18">
    <mergeCell ref="AF1:AG3"/>
    <mergeCell ref="D4:AE5"/>
    <mergeCell ref="AF4:AG4"/>
    <mergeCell ref="AF5:AG5"/>
    <mergeCell ref="A33:A35"/>
    <mergeCell ref="A8:A12"/>
    <mergeCell ref="A17:A22"/>
    <mergeCell ref="A23:A25"/>
    <mergeCell ref="A26:A29"/>
    <mergeCell ref="A30:A32"/>
    <mergeCell ref="A13:A16"/>
    <mergeCell ref="A50:A51"/>
    <mergeCell ref="A1:C5"/>
    <mergeCell ref="D1:AE3"/>
    <mergeCell ref="A36:A37"/>
    <mergeCell ref="A38:A39"/>
    <mergeCell ref="A40:A45"/>
    <mergeCell ref="A47:A49"/>
  </mergeCells>
  <conditionalFormatting sqref="AG52">
    <cfRule type="cellIs" dxfId="15" priority="5" operator="greaterThanOrEqual">
      <formula>0.85</formula>
    </cfRule>
    <cfRule type="cellIs" dxfId="14" priority="6" operator="between">
      <formula>0.65</formula>
      <formula>0.84</formula>
    </cfRule>
    <cfRule type="cellIs" dxfId="13" priority="7" operator="equal">
      <formula>"0.65"</formula>
    </cfRule>
    <cfRule type="cellIs" dxfId="12" priority="8" operator="lessThan">
      <formula>0.64</formula>
    </cfRule>
  </conditionalFormatting>
  <conditionalFormatting sqref="AH52:AL52">
    <cfRule type="cellIs" dxfId="11" priority="1" operator="greaterThanOrEqual">
      <formula>0.85</formula>
    </cfRule>
    <cfRule type="cellIs" dxfId="10" priority="2" operator="between">
      <formula>0.65</formula>
      <formula>"0.84"</formula>
    </cfRule>
    <cfRule type="cellIs" dxfId="9" priority="3" operator="equal">
      <formula>"0.65"</formula>
    </cfRule>
    <cfRule type="cellIs" dxfId="8" priority="4" operator="lessThan">
      <formula>0.65</formula>
    </cfRule>
  </conditionalFormatting>
  <dataValidations count="2">
    <dataValidation type="list" allowBlank="1" showInputMessage="1" showErrorMessage="1" sqref="AE8:AE51">
      <formula1>"Si,No"</formula1>
    </dataValidation>
    <dataValidation type="list" allowBlank="1" showInputMessage="1" showErrorMessage="1" sqref="K8:K51 L8:N37">
      <formula1>"Sube,Baja,Tendencia Media"</formula1>
    </dataValidation>
  </dataValidations>
  <printOptions horizontalCentered="1" verticalCentered="1"/>
  <pageMargins left="0.70866141732283472" right="0.70866141732283472" top="0.74803149606299213" bottom="0.74803149606299213" header="0.31496062992125984" footer="0.31496062992125984"/>
  <pageSetup paperSize="300" scale="17" orientation="landscape" r:id="rId1"/>
  <drawing r:id="rId2"/>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Eficacia - Eficiencia'!P30:AA30</xm:f>
              <xm:sqref>AC30</xm:sqref>
            </x14:sparkline>
            <x14:sparkline>
              <xm:f>'Tablero Eficacia - Eficiencia'!P31:AA31</xm:f>
              <xm:sqref>AC31</xm:sqref>
            </x14:sparkline>
            <x14:sparkline>
              <xm:f>'Tablero Eficacia - Eficiencia'!P32:AA32</xm:f>
              <xm:sqref>AC32</xm:sqref>
            </x14:sparkline>
            <x14:sparkline>
              <xm:f>'Tablero Eficacia - Eficiencia'!P33:AA33</xm:f>
              <xm:sqref>AC33</xm:sqref>
            </x14:sparkline>
            <x14:sparkline>
              <xm:f>'Tablero Eficacia - Eficiencia'!P34:AA34</xm:f>
              <xm:sqref>AC34</xm:sqref>
            </x14:sparkline>
            <x14:sparkline>
              <xm:f>'Tablero Eficacia - Eficiencia'!P35:AA35</xm:f>
              <xm:sqref>AC35</xm:sqref>
            </x14:sparkline>
            <x14:sparkline>
              <xm:f>'Tablero Eficacia - Eficiencia'!P36:AA36</xm:f>
              <xm:sqref>AC36</xm:sqref>
            </x14:sparkline>
            <x14:sparkline>
              <xm:f>'Tablero Eficacia - Eficiencia'!P37:AA37</xm:f>
              <xm:sqref>AC37</xm:sqref>
            </x14:sparkline>
            <x14:sparkline>
              <xm:f>'Tablero Eficacia - Eficiencia'!P38:AA38</xm:f>
              <xm:sqref>AC38</xm:sqref>
            </x14:sparkline>
            <x14:sparkline>
              <xm:f>'Tablero Eficacia - Eficiencia'!P39:AA39</xm:f>
              <xm:sqref>AC39</xm:sqref>
            </x14:sparkline>
            <x14:sparkline>
              <xm:f>'Tablero Eficacia - Eficiencia'!P40:AA40</xm:f>
              <xm:sqref>AC40</xm:sqref>
            </x14:sparkline>
            <x14:sparkline>
              <xm:f>'Tablero Eficacia - Eficiencia'!P41:AA41</xm:f>
              <xm:sqref>AC41</xm:sqref>
            </x14:sparkline>
            <x14:sparkline>
              <xm:f>'Tablero Eficacia - Eficiencia'!P42:AA42</xm:f>
              <xm:sqref>AC42</xm:sqref>
            </x14:sparkline>
            <x14:sparkline>
              <xm:f>'Tablero Eficacia - Eficiencia'!P43:AA43</xm:f>
              <xm:sqref>AC43</xm:sqref>
            </x14:sparkline>
            <x14:sparkline>
              <xm:f>'Tablero Eficacia - Eficiencia'!P44:AA44</xm:f>
              <xm:sqref>AC44</xm:sqref>
            </x14:sparkline>
            <x14:sparkline>
              <xm:f>'Tablero Eficacia - Eficiencia'!P45:AA45</xm:f>
              <xm:sqref>AC45</xm:sqref>
            </x14:sparkline>
            <x14:sparkline>
              <xm:f>'Tablero Eficacia - Eficiencia'!P46:AA46</xm:f>
              <xm:sqref>AC46</xm:sqref>
            </x14:sparkline>
            <x14:sparkline>
              <xm:f>'Tablero Eficacia - Eficiencia'!P47:AA47</xm:f>
              <xm:sqref>AC47</xm:sqref>
            </x14:sparkline>
            <x14:sparkline>
              <xm:f>'Tablero Eficacia - Eficiencia'!P48:AA48</xm:f>
              <xm:sqref>AC48</xm:sqref>
            </x14:sparkline>
            <x14:sparkline>
              <xm:f>'Tablero Eficacia - Eficiencia'!P49:AA49</xm:f>
              <xm:sqref>AC49</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Eficacia - Eficiencia'!P50:AA50</xm:f>
              <xm:sqref>AC50</xm:sqref>
            </x14:sparkline>
            <x14:sparkline>
              <xm:f>'Tablero Eficacia - Eficiencia'!P51:AA51</xm:f>
              <xm:sqref>AC51</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Eficacia - Eficiencia'!P8:AA8</xm:f>
              <xm:sqref>AC8</xm:sqref>
            </x14:sparkline>
            <x14:sparkline>
              <xm:f>'Tablero Eficacia - Eficiencia'!P10:AA10</xm:f>
              <xm:sqref>AC10</xm:sqref>
            </x14:sparkline>
            <x14:sparkline>
              <xm:f>'Tablero Eficacia - Eficiencia'!P11:AA11</xm:f>
              <xm:sqref>AC11</xm:sqref>
            </x14:sparkline>
            <x14:sparkline>
              <xm:f>'Tablero Eficacia - Eficiencia'!P12:AA12</xm:f>
              <xm:sqref>AC12</xm:sqref>
            </x14:sparkline>
            <x14:sparkline>
              <xm:f>'Tablero Eficacia - Eficiencia'!P13:AA13</xm:f>
              <xm:sqref>AC13</xm:sqref>
            </x14:sparkline>
            <x14:sparkline>
              <xm:f>'Tablero Eficacia - Eficiencia'!P14:AA14</xm:f>
              <xm:sqref>AC14</xm:sqref>
            </x14:sparkline>
            <x14:sparkline>
              <xm:f>'Tablero Eficacia - Eficiencia'!P15:AA15</xm:f>
              <xm:sqref>AC15</xm:sqref>
            </x14:sparkline>
            <x14:sparkline>
              <xm:f>'Tablero Eficacia - Eficiencia'!P16:AA16</xm:f>
              <xm:sqref>AC16</xm:sqref>
            </x14:sparkline>
            <x14:sparkline>
              <xm:f>'Tablero Eficacia - Eficiencia'!P17:AA17</xm:f>
              <xm:sqref>AC17</xm:sqref>
            </x14:sparkline>
            <x14:sparkline>
              <xm:f>'Tablero Eficacia - Eficiencia'!P18:AA18</xm:f>
              <xm:sqref>AC18</xm:sqref>
            </x14:sparkline>
            <x14:sparkline>
              <xm:f>'Tablero Eficacia - Eficiencia'!P19:AA19</xm:f>
              <xm:sqref>AC19</xm:sqref>
            </x14:sparkline>
            <x14:sparkline>
              <xm:f>'Tablero Eficacia - Eficiencia'!P21:AA21</xm:f>
              <xm:sqref>AC21</xm:sqref>
            </x14:sparkline>
            <x14:sparkline>
              <xm:f>'Tablero Eficacia - Eficiencia'!P22:AA22</xm:f>
              <xm:sqref>AC22</xm:sqref>
            </x14:sparkline>
            <x14:sparkline>
              <xm:f>'Tablero Eficacia - Eficiencia'!P23:AA23</xm:f>
              <xm:sqref>AC23</xm:sqref>
            </x14:sparkline>
            <x14:sparkline>
              <xm:f>'Tablero Eficacia - Eficiencia'!P24:AA24</xm:f>
              <xm:sqref>AC24</xm:sqref>
            </x14:sparkline>
            <x14:sparkline>
              <xm:f>'Tablero Eficacia - Eficiencia'!P25:AA25</xm:f>
              <xm:sqref>AC25</xm:sqref>
            </x14:sparkline>
            <x14:sparkline>
              <xm:f>'Tablero Eficacia - Eficiencia'!P26:AA26</xm:f>
              <xm:sqref>AC26</xm:sqref>
            </x14:sparkline>
            <x14:sparkline>
              <xm:f>'Tablero Eficacia - Eficiencia'!P27:AA27</xm:f>
              <xm:sqref>AC27</xm:sqref>
            </x14:sparkline>
            <x14:sparkline>
              <xm:f>'Tablero Eficacia - Eficiencia'!P28:AA28</xm:f>
              <xm:sqref>AC28</xm:sqref>
            </x14:sparkline>
            <x14:sparkline>
              <xm:f>'Tablero Eficacia - Eficiencia'!P29:AA29</xm:f>
              <xm:sqref>AC29</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Eficacia - Eficiencia'!P9:AA9</xm:f>
              <xm:sqref>AC9</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Eficacia - Eficiencia'!P20:AA20</xm:f>
              <xm:sqref>AC20</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C2:N38"/>
  <sheetViews>
    <sheetView topLeftCell="A2" zoomScale="85" zoomScaleNormal="85" zoomScalePageLayoutView="85" workbookViewId="0">
      <pane ySplit="2" topLeftCell="A4" activePane="bottomLeft" state="frozen"/>
      <selection activeCell="A2" sqref="A2"/>
      <selection pane="bottomLeft" activeCell="D18" sqref="D18"/>
    </sheetView>
  </sheetViews>
  <sheetFormatPr baseColWidth="10" defaultColWidth="11.42578125" defaultRowHeight="15"/>
  <cols>
    <col min="2" max="2" width="13.42578125" customWidth="1"/>
    <col min="3" max="3" width="75.140625" customWidth="1"/>
    <col min="4" max="4" width="67.5703125" customWidth="1"/>
    <col min="5" max="5" width="54.42578125" style="198" bestFit="1" customWidth="1"/>
    <col min="6" max="6" width="10.5703125" customWidth="1"/>
  </cols>
  <sheetData>
    <row r="2" spans="3:6" ht="15.75" thickBot="1"/>
    <row r="3" spans="3:6" ht="15.75" thickBot="1">
      <c r="C3" s="180" t="s">
        <v>332</v>
      </c>
      <c r="D3" s="203" t="s">
        <v>309</v>
      </c>
      <c r="E3" s="203" t="s">
        <v>310</v>
      </c>
      <c r="F3" s="209" t="s">
        <v>40</v>
      </c>
    </row>
    <row r="4" spans="3:6" ht="28.5" customHeight="1">
      <c r="C4" s="1225" t="s">
        <v>302</v>
      </c>
      <c r="D4" s="211" t="str">
        <f>+'Tablero Eficacia - Eficiencia'!C31</f>
        <v xml:space="preserve">Beneficiados de actividad </v>
      </c>
      <c r="E4" s="212" t="str">
        <f>+'Tablero Eficacia - Eficiencia'!I31</f>
        <v>No tiene, es la primera vez que se mide este impacto</v>
      </c>
      <c r="F4" s="224">
        <f>+'Tablero Eficacia - Eficiencia'!O31</f>
        <v>0</v>
      </c>
    </row>
    <row r="5" spans="3:6" ht="27" customHeight="1" thickBot="1">
      <c r="C5" s="1226"/>
      <c r="D5" s="213" t="str">
        <f>+'Tablero Eficacia - Eficiencia'!C32</f>
        <v>Actividades de formación integral</v>
      </c>
      <c r="E5" s="232">
        <f>+'Tablero Eficacia - Eficiencia'!I32</f>
        <v>0.98</v>
      </c>
      <c r="F5" s="223">
        <f>+'Tablero Eficacia - Eficiencia'!O32</f>
        <v>1</v>
      </c>
    </row>
    <row r="6" spans="3:6" ht="38.25" customHeight="1">
      <c r="C6" s="1225" t="s">
        <v>303</v>
      </c>
      <c r="D6" s="211" t="str">
        <f>+'Tablero Eficacia - Eficiencia'!C9</f>
        <v xml:space="preserve">Variación de pruebas saber pro </v>
      </c>
      <c r="E6" s="210" t="str">
        <f>+'Tablero Eficacia - Eficiencia'!I9</f>
        <v>9.9925(2016)/9,9204(2015)</v>
      </c>
      <c r="F6" s="228">
        <f>+'Tablero Eficacia - Eficiencia'!O9</f>
        <v>7.2678521027376153E-3</v>
      </c>
    </row>
    <row r="7" spans="3:6">
      <c r="C7" s="1227"/>
      <c r="D7" s="208" t="str">
        <f>+'Tablero Eficacia - Eficiencia'!C10</f>
        <v>Índice de empleabilidad</v>
      </c>
      <c r="E7" s="204" t="str">
        <f>+'Tablero Eficacia - Eficiencia'!I10</f>
        <v>95,7% (Medición del 2015, no hay datos 2016)</v>
      </c>
      <c r="F7" s="222" t="str">
        <f>+'Tablero Eficacia - Eficiencia'!O10</f>
        <v>&gt;= 96%</v>
      </c>
    </row>
    <row r="8" spans="3:6">
      <c r="C8" s="1227"/>
      <c r="D8" s="208" t="str">
        <f>+'Tablero Eficacia - Eficiencia'!C13</f>
        <v>Satisfacción de los cursos de extensión</v>
      </c>
      <c r="E8" s="205" t="str">
        <f>+'Tablero Eficacia - Eficiencia'!I13</f>
        <v>No tiene, es la primera vez que se mide este impacto</v>
      </c>
      <c r="F8" s="222">
        <f>+'Tablero Eficacia - Eficiencia'!O13</f>
        <v>0</v>
      </c>
    </row>
    <row r="9" spans="3:6">
      <c r="C9" s="1227"/>
      <c r="D9" s="208" t="str">
        <f>+'Tablero Eficacia - Eficiencia'!C15</f>
        <v>Permanencia en los cursos de extensión</v>
      </c>
      <c r="E9" s="205" t="str">
        <f>+'Tablero Eficacia - Eficiencia'!I15</f>
        <v>No tiene, es la primera vez que se mide este impacto</v>
      </c>
      <c r="F9" s="222">
        <f>+'Tablero Eficacia - Eficiencia'!O15</f>
        <v>0</v>
      </c>
    </row>
    <row r="10" spans="3:6">
      <c r="C10" s="1227"/>
      <c r="D10" s="208" t="str">
        <f>+'Tablero Eficacia - Eficiencia'!C17</f>
        <v xml:space="preserve">Trabajos de grado con reconocimiento </v>
      </c>
      <c r="E10" s="205" t="str">
        <f>+'Tablero Eficacia - Eficiencia'!I17</f>
        <v>No tiene, es la primera vez que se mide este impacto</v>
      </c>
      <c r="F10" s="222">
        <f>+'Tablero Eficacia - Eficiencia'!O17</f>
        <v>1</v>
      </c>
    </row>
    <row r="11" spans="3:6">
      <c r="C11" s="1227"/>
      <c r="D11" s="208" t="str">
        <f>+'Tablero Eficacia - Eficiencia'!C20</f>
        <v>Revisión de syllabus</v>
      </c>
      <c r="E11" s="206" t="str">
        <f>+'Tablero Eficacia - Eficiencia'!I20</f>
        <v>75% (11/15)</v>
      </c>
      <c r="F11" s="222">
        <f>+'Tablero Eficacia - Eficiencia'!O20</f>
        <v>0.9</v>
      </c>
    </row>
    <row r="12" spans="3:6">
      <c r="C12" s="1227"/>
      <c r="D12" s="214" t="str">
        <f>+'Tablero Eficacia - Eficiencia'!C23</f>
        <v>Rendimiento académico periódico</v>
      </c>
      <c r="E12" s="205" t="str">
        <f>+'Tablero Eficacia - Eficiencia'!I23</f>
        <v>No tiene, es la primera vez que se mide este impacto</v>
      </c>
      <c r="F12" s="222">
        <f>+'Tablero Eficacia - Eficiencia'!O23</f>
        <v>0</v>
      </c>
    </row>
    <row r="13" spans="3:6">
      <c r="C13" s="1227"/>
      <c r="D13" s="214" t="str">
        <f>+'Tablero Eficacia - Eficiencia'!C24</f>
        <v xml:space="preserve">Promoción escolar </v>
      </c>
      <c r="E13" s="204">
        <f>+'Tablero Eficacia - Eficiencia'!I24</f>
        <v>0.8571428571428571</v>
      </c>
      <c r="F13" s="222">
        <f>+'Tablero Eficacia - Eficiencia'!O24</f>
        <v>0.87</v>
      </c>
    </row>
    <row r="14" spans="3:6" ht="15.75" thickBot="1">
      <c r="C14" s="1226"/>
      <c r="D14" s="215" t="str">
        <f>+'Tablero Eficacia - Eficiencia'!C25</f>
        <v xml:space="preserve">Desempeño pruebas saber </v>
      </c>
      <c r="E14" s="229">
        <f>+'Tablero Eficacia - Eficiencia'!I25</f>
        <v>-0.23424570337364736</v>
      </c>
      <c r="F14" s="223">
        <f>+'Tablero Eficacia - Eficiencia'!O25</f>
        <v>-0.2</v>
      </c>
    </row>
    <row r="15" spans="3:6">
      <c r="C15" s="1222" t="s">
        <v>304</v>
      </c>
      <c r="D15" s="217" t="str">
        <f>+'Tablero Eficacia - Eficiencia'!C26</f>
        <v>Proyectos de formación en actividades</v>
      </c>
      <c r="E15" s="230">
        <f>+'Tablero Eficacia - Eficiencia'!I26</f>
        <v>1</v>
      </c>
      <c r="F15" s="224">
        <f>+'Tablero Eficacia - Eficiencia'!O26</f>
        <v>1</v>
      </c>
    </row>
    <row r="16" spans="3:6">
      <c r="C16" s="1223"/>
      <c r="D16" s="214" t="str">
        <f>+'Tablero Eficacia - Eficiencia'!C27</f>
        <v>Proyectos  de  apoyo a las actividades</v>
      </c>
      <c r="E16" s="233">
        <f>+'Tablero Eficacia - Eficiencia'!I27</f>
        <v>0.9</v>
      </c>
      <c r="F16" s="222">
        <f>+'Tablero Eficacia - Eficiencia'!O27</f>
        <v>1</v>
      </c>
    </row>
    <row r="17" spans="3:6" ht="15.75" thickBot="1">
      <c r="C17" s="1224"/>
      <c r="D17" s="215" t="str">
        <f>+'Tablero Eficacia - Eficiencia'!C28</f>
        <v>Programa  de transferencia de conocimiento</v>
      </c>
      <c r="E17" s="216" t="str">
        <f>+'Tablero Eficacia - Eficiencia'!I28</f>
        <v>No tiene, es la primera vez que se mide este impacto</v>
      </c>
      <c r="F17" s="223">
        <f>+'Tablero Eficacia - Eficiencia'!O28</f>
        <v>0</v>
      </c>
    </row>
    <row r="18" spans="3:6" ht="26.25" thickBot="1">
      <c r="C18" s="221" t="s">
        <v>305</v>
      </c>
      <c r="D18" s="219" t="str">
        <f>+'Tablero Eficacia - Eficiencia'!C8</f>
        <v>Programas acreditados</v>
      </c>
      <c r="E18" s="220">
        <f>+'Tablero Eficacia - Eficiencia'!I8</f>
        <v>0.1111111111111111</v>
      </c>
      <c r="F18" s="225">
        <f>+'Tablero Eficacia - Eficiencia'!O8</f>
        <v>0.1111111111111111</v>
      </c>
    </row>
    <row r="19" spans="3:6" ht="30.75" customHeight="1">
      <c r="C19" s="1222" t="s">
        <v>306</v>
      </c>
      <c r="D19" s="211" t="str">
        <f>+'Tablero Eficacia - Eficiencia'!C11</f>
        <v>Cumplimiento de actividades de movilidad</v>
      </c>
      <c r="E19" s="234">
        <f>+'Tablero Eficacia - Eficiencia'!I11</f>
        <v>0.94169999999999998</v>
      </c>
      <c r="F19" s="224">
        <f>+'Tablero Eficacia - Eficiencia'!O11</f>
        <v>1</v>
      </c>
    </row>
    <row r="20" spans="3:6" ht="15.75" thickBot="1">
      <c r="C20" s="1224"/>
      <c r="D20" s="215" t="str">
        <f>+'Tablero Eficacia - Eficiencia'!C18</f>
        <v>Participación en comunidades académicas</v>
      </c>
      <c r="E20" s="216" t="str">
        <f>+'Tablero Eficacia - Eficiencia'!I18</f>
        <v>No tiene, es la primera vez que se mide este impacto</v>
      </c>
      <c r="F20" s="223">
        <f>+'Tablero Eficacia - Eficiencia'!O18</f>
        <v>1</v>
      </c>
    </row>
    <row r="21" spans="3:6">
      <c r="C21" s="1222" t="s">
        <v>307</v>
      </c>
      <c r="D21" s="217" t="str">
        <f>+'Tablero Eficacia - Eficiencia'!C12</f>
        <v>Cumplimiento del Plan de Desarrollo Institucional</v>
      </c>
      <c r="E21" s="230">
        <f>+'Tablero Eficacia - Eficiencia'!I12</f>
        <v>0.97</v>
      </c>
      <c r="F21" s="224">
        <f>+'Tablero Eficacia - Eficiencia'!O12</f>
        <v>0.98</v>
      </c>
    </row>
    <row r="22" spans="3:6">
      <c r="C22" s="1223"/>
      <c r="D22" s="214" t="str">
        <f>+'Tablero Eficacia - Eficiencia'!C38</f>
        <v>Seguimiento a las hojas de vida de los funcionarios</v>
      </c>
      <c r="E22" s="206">
        <f>+'Tablero Eficacia - Eficiencia'!I38</f>
        <v>0</v>
      </c>
      <c r="F22" s="222">
        <f>+'Tablero Eficacia - Eficiencia'!O38</f>
        <v>1</v>
      </c>
    </row>
    <row r="23" spans="3:6">
      <c r="C23" s="1223"/>
      <c r="D23" s="214" t="str">
        <f>+'Tablero Eficacia - Eficiencia'!C39</f>
        <v xml:space="preserve">Seguimiento al servicio permanente </v>
      </c>
      <c r="E23" s="233">
        <f>+'Tablero Eficacia - Eficiencia'!I39</f>
        <v>0.85</v>
      </c>
      <c r="F23" s="222">
        <f>+'Tablero Eficacia - Eficiencia'!O39</f>
        <v>0.92</v>
      </c>
    </row>
    <row r="24" spans="3:6">
      <c r="C24" s="1223"/>
      <c r="D24" s="214" t="str">
        <f>+'Tablero Eficacia - Eficiencia'!C40</f>
        <v xml:space="preserve">Clima laboral </v>
      </c>
      <c r="E24" s="248">
        <f>+'Tablero Eficacia - Eficiencia'!I40</f>
        <v>41.3</v>
      </c>
      <c r="F24" s="226">
        <f>+'Tablero Eficacia - Eficiencia'!O40</f>
        <v>50</v>
      </c>
    </row>
    <row r="25" spans="3:6" ht="36.75" customHeight="1">
      <c r="C25" s="1223"/>
      <c r="D25" s="208" t="str">
        <f>+'Tablero Eficacia - Eficiencia'!C43</f>
        <v xml:space="preserve">Cumplimiento del programa de bienestar laboral </v>
      </c>
      <c r="E25" s="231">
        <f>+'Tablero Eficacia - Eficiencia'!I43</f>
        <v>1</v>
      </c>
      <c r="F25" s="227">
        <f>+'Tablero Eficacia - Eficiencia'!O43</f>
        <v>1</v>
      </c>
    </row>
    <row r="26" spans="3:6" ht="15.75" thickBot="1">
      <c r="C26" s="1224"/>
      <c r="D26" s="215" t="str">
        <f>+'Tablero Eficacia - Eficiencia'!C45</f>
        <v>Cumplimiento del plan de capacitación</v>
      </c>
      <c r="E26" s="232">
        <f>+'Tablero Eficacia - Eficiencia'!I45</f>
        <v>1</v>
      </c>
      <c r="F26" s="223">
        <f>+'Tablero Eficacia - Eficiencia'!O45</f>
        <v>1</v>
      </c>
    </row>
    <row r="27" spans="3:6">
      <c r="C27" s="1222" t="s">
        <v>308</v>
      </c>
      <c r="D27" s="217" t="str">
        <f>+'Tablero Eficacia - Eficiencia'!C19</f>
        <v>Uso de talleres y laboratorios</v>
      </c>
      <c r="E27" s="218" t="str">
        <f>+'Tablero Eficacia - Eficiencia'!I19</f>
        <v>No tiene, es la primera vez que se mide este impacto</v>
      </c>
      <c r="F27" s="224">
        <f>+'Tablero Eficacia - Eficiencia'!O19</f>
        <v>1</v>
      </c>
    </row>
    <row r="28" spans="3:6">
      <c r="C28" s="1223"/>
      <c r="D28" s="214" t="str">
        <f>+'Tablero Eficacia - Eficiencia'!C31</f>
        <v xml:space="preserve">Beneficiados de actividad </v>
      </c>
      <c r="E28" s="207" t="str">
        <f>+'Tablero Eficacia - Eficiencia'!I31</f>
        <v>No tiene, es la primera vez que se mide este impacto</v>
      </c>
      <c r="F28" s="222">
        <f>+'Tablero Eficacia - Eficiencia'!O31</f>
        <v>0</v>
      </c>
    </row>
    <row r="29" spans="3:6" ht="15.75" thickBot="1">
      <c r="C29" s="1224"/>
      <c r="D29" s="215" t="str">
        <f>+'Tablero Eficacia - Eficiencia'!C32</f>
        <v>Actividades de formación integral</v>
      </c>
      <c r="E29" s="232">
        <f>+'Tablero Eficacia - Eficiencia'!I32</f>
        <v>0.98</v>
      </c>
      <c r="F29" s="223">
        <f>+'Tablero Eficacia - Eficiencia'!O32</f>
        <v>1</v>
      </c>
    </row>
    <row r="37" spans="11:14">
      <c r="N37" s="201"/>
    </row>
    <row r="38" spans="11:14">
      <c r="K38" s="202"/>
      <c r="N38" s="202"/>
    </row>
  </sheetData>
  <mergeCells count="6">
    <mergeCell ref="C27:C29"/>
    <mergeCell ref="C4:C5"/>
    <mergeCell ref="C15:C17"/>
    <mergeCell ref="C19:C20"/>
    <mergeCell ref="C21:C26"/>
    <mergeCell ref="C6:C14"/>
  </mergeCells>
  <printOptions horizontalCentered="1" verticalCentered="1"/>
  <pageMargins left="0" right="0" top="0.74803149606299213" bottom="0.74803149606299213" header="0.31496062992125984" footer="0.31496062992125984"/>
  <pageSetup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D6:M14"/>
  <sheetViews>
    <sheetView workbookViewId="0">
      <selection activeCell="E9" sqref="E9"/>
    </sheetView>
  </sheetViews>
  <sheetFormatPr baseColWidth="10" defaultRowHeight="15"/>
  <sheetData>
    <row r="6" spans="4:13">
      <c r="L6" s="1228" t="s">
        <v>352</v>
      </c>
      <c r="M6" s="1228"/>
    </row>
    <row r="7" spans="4:13">
      <c r="E7" t="s">
        <v>341</v>
      </c>
      <c r="F7" t="s">
        <v>342</v>
      </c>
      <c r="L7" t="s">
        <v>350</v>
      </c>
      <c r="M7" t="s">
        <v>351</v>
      </c>
    </row>
    <row r="8" spans="4:13">
      <c r="D8" t="s">
        <v>343</v>
      </c>
      <c r="E8" s="202">
        <f>+'[2]ARTES-MUSICA '!$AC$30</f>
        <v>0.98</v>
      </c>
      <c r="F8">
        <f>+'[2]ARTES-MUSICA '!$AE$30</f>
        <v>14677</v>
      </c>
      <c r="H8">
        <v>98</v>
      </c>
      <c r="I8">
        <f>+'[2]ARTES-MUSICA '!$AE$30</f>
        <v>14677</v>
      </c>
      <c r="L8">
        <v>22</v>
      </c>
      <c r="M8">
        <v>23</v>
      </c>
    </row>
    <row r="9" spans="4:13">
      <c r="D9" t="s">
        <v>344</v>
      </c>
      <c r="E9" s="202">
        <f>+'[2]SALUD '!$AC$15</f>
        <v>1</v>
      </c>
      <c r="F9">
        <f>+'[2]SALUD '!$AE$15</f>
        <v>74</v>
      </c>
      <c r="H9">
        <v>100</v>
      </c>
      <c r="I9">
        <f>+'[2]SALUD '!$AE$15</f>
        <v>74</v>
      </c>
      <c r="L9">
        <v>2</v>
      </c>
      <c r="M9">
        <v>8</v>
      </c>
    </row>
    <row r="10" spans="4:13">
      <c r="D10" t="s">
        <v>345</v>
      </c>
      <c r="E10" s="265">
        <f>+'[2]TRABAJO SOCIAL'!$AC$20</f>
        <v>97.6</v>
      </c>
      <c r="F10">
        <f>+'[2]TRABAJO SOCIAL'!$AE$20</f>
        <v>1741</v>
      </c>
      <c r="H10">
        <v>98</v>
      </c>
      <c r="I10">
        <f>+'[2]TRABAJO SOCIAL'!$AE$20</f>
        <v>1741</v>
      </c>
      <c r="L10">
        <v>9</v>
      </c>
      <c r="M10">
        <v>9</v>
      </c>
    </row>
    <row r="11" spans="4:13">
      <c r="D11" t="s">
        <v>346</v>
      </c>
      <c r="E11">
        <f>+'[2]PSICOLOGIA '!$AC$22</f>
        <v>92.142857142857139</v>
      </c>
      <c r="F11">
        <f>+'[2]PSICOLOGIA '!$AE$22</f>
        <v>1056</v>
      </c>
      <c r="H11">
        <v>92.14</v>
      </c>
      <c r="I11">
        <f>+'[2]PSICOLOGIA '!$AE$22</f>
        <v>1056</v>
      </c>
      <c r="L11">
        <v>13</v>
      </c>
      <c r="M11">
        <v>13</v>
      </c>
    </row>
    <row r="12" spans="4:13">
      <c r="D12" t="s">
        <v>347</v>
      </c>
      <c r="E12">
        <f>+'[2]REC. DEPORTES '!$AC$18</f>
        <v>99</v>
      </c>
      <c r="F12">
        <f>+'[2]REC. DEPORTES '!$AE$18</f>
        <v>154</v>
      </c>
      <c r="H12">
        <v>99</v>
      </c>
      <c r="I12">
        <f>+'[2]REC. DEPORTES '!$AE$18</f>
        <v>154</v>
      </c>
      <c r="L12">
        <v>6</v>
      </c>
      <c r="M12">
        <v>11</v>
      </c>
    </row>
    <row r="13" spans="4:13">
      <c r="D13" t="s">
        <v>348</v>
      </c>
      <c r="H13" s="185">
        <f>+(H12+H11+H9+H8+H10)/500</f>
        <v>0.97427999999999992</v>
      </c>
      <c r="I13">
        <f>SUM(I8:I12)</f>
        <v>17702</v>
      </c>
      <c r="L13">
        <f>SUM(L8:L12)</f>
        <v>52</v>
      </c>
      <c r="M13">
        <f>SUM(M8:M12)</f>
        <v>64</v>
      </c>
    </row>
    <row r="14" spans="4:13">
      <c r="D14" t="s">
        <v>349</v>
      </c>
      <c r="M14" s="185">
        <f>+L13/M13</f>
        <v>0.8125</v>
      </c>
    </row>
  </sheetData>
  <mergeCells count="1">
    <mergeCell ref="L6:M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E8:G10"/>
  <sheetViews>
    <sheetView workbookViewId="0">
      <selection activeCell="H9" sqref="H9"/>
    </sheetView>
  </sheetViews>
  <sheetFormatPr baseColWidth="10" defaultColWidth="11.42578125" defaultRowHeight="15"/>
  <sheetData>
    <row r="8" spans="5:7" ht="15.75" thickBot="1"/>
    <row r="9" spans="5:7" ht="252.75" thickBot="1">
      <c r="E9" s="187">
        <v>1</v>
      </c>
      <c r="F9" s="188">
        <v>0.9</v>
      </c>
      <c r="G9" s="186" t="s">
        <v>210</v>
      </c>
    </row>
    <row r="10" spans="5:7" ht="252.75" thickBot="1">
      <c r="E10" s="187">
        <v>1</v>
      </c>
      <c r="F10" s="188">
        <v>0.9</v>
      </c>
      <c r="G10" s="186" t="s">
        <v>210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BF23"/>
  <sheetViews>
    <sheetView topLeftCell="A4" workbookViewId="0">
      <pane xSplit="4" ySplit="4" topLeftCell="G8" activePane="bottomRight" state="frozen"/>
      <selection activeCell="A4" sqref="A4"/>
      <selection pane="topRight" activeCell="D4" sqref="D4"/>
      <selection pane="bottomLeft" activeCell="A8" sqref="A8"/>
      <selection pane="bottomRight" activeCell="G10" sqref="G10"/>
    </sheetView>
  </sheetViews>
  <sheetFormatPr baseColWidth="10" defaultColWidth="11.42578125" defaultRowHeight="15" outlineLevelCol="1"/>
  <cols>
    <col min="1" max="1" width="16.42578125" customWidth="1"/>
    <col min="2" max="2" width="16.42578125" hidden="1" customWidth="1"/>
    <col min="3" max="3" width="30.140625" bestFit="1" customWidth="1"/>
    <col min="4" max="4" width="17.42578125" style="77" bestFit="1" customWidth="1"/>
    <col min="5" max="6" width="4.42578125" hidden="1" customWidth="1"/>
    <col min="7" max="8" width="35.140625" customWidth="1"/>
    <col min="9" max="9" width="16" customWidth="1"/>
    <col min="10" max="10" width="9.42578125" bestFit="1" customWidth="1"/>
    <col min="11" max="11" width="9" style="72" customWidth="1"/>
    <col min="12" max="23" width="7.85546875" customWidth="1" outlineLevel="1"/>
    <col min="24" max="25" width="7.85546875" hidden="1" customWidth="1" outlineLevel="1"/>
    <col min="26" max="26" width="11.42578125" style="67" customWidth="1" collapsed="1"/>
    <col min="27" max="27" width="31.42578125" customWidth="1"/>
    <col min="28" max="28" width="11.42578125" hidden="1" customWidth="1"/>
    <col min="29" max="29" width="8.85546875" customWidth="1"/>
    <col min="30" max="30" width="9.85546875" customWidth="1"/>
    <col min="31" max="31" width="14.140625" customWidth="1"/>
    <col min="32" max="32" width="16.140625" customWidth="1"/>
    <col min="33" max="33" width="14.42578125" customWidth="1"/>
    <col min="34" max="34" width="13.140625" customWidth="1"/>
    <col min="35" max="35" width="14.85546875" customWidth="1"/>
    <col min="44" max="44" width="7" bestFit="1" customWidth="1"/>
    <col min="45" max="45" width="8.85546875" bestFit="1" customWidth="1"/>
    <col min="46" max="46" width="7.42578125" bestFit="1" customWidth="1"/>
    <col min="47" max="47" width="6" bestFit="1" customWidth="1"/>
    <col min="48" max="49" width="6.42578125" bestFit="1" customWidth="1"/>
    <col min="50" max="50" width="5.85546875" bestFit="1" customWidth="1"/>
    <col min="51" max="51" width="8.42578125" bestFit="1" customWidth="1"/>
    <col min="52" max="52" width="11.85546875" customWidth="1"/>
    <col min="53" max="53" width="9.140625" bestFit="1" customWidth="1"/>
    <col min="54" max="54" width="11.85546875" customWidth="1"/>
    <col min="55" max="55" width="10.42578125" bestFit="1" customWidth="1"/>
    <col min="69" max="74" width="9.42578125" customWidth="1"/>
  </cols>
  <sheetData>
    <row r="1" spans="1:58" ht="15" customHeight="1">
      <c r="A1" s="1190" t="s">
        <v>47</v>
      </c>
      <c r="B1" s="1190"/>
      <c r="C1" s="1191"/>
      <c r="D1" s="1192" t="s">
        <v>56</v>
      </c>
      <c r="E1" s="1193"/>
      <c r="F1" s="1193"/>
      <c r="G1" s="1193"/>
      <c r="H1" s="1193"/>
      <c r="I1" s="1193"/>
      <c r="J1" s="1193"/>
      <c r="K1" s="1193"/>
      <c r="L1" s="1193"/>
      <c r="M1" s="1193"/>
      <c r="N1" s="1193"/>
      <c r="O1" s="1193"/>
      <c r="P1" s="1193"/>
      <c r="Q1" s="1193"/>
      <c r="R1" s="1193"/>
      <c r="S1" s="1193"/>
      <c r="T1" s="1193"/>
      <c r="U1" s="1193"/>
      <c r="V1" s="1193"/>
      <c r="W1" s="1193"/>
      <c r="X1" s="1193"/>
      <c r="Y1" s="1193"/>
      <c r="Z1" s="1193"/>
      <c r="AA1" s="1193"/>
      <c r="AB1" s="1193"/>
      <c r="AC1" s="1194"/>
      <c r="AD1" s="1206" t="s">
        <v>31</v>
      </c>
      <c r="AE1" s="1206"/>
    </row>
    <row r="2" spans="1:58" ht="15" customHeight="1">
      <c r="A2" s="1191"/>
      <c r="B2" s="1191"/>
      <c r="C2" s="1191"/>
      <c r="D2" s="1195"/>
      <c r="E2" s="1196"/>
      <c r="F2" s="1196"/>
      <c r="G2" s="1196"/>
      <c r="H2" s="1196"/>
      <c r="I2" s="1196"/>
      <c r="J2" s="1196"/>
      <c r="K2" s="1196"/>
      <c r="L2" s="1196"/>
      <c r="M2" s="1196"/>
      <c r="N2" s="1196"/>
      <c r="O2" s="1196"/>
      <c r="P2" s="1196"/>
      <c r="Q2" s="1196"/>
      <c r="R2" s="1196"/>
      <c r="S2" s="1196"/>
      <c r="T2" s="1196"/>
      <c r="U2" s="1196"/>
      <c r="V2" s="1196"/>
      <c r="W2" s="1196"/>
      <c r="X2" s="1196"/>
      <c r="Y2" s="1196"/>
      <c r="Z2" s="1196"/>
      <c r="AA2" s="1196"/>
      <c r="AB2" s="1196"/>
      <c r="AC2" s="1197"/>
      <c r="AD2" s="1206"/>
      <c r="AE2" s="1206"/>
    </row>
    <row r="3" spans="1:58" ht="15" customHeight="1">
      <c r="A3" s="1191"/>
      <c r="B3" s="1191"/>
      <c r="C3" s="1191"/>
      <c r="D3" s="1198"/>
      <c r="E3" s="1199"/>
      <c r="F3" s="1199"/>
      <c r="G3" s="1199"/>
      <c r="H3" s="1199"/>
      <c r="I3" s="1199"/>
      <c r="J3" s="1199"/>
      <c r="K3" s="1199"/>
      <c r="L3" s="1199"/>
      <c r="M3" s="1199"/>
      <c r="N3" s="1199"/>
      <c r="O3" s="1199"/>
      <c r="P3" s="1199"/>
      <c r="Q3" s="1199"/>
      <c r="R3" s="1199"/>
      <c r="S3" s="1199"/>
      <c r="T3" s="1199"/>
      <c r="U3" s="1199"/>
      <c r="V3" s="1199"/>
      <c r="W3" s="1199"/>
      <c r="X3" s="1199"/>
      <c r="Y3" s="1199"/>
      <c r="Z3" s="1199"/>
      <c r="AA3" s="1199"/>
      <c r="AB3" s="1199"/>
      <c r="AC3" s="1200"/>
      <c r="AD3" s="1206"/>
      <c r="AE3" s="1206"/>
    </row>
    <row r="4" spans="1:58" ht="15" customHeight="1">
      <c r="A4" s="1191"/>
      <c r="B4" s="1191"/>
      <c r="C4" s="1191"/>
      <c r="D4" s="1207" t="s">
        <v>44</v>
      </c>
      <c r="E4" s="1208"/>
      <c r="F4" s="1208"/>
      <c r="G4" s="1208"/>
      <c r="H4" s="1208"/>
      <c r="I4" s="1208"/>
      <c r="J4" s="1208"/>
      <c r="K4" s="1208"/>
      <c r="L4" s="1208"/>
      <c r="M4" s="1208"/>
      <c r="N4" s="1208"/>
      <c r="O4" s="1208"/>
      <c r="P4" s="1208"/>
      <c r="Q4" s="1208"/>
      <c r="R4" s="1208"/>
      <c r="S4" s="1208"/>
      <c r="T4" s="1208"/>
      <c r="U4" s="1208"/>
      <c r="V4" s="1208"/>
      <c r="W4" s="1208"/>
      <c r="X4" s="1208"/>
      <c r="Y4" s="1208"/>
      <c r="Z4" s="1208"/>
      <c r="AA4" s="1208"/>
      <c r="AB4" s="1208"/>
      <c r="AC4" s="1209"/>
      <c r="AD4" s="1213" t="s">
        <v>32</v>
      </c>
      <c r="AE4" s="1213"/>
      <c r="AQ4" s="64"/>
      <c r="AR4" s="64"/>
      <c r="AS4" s="64"/>
      <c r="AT4" s="64"/>
      <c r="AU4" s="64"/>
      <c r="AV4" s="64"/>
      <c r="AW4" s="64"/>
      <c r="AX4" s="64"/>
      <c r="AY4" s="64"/>
      <c r="AZ4" s="64"/>
      <c r="BA4" s="64"/>
      <c r="BB4" s="64"/>
      <c r="BC4" s="64"/>
      <c r="BD4" s="64"/>
      <c r="BE4" s="64"/>
      <c r="BF4" s="64"/>
    </row>
    <row r="5" spans="1:58" ht="15" customHeight="1">
      <c r="A5" s="1191"/>
      <c r="B5" s="1191"/>
      <c r="C5" s="1191"/>
      <c r="D5" s="1210"/>
      <c r="E5" s="1211"/>
      <c r="F5" s="1211"/>
      <c r="G5" s="1211"/>
      <c r="H5" s="1211"/>
      <c r="I5" s="1211"/>
      <c r="J5" s="1211"/>
      <c r="K5" s="1211"/>
      <c r="L5" s="1211"/>
      <c r="M5" s="1211"/>
      <c r="N5" s="1211"/>
      <c r="O5" s="1211"/>
      <c r="P5" s="1211"/>
      <c r="Q5" s="1211"/>
      <c r="R5" s="1211"/>
      <c r="S5" s="1211"/>
      <c r="T5" s="1211"/>
      <c r="U5" s="1211"/>
      <c r="V5" s="1211"/>
      <c r="W5" s="1211"/>
      <c r="X5" s="1211"/>
      <c r="Y5" s="1211"/>
      <c r="Z5" s="1211"/>
      <c r="AA5" s="1211"/>
      <c r="AB5" s="1211"/>
      <c r="AC5" s="1212"/>
      <c r="AD5" s="1214">
        <v>42731</v>
      </c>
      <c r="AE5" s="1214"/>
      <c r="AQ5" s="64"/>
      <c r="AR5" s="64"/>
      <c r="AS5" s="64"/>
      <c r="AT5" s="64"/>
      <c r="AU5" s="64"/>
      <c r="AV5" s="64"/>
      <c r="AW5" s="64"/>
      <c r="AX5" s="64"/>
      <c r="AY5" s="64"/>
      <c r="AZ5" s="64"/>
      <c r="BA5" s="64"/>
      <c r="BB5" s="64"/>
      <c r="BC5" s="64"/>
      <c r="BD5" s="64"/>
      <c r="BE5" s="64"/>
      <c r="BF5" s="64"/>
    </row>
    <row r="6" spans="1:58">
      <c r="AQ6" s="64"/>
      <c r="AR6" s="64"/>
      <c r="AS6" s="64"/>
      <c r="AT6" s="64"/>
      <c r="AU6" s="64"/>
      <c r="AV6" s="64"/>
      <c r="AW6" s="64"/>
      <c r="AX6" s="64"/>
      <c r="AY6" s="64"/>
      <c r="AZ6" s="64"/>
      <c r="BA6" s="64"/>
      <c r="BB6" s="64"/>
      <c r="BC6" s="64"/>
      <c r="BD6" s="64"/>
      <c r="BE6" s="64"/>
      <c r="BF6" s="64"/>
    </row>
    <row r="7" spans="1:58" ht="93.75" customHeight="1" thickBot="1">
      <c r="A7" s="114" t="s">
        <v>1</v>
      </c>
      <c r="B7" s="114"/>
      <c r="C7" s="114" t="s">
        <v>2</v>
      </c>
      <c r="D7" s="114" t="s">
        <v>50</v>
      </c>
      <c r="E7" s="114" t="s">
        <v>57</v>
      </c>
      <c r="F7" s="114" t="s">
        <v>58</v>
      </c>
      <c r="G7" s="114" t="s">
        <v>3</v>
      </c>
      <c r="H7" s="114" t="s">
        <v>62</v>
      </c>
      <c r="I7" s="114" t="s">
        <v>5</v>
      </c>
      <c r="J7" s="114" t="s">
        <v>6</v>
      </c>
      <c r="K7" s="114" t="s">
        <v>4</v>
      </c>
      <c r="L7" s="165">
        <v>42736</v>
      </c>
      <c r="M7" s="165">
        <v>42767</v>
      </c>
      <c r="N7" s="165">
        <v>42795</v>
      </c>
      <c r="O7" s="165">
        <v>42826</v>
      </c>
      <c r="P7" s="165">
        <v>42856</v>
      </c>
      <c r="Q7" s="165">
        <v>42887</v>
      </c>
      <c r="R7" s="165">
        <v>42917</v>
      </c>
      <c r="S7" s="165">
        <v>42948</v>
      </c>
      <c r="T7" s="165">
        <v>42979</v>
      </c>
      <c r="U7" s="165">
        <v>43009</v>
      </c>
      <c r="V7" s="165">
        <v>43040</v>
      </c>
      <c r="W7" s="165">
        <v>43070</v>
      </c>
      <c r="X7" s="165"/>
      <c r="Y7" s="165"/>
      <c r="Z7" s="114" t="s">
        <v>10</v>
      </c>
      <c r="AA7" s="114" t="s">
        <v>54</v>
      </c>
      <c r="AB7" s="114" t="s">
        <v>60</v>
      </c>
      <c r="AC7" s="114" t="s">
        <v>9</v>
      </c>
      <c r="AD7" s="166" t="s">
        <v>11</v>
      </c>
      <c r="AE7" s="166" t="s">
        <v>12</v>
      </c>
      <c r="AF7" s="166" t="s">
        <v>55</v>
      </c>
      <c r="AG7" s="166" t="s">
        <v>7</v>
      </c>
      <c r="AH7" s="166" t="s">
        <v>8</v>
      </c>
      <c r="AP7" s="64"/>
      <c r="AQ7" s="65"/>
      <c r="AR7" s="65"/>
      <c r="AS7" s="65"/>
      <c r="AT7" s="65"/>
      <c r="AU7" s="65"/>
      <c r="AV7" s="65"/>
      <c r="AW7" s="65"/>
      <c r="AX7" s="65"/>
      <c r="AY7" s="65"/>
      <c r="AZ7" s="65"/>
      <c r="BA7" s="65"/>
      <c r="BB7" s="65"/>
      <c r="BC7" s="65"/>
      <c r="BD7" s="64"/>
      <c r="BE7" s="64"/>
    </row>
    <row r="8" spans="1:58" ht="25.5">
      <c r="A8" s="1230" t="s">
        <v>75</v>
      </c>
      <c r="B8" s="163" t="e">
        <f>+#REF!+1</f>
        <v>#REF!</v>
      </c>
      <c r="C8" s="152" t="s">
        <v>109</v>
      </c>
      <c r="D8" s="126" t="s">
        <v>112</v>
      </c>
      <c r="E8" s="127"/>
      <c r="F8" s="127"/>
      <c r="G8" s="128" t="s">
        <v>102</v>
      </c>
      <c r="H8" s="128" t="s">
        <v>104</v>
      </c>
      <c r="I8" s="129" t="s">
        <v>108</v>
      </c>
      <c r="J8" s="130" t="s">
        <v>100</v>
      </c>
      <c r="K8" s="131">
        <v>0.8</v>
      </c>
      <c r="L8" s="132"/>
      <c r="M8" s="132"/>
      <c r="N8" s="132"/>
      <c r="O8" s="132"/>
      <c r="P8" s="132"/>
      <c r="Q8" s="132"/>
      <c r="R8" s="132"/>
      <c r="S8" s="132"/>
      <c r="T8" s="132"/>
      <c r="U8" s="132"/>
      <c r="V8" s="132"/>
      <c r="W8" s="132"/>
      <c r="X8" s="133">
        <v>0</v>
      </c>
      <c r="Y8" s="133">
        <v>1</v>
      </c>
      <c r="Z8" s="133" t="e">
        <f t="shared" ref="Z8:Z16" si="0">LOOKUP(1000000000,L8:W8)</f>
        <v>#N/A</v>
      </c>
      <c r="AA8" s="128"/>
      <c r="AB8" s="132" t="e">
        <f t="shared" ref="AB8:AB16" si="1">+IF(SLOPE(L8:W8,$L$7:$W$7)&gt;0,"Al alza",IF(SLOPE(L8:W8,$L$7:$W$7)&lt;0,"A la baja","Sin cambio"))</f>
        <v>#DIV/0!</v>
      </c>
      <c r="AC8" s="112" t="s">
        <v>13</v>
      </c>
      <c r="AD8" s="134">
        <v>9.6100000000000005E-3</v>
      </c>
      <c r="AE8" s="135" t="str">
        <f>IF($J$8="Sube",IF(ISERROR(Z8/$K$8)=TRUE,"",IF(Z8&gt;$K$8,AD8,Z8/$K$8*AD8)),IF(ISERROR($K$8/Z8)=TRUE,"",IF($K$8&lt;Z8,$K$8/Z8*AD8,AD8)))</f>
        <v/>
      </c>
      <c r="AF8" s="136" t="str">
        <f>IF($J$8="Sube",IF(ISERROR(Z8/$K$8)=TRUE,"",IF(Z8&gt;=$K$8,1,0)),IF(ISERROR($K$8/Z8)=TRUE,"",IF($K$8&lt;Z8,0,1)))</f>
        <v/>
      </c>
      <c r="AG8" s="127"/>
      <c r="AH8" s="137"/>
      <c r="AP8" s="64"/>
      <c r="AQ8" s="63"/>
      <c r="AR8" s="63"/>
      <c r="AS8" s="63"/>
      <c r="AT8" s="63"/>
      <c r="AU8" s="63"/>
      <c r="AV8" s="63"/>
      <c r="AW8" s="63"/>
      <c r="AX8" s="63"/>
      <c r="AY8" s="63"/>
      <c r="AZ8" s="63"/>
      <c r="BA8" s="63"/>
      <c r="BB8" s="63"/>
      <c r="BC8" s="64"/>
      <c r="BD8" s="64"/>
      <c r="BE8" s="64"/>
    </row>
    <row r="9" spans="1:58" ht="25.5">
      <c r="A9" s="1231"/>
      <c r="B9" s="108" t="e">
        <f t="shared" ref="B9:B16" si="2">+B8+1</f>
        <v>#REF!</v>
      </c>
      <c r="C9" s="105" t="s">
        <v>110</v>
      </c>
      <c r="D9" s="106" t="s">
        <v>113</v>
      </c>
      <c r="E9" s="61"/>
      <c r="F9" s="61"/>
      <c r="G9" s="16" t="s">
        <v>101</v>
      </c>
      <c r="H9" s="16" t="s">
        <v>105</v>
      </c>
      <c r="I9" s="18" t="s">
        <v>108</v>
      </c>
      <c r="J9" s="104" t="s">
        <v>100</v>
      </c>
      <c r="K9" s="73">
        <v>0.05</v>
      </c>
      <c r="L9" s="17"/>
      <c r="M9" s="17"/>
      <c r="N9" s="17"/>
      <c r="O9" s="17"/>
      <c r="P9" s="17"/>
      <c r="Q9" s="17"/>
      <c r="R9" s="17"/>
      <c r="S9" s="17"/>
      <c r="T9" s="17"/>
      <c r="U9" s="17"/>
      <c r="V9" s="17"/>
      <c r="W9" s="17"/>
      <c r="X9" s="66">
        <v>0</v>
      </c>
      <c r="Y9" s="66">
        <v>1</v>
      </c>
      <c r="Z9" s="66" t="e">
        <f t="shared" si="0"/>
        <v>#N/A</v>
      </c>
      <c r="AA9" s="16"/>
      <c r="AB9" s="17" t="e">
        <f t="shared" si="1"/>
        <v>#DIV/0!</v>
      </c>
      <c r="AC9" s="111" t="s">
        <v>13</v>
      </c>
      <c r="AD9" s="81">
        <v>9.6100000000000005E-3</v>
      </c>
      <c r="AE9" s="20" t="str">
        <f>IF($J$9="Sube",IF(ISERROR(Z9/$K$9)=TRUE,"",IF(Z9&gt;$K$9,AD9,Z9/$K$9*AD9)),IF(ISERROR($K$9/Z9)=TRUE,"",IF($K$9&lt;Z9,$K$9/Z9*AD9,AD9)))</f>
        <v/>
      </c>
      <c r="AF9" s="21" t="str">
        <f>IF($J$9="Sube",IF(ISERROR(Z9/$K$9)=TRUE,"",IF(Z9&gt;=$K$9,1,0)),IF(ISERROR($K$9/Z9)=TRUE,"",IF($K$9&lt;Z9,0,1)))</f>
        <v/>
      </c>
      <c r="AG9" s="61"/>
      <c r="AH9" s="138"/>
      <c r="AP9" s="64"/>
      <c r="AQ9" s="63"/>
      <c r="AR9" s="63"/>
      <c r="AS9" s="63"/>
      <c r="AT9" s="63"/>
      <c r="AU9" s="63"/>
      <c r="AV9" s="63"/>
      <c r="AW9" s="63"/>
      <c r="AX9" s="63"/>
      <c r="AY9" s="63"/>
      <c r="AZ9" s="63"/>
      <c r="BA9" s="63"/>
      <c r="BB9" s="63"/>
      <c r="BC9" s="64"/>
      <c r="BD9" s="64"/>
      <c r="BE9" s="64"/>
    </row>
    <row r="10" spans="1:58" ht="39" thickBot="1">
      <c r="A10" s="1232"/>
      <c r="B10" s="164" t="e">
        <f t="shared" si="2"/>
        <v>#REF!</v>
      </c>
      <c r="C10" s="153" t="s">
        <v>111</v>
      </c>
      <c r="D10" s="140" t="s">
        <v>114</v>
      </c>
      <c r="E10" s="150"/>
      <c r="F10" s="150"/>
      <c r="G10" s="141" t="s">
        <v>103</v>
      </c>
      <c r="H10" s="141" t="s">
        <v>106</v>
      </c>
      <c r="I10" s="142" t="s">
        <v>107</v>
      </c>
      <c r="J10" s="143" t="s">
        <v>100</v>
      </c>
      <c r="K10" s="144">
        <v>0.95</v>
      </c>
      <c r="L10" s="145"/>
      <c r="M10" s="145"/>
      <c r="N10" s="145"/>
      <c r="O10" s="145"/>
      <c r="P10" s="145"/>
      <c r="Q10" s="145"/>
      <c r="R10" s="145"/>
      <c r="S10" s="145"/>
      <c r="T10" s="145"/>
      <c r="U10" s="145"/>
      <c r="V10" s="145"/>
      <c r="W10" s="145"/>
      <c r="X10" s="146">
        <v>0</v>
      </c>
      <c r="Y10" s="146">
        <v>1</v>
      </c>
      <c r="Z10" s="146" t="e">
        <f t="shared" si="0"/>
        <v>#N/A</v>
      </c>
      <c r="AA10" s="141"/>
      <c r="AB10" s="145" t="e">
        <f t="shared" si="1"/>
        <v>#DIV/0!</v>
      </c>
      <c r="AC10" s="139" t="s">
        <v>13</v>
      </c>
      <c r="AD10" s="147">
        <v>9.6100000000000005E-3</v>
      </c>
      <c r="AE10" s="148" t="str">
        <f>IF($J$10="Sube",IF(ISERROR(Z10/$K$10)=TRUE,"",IF(Z10&gt;$K$10,AD10,Z10/$K$10*AD10)),IF(ISERROR($K$10/Z10)=TRUE,"",IF($K$10&lt;Z10,$K$10/Z10*AD10,AD10)))</f>
        <v/>
      </c>
      <c r="AF10" s="149" t="str">
        <f>IF($J$10="Sube",IF(ISERROR(Z10/$K$10)=TRUE,"",IF(Z10&gt;=$K$10,1,0)),IF(ISERROR($K$10/Z10)=TRUE,"",IF($K$10&lt;Z10,0,1)))</f>
        <v/>
      </c>
      <c r="AG10" s="150"/>
      <c r="AH10" s="151"/>
      <c r="AP10" s="64"/>
      <c r="AQ10" s="63"/>
      <c r="AR10" s="63"/>
      <c r="AS10" s="63"/>
      <c r="AT10" s="63"/>
      <c r="AU10" s="63"/>
      <c r="AV10" s="63"/>
      <c r="AW10" s="63"/>
      <c r="AX10" s="63"/>
      <c r="AY10" s="63"/>
      <c r="AZ10" s="63"/>
      <c r="BA10" s="63"/>
      <c r="BB10" s="63"/>
      <c r="BC10" s="64"/>
      <c r="BD10" s="64"/>
      <c r="BE10" s="64"/>
    </row>
    <row r="11" spans="1:58" hidden="1">
      <c r="A11" s="1229" t="s">
        <v>76</v>
      </c>
      <c r="B11" s="107" t="e">
        <f t="shared" si="2"/>
        <v>#REF!</v>
      </c>
      <c r="C11" s="110"/>
      <c r="D11" s="115"/>
      <c r="E11" s="116"/>
      <c r="F11" s="116"/>
      <c r="G11" s="117"/>
      <c r="H11" s="117"/>
      <c r="I11" s="118"/>
      <c r="J11" s="119"/>
      <c r="K11" s="120"/>
      <c r="L11" s="121"/>
      <c r="M11" s="121"/>
      <c r="N11" s="121"/>
      <c r="O11" s="121"/>
      <c r="P11" s="121"/>
      <c r="Q11" s="121"/>
      <c r="R11" s="121"/>
      <c r="S11" s="121"/>
      <c r="T11" s="121"/>
      <c r="U11" s="121"/>
      <c r="V11" s="121"/>
      <c r="W11" s="121"/>
      <c r="X11" s="121"/>
      <c r="Y11" s="121"/>
      <c r="Z11" s="122" t="e">
        <f t="shared" si="0"/>
        <v>#N/A</v>
      </c>
      <c r="AA11" s="117"/>
      <c r="AB11" s="121" t="e">
        <f t="shared" si="1"/>
        <v>#DIV/0!</v>
      </c>
      <c r="AC11" s="110" t="s">
        <v>13</v>
      </c>
      <c r="AD11" s="123">
        <v>9.6100000000000005E-3</v>
      </c>
      <c r="AE11" s="124" t="str">
        <f>IF($J$11="Sube",IF(ISERROR(Z11/$K$11)=TRUE,"",IF(Z11&gt;$K$11,AD11,Z11/$K$11*AD11)),IF(ISERROR($K$11/Z11)=TRUE,"",IF($K$11&lt;Z11,$K$11/Z11*AD11,AD11)))</f>
        <v/>
      </c>
      <c r="AF11" s="125" t="str">
        <f>IF($J$11="Sube",IF(ISERROR(Z11/$K$11)=TRUE,"",IF(Z11&gt;=$K$11,1,0)),IF(ISERROR($K$11/Z11)=TRUE,"",IF($K$11&lt;Z11,0,1)))</f>
        <v/>
      </c>
      <c r="AG11" s="116"/>
      <c r="AH11" s="116"/>
      <c r="AP11" s="64"/>
      <c r="AQ11" s="63"/>
      <c r="AR11" s="63"/>
      <c r="AS11" s="63"/>
      <c r="AT11" s="63"/>
      <c r="AU11" s="63"/>
      <c r="AV11" s="63"/>
      <c r="AW11" s="63"/>
      <c r="AX11" s="63"/>
      <c r="AY11" s="63"/>
      <c r="AZ11" s="63"/>
      <c r="BA11" s="63"/>
      <c r="BB11" s="63"/>
      <c r="BC11" s="64"/>
      <c r="BD11" s="64"/>
      <c r="BE11" s="64"/>
    </row>
    <row r="12" spans="1:58" hidden="1">
      <c r="A12" s="1229"/>
      <c r="B12" s="107" t="e">
        <f t="shared" si="2"/>
        <v>#REF!</v>
      </c>
      <c r="C12" s="111"/>
      <c r="D12" s="106"/>
      <c r="E12" s="61"/>
      <c r="F12" s="61"/>
      <c r="G12" s="16"/>
      <c r="H12" s="16"/>
      <c r="I12" s="18"/>
      <c r="J12" s="104"/>
      <c r="K12" s="73"/>
      <c r="L12" s="17"/>
      <c r="M12" s="17"/>
      <c r="N12" s="17"/>
      <c r="O12" s="17"/>
      <c r="P12" s="17"/>
      <c r="Q12" s="17"/>
      <c r="R12" s="17"/>
      <c r="S12" s="17"/>
      <c r="T12" s="17"/>
      <c r="U12" s="17"/>
      <c r="V12" s="17"/>
      <c r="W12" s="17"/>
      <c r="X12" s="17"/>
      <c r="Y12" s="17"/>
      <c r="Z12" s="66" t="e">
        <f t="shared" si="0"/>
        <v>#N/A</v>
      </c>
      <c r="AA12" s="16"/>
      <c r="AB12" s="17" t="e">
        <f t="shared" si="1"/>
        <v>#DIV/0!</v>
      </c>
      <c r="AC12" s="111" t="s">
        <v>13</v>
      </c>
      <c r="AD12" s="81">
        <v>9.6100000000000005E-3</v>
      </c>
      <c r="AE12" s="20" t="str">
        <f>IF($J$12="Sube",IF(ISERROR(Z12/$K$12)=TRUE,"",IF(Z12&gt;$K$12,AD12,Z12/$K$12*AD12)),IF(ISERROR($K$12/Z12)=TRUE,"",IF($K$12&lt;Z12,$K$12/Z12*AD12,AD12)))</f>
        <v/>
      </c>
      <c r="AF12" s="21" t="str">
        <f>IF($J$12="Sube",IF(ISERROR(Z12/$K$12)=TRUE,"",IF(Z12&gt;=$K$12,1,0)),IF(ISERROR($K$12/Z12)=TRUE,"",IF($K$12&lt;Z12,0,1)))</f>
        <v/>
      </c>
      <c r="AG12" s="61"/>
      <c r="AH12" s="61"/>
      <c r="AP12" s="64"/>
      <c r="AQ12" s="63"/>
      <c r="AR12" s="63"/>
      <c r="AS12" s="63"/>
      <c r="AT12" s="63"/>
      <c r="AU12" s="63"/>
      <c r="AV12" s="63"/>
      <c r="AW12" s="63"/>
      <c r="AX12" s="63"/>
      <c r="AY12" s="63"/>
      <c r="AZ12" s="63"/>
      <c r="BA12" s="63"/>
      <c r="BB12" s="63"/>
      <c r="BC12" s="64"/>
      <c r="BD12" s="64"/>
      <c r="BE12" s="64"/>
    </row>
    <row r="13" spans="1:58" hidden="1">
      <c r="A13" s="1229"/>
      <c r="B13" s="107" t="e">
        <f t="shared" si="2"/>
        <v>#REF!</v>
      </c>
      <c r="C13" s="111"/>
      <c r="D13" s="106"/>
      <c r="E13" s="61"/>
      <c r="F13" s="61"/>
      <c r="G13" s="16"/>
      <c r="H13" s="16"/>
      <c r="I13" s="18"/>
      <c r="J13" s="104"/>
      <c r="K13" s="73"/>
      <c r="L13" s="17"/>
      <c r="M13" s="17"/>
      <c r="N13" s="17"/>
      <c r="O13" s="17"/>
      <c r="P13" s="17"/>
      <c r="Q13" s="17"/>
      <c r="R13" s="17"/>
      <c r="S13" s="17"/>
      <c r="T13" s="17"/>
      <c r="U13" s="17"/>
      <c r="V13" s="17"/>
      <c r="W13" s="17"/>
      <c r="X13" s="17"/>
      <c r="Y13" s="17"/>
      <c r="Z13" s="66" t="e">
        <f t="shared" si="0"/>
        <v>#N/A</v>
      </c>
      <c r="AA13" s="16"/>
      <c r="AB13" s="17" t="e">
        <f t="shared" si="1"/>
        <v>#DIV/0!</v>
      </c>
      <c r="AC13" s="111" t="s">
        <v>13</v>
      </c>
      <c r="AD13" s="81">
        <v>9.6100000000000005E-3</v>
      </c>
      <c r="AE13" s="20" t="str">
        <f>IF($J$13="Sube",IF(ISERROR(Z13/$K$13)=TRUE,"",IF(Z13&gt;$K$13,AD13,Z13/$K$13*AD13)),IF(ISERROR($K$13/Z13)=TRUE,"",IF($K$13&lt;Z13,$K$13/Z13*AD13,AD13)))</f>
        <v/>
      </c>
      <c r="AF13" s="21" t="str">
        <f>IF($J$13="Sube",IF(ISERROR(Z13/$K$13)=TRUE,"",IF(Z13&gt;=$K$13,1,0)),IF(ISERROR($K$13/Z13)=TRUE,"",IF($K$13&lt;Z13,0,1)))</f>
        <v/>
      </c>
      <c r="AG13" s="61"/>
      <c r="AH13" s="61"/>
      <c r="AP13" s="64"/>
      <c r="AQ13" s="63"/>
      <c r="AR13" s="63"/>
      <c r="AS13" s="63"/>
      <c r="AT13" s="63"/>
      <c r="AU13" s="63"/>
      <c r="AV13" s="63"/>
      <c r="AW13" s="63"/>
      <c r="AX13" s="63"/>
      <c r="AY13" s="63"/>
      <c r="AZ13" s="63"/>
      <c r="BA13" s="63"/>
      <c r="BB13" s="63"/>
      <c r="BC13" s="64"/>
      <c r="BD13" s="64"/>
      <c r="BE13" s="64"/>
    </row>
    <row r="14" spans="1:58" hidden="1">
      <c r="A14" s="1229"/>
      <c r="B14" s="107" t="e">
        <f t="shared" si="2"/>
        <v>#REF!</v>
      </c>
      <c r="C14" s="111"/>
      <c r="D14" s="106"/>
      <c r="E14" s="61"/>
      <c r="F14" s="61"/>
      <c r="G14" s="16"/>
      <c r="H14" s="16"/>
      <c r="I14" s="18"/>
      <c r="J14" s="104"/>
      <c r="K14" s="73"/>
      <c r="L14" s="17"/>
      <c r="M14" s="17"/>
      <c r="N14" s="17"/>
      <c r="O14" s="17"/>
      <c r="P14" s="17"/>
      <c r="Q14" s="17"/>
      <c r="R14" s="17"/>
      <c r="S14" s="17"/>
      <c r="T14" s="17"/>
      <c r="U14" s="17"/>
      <c r="V14" s="17"/>
      <c r="W14" s="17"/>
      <c r="X14" s="17"/>
      <c r="Y14" s="17"/>
      <c r="Z14" s="66" t="e">
        <f t="shared" si="0"/>
        <v>#N/A</v>
      </c>
      <c r="AA14" s="16"/>
      <c r="AB14" s="17" t="e">
        <f t="shared" si="1"/>
        <v>#DIV/0!</v>
      </c>
      <c r="AC14" s="111" t="s">
        <v>13</v>
      </c>
      <c r="AD14" s="81">
        <v>9.6100000000000005E-3</v>
      </c>
      <c r="AE14" s="20" t="str">
        <f>IF($J$14="Sube",IF(ISERROR(Z14/$K$14)=TRUE,"",IF(Z14&gt;$K$14,AD14,Z14/$K$14*AD14)),IF(ISERROR($K$14/Z14)=TRUE,"",IF($K$14&lt;Z14,$K$14/Z14*AD14,AD14)))</f>
        <v/>
      </c>
      <c r="AF14" s="21" t="str">
        <f>IF($J$14="Sube",IF(ISERROR(Z14/$K$14)=TRUE,"",IF(Z14&gt;=$K$14,1,0)),IF(ISERROR($K$14/Z14)=TRUE,"",IF($K$14&lt;Z14,0,1)))</f>
        <v/>
      </c>
      <c r="AG14" s="61"/>
      <c r="AH14" s="61"/>
      <c r="AP14" s="64"/>
      <c r="AQ14" s="63"/>
      <c r="AR14" s="63"/>
      <c r="AS14" s="63"/>
      <c r="AT14" s="63"/>
      <c r="AU14" s="63"/>
      <c r="AV14" s="63"/>
      <c r="AW14" s="63"/>
      <c r="AX14" s="63"/>
      <c r="AY14" s="63"/>
      <c r="AZ14" s="63"/>
      <c r="BA14" s="63"/>
      <c r="BB14" s="63"/>
      <c r="BC14" s="64"/>
      <c r="BD14" s="64"/>
      <c r="BE14" s="64"/>
    </row>
    <row r="15" spans="1:58" hidden="1">
      <c r="A15" s="1229"/>
      <c r="B15" s="107" t="e">
        <f t="shared" si="2"/>
        <v>#REF!</v>
      </c>
      <c r="C15" s="111"/>
      <c r="D15" s="106"/>
      <c r="E15" s="61"/>
      <c r="F15" s="61"/>
      <c r="G15" s="16"/>
      <c r="H15" s="16"/>
      <c r="I15" s="18"/>
      <c r="J15" s="104"/>
      <c r="K15" s="73"/>
      <c r="L15" s="17"/>
      <c r="M15" s="17"/>
      <c r="N15" s="17"/>
      <c r="O15" s="17"/>
      <c r="P15" s="17"/>
      <c r="Q15" s="17"/>
      <c r="R15" s="17"/>
      <c r="S15" s="17"/>
      <c r="T15" s="17"/>
      <c r="U15" s="17"/>
      <c r="V15" s="17"/>
      <c r="W15" s="17"/>
      <c r="X15" s="17"/>
      <c r="Y15" s="17"/>
      <c r="Z15" s="66" t="e">
        <f t="shared" si="0"/>
        <v>#N/A</v>
      </c>
      <c r="AA15" s="16"/>
      <c r="AB15" s="17" t="e">
        <f t="shared" si="1"/>
        <v>#DIV/0!</v>
      </c>
      <c r="AC15" s="111" t="s">
        <v>13</v>
      </c>
      <c r="AD15" s="81">
        <v>9.6100000000000005E-3</v>
      </c>
      <c r="AE15" s="20" t="str">
        <f>IF($J$15="Sube",IF(ISERROR(Z15/$K$15)=TRUE,"",IF(Z15&gt;$K$15,AD15,Z15/$K$15*AD15)),IF(ISERROR($K$15/Z15)=TRUE,"",IF($K$15&lt;Z15,$K$15/Z15*AD15,AD15)))</f>
        <v/>
      </c>
      <c r="AF15" s="21" t="str">
        <f>IF($J$15="Sube",IF(ISERROR(Z15/$K$15)=TRUE,"",IF(Z15&gt;=$K$15,1,0)),IF(ISERROR($K$15/Z15)=TRUE,"",IF($K$15&lt;Z15,0,1)))</f>
        <v/>
      </c>
      <c r="AG15" s="61"/>
      <c r="AH15" s="61"/>
      <c r="AP15" s="64"/>
      <c r="AQ15" s="63"/>
      <c r="AR15" s="63"/>
      <c r="AS15" s="63"/>
      <c r="AT15" s="63"/>
      <c r="AU15" s="63"/>
      <c r="AV15" s="63"/>
      <c r="AW15" s="63"/>
      <c r="AX15" s="63"/>
      <c r="AY15" s="63"/>
      <c r="AZ15" s="63"/>
      <c r="BA15" s="63"/>
      <c r="BB15" s="63"/>
      <c r="BC15" s="64"/>
      <c r="BD15" s="64"/>
      <c r="BE15" s="64"/>
    </row>
    <row r="16" spans="1:58" hidden="1">
      <c r="A16" s="1229"/>
      <c r="B16" s="107" t="e">
        <f t="shared" si="2"/>
        <v>#REF!</v>
      </c>
      <c r="C16" s="109"/>
      <c r="D16" s="113"/>
      <c r="E16" s="154"/>
      <c r="F16" s="154"/>
      <c r="G16" s="78"/>
      <c r="H16" s="78"/>
      <c r="I16" s="155"/>
      <c r="J16" s="156"/>
      <c r="K16" s="157"/>
      <c r="L16" s="158"/>
      <c r="M16" s="158"/>
      <c r="N16" s="158"/>
      <c r="O16" s="158"/>
      <c r="P16" s="158"/>
      <c r="Q16" s="158"/>
      <c r="R16" s="158"/>
      <c r="S16" s="158"/>
      <c r="T16" s="158"/>
      <c r="U16" s="158"/>
      <c r="V16" s="158"/>
      <c r="W16" s="158"/>
      <c r="X16" s="158"/>
      <c r="Y16" s="158"/>
      <c r="Z16" s="159" t="e">
        <f t="shared" si="0"/>
        <v>#N/A</v>
      </c>
      <c r="AA16" s="78"/>
      <c r="AB16" s="158" t="e">
        <f t="shared" si="1"/>
        <v>#DIV/0!</v>
      </c>
      <c r="AC16" s="109" t="s">
        <v>13</v>
      </c>
      <c r="AD16" s="160">
        <v>9.6100000000000005E-3</v>
      </c>
      <c r="AE16" s="161" t="str">
        <f>IF($J$16="Sube",IF(ISERROR(Z16/$K$16)=TRUE,"",IF(Z16&gt;$K$16,AD16,Z16/$K$16*AD16)),IF(ISERROR($K$16/Z16)=TRUE,"",IF($K$16&lt;Z16,$K$16/Z16*AD16,AD16)))</f>
        <v/>
      </c>
      <c r="AF16" s="162" t="str">
        <f>IF($J$16="Sube",IF(ISERROR(Z16/$K$16)=TRUE,"",IF(Z16&gt;=$K$16,1,0)),IF(ISERROR($K$16/Z16)=TRUE,"",IF($K$16&lt;Z16,0,1)))</f>
        <v/>
      </c>
      <c r="AG16" s="154"/>
      <c r="AH16" s="154"/>
      <c r="AP16" s="64"/>
      <c r="AQ16" s="63"/>
      <c r="AR16" s="63"/>
      <c r="AS16" s="63"/>
      <c r="AT16" s="63"/>
      <c r="AU16" s="63"/>
      <c r="AV16" s="63"/>
      <c r="AW16" s="63"/>
      <c r="AX16" s="63"/>
      <c r="AY16" s="63"/>
      <c r="AZ16" s="63"/>
      <c r="BA16" s="63"/>
      <c r="BB16" s="63"/>
      <c r="BC16" s="64"/>
      <c r="BD16" s="64"/>
      <c r="BE16" s="64"/>
    </row>
    <row r="17" spans="29:58" ht="15.75" thickBot="1">
      <c r="AC17" s="70" t="s">
        <v>14</v>
      </c>
      <c r="AD17" s="80">
        <f>SUM(AD8:AD16)</f>
        <v>8.6490000000000011E-2</v>
      </c>
      <c r="AE17" s="79">
        <f>SUMIFS(AE8:AE16,AC8:AC16,"Si")/SUMIFS(AD8:AD16,AC8:AC16,"Si")</f>
        <v>0</v>
      </c>
      <c r="AF17" s="71">
        <f>SUMIFS(AF8:AF16,AC8:AC16,"Si")/AC19</f>
        <v>0</v>
      </c>
      <c r="AQ17" s="64"/>
      <c r="AR17" s="63"/>
      <c r="AS17" s="63"/>
      <c r="AT17" s="63"/>
      <c r="AU17" s="63"/>
      <c r="AV17" s="63"/>
      <c r="AW17" s="63"/>
      <c r="AX17" s="63"/>
      <c r="AY17" s="63"/>
      <c r="AZ17" s="63"/>
      <c r="BA17" s="63"/>
      <c r="BB17" s="63"/>
      <c r="BC17" s="63"/>
      <c r="BD17" s="64"/>
      <c r="BE17" s="64"/>
      <c r="BF17" s="64"/>
    </row>
    <row r="18" spans="29:58" ht="38.25">
      <c r="AC18" s="22" t="s">
        <v>15</v>
      </c>
      <c r="AD18" s="112" t="s">
        <v>16</v>
      </c>
      <c r="AE18" s="23" t="s">
        <v>17</v>
      </c>
      <c r="AG18" s="19"/>
      <c r="AQ18" s="64"/>
      <c r="AR18" s="64"/>
      <c r="AS18" s="64"/>
      <c r="AT18" s="64"/>
      <c r="AU18" s="64"/>
      <c r="AV18" s="64"/>
      <c r="AW18" s="64"/>
      <c r="AX18" s="64"/>
      <c r="AY18" s="64"/>
      <c r="AZ18" s="64"/>
      <c r="BA18" s="64"/>
      <c r="BB18" s="64"/>
      <c r="BC18" s="64"/>
      <c r="BD18" s="64"/>
      <c r="BE18" s="64"/>
      <c r="BF18" s="64"/>
    </row>
    <row r="19" spans="29:58" ht="15.75" thickBot="1">
      <c r="AC19" s="24">
        <f>COUNTIF(AC8:AC16,"Si")</f>
        <v>9</v>
      </c>
      <c r="AD19" s="25">
        <f>COUNT(Z8:Z16)</f>
        <v>0</v>
      </c>
      <c r="AE19" s="26">
        <f>AD19/AC19</f>
        <v>0</v>
      </c>
      <c r="AG19" s="19"/>
      <c r="AQ19" s="64"/>
      <c r="AR19" s="64"/>
      <c r="AS19" s="64"/>
      <c r="AT19" s="64"/>
      <c r="AU19" s="64"/>
      <c r="AV19" s="64"/>
      <c r="AW19" s="64"/>
      <c r="AX19" s="64"/>
      <c r="AY19" s="64"/>
      <c r="AZ19" s="64"/>
      <c r="BA19" s="64"/>
      <c r="BB19" s="64"/>
      <c r="BC19" s="64"/>
      <c r="BD19" s="64"/>
      <c r="BE19" s="64"/>
      <c r="BF19" s="64"/>
    </row>
    <row r="20" spans="29:58">
      <c r="AC20" s="1"/>
      <c r="AD20" s="2"/>
      <c r="AE20" s="2"/>
      <c r="AG20" s="1"/>
      <c r="AQ20" s="64"/>
      <c r="AR20" s="64"/>
      <c r="AS20" s="64"/>
      <c r="AT20" s="64"/>
      <c r="AU20" s="64"/>
      <c r="AV20" s="64"/>
      <c r="AW20" s="64"/>
      <c r="AX20" s="64"/>
      <c r="AY20" s="64"/>
      <c r="AZ20" s="64"/>
      <c r="BA20" s="64"/>
      <c r="BB20" s="64"/>
      <c r="BC20" s="64"/>
      <c r="BD20" s="64"/>
      <c r="BE20" s="64"/>
      <c r="BF20" s="64"/>
    </row>
    <row r="21" spans="29:58">
      <c r="AC21" s="27" t="s">
        <v>18</v>
      </c>
      <c r="AD21" s="28" t="s">
        <v>19</v>
      </c>
      <c r="AE21" s="2"/>
      <c r="AG21" s="1"/>
      <c r="AQ21" s="64"/>
      <c r="AR21" s="64"/>
      <c r="AS21" s="64"/>
      <c r="AT21" s="64"/>
      <c r="AU21" s="64"/>
      <c r="AV21" s="64"/>
      <c r="AW21" s="64"/>
      <c r="AX21" s="64"/>
      <c r="AY21" s="64"/>
      <c r="AZ21" s="64"/>
      <c r="BA21" s="64"/>
      <c r="BB21" s="64"/>
      <c r="BC21" s="64"/>
      <c r="BD21" s="64"/>
      <c r="BE21" s="64"/>
      <c r="BF21" s="64"/>
    </row>
    <row r="22" spans="29:58">
      <c r="AC22" s="29" t="s">
        <v>20</v>
      </c>
      <c r="AD22" s="30" t="s">
        <v>21</v>
      </c>
      <c r="AE22" s="2"/>
      <c r="AG22" s="1"/>
      <c r="AQ22" s="64"/>
      <c r="AR22" s="64"/>
      <c r="AS22" s="64"/>
      <c r="AT22" s="64"/>
      <c r="AU22" s="64"/>
      <c r="AV22" s="64"/>
      <c r="AW22" s="64"/>
      <c r="AX22" s="64"/>
      <c r="AY22" s="64"/>
      <c r="AZ22" s="64"/>
      <c r="BA22" s="64"/>
      <c r="BB22" s="64"/>
      <c r="BC22" s="64"/>
      <c r="BD22" s="64"/>
      <c r="BE22" s="64"/>
      <c r="BF22" s="64"/>
    </row>
    <row r="23" spans="29:58" ht="25.5">
      <c r="AC23" s="31" t="s">
        <v>22</v>
      </c>
      <c r="AD23" s="32" t="s">
        <v>23</v>
      </c>
      <c r="AE23" s="2"/>
      <c r="AG23" s="1"/>
      <c r="AQ23" s="64"/>
      <c r="AR23" s="64"/>
      <c r="AS23" s="64"/>
      <c r="AT23" s="64"/>
      <c r="AU23" s="64"/>
      <c r="AV23" s="64"/>
      <c r="AW23" s="64"/>
      <c r="AX23" s="64"/>
      <c r="AY23" s="64"/>
      <c r="AZ23" s="64"/>
      <c r="BA23" s="64"/>
      <c r="BB23" s="64"/>
      <c r="BC23" s="64"/>
      <c r="BD23" s="64"/>
      <c r="BE23" s="64"/>
      <c r="BF23" s="64"/>
    </row>
  </sheetData>
  <mergeCells count="8">
    <mergeCell ref="A11:A16"/>
    <mergeCell ref="A8:A10"/>
    <mergeCell ref="A1:C5"/>
    <mergeCell ref="D1:AC3"/>
    <mergeCell ref="AD1:AE3"/>
    <mergeCell ref="D4:AC5"/>
    <mergeCell ref="AD4:AE4"/>
    <mergeCell ref="AD5:AE5"/>
  </mergeCells>
  <conditionalFormatting sqref="AE17">
    <cfRule type="cellIs" dxfId="7" priority="5" operator="greaterThanOrEqual">
      <formula>0.85</formula>
    </cfRule>
    <cfRule type="cellIs" dxfId="6" priority="6" operator="between">
      <formula>0.65</formula>
      <formula>0.84</formula>
    </cfRule>
    <cfRule type="cellIs" dxfId="5" priority="7" operator="equal">
      <formula>"0.65"</formula>
    </cfRule>
    <cfRule type="cellIs" dxfId="4" priority="8" operator="lessThan">
      <formula>0.64</formula>
    </cfRule>
  </conditionalFormatting>
  <conditionalFormatting sqref="AF17">
    <cfRule type="cellIs" dxfId="3" priority="1" operator="greaterThanOrEqual">
      <formula>0.85</formula>
    </cfRule>
    <cfRule type="cellIs" dxfId="2" priority="2" operator="between">
      <formula>0.65</formula>
      <formula>"0.84"</formula>
    </cfRule>
    <cfRule type="cellIs" dxfId="1" priority="3" operator="equal">
      <formula>"0.65"</formula>
    </cfRule>
    <cfRule type="cellIs" dxfId="0" priority="4" operator="lessThan">
      <formula>0.65</formula>
    </cfRule>
  </conditionalFormatting>
  <dataValidations count="2">
    <dataValidation type="list" allowBlank="1" showInputMessage="1" showErrorMessage="1" sqref="AC8:AC16">
      <formula1>"Si,No"</formula1>
    </dataValidation>
    <dataValidation type="list" allowBlank="1" showInputMessage="1" showErrorMessage="1" sqref="J8:J16">
      <formula1>"Sube,Baja"</formula1>
    </dataValidation>
  </dataValidations>
  <pageMargins left="0.7" right="0.7" top="0.75" bottom="0.75" header="0.3" footer="0.3"/>
  <pageSetup orientation="portrait" horizontalDpi="4294967292" verticalDpi="4294967292" r:id="rId1"/>
  <drawing r:id="rId2"/>
  <extLst>
    <ext xmlns:x14="http://schemas.microsoft.com/office/spreadsheetml/2009/9/main" uri="{05C60535-1F16-4fd2-B633-F4F36F0B64E0}">
      <x14:sparklineGroups xmlns:xm="http://schemas.microsoft.com/office/excel/2006/main">
        <x14:sparklineGroup manualMax="0" manualMin="0" type="column" displayEmptyCellsAs="gap" high="1">
          <x14:colorSeries rgb="FF376092"/>
          <x14:colorNegative rgb="FFD00000"/>
          <x14:colorAxis rgb="FF000000"/>
          <x14:colorMarkers rgb="FFD00000"/>
          <x14:colorFirst rgb="FFD00000"/>
          <x14:colorLast rgb="FFD00000"/>
          <x14:colorHigh rgb="FFD00000"/>
          <x14:colorLow rgb="FFD00000"/>
          <x14:sparklines>
            <x14:sparkline>
              <xm:f>'Tablero Maestro (2)'!L9:W9</xm:f>
              <xm:sqref>AA9</xm:sqref>
            </x14:sparkline>
            <x14:sparkline>
              <xm:f>'Tablero Maestro (2)'!L10:W10</xm:f>
              <xm:sqref>AA10</xm:sqref>
            </x14:sparkline>
            <x14:sparkline>
              <xm:f>'Tablero Maestro (2)'!L11:W11</xm:f>
              <xm:sqref>AA11</xm:sqref>
            </x14:sparkline>
            <x14:sparkline>
              <xm:f>'Tablero Maestro (2)'!L12:W12</xm:f>
              <xm:sqref>AA12</xm:sqref>
            </x14:sparkline>
            <x14:sparkline>
              <xm:f>'Tablero Maestro (2)'!L13:W13</xm:f>
              <xm:sqref>AA13</xm:sqref>
            </x14:sparkline>
            <x14:sparkline>
              <xm:f>'Tablero Maestro (2)'!L14:W14</xm:f>
              <xm:sqref>AA14</xm:sqref>
            </x14:sparkline>
            <x14:sparkline>
              <xm:f>'Tablero Maestro (2)'!L15:W15</xm:f>
              <xm:sqref>AA15</xm:sqref>
            </x14:sparkline>
            <x14:sparkline>
              <xm:f>'Tablero Maestro (2)'!L16:W16</xm:f>
              <xm:sqref>AA16</xm:sqref>
            </x14:sparkline>
          </x14:sparklines>
        </x14:sparklineGroup>
        <x14:sparklineGroup manualMax="0" manualMin="0" type="column" displayEmptyCellsAs="gap" last="1">
          <x14:colorSeries rgb="FF376092"/>
          <x14:colorNegative rgb="FFD00000"/>
          <x14:colorAxis rgb="FF000000"/>
          <x14:colorMarkers rgb="FFD00000"/>
          <x14:colorFirst rgb="FFD00000"/>
          <x14:colorLast rgb="FFD00000"/>
          <x14:colorHigh rgb="FFD00000"/>
          <x14:colorLow rgb="FFD00000"/>
          <x14:sparklines>
            <x14:sparkline>
              <xm:f>'Tablero Maestro (2)'!L8:Y8</xm:f>
              <xm:sqref>AA8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Tablero Estratégico</vt:lpstr>
      <vt:lpstr>Hoja5</vt:lpstr>
      <vt:lpstr>Hoja1</vt:lpstr>
      <vt:lpstr>Hoja2</vt:lpstr>
      <vt:lpstr>Tablero Eficacia - Eficiencia</vt:lpstr>
      <vt:lpstr>Tablero Objeivos de Calidad</vt:lpstr>
      <vt:lpstr>Hoja3</vt:lpstr>
      <vt:lpstr>Hoja4</vt:lpstr>
      <vt:lpstr>Tablero Maestro (2)</vt:lpstr>
      <vt:lpstr>DE</vt:lpstr>
      <vt:lpstr>'Tablero Eficacia - Eficiencia'!Área_de_impresión</vt:lpstr>
      <vt:lpstr>'Tablero Estratégico'!Área_de_impresión</vt:lpstr>
      <vt:lpstr>'Tablero Objeivos de Calidad'!Área_de_impresión</vt:lpstr>
      <vt:lpstr>'Tablero Estratégico'!Títulos_a_imprimir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2017-11-16T00:59:34Z</dcterms:modified>
</cp:coreProperties>
</file>