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codeName="ThisWorkbook" autoCompressPictures="0"/>
  <xr:revisionPtr revIDLastSave="681" documentId="13_ncr:1_{57EB6E5F-3569-425C-B57F-794FA3F272C1}" xr6:coauthVersionLast="45" xr6:coauthVersionMax="45" xr10:uidLastSave="{82A22706-4585-4277-86E7-F88E7114457E}"/>
  <bookViews>
    <workbookView xWindow="-108" yWindow="-108" windowWidth="23256" windowHeight="12576" activeTab="1" xr2:uid="{00000000-000D-0000-FFFF-FFFF00000000}"/>
  </bookViews>
  <sheets>
    <sheet name="Inicio" sheetId="19" r:id="rId1"/>
    <sheet name="Tablero Estratégico" sheetId="8" r:id="rId2"/>
    <sheet name="Hoja10" sheetId="26" state="hidden" r:id="rId3"/>
    <sheet name="Hoja9" sheetId="25" state="hidden" r:id="rId4"/>
    <sheet name="Hoja8" sheetId="24" state="hidden" r:id="rId5"/>
    <sheet name="Hoja1" sheetId="23" state="hidden" r:id="rId6"/>
    <sheet name="Hoja7" sheetId="22" state="hidden" r:id="rId7"/>
    <sheet name="Hoja6" sheetId="21" state="hidden" r:id="rId8"/>
    <sheet name="Hoja5" sheetId="20" state="hidden" r:id="rId9"/>
    <sheet name="CALCULOS" sheetId="18" state="hidden" r:id="rId10"/>
    <sheet name="Hoja2" sheetId="17" state="hidden" r:id="rId11"/>
    <sheet name="Tablero Eficacia - Eficiencia" sheetId="12" state="hidden" r:id="rId12"/>
    <sheet name="Tablero Objeivos de Calidad" sheetId="13" state="hidden" r:id="rId13"/>
    <sheet name="Hoja3" sheetId="16" state="hidden" r:id="rId14"/>
    <sheet name="Hoja4" sheetId="14" state="hidden" r:id="rId15"/>
    <sheet name="Tablero Maestro (2)" sheetId="11" state="hidden" r:id="rId16"/>
    <sheet name="DE" sheetId="9" state="hidden" r:id="rId17"/>
  </sheets>
  <externalReferences>
    <externalReference r:id="rId18"/>
    <externalReference r:id="rId19"/>
  </externalReferences>
  <definedNames>
    <definedName name="_xlnm._FilterDatabase" localSheetId="11" hidden="1">'Tablero Eficacia - Eficiencia'!$A$7:$BL$54</definedName>
    <definedName name="_xlnm._FilterDatabase" localSheetId="1" hidden="1">'Tablero Estratégico'!$A$4:$BY$26</definedName>
    <definedName name="_xlnm.Print_Area" localSheetId="11">'Tablero Eficacia - Eficiencia'!$A$1:$AL$51</definedName>
    <definedName name="_xlnm.Print_Area" localSheetId="1">'Tablero Estratégico'!$A$1:$AQ$24</definedName>
    <definedName name="_xlnm.Print_Area" localSheetId="12">'Tablero Objeivos de Calidad'!$C$3:$F$29</definedName>
    <definedName name="CUMPLIMIENTO_METAS" localSheetId="16">#REF!</definedName>
    <definedName name="CUMPLIMIENTO_METAS" localSheetId="15">#REF!</definedName>
    <definedName name="CUMPLIMIENTO_METAS">#REF!</definedName>
    <definedName name="Datos_Nutricional" localSheetId="16">#REF!</definedName>
    <definedName name="Datos_Nutricional" localSheetId="15">#REF!</definedName>
    <definedName name="Datos_Nutricional">#REF!</definedName>
    <definedName name="EFICACIA_DEL_SGC" localSheetId="16">#REF!</definedName>
    <definedName name="EFICACIA_DEL_SGC" localSheetId="15">#REF!</definedName>
    <definedName name="EFICACIA_DEL_SGC">#REF!</definedName>
    <definedName name="Tabla_de_datos" localSheetId="16">'[1]Cubrimiento Cupos'!#REF!</definedName>
    <definedName name="Tabla_de_datos" localSheetId="15">'[1]Cubrimiento Cupos'!#REF!</definedName>
    <definedName name="Tabla_de_datos">'[1]Cubrimiento Cupos'!#REF!</definedName>
    <definedName name="Tabla_Logros" localSheetId="16">'[1]Logros alcanzados'!#REF!</definedName>
    <definedName name="Tabla_Logros" localSheetId="15">'[1]Logros alcanzados'!#REF!</definedName>
    <definedName name="Tabla_Logros">'[1]Logros alcanzados'!#REF!</definedName>
    <definedName name="_xlnm.Print_Titles" localSheetId="1">'Tablero Estratégico'!$1:$5</definedName>
  </definedName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J15" i="8" l="1"/>
  <c r="AJ22" i="8" l="1"/>
  <c r="AJ23" i="8"/>
  <c r="E8" i="19"/>
  <c r="E7" i="19"/>
  <c r="AJ20" i="8"/>
  <c r="E6" i="19"/>
  <c r="AJ8" i="8"/>
  <c r="E5" i="19"/>
  <c r="E4" i="19"/>
  <c r="B8" i="19"/>
  <c r="B7" i="19"/>
  <c r="B6" i="19"/>
  <c r="B5" i="19"/>
  <c r="B4" i="19"/>
  <c r="E1" i="19"/>
  <c r="P14" i="26"/>
  <c r="O14" i="26"/>
  <c r="G36" i="26"/>
  <c r="I33" i="26"/>
  <c r="F36" i="26"/>
  <c r="G30" i="26"/>
  <c r="F30" i="26"/>
  <c r="I28" i="26"/>
  <c r="F21" i="26"/>
  <c r="G21" i="26"/>
  <c r="I19" i="26"/>
  <c r="G11" i="26"/>
  <c r="I10" i="26"/>
  <c r="F11" i="26"/>
  <c r="G14" i="25"/>
  <c r="G13" i="25"/>
  <c r="AR22" i="8"/>
  <c r="E22" i="8"/>
  <c r="G22" i="8"/>
  <c r="H22" i="8"/>
  <c r="J22" i="8"/>
  <c r="L22" i="8"/>
  <c r="G9" i="25"/>
  <c r="G10" i="25"/>
  <c r="AR24" i="8"/>
  <c r="J24" i="8"/>
  <c r="AR18" i="8"/>
  <c r="AR17" i="8"/>
  <c r="AR10" i="8"/>
  <c r="AR9" i="8"/>
  <c r="AR8" i="8"/>
  <c r="AR6" i="8"/>
  <c r="Y11" i="24"/>
  <c r="Y10" i="24"/>
  <c r="N8" i="24"/>
  <c r="P8" i="24"/>
  <c r="N7" i="24"/>
  <c r="P7" i="24"/>
  <c r="E15" i="24"/>
  <c r="F17" i="23"/>
  <c r="E17" i="23"/>
  <c r="H8" i="23"/>
  <c r="H7" i="23"/>
  <c r="I12" i="18"/>
  <c r="I13" i="18"/>
  <c r="G28" i="22"/>
  <c r="G19" i="22"/>
  <c r="G21" i="22"/>
  <c r="F19" i="22"/>
  <c r="F21" i="22"/>
  <c r="H12" i="21"/>
  <c r="I12" i="21"/>
  <c r="H11" i="21"/>
  <c r="I11" i="21"/>
  <c r="E16" i="20"/>
  <c r="BF20" i="8"/>
  <c r="AY22" i="8"/>
  <c r="AZ22" i="8"/>
  <c r="BA22" i="8"/>
  <c r="BB22" i="8"/>
  <c r="BC22" i="8"/>
  <c r="BD22" i="8"/>
  <c r="BE22" i="8"/>
  <c r="BA26" i="8"/>
  <c r="AJ33" i="12"/>
  <c r="BG20" i="8"/>
  <c r="AJ48" i="12"/>
  <c r="AX22" i="8"/>
  <c r="AW22" i="8"/>
  <c r="BO22" i="8"/>
  <c r="BO24" i="8"/>
  <c r="BO25" i="8"/>
  <c r="BO26" i="8"/>
  <c r="BO27" i="8"/>
  <c r="BO21" i="8"/>
  <c r="AV22" i="8"/>
  <c r="AU22" i="8"/>
  <c r="AT22" i="8"/>
  <c r="AR14" i="8"/>
  <c r="AR13" i="8"/>
  <c r="AR12" i="8"/>
  <c r="AR11" i="8"/>
  <c r="AD8" i="8"/>
  <c r="AC8" i="8"/>
  <c r="AB8" i="8"/>
  <c r="AH6" i="12"/>
  <c r="AG6" i="12"/>
  <c r="AE6" i="12"/>
  <c r="N6" i="12"/>
  <c r="L6" i="12"/>
  <c r="G40" i="12"/>
  <c r="AJ46" i="12"/>
  <c r="AL48" i="12"/>
  <c r="AL46" i="12"/>
  <c r="J46" i="12"/>
  <c r="I46" i="12"/>
  <c r="AL33" i="12"/>
  <c r="O33" i="12"/>
  <c r="AB33" i="12"/>
  <c r="AJ29" i="12"/>
  <c r="G15" i="17"/>
  <c r="E15" i="17"/>
  <c r="G17" i="17"/>
  <c r="F15" i="17"/>
  <c r="F17" i="17"/>
  <c r="AJ30" i="12"/>
  <c r="L13" i="16"/>
  <c r="M14" i="16"/>
  <c r="M13" i="16"/>
  <c r="H13" i="16"/>
  <c r="I12" i="16"/>
  <c r="I8" i="16"/>
  <c r="I9" i="16"/>
  <c r="I10" i="16"/>
  <c r="I11" i="16"/>
  <c r="F12" i="16"/>
  <c r="E12" i="16"/>
  <c r="F11" i="16"/>
  <c r="E11" i="16"/>
  <c r="F10" i="16"/>
  <c r="E10" i="16"/>
  <c r="F9" i="16"/>
  <c r="E9" i="16"/>
  <c r="F8" i="16"/>
  <c r="E8" i="16"/>
  <c r="AJ27" i="12"/>
  <c r="O25" i="12"/>
  <c r="F14" i="13"/>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c r="I40" i="12"/>
  <c r="E24" i="13"/>
  <c r="AB36" i="12"/>
  <c r="AG36" i="12"/>
  <c r="AD36" i="12"/>
  <c r="I33" i="12"/>
  <c r="AB19" i="12"/>
  <c r="AH19" i="12"/>
  <c r="AD19" i="12"/>
  <c r="E9" i="13"/>
  <c r="D9" i="13"/>
  <c r="E8" i="13"/>
  <c r="D8" i="13"/>
  <c r="F7" i="13"/>
  <c r="E7" i="13"/>
  <c r="D7" i="13"/>
  <c r="E6" i="13"/>
  <c r="D6" i="13"/>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G42" i="12"/>
  <c r="AH42" i="12"/>
  <c r="AD41" i="12"/>
  <c r="AB41" i="12"/>
  <c r="AH41" i="12"/>
  <c r="AD40" i="12"/>
  <c r="AB40" i="12"/>
  <c r="AD39" i="12"/>
  <c r="AC39" i="12"/>
  <c r="AB39" i="12"/>
  <c r="AH39" i="12"/>
  <c r="AD38" i="12"/>
  <c r="AB38" i="12"/>
  <c r="AH38" i="12"/>
  <c r="AD37" i="12"/>
  <c r="AB37" i="12"/>
  <c r="AG37" i="12"/>
  <c r="AD35" i="12"/>
  <c r="AB35" i="12"/>
  <c r="AH35" i="12"/>
  <c r="AD33" i="12"/>
  <c r="B33" i="12"/>
  <c r="B35" i="12"/>
  <c r="AD32" i="12"/>
  <c r="AB32" i="12"/>
  <c r="AG32" i="12"/>
  <c r="AH32" i="12"/>
  <c r="AD31" i="12"/>
  <c r="AB31" i="12"/>
  <c r="AH31" i="12"/>
  <c r="AD30" i="12"/>
  <c r="AB30" i="12"/>
  <c r="AH30" i="12"/>
  <c r="AD29" i="12"/>
  <c r="AB29" i="12"/>
  <c r="AG29" i="12"/>
  <c r="AD27" i="12"/>
  <c r="AB27" i="12"/>
  <c r="AH27" i="12"/>
  <c r="AD26" i="12"/>
  <c r="AB26" i="12"/>
  <c r="AG26" i="12"/>
  <c r="AH26" i="12"/>
  <c r="B26" i="12"/>
  <c r="B27" i="12"/>
  <c r="B28" i="12"/>
  <c r="B29" i="12"/>
  <c r="B30" i="12"/>
  <c r="B31" i="12"/>
  <c r="B32" i="12"/>
  <c r="AD25" i="12"/>
  <c r="AB25" i="12"/>
  <c r="AD24" i="12"/>
  <c r="AB24" i="12"/>
  <c r="AG24" i="12"/>
  <c r="AD23" i="12"/>
  <c r="AB23" i="12"/>
  <c r="AG23" i="12"/>
  <c r="B23" i="12"/>
  <c r="B24" i="12"/>
  <c r="B25" i="12"/>
  <c r="AH22" i="12"/>
  <c r="AG22" i="12"/>
  <c r="AD20" i="12"/>
  <c r="AB20" i="12"/>
  <c r="AD18" i="12"/>
  <c r="AB18" i="12"/>
  <c r="AH18" i="12"/>
  <c r="AD17" i="12"/>
  <c r="AB17" i="12"/>
  <c r="AG17" i="12"/>
  <c r="AD16" i="12"/>
  <c r="AB16" i="12"/>
  <c r="AG16" i="12"/>
  <c r="AD14" i="12"/>
  <c r="AB14" i="12"/>
  <c r="AG14" i="12"/>
  <c r="AD13" i="12"/>
  <c r="AB13" i="12"/>
  <c r="AG13" i="12"/>
  <c r="AD12" i="12"/>
  <c r="AB12" i="12"/>
  <c r="AH12" i="12"/>
  <c r="AG12" i="12"/>
  <c r="AD11" i="12"/>
  <c r="AB11" i="12"/>
  <c r="AH11" i="12"/>
  <c r="AD10" i="12"/>
  <c r="AB10" i="12"/>
  <c r="AH10" i="12"/>
  <c r="AD9" i="12"/>
  <c r="AB9" i="12"/>
  <c r="AF54" i="12"/>
  <c r="AG54" i="12"/>
  <c r="AD8" i="12"/>
  <c r="AB8" i="12"/>
  <c r="AG8" i="12"/>
  <c r="B36" i="12"/>
  <c r="B37" i="12"/>
  <c r="B38" i="12"/>
  <c r="B39" i="12"/>
  <c r="B40" i="12"/>
  <c r="B41" i="12"/>
  <c r="B42" i="12"/>
  <c r="B43" i="12"/>
  <c r="B44" i="12"/>
  <c r="AG31" i="12"/>
  <c r="AG41" i="12"/>
  <c r="AG43" i="12"/>
  <c r="AG46" i="12"/>
  <c r="AH13" i="12"/>
  <c r="AG48" i="12"/>
  <c r="I49" i="12"/>
  <c r="AC19" i="11"/>
  <c r="AD17" i="11"/>
  <c r="AB16" i="11"/>
  <c r="Z16" i="11"/>
  <c r="AE16" i="11"/>
  <c r="AB15" i="11"/>
  <c r="Z15" i="11"/>
  <c r="AF15" i="11"/>
  <c r="AE15" i="11"/>
  <c r="AB14" i="11"/>
  <c r="Z14" i="11"/>
  <c r="AF14" i="11"/>
  <c r="AB13" i="11"/>
  <c r="Z13" i="11"/>
  <c r="AF13" i="11"/>
  <c r="AB12" i="11"/>
  <c r="Z12" i="11"/>
  <c r="AE12" i="11"/>
  <c r="AF12" i="11"/>
  <c r="AB11" i="11"/>
  <c r="Z11" i="11"/>
  <c r="AE11" i="11"/>
  <c r="AB10" i="11"/>
  <c r="Z10" i="11"/>
  <c r="AF10" i="11"/>
  <c r="AE10" i="11"/>
  <c r="AB9" i="11"/>
  <c r="Z9" i="11"/>
  <c r="AF9" i="11"/>
  <c r="AB8" i="11"/>
  <c r="Z8" i="11"/>
  <c r="AF8" i="11"/>
  <c r="B8" i="11"/>
  <c r="B9" i="11"/>
  <c r="B10" i="11"/>
  <c r="B11" i="11"/>
  <c r="B12" i="11"/>
  <c r="B13" i="11"/>
  <c r="B14" i="11"/>
  <c r="B15" i="11"/>
  <c r="B16" i="11"/>
  <c r="F39" i="9"/>
  <c r="F38" i="9"/>
  <c r="F37" i="9"/>
  <c r="F36" i="9"/>
  <c r="F35" i="9"/>
  <c r="F34" i="9"/>
  <c r="F33" i="9"/>
  <c r="F32" i="9"/>
  <c r="F31" i="9"/>
  <c r="F30" i="9"/>
  <c r="F29" i="9"/>
  <c r="F28" i="9"/>
  <c r="C39" i="9"/>
  <c r="AH17" i="12"/>
  <c r="D37" i="9"/>
  <c r="E37" i="9"/>
  <c r="AH36" i="12"/>
  <c r="D36" i="9"/>
  <c r="E36" i="9"/>
  <c r="D29" i="9"/>
  <c r="E29" i="9"/>
  <c r="D30" i="9"/>
  <c r="E30" i="9"/>
  <c r="D35" i="9"/>
  <c r="E35" i="9"/>
  <c r="D28" i="9"/>
  <c r="E28" i="9"/>
  <c r="D34" i="9"/>
  <c r="E34" i="9"/>
  <c r="D38" i="9"/>
  <c r="E38" i="9"/>
  <c r="D33" i="9"/>
  <c r="E33" i="9"/>
  <c r="D31" i="9"/>
  <c r="E31" i="9"/>
  <c r="D32" i="9"/>
  <c r="E32" i="9"/>
  <c r="D39" i="9"/>
  <c r="AG30" i="12"/>
  <c r="AG18" i="12"/>
  <c r="AE13" i="11"/>
  <c r="AG38" i="12"/>
  <c r="AF11" i="11"/>
  <c r="AH24" i="12"/>
  <c r="AE8" i="11"/>
  <c r="AH16" i="12"/>
  <c r="AH23" i="12"/>
  <c r="AG39" i="12"/>
  <c r="AG27" i="12"/>
  <c r="I13" i="16"/>
  <c r="AH8" i="12"/>
  <c r="AE14" i="11"/>
  <c r="AH44" i="12"/>
  <c r="AG10" i="12"/>
  <c r="AG35" i="12"/>
  <c r="AG9" i="12"/>
  <c r="AH29" i="12"/>
  <c r="AH37" i="12"/>
  <c r="AH47" i="12"/>
  <c r="AH14" i="12"/>
  <c r="AF16" i="11"/>
  <c r="AF17" i="11"/>
  <c r="AE9" i="11"/>
  <c r="AE17" i="11"/>
  <c r="AG11" i="12"/>
  <c r="AH9" i="12"/>
  <c r="AG19" i="12"/>
  <c r="I9" i="26"/>
  <c r="K10" i="26"/>
  <c r="AD19" i="11"/>
  <c r="AE19" i="11"/>
  <c r="AH33" i="12"/>
  <c r="AG40" i="12"/>
  <c r="G30" i="9"/>
  <c r="AG33" i="12"/>
  <c r="AX21" i="8"/>
  <c r="AR20" i="8"/>
  <c r="R14" i="26"/>
  <c r="E39" i="9"/>
  <c r="G39" i="9"/>
  <c r="G38" i="9"/>
  <c r="AH40" i="12"/>
  <c r="G32" i="9"/>
  <c r="G29" i="9"/>
  <c r="G34" i="9"/>
  <c r="G37" i="9"/>
  <c r="AH25" i="12"/>
  <c r="C6" i="8"/>
  <c r="D6" i="8"/>
  <c r="E17" i="8"/>
  <c r="J17" i="8"/>
  <c r="AG25" i="12"/>
  <c r="AG52" i="12"/>
  <c r="G35" i="9"/>
  <c r="G36" i="9"/>
  <c r="G31" i="9"/>
  <c r="G33" i="9"/>
  <c r="AH52" i="12"/>
  <c r="BE21" i="8"/>
  <c r="AW21" i="8"/>
  <c r="E6" i="8"/>
  <c r="F6" i="8"/>
  <c r="BD21" i="8"/>
  <c r="BC21" i="8"/>
  <c r="BB21" i="8"/>
  <c r="BA21" i="8"/>
  <c r="AY21" i="8"/>
  <c r="E40" i="9"/>
  <c r="AZ21" i="8"/>
  <c r="C25" i="8"/>
  <c r="D25" i="8"/>
  <c r="E25" i="8"/>
  <c r="G6" i="8"/>
  <c r="F25" i="8"/>
  <c r="G25" i="8"/>
  <c r="H6" i="8"/>
  <c r="I6" i="8"/>
  <c r="H25" i="8"/>
  <c r="J6" i="8"/>
  <c r="I25" i="8"/>
  <c r="K6" i="8"/>
  <c r="J25" i="8"/>
  <c r="K25" i="8"/>
  <c r="L6" i="8"/>
  <c r="L25" i="8"/>
</calcChain>
</file>

<file path=xl/sharedStrings.xml><?xml version="1.0" encoding="utf-8"?>
<sst xmlns="http://schemas.openxmlformats.org/spreadsheetml/2006/main" count="847" uniqueCount="502">
  <si>
    <t>OBJETIVOS ESTRATÉGICOS</t>
  </si>
  <si>
    <t>PROCESOS</t>
  </si>
  <si>
    <t>FACTORES</t>
  </si>
  <si>
    <t>Continuar con el proceso de acreditación de los programas</t>
  </si>
  <si>
    <t>Docencia PES</t>
  </si>
  <si>
    <t>Garantizar la pertinencia de los programas de ES ofrecidos por la ETITC, a partir de la identificación de las tendencias y necesidades de la sociedad, del mercado laboral y de los procesos de ES, tanto a nivel nacional como internacional</t>
  </si>
  <si>
    <t>Docencia Bachillerato</t>
  </si>
  <si>
    <t>Direccionamiento Estratégico</t>
  </si>
  <si>
    <t>Revisar y ajustar los currículos permanentemente de acuerdo con los avances del conocimiento y los requerimientos de la sociedad para darles pertinencia y coherencia con el perfil institucional</t>
  </si>
  <si>
    <t>Formar investigadores en la gestión de grupos, formulación de proyectos de investigación y ACTI para posicionar a la ETITC como centro líder entre sus pares en Ciencia, tecnología e innovación</t>
  </si>
  <si>
    <t>Bienestar Universitario</t>
  </si>
  <si>
    <t>Capacitar a la comunidad ETITC y definir protocolos para la aplicación de normatividad de propiedad intelectual</t>
  </si>
  <si>
    <t>Gestión del Talento Humano</t>
  </si>
  <si>
    <t>Realizar publicaciones institucionales y ponencias en eventos académicos nacionales e internacionales</t>
  </si>
  <si>
    <t>Incentivar la formulación y realización de proyectos que consoliden los grupos de investigación</t>
  </si>
  <si>
    <t>Extensión y proyección social</t>
  </si>
  <si>
    <t>Mejorar la calidad de vida de la comunidad universitaria, mediante la planeación y ejecución de proyectos, programas y actividades que fortalezcan las condiciones de bienestar</t>
  </si>
  <si>
    <t>Gestión Financiera</t>
  </si>
  <si>
    <t>Gestión de Informática y comunicaciones</t>
  </si>
  <si>
    <t>Fortalecer y consolidar la gestión financiera de la institución</t>
  </si>
  <si>
    <t>Satisfacer las expectativas de los usuarios asociadas con un servicio educativo de calidad a través del fortalecimiento del Sistema de Gestión de calidad y la evaluación permanente</t>
  </si>
  <si>
    <t>CLASIFI. DE CONFIDENCIALIDAD</t>
  </si>
  <si>
    <t>IPB</t>
  </si>
  <si>
    <t>CLASIFI. DE INTEGRIDAD</t>
  </si>
  <si>
    <t>A</t>
  </si>
  <si>
    <t>CLASIFI. DE DISPONIBILIDAD</t>
  </si>
  <si>
    <t>OBJETIVO ESTRATÉGICO</t>
  </si>
  <si>
    <t>PROCESO</t>
  </si>
  <si>
    <t>PLAN DE ACCIÓN ASOCIADO</t>
  </si>
  <si>
    <t>INDICADOR</t>
  </si>
  <si>
    <t>TIPO DE INDICADOR</t>
  </si>
  <si>
    <t>FÓRMULA</t>
  </si>
  <si>
    <t>DESCRIPCIÓN</t>
  </si>
  <si>
    <t>MEJOR SI</t>
  </si>
  <si>
    <t>PERIODO</t>
  </si>
  <si>
    <t>LÍNEA BASE
(2017)</t>
  </si>
  <si>
    <t>META</t>
  </si>
  <si>
    <t>RANGO</t>
  </si>
  <si>
    <t>Bajo</t>
  </si>
  <si>
    <t>Medio</t>
  </si>
  <si>
    <t>Óptimo</t>
  </si>
  <si>
    <t>Marzo</t>
  </si>
  <si>
    <t>Febrero</t>
  </si>
  <si>
    <t>Abril</t>
  </si>
  <si>
    <t>Mayo</t>
  </si>
  <si>
    <t>Junio</t>
  </si>
  <si>
    <t>Julio</t>
  </si>
  <si>
    <t>Agosto</t>
  </si>
  <si>
    <t>Septiembre</t>
  </si>
  <si>
    <t>Octubre</t>
  </si>
  <si>
    <t>Noviembre</t>
  </si>
  <si>
    <t>Diciembre</t>
  </si>
  <si>
    <t>Enero</t>
  </si>
  <si>
    <t>Observaciones</t>
  </si>
  <si>
    <t>- Proceso de autoevaluación institucional 2018-2019
- Continuidad al proceso de acreditación de programas de pregrado
- Ejecución de planes de mejoramiento
- Gestión de autoevaluación 
- Gestión de acreditación</t>
  </si>
  <si>
    <t>Programas acreditados</t>
  </si>
  <si>
    <t>Efectividad</t>
  </si>
  <si>
    <t xml:space="preserve">Medir el porcentaje de programas acreditados </t>
  </si>
  <si>
    <t>Sube</t>
  </si>
  <si>
    <t>Semestral</t>
  </si>
  <si>
    <t>NA</t>
  </si>
  <si>
    <t>Eficacia</t>
  </si>
  <si>
    <t>Mensual</t>
  </si>
  <si>
    <t>Fortalecimiento del proceso de docencia</t>
  </si>
  <si>
    <t>Medir desempeño de los estudiantes</t>
  </si>
  <si>
    <t>Anual</t>
  </si>
  <si>
    <t>Índice de empleabilidad</t>
  </si>
  <si>
    <t>Ciencias naturales</t>
  </si>
  <si>
    <t>Variación en la desviación estándar del examen SABER 11</t>
  </si>
  <si>
    <t>Mejorar el desempeño común de los estudiantes  (a mayor disminución, mejor desempeño)</t>
  </si>
  <si>
    <t>Baja</t>
  </si>
  <si>
    <t>- Evaluación y seguimiento
- Disciplina</t>
  </si>
  <si>
    <t xml:space="preserve">Promoción escolar </t>
  </si>
  <si>
    <t>Estudiantes que pasaron el año n / Estudiantes matriculados en el año n</t>
  </si>
  <si>
    <t xml:space="preserve">Medir el avance de la promoción escolar </t>
  </si>
  <si>
    <t xml:space="preserve"> </t>
  </si>
  <si>
    <t>x&gt;=85%</t>
  </si>
  <si>
    <t>Revisión de syllabus</t>
  </si>
  <si>
    <t xml:space="preserve">Eficacia </t>
  </si>
  <si>
    <t># Syllabus revisados / # total de syllabus</t>
  </si>
  <si>
    <t>Medir la pertenecía de los syllabus</t>
  </si>
  <si>
    <t>x&lt;72%</t>
  </si>
  <si>
    <t>72%
&lt;=x&lt;
100%</t>
  </si>
  <si>
    <t>x=100%</t>
  </si>
  <si>
    <t>Investigación</t>
  </si>
  <si>
    <t>Formación de investigadores</t>
  </si>
  <si>
    <t>Proyectos de formación en actividades</t>
  </si>
  <si>
    <t># Proyectos de formación  actividad  en ejecución/ # de proyectos de formación actividad  programados</t>
  </si>
  <si>
    <t>Diseñar un programa de formación investigativa  que prepare  a la comunidad de investigación  para el desarrollo de actividad en el periodo  2017-  2019 a través de vínculos con el SNCTI</t>
  </si>
  <si>
    <t>x&lt;60%</t>
  </si>
  <si>
    <t>60%
&lt;=x&lt;
80%</t>
  </si>
  <si>
    <t>&gt;=90%</t>
  </si>
  <si>
    <t>- Gestión del conocimiento
- Formación de investigadores</t>
  </si>
  <si>
    <t>Proyectos  de  apoyo a las actividades</t>
  </si>
  <si>
    <t># Proyectos  de apoyo a las actic  en ejecución/ # de planes de apoyo a las actic  programados</t>
  </si>
  <si>
    <t>Elaborar un  plan de apoyo a las actividades 2017- 2019  para los grupos de investigación  que responda a las políticas nacionales de ciencia, tecnología e innovación</t>
  </si>
  <si>
    <t>&gt;=900%</t>
  </si>
  <si>
    <t xml:space="preserve">Determinar el impacto de las actividad de bienestar en los estudiantes </t>
  </si>
  <si>
    <t>- Vinculación y desarrollo del talento humano</t>
  </si>
  <si>
    <t xml:space="preserve">Clima laboral </t>
  </si>
  <si>
    <t>Resultado de la medición del clima laboral en el período</t>
  </si>
  <si>
    <t>Determinar el clima laboral, el cual deberá ser superior al de la línea base o del año anterior</t>
  </si>
  <si>
    <t>x&lt;50%</t>
  </si>
  <si>
    <t>50%
&lt;=x&lt;
75%</t>
  </si>
  <si>
    <t xml:space="preserve">Evaluación del desempeño laboral </t>
  </si>
  <si>
    <t># Evaluaciones realizadas /# Total de funcionarios</t>
  </si>
  <si>
    <t>Evaluar las competencias de los servidores públicos de la ETITC</t>
  </si>
  <si>
    <t>Bianual</t>
  </si>
  <si>
    <t>x&lt;92,8%</t>
  </si>
  <si>
    <t>92,8%
&lt;=x&lt;
95%</t>
  </si>
  <si>
    <t>x&gt;=95%</t>
  </si>
  <si>
    <t xml:space="preserve">Funcionalidad de máquinas, equipos y herramientas </t>
  </si>
  <si>
    <t>Eficiencia</t>
  </si>
  <si>
    <t xml:space="preserve">Garantizar la operabilidad de máquinas, equipos, y herramientas </t>
  </si>
  <si>
    <t>x&gt;=90%</t>
  </si>
  <si>
    <t>- Gestión de convenios – Redes – Alianzas 
- Nueva oferta académica
- Cursos técnicos y diplomados
- Cursos y diplomados a la medida para empresas
- Cursos de lenguas</t>
  </si>
  <si>
    <t>Ejecución de ingresos</t>
  </si>
  <si>
    <t>Ingresos propios recibidos / Ingresos propios esperados</t>
  </si>
  <si>
    <t>Medir oportunamente el nivel de recaudo con el fin de revisar el cumplimiento del plan de acción del año</t>
  </si>
  <si>
    <t>$ 7.586.109.350,53 de un proyectado de 
$ 8.000.000.000
(94,83%)</t>
  </si>
  <si>
    <t>x&lt;85%</t>
  </si>
  <si>
    <t>85%
&lt;=x&lt;
95%</t>
  </si>
  <si>
    <t>- Fortalecimiento de los procesos del área (viceadministrativa)</t>
  </si>
  <si>
    <t>Destinación del ingreso</t>
  </si>
  <si>
    <t>Recaudo / Compromisos</t>
  </si>
  <si>
    <t>Medir la efectividad en el recaudo para el respaldo de los compromisos</t>
  </si>
  <si>
    <t>x&lt;0,90</t>
  </si>
  <si>
    <t>0,90
&lt;=x&lt;
1,00</t>
  </si>
  <si>
    <t>x&gt;=1,00</t>
  </si>
  <si>
    <t>Presupuesto de ingresos de extensión</t>
  </si>
  <si>
    <t>Ingresos ejecutados / Ingresos programados</t>
  </si>
  <si>
    <t>Medir el cumplimiento del presupuesto de ingresos de extensión</t>
  </si>
  <si>
    <t>- Planeación institucional y alineación con el MIPG 2.0
- Mantener, mejorar y fortalecer el Sistema de Gestión Integrado
- Evaluación y seguimiento al Sistema de Gestión Integrado</t>
  </si>
  <si>
    <t>Mejoramiento del Sistema de Gestión</t>
  </si>
  <si>
    <t>PQRSD atendidas oportunamente</t>
  </si>
  <si>
    <t>Personas</t>
  </si>
  <si>
    <t>Satisfaccion</t>
  </si>
  <si>
    <t xml:space="preserve">Trabajo social </t>
  </si>
  <si>
    <t>2018 - 1</t>
  </si>
  <si>
    <t>2019 - 1</t>
  </si>
  <si>
    <t>TRABAJO SOCIAL</t>
  </si>
  <si>
    <t>PSICOLOGIA</t>
  </si>
  <si>
    <t>SALUD</t>
  </si>
  <si>
    <t>ARTES</t>
  </si>
  <si>
    <t>DEPORTES</t>
  </si>
  <si>
    <t>PASTORAL</t>
  </si>
  <si>
    <t>EQUIPO</t>
  </si>
  <si>
    <t>x</t>
  </si>
  <si>
    <t>proy</t>
  </si>
  <si>
    <t>real</t>
  </si>
  <si>
    <t>24910188203,78/25526515027,59</t>
  </si>
  <si>
    <t>Dic</t>
  </si>
  <si>
    <t>nov</t>
  </si>
  <si>
    <t>Recaudo</t>
  </si>
  <si>
    <t>Compromiso</t>
  </si>
  <si>
    <t>meta</t>
  </si>
  <si>
    <t>respecto a meta</t>
  </si>
  <si>
    <t>diciembre</t>
  </si>
  <si>
    <t>noviembre</t>
  </si>
  <si>
    <t>24,910,188,203,78</t>
  </si>
  <si>
    <t>25,526,515,027,59</t>
  </si>
  <si>
    <r>
      <t>Pagos:                   </t>
    </r>
    <r>
      <rPr>
        <b/>
        <sz val="9"/>
        <color rgb="FF000000"/>
        <rFont val="Times New Roman"/>
        <family val="1"/>
      </rPr>
      <t>$ 24,471,762,296.92</t>
    </r>
  </si>
  <si>
    <t>Ingreso: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</si>
  <si>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</si>
  <si>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</si>
  <si>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</si>
  <si>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</si>
  <si>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</si>
  <si>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</si>
  <si>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pa</t>
  </si>
  <si>
    <t>com</t>
  </si>
  <si>
    <t>?</t>
  </si>
  <si>
    <t xml:space="preserve">8238680187   
</t>
  </si>
  <si>
    <t>HOY</t>
  </si>
  <si>
    <t>ESPERADO</t>
  </si>
  <si>
    <t>TOTAL</t>
  </si>
  <si>
    <t>hay</t>
  </si>
  <si>
    <t>reparar</t>
  </si>
  <si>
    <t>uso</t>
  </si>
  <si>
    <t>Escuela Tecnológica
 Instituto Técnico Central</t>
  </si>
  <si>
    <t>TABLERO MAESTRO DE INDICADORES</t>
  </si>
  <si>
    <t>Version: 01</t>
  </si>
  <si>
    <t>SGC-Registro</t>
  </si>
  <si>
    <t>Pagina 1 de 1</t>
  </si>
  <si>
    <t>Proceso</t>
  </si>
  <si>
    <t>Indicador</t>
  </si>
  <si>
    <t>Tipo de indicador</t>
  </si>
  <si>
    <t>M</t>
  </si>
  <si>
    <t>V</t>
  </si>
  <si>
    <t>Formula</t>
  </si>
  <si>
    <t>Descripción</t>
  </si>
  <si>
    <t>Línea Base</t>
  </si>
  <si>
    <t>Frecuencia</t>
  </si>
  <si>
    <t>Mejor si…</t>
  </si>
  <si>
    <t>BAJO</t>
  </si>
  <si>
    <t>MEDIO</t>
  </si>
  <si>
    <t>ALTO</t>
  </si>
  <si>
    <t>Meta</t>
  </si>
  <si>
    <t>Resultado del Indicador</t>
  </si>
  <si>
    <t>EVOLUCIÓN</t>
  </si>
  <si>
    <t>Tendencia Acumulada</t>
  </si>
  <si>
    <t>Reporta</t>
  </si>
  <si>
    <t>Peso Relativo</t>
  </si>
  <si>
    <t>% Relativo de Cumplimiento</t>
  </si>
  <si>
    <t>% Cumplimiento - CUMPLIMIENTO METAS</t>
  </si>
  <si>
    <t>Responsable</t>
  </si>
  <si>
    <t>Fuente de datos</t>
  </si>
  <si>
    <t>Direccionamiento Institucional</t>
  </si>
  <si>
    <t>( # Programas acreditados /  # programas acreditables )</t>
  </si>
  <si>
    <t xml:space="preserve">Medir el % de programas acreditados </t>
  </si>
  <si>
    <t>Si</t>
  </si>
  <si>
    <t xml:space="preserve">Variación de pruebas saber pro </t>
  </si>
  <si>
    <t xml:space="preserve">según fuente -MEN </t>
  </si>
  <si>
    <t>9.9925(2016)/9,9204(2015)</t>
  </si>
  <si>
    <t>Fuente observatorio laboral</t>
  </si>
  <si>
    <t>Medir el número  de egresados laborando</t>
  </si>
  <si>
    <t>95,7% (Medición del 2015, no hay datos 2016)</t>
  </si>
  <si>
    <t>&gt;= 96%</t>
  </si>
  <si>
    <t>Cumplimiento de actividades de movilidad</t>
  </si>
  <si>
    <t>Actividades ejecutadas / actividades programadas</t>
  </si>
  <si>
    <t>Medir el cumplimiento de las actividades de movilidad.</t>
  </si>
  <si>
    <t xml:space="preserve">mensual </t>
  </si>
  <si>
    <t>Se recibieron 5 solicitudes de movilidad Internacional, se ven pocas solicitudes debido al receso académico de la entidad</t>
  </si>
  <si>
    <t>ORII</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</si>
  <si>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</si>
  <si>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</si>
  <si>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</si>
  <si>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</si>
  <si>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Satisfacción de los cursos de extensión</t>
  </si>
  <si>
    <t>Promedio de las evaluaciones de los cursos</t>
  </si>
  <si>
    <t>Medir la satisfacción de los estudiantes frente a los programas ofertados en el área</t>
  </si>
  <si>
    <t>No tiene, es la primera vez que se mide este impacto</t>
  </si>
  <si>
    <t>Semestre</t>
  </si>
  <si>
    <t xml:space="preserve">Egresados </t>
  </si>
  <si>
    <t>#de egresados vinculados / # de egresados totales *100</t>
  </si>
  <si>
    <t>Conocer la participación de los egresados en actividades de la ETITC.</t>
  </si>
  <si>
    <t>Permanencia en los cursos de extensión</t>
  </si>
  <si>
    <t>#Total de estudiantes que culminan / # de estudiantes que se matriculan *100</t>
  </si>
  <si>
    <t>Conocer la permanencia académica</t>
  </si>
  <si>
    <t xml:space="preserve">Anual </t>
  </si>
  <si>
    <t xml:space="preserve">Trabajos de grado con reconocimiento </t>
  </si>
  <si>
    <t xml:space="preserve"># trabajos de grado con distinciones  / # total, trabajos de grado  </t>
  </si>
  <si>
    <t>Medir la pertinencia de los trabajos de grado</t>
  </si>
  <si>
    <t>Un trabajo por cada facultad</t>
  </si>
  <si>
    <t>Participación en comunidades académicas</t>
  </si>
  <si>
    <t>Facultades con al menos 1 participación/ total de facultades</t>
  </si>
  <si>
    <t xml:space="preserve">Medir la visibilidad de la institución en comunidades académicas </t>
  </si>
  <si>
    <t xml:space="preserve">Promoción y participación de esas redes para la acreditación (Todas las facultades pertenezcan en cada una de la sredes), componente de redes </t>
  </si>
  <si>
    <t>Uso de talleres y laboratorios</t>
  </si>
  <si>
    <t>#de horas de uso de talleres y laboratorios/ #total de horas dispuestas por el taller</t>
  </si>
  <si>
    <t>Medir el uso de los talleres y laboratorios</t>
  </si>
  <si>
    <t>Uso de talleres al 100%</t>
  </si>
  <si>
    <t>75% (11/15)</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</si>
  <si>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</si>
  <si>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</si>
  <si>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</si>
  <si>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</si>
  <si>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</si>
  <si>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</si>
  <si>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&lt;= 96%</t>
  </si>
  <si>
    <t>Rendimiento académico periódico</t>
  </si>
  <si>
    <t>Nivel de desempeño de aprobación del bimestre actual vs. Nivel de desempeño de aprobación del bimestre anterior.</t>
  </si>
  <si>
    <t>Mejorar el desempeño académico de los estudiantes periódico</t>
  </si>
  <si>
    <t xml:space="preserve">Bimestral </t>
  </si>
  <si>
    <t>Por ser la primera medición, el rendimiento de 3,64 (Desempeño básico) es nuestra línea base para la siguiente evaluación</t>
  </si>
  <si>
    <t xml:space="preserve">Desempeño pruebas saber </t>
  </si>
  <si>
    <t>Desviación estándar año 2017 / Desviación estándar año 2016  - 1</t>
  </si>
  <si>
    <t># Proyectos de formación  actividad  en ejecución/ # de proyectos de formación actividad  programados*100</t>
  </si>
  <si>
    <t># Proyectos  de apoyo a las ACTI  en ejecución/ # de proyectos de apoyo a las actividad programados*100</t>
  </si>
  <si>
    <t>Elaborar un  plan de apoyo a las actividades 2017- 2019  para los grupos de investigación  que responda a las políticas nacionales de ciencia, tecnología e innovación.</t>
  </si>
  <si>
    <t>En este índicador se da cumplimiento al 100%</t>
  </si>
  <si>
    <t>Programa  de transferencia de conocimiento</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</si>
  <si>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</si>
  <si>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</si>
  <si>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</si>
  <si>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Presupuesto ejecutado del plan de acción/ presupuesto aprobado en el plan de acción *100</t>
  </si>
  <si>
    <t>Conocer la ejecución del plan de acción</t>
  </si>
  <si>
    <t>Se lleva ejecutado 24% del presupuesto.</t>
  </si>
  <si>
    <t>Nivel de satisfacción</t>
  </si>
  <si>
    <t>Promedio de las encuestas de satisfacción</t>
  </si>
  <si>
    <t>&lt;=97,6</t>
  </si>
  <si>
    <t>Última medición, Junio del 2017</t>
  </si>
  <si>
    <t xml:space="preserve">Beneficiados de actividad </t>
  </si>
  <si>
    <t xml:space="preserve">( # formato de asistencia o  actividades semestre vigente/asistente actividad semestre anterior) - 1 </t>
  </si>
  <si>
    <t>Identificar las participaciones de # de beneficiados en la actividad de bienestar</t>
  </si>
  <si>
    <t>Medición del mes de Junio del 2017, se toma este dato como línea base para la próxima medición</t>
  </si>
  <si>
    <t>Actividades de formación integral</t>
  </si>
  <si>
    <t xml:space="preserve"> # actividad formación integral ejecutadas/ + actividades formación integral planeadas</t>
  </si>
  <si>
    <t>Determinar el % de ejecución de actividades con base en plan de acción</t>
  </si>
  <si>
    <t>De las 64 actividades programadas se cumplen 52</t>
  </si>
  <si>
    <t xml:space="preserve">PQRSD atendidas oportunamente/ PQRSD recepcionadas </t>
  </si>
  <si>
    <t>atender oportunamente la PQRSD en la ETITC</t>
  </si>
  <si>
    <t xml:space="preserve">Mensual </t>
  </si>
  <si>
    <t>Tendencia Media</t>
  </si>
  <si>
    <t>Entre 15 y 15 de cada periodo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</si>
  <si>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</si>
  <si>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</si>
  <si>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</si>
  <si>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</si>
  <si>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ha realizado el tema de la implementación del marco de seguridad de información y análisis de riesgo.</t>
  </si>
  <si>
    <t>TRD validadas</t>
  </si>
  <si>
    <t>TRD validadas / total TRD</t>
  </si>
  <si>
    <t xml:space="preserve">Mantener las TRD de la ETITC validadas y actualizadas </t>
  </si>
  <si>
    <t>Se aprobaron y validaron las tablas de retencipon documental al 100% en el consejo</t>
  </si>
  <si>
    <t>Gestión de recursos fisicos</t>
  </si>
  <si>
    <t>Nivel de satisfacciób a las solicitudes de planta física</t>
  </si>
  <si>
    <t>Promedio % de satisfacción</t>
  </si>
  <si>
    <t>Garantizar la calidad del servicio prestado</t>
  </si>
  <si>
    <t>&lt;=85</t>
  </si>
  <si>
    <t>Medición se realiza a Junio 30 del 2017</t>
  </si>
  <si>
    <t xml:space="preserve">Eficiencia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</si>
  <si>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</si>
  <si>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</si>
  <si>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</si>
  <si>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</si>
  <si>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</si>
  <si>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Realizar el seguimiento a las hojas de vida registradas en el Sigep (incluídos contratistas)</t>
  </si>
  <si>
    <t xml:space="preserve">Semestral </t>
  </si>
  <si>
    <t>x&lt;75%</t>
  </si>
  <si>
    <t>75%&lt;=x&lt;90%</t>
  </si>
  <si>
    <t>De auerdo al lider del proceso, este indicador se medira en el mes de Julio.</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</si>
  <si>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</si>
  <si>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</si>
  <si>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</si>
  <si>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</si>
  <si>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Determinar el clima laboral a partir de mediciones anteriores</t>
  </si>
  <si>
    <t xml:space="preserve"># Evaluaciones realizadas /# Total de funciones </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</si>
  <si>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</si>
  <si>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</si>
  <si>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</si>
  <si>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</si>
  <si>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</si>
  <si>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</si>
  <si>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</si>
  <si>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</si>
  <si>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</si>
  <si>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</si>
  <si>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</si>
  <si>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</si>
  <si>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Gestión de Adquisiciones</t>
  </si>
  <si>
    <t>Tasa de ejecución plan de compras</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</si>
  <si>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</si>
  <si>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</si>
  <si>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</si>
  <si>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</si>
  <si>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</si>
  <si>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</si>
  <si>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</si>
  <si>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</si>
  <si>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</si>
  <si>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Avace del plan de trabajo de la coordinación</t>
  </si>
  <si>
    <t>(ACTIVIDADES DESARROLLADAS EN PERIODO / TOTAL DE ACTIVIDADES PLANEADAS *100 )</t>
  </si>
  <si>
    <t xml:space="preserve">MEDIR COMO AVANZA EL PLAN DE AUTOEVALUACIÓN </t>
  </si>
  <si>
    <t>Levantamiento de información física para los programas, identificación de % de deserción usando  como base la metodología SPADIES, calsificación de recursos bibliográficos por facultad.</t>
  </si>
  <si>
    <t>Avance de las actividades de la autoevaluación</t>
  </si>
  <si>
    <t>(Actividades desarrolladas en periodo / actividades programadas en el periodo *100 )</t>
  </si>
  <si>
    <t xml:space="preserve">Medir el avance del procesos de autoevaluación </t>
  </si>
  <si>
    <t>Cargue de de condiciones iniciales en un 80%  de la informaciómn</t>
  </si>
  <si>
    <t>Indicador que reporta</t>
  </si>
  <si>
    <t>Indicador Reportado</t>
  </si>
  <si>
    <t>Porcentaje de indicador reportado</t>
  </si>
  <si>
    <t>Optimo</t>
  </si>
  <si>
    <t>(85-100)%</t>
  </si>
  <si>
    <t>Bueno</t>
  </si>
  <si>
    <t>(65-84)%</t>
  </si>
  <si>
    <t>Deficiente</t>
  </si>
  <si>
    <t>(0-64)%</t>
  </si>
  <si>
    <t>OBJETIVO DE CALIDAD</t>
  </si>
  <si>
    <t>LÍNEA BASE</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</si>
  <si>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</si>
  <si>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</si>
  <si>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</si>
  <si>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</si>
  <si>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</si>
  <si>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</si>
  <si>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</si>
  <si>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Actividades</t>
  </si>
  <si>
    <t>Beneficiados</t>
  </si>
  <si>
    <t>Realizadas</t>
  </si>
  <si>
    <t>Propuestas</t>
  </si>
  <si>
    <t>Artes</t>
  </si>
  <si>
    <t>Salud</t>
  </si>
  <si>
    <t>T Social</t>
  </si>
  <si>
    <t>Psicología</t>
  </si>
  <si>
    <t>Rec Deportes</t>
  </si>
  <si>
    <t>Pastoral PES</t>
  </si>
  <si>
    <t>Pastoral IBTI</t>
  </si>
  <si>
    <t>Movilidad internacional (1) 
Cantidad: 1 Docente, Destino: México
Movilidad nacional (2)
Cantidad: 1 Decano, 1 estudiante, Destino: Medellín</t>
  </si>
  <si>
    <t>Promedio del resultado de las encuestas de satisfacción</t>
  </si>
  <si>
    <t xml:space="preserve">Determinar el impacto de las actividades de bienestar en los estudiantes </t>
  </si>
  <si>
    <t>(Asistentes semestre actual / Asistentes semestre anterior) - 1 * 100</t>
  </si>
  <si>
    <t>Identificar la variación en el número de beneficiados en la actividad de bienestar</t>
  </si>
  <si>
    <t>Avance de las actividades del plan de Bienestar</t>
  </si>
  <si>
    <t>Determinar el porcentaje de ejecución de actividades con base en plan de acción</t>
  </si>
  <si>
    <t>Gestión Control Disciplinario</t>
  </si>
  <si>
    <t>TABLERO DE INDICADORES</t>
  </si>
  <si>
    <t>Direccionamiento Estrategico</t>
  </si>
  <si>
    <t>INDICADOR (ES)</t>
  </si>
  <si>
    <t>Efectividad del Sistema</t>
  </si>
  <si>
    <t>OBJETIVO ESTRATEGICO ASOCIADO</t>
  </si>
  <si>
    <t>Garantizar la participación de los docentes en comunidades academicas para la construcción, transferencia y socialización del conocimiento</t>
  </si>
  <si>
    <t>FÓRMULA (S)</t>
  </si>
  <si>
    <t>Sumatoria de indicadores de efectividad de todos los procesos</t>
  </si>
  <si>
    <t>FRECUENCIA</t>
  </si>
  <si>
    <t>Convenios activos de Internacionalización</t>
  </si>
  <si>
    <t>Numero de alianzas y convenios activos / numero total de alianzas y convenios de internacionalización</t>
  </si>
  <si>
    <t>Cumplimiento Plan de mejoramiento</t>
  </si>
  <si>
    <t>Porcentaje de cumplimiento del plan de mejoramiento definido</t>
  </si>
  <si>
    <t>Convenios Activos</t>
  </si>
  <si>
    <t>Numero de convenios que presentaron actividad / Numero de convenios vigentes</t>
  </si>
  <si>
    <t>Participación en eventos de Internacionalización</t>
  </si>
  <si>
    <t>Numero de eventos en los que ha participado la ORI</t>
  </si>
  <si>
    <t>Nuevos Proyectos</t>
  </si>
  <si>
    <t xml:space="preserve">Numero de proyectos nuevos ejecutados/numero de proyectos planteados </t>
  </si>
  <si>
    <t>RESPONSABLE</t>
  </si>
  <si>
    <t>Cumplimiento Plan de Acción</t>
  </si>
  <si>
    <t>Porcentaje de avance del plan de acción</t>
  </si>
  <si>
    <t>FUENTE DE DATOS</t>
  </si>
  <si>
    <t>Docentes participantes de Internacionalizaciòn</t>
  </si>
  <si>
    <t>Numero de docentes que participan activamente en comunidades academicas relacionadas con internacionalización / Numero total de docentes</t>
  </si>
  <si>
    <t>FECHA DE ELABORACION</t>
  </si>
  <si>
    <t>Oferta de cursos ORI</t>
  </si>
  <si>
    <t>Numero de cursos ofertados/Numero de cursos planeados</t>
  </si>
  <si>
    <t>Efect Sist</t>
  </si>
  <si>
    <t>ÓPTIMO</t>
  </si>
  <si>
    <t>ALARMA</t>
  </si>
  <si>
    <t>CRITICO</t>
  </si>
  <si>
    <t>SUBE</t>
  </si>
  <si>
    <t>Conv Internac</t>
  </si>
  <si>
    <t>Cump Plan Mej</t>
  </si>
  <si>
    <t>Conv Activos</t>
  </si>
  <si>
    <t>Eventos</t>
  </si>
  <si>
    <t>Nuevos proy</t>
  </si>
  <si>
    <t>Cump Plan acción</t>
  </si>
  <si>
    <t>Docent partic inter</t>
  </si>
  <si>
    <t>Oferta ORI</t>
  </si>
  <si>
    <t>Mes</t>
  </si>
  <si>
    <t>Σ Cumplim. ponderado de metas</t>
  </si>
  <si>
    <t xml:space="preserve"> Total indicadores reportados</t>
  </si>
  <si>
    <t>Tendencia</t>
  </si>
  <si>
    <t>N.A.</t>
  </si>
  <si>
    <t>ANALISIS DE RESULTADOS</t>
  </si>
  <si>
    <t>PROYECTO</t>
  </si>
  <si>
    <t>ACCIONES A TOMAR</t>
  </si>
  <si>
    <t>FECHA</t>
  </si>
  <si>
    <t>AC / AP</t>
  </si>
  <si>
    <t>SEGUIMIENTO</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</si>
  <si>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de registros calificados</t>
    </r>
  </si>
  <si>
    <t>LÍNEA BASE 
(2018)</t>
  </si>
  <si>
    <t>LÍNEA BASE
(2019)</t>
  </si>
  <si>
    <t>MEDICIÓN GESTIÓN JUNIO 2020</t>
  </si>
  <si>
    <t>(Cancelaciones de semestre tramitadas / Total estudiantes por semestre) * 100</t>
  </si>
  <si>
    <t>Calcular el porcentaje de cancelaciones contrastado con el total de los estudiantes</t>
  </si>
  <si>
    <t>x&gt;=2%</t>
  </si>
  <si>
    <t>x=1%</t>
  </si>
  <si>
    <t>x&lt;1%</t>
  </si>
  <si>
    <t>Acorde con la información suministrada por Registro y Control, para el semestre 2020-01 se tramitaron 43 cancelaciones de semestre, de los cuales el 56% corresponde a estudiantes nuevos.
37 cancelaciones fueron de la instalación Centro calle 13, 2 para Instalaciones Carvajal y 4 instalaciones Tintal.</t>
  </si>
  <si>
    <t>Con corte a 30 de junio, la ETITC percibió ingresos por $3.736.957.226,48 pesos, distribuidos así:
Enero: $ 2.288.836.116
Febrero: $ 610.873.339,48
Marzo: $ 100.842.724
Abril: $ 257.829.411
Mayo: $ 100.885.782
Junio: $ 377.689.854
La ley 2008 de 2019, "Por la cual se decreta el presupuesto de rentas y recursos de capital y ley de apropiaciones para la vigencia fiscal del 1° de enero al 31 de diciembre de 2020", establece que la ETITC tiene programado un total de $ 11.230.302.042 por concepto de recursos propios.
Por lo anterior, con corte al 30 de junio, se evidencia un recaudo del 33,28%.</t>
  </si>
  <si>
    <t>Medir los recursos necesarios para garantizar la operación de la entidad.</t>
  </si>
  <si>
    <t>x&lt;0,80</t>
  </si>
  <si>
    <t>0,80
&lt; x &lt;
0,90</t>
  </si>
  <si>
    <t>x&gt;=0,90</t>
  </si>
  <si>
    <t>(Recursos para gastos de funcionamiento programados / Recursos para gastos de funcionamiento reales de la entidad)</t>
  </si>
  <si>
    <t>x&lt;2000</t>
  </si>
  <si>
    <t>2000&lt;x&lt;2400</t>
  </si>
  <si>
    <t>x&gt;=2406</t>
  </si>
  <si>
    <t xml:space="preserve">Medir los apoyos ofrecidos por Bienestar Universitario a los estudiantes </t>
  </si>
  <si>
    <t>Para conseguir 100% para gastos de funcionamiento y garantizar operación de la entidad, se tiene el siguiente escenario:
Presupuesto programado de funcionamiento: $ 21.375.033.809
Presupuesto necesario para garantizar funcionamiento: $ 25.080.920.429
Hay recursos faltantes para garantizar gastos de funcionamiento de: $ 3.705.886.620,41, de los cuales $ 2.900.301.620,41 corresponden a gasto de personal y se cuenta en previo concepto (transferencias)
Se cuenta con recursos de 208.356.741,80 en previo concepto (recursos de cooperativas)
Queda un faltante real de $ 597.228.258,20.</t>
  </si>
  <si>
    <t>Con corte a junio 30, con recursos propios se se cuenta con:
Ingresos recaudados: $ 3.897.272.665,03
Compromisos: $ 3.730.097.550,48
Por cada peso comprometido, se cuenta con un peso y cuatro centavos para el respaldo del compromiso.</t>
  </si>
  <si>
    <t>La media Nacional del Saber 11 para 2019 fue de 78.533
La media de la ETITC fue de  65.846, quedando de 9° puesto entre los colegios públicos para 2019.</t>
  </si>
  <si>
    <t>Diferencia entre media Nacional y media ETITC, resultados Saber 11 año 2019</t>
  </si>
  <si>
    <t>8&lt;x&lt;=0</t>
  </si>
  <si>
    <t>12&lt;=x&lt;=9</t>
  </si>
  <si>
    <t>Mostrar el apoyo realizado a los estudiantes, mediante los diferentes programas que ofrece la ETITC.</t>
  </si>
  <si>
    <t>Calcular el porcentaje de estudiantes apoyados con conectividad</t>
  </si>
  <si>
    <t>Total estudiantes sin conectividad / Total estudiantes ETITC</t>
  </si>
  <si>
    <t>x&gt;=10%</t>
  </si>
  <si>
    <t>9%
&lt;=x&lt;=
5%</t>
  </si>
  <si>
    <t>4%
&lt;=x&lt;=
0%</t>
  </si>
  <si>
    <t>Con corte a 30 de junio, 294 de los 3.777 estudiantes de la ETITC, tanto de PES como IBTI, no cuentan con conectividad.
Se programa el apoyo de los estudiantes con conectividad, para los 5 meses restantes de la vigencia, con un costo aproximado por estudiante de $ 19.074 pesos.</t>
  </si>
  <si>
    <t>85%
&lt;=x&lt;
90%</t>
  </si>
  <si>
    <t>x&gt;=91%</t>
  </si>
  <si>
    <t>Resultados FURAG anuales, calculados por el DAFP</t>
  </si>
  <si>
    <t>Cálculo del Índice de Desempeño Institucional, que demuestra el desempeño de las entidades en la implementación del MIPG.</t>
  </si>
  <si>
    <t>En los resultados del FURAG 2019, publicados por el DAFP, la ETITC obtuvo un resultado en el IDI de 75,4, de las 223 entidades de orden Nacional, la entidad ocupó el puesto 97.</t>
  </si>
  <si>
    <t>CLASIF. DE CONFIDENCIALIDAD</t>
  </si>
  <si>
    <t>CLASIF. DE INTEGRIDAD</t>
  </si>
  <si>
    <t>CLASIF. DE DISPONIBILIDAD</t>
  </si>
  <si>
    <t>Medir el aumento en cobertura estudiantil</t>
  </si>
  <si>
    <t>1 - (Estudiantes matriculados 2019-01 / Estudiantes matriculados 2020-01)</t>
  </si>
  <si>
    <t>x&lt;=10%</t>
  </si>
  <si>
    <t>11&lt;=x&lt;=14</t>
  </si>
  <si>
    <t>x&gt;=15%</t>
  </si>
  <si>
    <t>La ETITC para el periodo 2020-01 tuvo 2724 estudiantes matriculados, frente a 2316 en 2019-01, un aumento de 408 estudiantes, equivalente al 14,97%.</t>
  </si>
  <si>
    <t>TABLERO INDICADORES 2020</t>
  </si>
  <si>
    <t>x&lt;=90%</t>
  </si>
  <si>
    <t>91%
&lt;=x&lt;=
95%</t>
  </si>
  <si>
    <t>x&lt;=96%</t>
  </si>
  <si>
    <t>Para el 2019, de 1144 estudiantes matriculados en el IBTI, 99 reprobaron el grado, distribuidos así:
6°: 29
7°: 16
8°: 28
9°: 15
10°: 5
11°: 6
El avance de promoción esccolar corresponde a un 91,35%</t>
  </si>
  <si>
    <r>
      <t xml:space="preserve">Se recibió renovación a 6 años en el programa Técnico Profesional en computación, se recibe </t>
    </r>
    <r>
      <rPr>
        <b/>
        <sz val="16"/>
        <color theme="1"/>
        <rFont val="Calibri"/>
        <family val="2"/>
        <scheme val="minor"/>
      </rPr>
      <t xml:space="preserve">ACREDITACIÓN DE ALTA CALIDAD  </t>
    </r>
    <r>
      <rPr>
        <sz val="16"/>
        <color theme="1"/>
        <rFont val="Calibri"/>
        <family val="2"/>
        <scheme val="minor"/>
      </rPr>
      <t xml:space="preserve"> para los programas de Tecnología en Desarrollo de software e ingeniería de Sistemas de acuerdo a las resoluciones 009746 del 11 de Septiembre del 2019 y 009747 del 11 de septiembre del 2019 por 4 años, 10 programas recibieron acreditación de alta calidad, para la facultad de Procesos Industriales, Mecatrónica y Sistemas, en sus 3 niveles, y la facultad de Electromecánica en los niveles técnico profesional y profesional universitario.
En el marco de la normatividad del MEN, según decreto 1330 de 2019, la ETITC tiene derecho a renovación del registro calificado automático de los 11 programas acreditados. De los cuales ya entraron en proceso de generación de resolución 7: 
-Técnico profesional en electrónica industrial
-Tecnología en automatización industrial
-Ingeniería Mecatrónica
-Técnica profesional en procesos de manufactura
-Tecnología en producción industrial
-Ingeniería en procesos industriales
-Técnica profesional en mantenimiento industrial
Se recibió renovación de registro calificado automáticamente en 3 niveles:
-Técnico profesional en computación
-Tecnología en desarrollo de software
-Ingeniería en sistemas</t>
    </r>
  </si>
  <si>
    <t>Estudiantes PES</t>
  </si>
  <si>
    <t>De los 1.852 estudiantes pertenecientes a los estratos 1 y 2, se ha atendido a 757, mediante ayudas humanitarias a 61, banco de alimentos 370, apoyo socioeconómico 9, crédito y apoyo financiero 11, Jóvenes en Acción 122, y Generación E - equidad 184.
La meta es:
1220 Auxilios académicos
826 MEN 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</si>
</sst>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quot;$&quot;\ * #,##0.00_-;\-&quot;$&quot;\ * #,##0.00_-;_-&quot;$&quot;\ * &quot;-&quot;_-;_-@_-"/>
    <numFmt numFmtId="173" formatCode="_-&quot;$&quot;\ * #,##0.000_-;\-&quot;$&quot;\ * #,##0.000_-;_-&quot;$&quot;\ * &quot;-&quot;_-;_-@_-"/>
    <numFmt numFmtId="174" formatCode="_-* #,##0_-;\-* #,##0_-;_-* &quot;-&quot;??_-;_-@_-"/>
  </numFmts>
  <fonts count="4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11"/>
      <color rgb="FF212121"/>
      <name val="Calibri"/>
      <family val="2"/>
      <scheme val="minor"/>
    </font>
    <font>
      <b/>
      <sz val="9"/>
      <color rgb="FF000000"/>
      <name val="Times New Roman"/>
      <family val="1"/>
    </font>
    <font>
      <u/>
      <sz val="20"/>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9" tint="0.79998168889431442"/>
        <bgColor indexed="64"/>
      </patternFill>
    </fill>
    <fill>
      <patternFill patternType="solid">
        <fgColor rgb="FF00B0F0"/>
        <bgColor indexed="64"/>
      </patternFill>
    </fill>
    <fill>
      <patternFill patternType="solid">
        <fgColor rgb="FFFFCC66"/>
        <bgColor indexed="64"/>
      </patternFill>
    </fill>
  </fills>
  <borders count="9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s>
  <cellStyleXfs count="46">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1055">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0" fontId="36" fillId="6" borderId="68" xfId="1"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65" fontId="36" fillId="0" borderId="0" xfId="0" applyNumberFormat="1" applyFont="1"/>
    <xf numFmtId="165" fontId="36" fillId="0" borderId="0" xfId="1" applyNumberFormat="1" applyFont="1"/>
    <xf numFmtId="10" fontId="36" fillId="0" borderId="0" xfId="1" applyNumberFormat="1" applyFont="1"/>
    <xf numFmtId="0" fontId="36" fillId="0" borderId="83"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0" fontId="36" fillId="0" borderId="3" xfId="0" applyFont="1" applyBorder="1" applyAlignment="1">
      <alignment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10" fontId="36" fillId="0" borderId="68" xfId="1" applyNumberFormat="1" applyFont="1" applyBorder="1" applyAlignment="1">
      <alignment horizontal="center" vertical="center"/>
    </xf>
    <xf numFmtId="0" fontId="36" fillId="0" borderId="85" xfId="0" applyFont="1" applyBorder="1" applyAlignment="1">
      <alignment horizontal="center" vertical="center" wrapText="1"/>
    </xf>
    <xf numFmtId="166" fontId="36" fillId="0" borderId="31" xfId="0" applyNumberFormat="1" applyFont="1" applyBorder="1" applyAlignment="1">
      <alignment horizontal="center" vertical="center" wrapText="1"/>
    </xf>
    <xf numFmtId="10" fontId="36" fillId="10" borderId="72"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89" xfId="0" applyFont="1" applyBorder="1" applyAlignment="1">
      <alignment horizontal="center" vertical="center" wrapText="1"/>
    </xf>
    <xf numFmtId="0" fontId="36" fillId="0" borderId="1" xfId="0" applyFont="1" applyBorder="1" applyAlignment="1">
      <alignment horizontal="left" vertical="center"/>
    </xf>
    <xf numFmtId="0" fontId="36" fillId="0" borderId="84"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6"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166" fontId="39" fillId="0" borderId="33" xfId="0" applyNumberFormat="1" applyFont="1" applyBorder="1" applyAlignment="1">
      <alignment horizontal="center" vertical="center" wrapText="1"/>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4" borderId="45" xfId="0" applyNumberFormat="1" applyFont="1" applyFill="1" applyBorder="1" applyAlignment="1">
      <alignment horizontal="center" vertical="center" wrapText="1"/>
    </xf>
    <xf numFmtId="169" fontId="36" fillId="2" borderId="59" xfId="40" applyNumberFormat="1" applyFont="1" applyFill="1" applyBorder="1" applyAlignment="1">
      <alignment horizontal="center" vertical="center"/>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37" fillId="2" borderId="33" xfId="0" applyNumberFormat="1" applyFont="1" applyFill="1" applyBorder="1" applyAlignment="1">
      <alignment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41" fontId="36" fillId="0" borderId="0" xfId="40" applyFont="1"/>
    <xf numFmtId="41" fontId="36" fillId="0" borderId="0" xfId="0" applyNumberFormat="1" applyFont="1"/>
    <xf numFmtId="0" fontId="41" fillId="8" borderId="30" xfId="0" applyFont="1" applyFill="1" applyBorder="1" applyAlignment="1">
      <alignment vertical="center" wrapText="1"/>
    </xf>
    <xf numFmtId="4" fontId="36" fillId="0" borderId="0" xfId="0" applyNumberFormat="1" applyFont="1" applyFill="1" applyBorder="1"/>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164" fontId="36" fillId="0" borderId="0" xfId="43" applyFont="1"/>
    <xf numFmtId="164" fontId="36" fillId="0" borderId="0" xfId="0" applyNumberFormat="1" applyFont="1"/>
    <xf numFmtId="9" fontId="36" fillId="0" borderId="0" xfId="1" applyFont="1"/>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2" fontId="0" fillId="0" borderId="0" xfId="0" applyNumberFormat="1"/>
    <xf numFmtId="173" fontId="0" fillId="0" borderId="0" xfId="0" applyNumberFormat="1"/>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1" fontId="36" fillId="0" borderId="0" xfId="0" applyNumberFormat="1" applyFont="1" applyFill="1" applyBorder="1" applyAlignment="1">
      <alignment vertical="center" wrapText="1"/>
    </xf>
    <xf numFmtId="2" fontId="0" fillId="0" borderId="0" xfId="0" applyNumberFormat="1"/>
    <xf numFmtId="0" fontId="36" fillId="8" borderId="3" xfId="0" applyFont="1" applyFill="1" applyBorder="1" applyAlignment="1">
      <alignment vertical="center" wrapText="1"/>
    </xf>
    <xf numFmtId="0" fontId="46" fillId="0" borderId="0" xfId="0" applyFont="1" applyAlignment="1">
      <alignment vertical="center" wrapText="1"/>
    </xf>
    <xf numFmtId="0" fontId="45" fillId="0" borderId="0" xfId="0" applyFont="1" applyAlignment="1">
      <alignment vertical="center" wrapText="1"/>
    </xf>
    <xf numFmtId="4" fontId="0" fillId="0" borderId="0" xfId="0" applyNumberFormat="1"/>
    <xf numFmtId="9" fontId="36" fillId="0" borderId="68" xfId="1" applyNumberFormat="1" applyFont="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75" xfId="1" applyFont="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3" fontId="36" fillId="0" borderId="0" xfId="0" applyNumberFormat="1" applyFont="1" applyAlignment="1">
      <alignment wrapText="1"/>
    </xf>
    <xf numFmtId="4" fontId="36" fillId="0" borderId="0" xfId="0" applyNumberFormat="1" applyFont="1" applyAlignment="1">
      <alignment wrapText="1"/>
    </xf>
    <xf numFmtId="2" fontId="36" fillId="0" borderId="3" xfId="1" applyNumberFormat="1" applyFont="1" applyBorder="1" applyAlignment="1">
      <alignment horizontal="center" vertical="center"/>
    </xf>
    <xf numFmtId="10" fontId="36" fillId="3" borderId="30" xfId="1" applyNumberFormat="1" applyFont="1" applyFill="1" applyBorder="1" applyAlignment="1">
      <alignment horizontal="center" vertical="center"/>
    </xf>
    <xf numFmtId="0" fontId="0" fillId="3" borderId="7" xfId="0" applyFill="1" applyBorder="1"/>
    <xf numFmtId="2" fontId="0" fillId="3" borderId="7" xfId="0" applyNumberFormat="1" applyFill="1" applyBorder="1"/>
    <xf numFmtId="0" fontId="0" fillId="14" borderId="7" xfId="0" applyFill="1" applyBorder="1"/>
    <xf numFmtId="9" fontId="0" fillId="14" borderId="7" xfId="1" applyFont="1" applyFill="1" applyBorder="1"/>
    <xf numFmtId="0" fontId="0" fillId="15" borderId="0" xfId="0" applyFill="1"/>
    <xf numFmtId="0" fontId="3" fillId="0" borderId="1" xfId="0" applyFont="1" applyBorder="1" applyAlignment="1">
      <alignment vertical="center"/>
    </xf>
    <xf numFmtId="0" fontId="3" fillId="0" borderId="33" xfId="0" applyFont="1" applyBorder="1" applyAlignment="1">
      <alignment vertical="center"/>
    </xf>
    <xf numFmtId="0" fontId="3" fillId="0" borderId="33" xfId="0" applyFont="1" applyFill="1" applyBorder="1" applyAlignment="1">
      <alignment horizontal="justify" vertical="center" wrapText="1"/>
    </xf>
    <xf numFmtId="0" fontId="3" fillId="0" borderId="33" xfId="0" applyFont="1" applyFill="1" applyBorder="1" applyAlignment="1">
      <alignment horizontal="center" vertical="center" wrapText="1"/>
    </xf>
    <xf numFmtId="2" fontId="36" fillId="8" borderId="3" xfId="1" applyNumberFormat="1" applyFont="1" applyFill="1" applyBorder="1" applyAlignment="1">
      <alignment horizontal="center" vertical="center"/>
    </xf>
    <xf numFmtId="42" fontId="36" fillId="0" borderId="0" xfId="44" applyFont="1"/>
    <xf numFmtId="42" fontId="36" fillId="0" borderId="0" xfId="44" applyFont="1" applyAlignment="1">
      <alignment wrapText="1"/>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66" fontId="37" fillId="12" borderId="30" xfId="0"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7" xfId="0" applyFont="1" applyBorder="1" applyAlignment="1">
      <alignment horizontal="center" vertical="center" wrapText="1"/>
    </xf>
    <xf numFmtId="1" fontId="36" fillId="0" borderId="29"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6" fillId="0" borderId="86" xfId="0" applyFont="1" applyBorder="1" applyAlignment="1">
      <alignment horizontal="center" vertical="center" wrapText="1"/>
    </xf>
    <xf numFmtId="0" fontId="36" fillId="0" borderId="33" xfId="0" applyFont="1" applyBorder="1" applyAlignment="1">
      <alignment horizontal="left" vertical="center" wrapText="1"/>
    </xf>
    <xf numFmtId="0" fontId="36" fillId="0" borderId="32" xfId="0" quotePrefix="1" applyFont="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0" fontId="0" fillId="0" borderId="0" xfId="0" applyAlignment="1">
      <alignment horizontal="center"/>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21" fillId="6" borderId="32" xfId="0" applyFont="1" applyFill="1" applyBorder="1" applyAlignment="1">
      <alignment horizontal="center" vertical="center" wrapText="1"/>
    </xf>
    <xf numFmtId="166" fontId="37" fillId="12" borderId="30" xfId="0" applyNumberFormat="1" applyFont="1" applyFill="1" applyBorder="1" applyAlignment="1">
      <alignment horizontal="center" vertical="center"/>
    </xf>
    <xf numFmtId="0" fontId="36" fillId="0" borderId="29" xfId="0" quotePrefix="1" applyFont="1" applyBorder="1" applyAlignment="1">
      <alignment horizontal="left" vertical="center" wrapText="1"/>
    </xf>
    <xf numFmtId="10" fontId="36" fillId="6" borderId="30" xfId="1" applyNumberFormat="1" applyFont="1" applyFill="1" applyBorder="1" applyAlignment="1">
      <alignment horizontal="center" vertical="center"/>
    </xf>
    <xf numFmtId="10" fontId="36" fillId="6" borderId="75" xfId="1" applyNumberFormat="1" applyFont="1" applyFill="1" applyBorder="1" applyAlignment="1">
      <alignment horizontal="center" vertical="center"/>
    </xf>
    <xf numFmtId="10" fontId="36" fillId="6" borderId="3" xfId="1" applyNumberFormat="1" applyFont="1" applyFill="1" applyBorder="1" applyAlignment="1">
      <alignment horizontal="center" vertical="center"/>
    </xf>
    <xf numFmtId="9" fontId="36" fillId="6" borderId="58" xfId="1" applyFont="1" applyFill="1" applyBorder="1" applyAlignment="1">
      <alignment horizontal="center" vertical="center"/>
    </xf>
    <xf numFmtId="9" fontId="36" fillId="6" borderId="30" xfId="1" applyFont="1" applyFill="1" applyBorder="1" applyAlignment="1">
      <alignment horizontal="center" vertical="center"/>
    </xf>
    <xf numFmtId="10" fontId="36" fillId="6" borderId="41" xfId="1" applyNumberFormat="1" applyFont="1" applyFill="1" applyBorder="1" applyAlignment="1">
      <alignment horizontal="center" vertical="center"/>
    </xf>
    <xf numFmtId="10" fontId="36" fillId="6" borderId="77" xfId="1" applyNumberFormat="1" applyFont="1" applyFill="1" applyBorder="1" applyAlignment="1">
      <alignment horizontal="center" vertical="center"/>
    </xf>
    <xf numFmtId="2" fontId="36" fillId="6" borderId="3" xfId="1" applyNumberFormat="1" applyFont="1" applyFill="1" applyBorder="1" applyAlignment="1">
      <alignment horizontal="center" vertical="center"/>
    </xf>
    <xf numFmtId="10" fontId="36" fillId="0" borderId="3" xfId="1" applyNumberFormat="1" applyFont="1" applyFill="1" applyBorder="1" applyAlignment="1">
      <alignment horizontal="center" vertical="center"/>
    </xf>
    <xf numFmtId="0" fontId="3" fillId="0" borderId="33" xfId="0" applyFont="1" applyBorder="1" applyAlignment="1">
      <alignment horizontal="center" vertical="center"/>
    </xf>
    <xf numFmtId="9" fontId="36" fillId="0" borderId="51" xfId="0" applyNumberFormat="1" applyFont="1" applyBorder="1" applyAlignment="1">
      <alignment horizontal="center" vertical="center"/>
    </xf>
    <xf numFmtId="9" fontId="36" fillId="0" borderId="63" xfId="0" applyNumberFormat="1" applyFont="1" applyBorder="1" applyAlignment="1">
      <alignment horizontal="center" vertical="center"/>
    </xf>
    <xf numFmtId="9" fontId="36" fillId="0" borderId="71" xfId="0" applyNumberFormat="1" applyFont="1" applyBorder="1" applyAlignment="1">
      <alignment horizontal="center" vertical="center"/>
    </xf>
    <xf numFmtId="9" fontId="36" fillId="8" borderId="71" xfId="1" applyFont="1" applyFill="1" applyBorder="1" applyAlignment="1">
      <alignment horizontal="center" vertical="center"/>
    </xf>
    <xf numFmtId="0" fontId="36" fillId="8" borderId="30" xfId="0" applyFont="1" applyFill="1" applyBorder="1" applyAlignment="1">
      <alignment horizontal="left" vertical="center" wrapText="1"/>
    </xf>
    <xf numFmtId="9" fontId="36" fillId="0" borderId="29" xfId="1" applyFont="1" applyBorder="1" applyAlignment="1">
      <alignment horizontal="center" vertical="center"/>
    </xf>
    <xf numFmtId="10" fontId="36" fillId="6" borderId="30" xfId="1" applyNumberFormat="1" applyFont="1" applyFill="1" applyBorder="1" applyAlignment="1">
      <alignment horizontal="center" vertical="center"/>
    </xf>
    <xf numFmtId="10" fontId="36" fillId="6" borderId="58" xfId="1"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9" fillId="8" borderId="38" xfId="0" applyFont="1" applyFill="1" applyBorder="1" applyAlignment="1">
      <alignment horizontal="left" vertical="center" wrapText="1"/>
    </xf>
    <xf numFmtId="0" fontId="39" fillId="8" borderId="63" xfId="0" applyFont="1" applyFill="1" applyBorder="1" applyAlignment="1">
      <alignment horizontal="left" vertical="center" wrapText="1"/>
    </xf>
    <xf numFmtId="166" fontId="36" fillId="0" borderId="29" xfId="0" applyNumberFormat="1" applyFont="1" applyBorder="1" applyAlignment="1">
      <alignment horizontal="center" vertical="center" wrapText="1"/>
    </xf>
    <xf numFmtId="10" fontId="36" fillId="0" borderId="29" xfId="0" applyNumberFormat="1" applyFont="1" applyBorder="1" applyAlignment="1">
      <alignment horizontal="center" vertical="center"/>
    </xf>
    <xf numFmtId="169" fontId="39" fillId="0" borderId="29" xfId="40" applyNumberFormat="1" applyFont="1" applyBorder="1" applyAlignment="1">
      <alignment horizontal="center" vertical="center" wrapText="1"/>
    </xf>
    <xf numFmtId="0" fontId="36" fillId="7" borderId="29" xfId="0" applyFont="1" applyFill="1" applyBorder="1" applyAlignment="1">
      <alignment horizontal="left" vertical="center" wrapText="1"/>
    </xf>
    <xf numFmtId="10" fontId="36" fillId="6" borderId="34" xfId="1" applyNumberFormat="1" applyFont="1" applyFill="1" applyBorder="1" applyAlignment="1">
      <alignment horizontal="center" vertical="center"/>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87" xfId="0" applyFont="1" applyBorder="1" applyAlignment="1">
      <alignment horizontal="center" vertical="center" wrapText="1"/>
    </xf>
    <xf numFmtId="1" fontId="36" fillId="0" borderId="29"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6" fillId="0" borderId="63" xfId="0" applyFont="1" applyBorder="1" applyAlignment="1">
      <alignment horizontal="left" vertical="center"/>
    </xf>
    <xf numFmtId="0" fontId="39" fillId="0" borderId="61" xfId="0" applyFont="1" applyFill="1" applyBorder="1" applyAlignment="1">
      <alignment vertical="center" wrapText="1"/>
    </xf>
    <xf numFmtId="0" fontId="41" fillId="0" borderId="63" xfId="0" applyFont="1" applyFill="1" applyBorder="1" applyAlignment="1">
      <alignment vertical="center" wrapText="1"/>
    </xf>
    <xf numFmtId="0" fontId="39" fillId="0" borderId="74" xfId="0" applyFont="1" applyFill="1" applyBorder="1" applyAlignment="1">
      <alignment vertical="center" wrapText="1"/>
    </xf>
    <xf numFmtId="0" fontId="36" fillId="0" borderId="84" xfId="0" applyFont="1" applyBorder="1" applyAlignment="1">
      <alignment horizontal="center" vertical="center" wrapText="1"/>
    </xf>
    <xf numFmtId="10" fontId="36" fillId="8" borderId="58" xfId="1" applyNumberFormat="1" applyFont="1" applyFill="1" applyBorder="1" applyAlignment="1">
      <alignment horizontal="left" vertical="center" wrapText="1"/>
    </xf>
    <xf numFmtId="166" fontId="36" fillId="0" borderId="32" xfId="0" applyNumberFormat="1" applyFont="1" applyBorder="1" applyAlignment="1">
      <alignment horizontal="center" vertical="center"/>
    </xf>
    <xf numFmtId="43" fontId="36" fillId="0" borderId="0" xfId="45" applyFont="1"/>
    <xf numFmtId="174" fontId="36" fillId="0" borderId="32" xfId="45" applyNumberFormat="1" applyFont="1" applyBorder="1" applyAlignment="1">
      <alignment horizontal="center" vertical="center"/>
    </xf>
    <xf numFmtId="0" fontId="36" fillId="0" borderId="28" xfId="0" quotePrefix="1" applyFont="1" applyBorder="1" applyAlignment="1">
      <alignment horizontal="left" vertical="center" wrapText="1"/>
    </xf>
    <xf numFmtId="44" fontId="36" fillId="0" borderId="0" xfId="0" applyNumberFormat="1" applyFont="1"/>
    <xf numFmtId="174" fontId="36" fillId="16" borderId="33" xfId="45" applyNumberFormat="1" applyFont="1" applyFill="1" applyBorder="1" applyAlignment="1">
      <alignment vertical="center"/>
    </xf>
    <xf numFmtId="9" fontId="36" fillId="0" borderId="33" xfId="1" applyFont="1" applyFill="1" applyBorder="1" applyAlignment="1">
      <alignment horizontal="center" vertical="center"/>
    </xf>
    <xf numFmtId="10" fontId="36" fillId="16" borderId="33" xfId="1" applyNumberFormat="1" applyFont="1" applyFill="1" applyBorder="1" applyAlignment="1">
      <alignment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69" fontId="36" fillId="0" borderId="24" xfId="40" applyNumberFormat="1" applyFont="1" applyBorder="1" applyAlignment="1">
      <alignment horizontal="center" vertical="center" wrapText="1"/>
    </xf>
    <xf numFmtId="0" fontId="36" fillId="0" borderId="29" xfId="0" applyFont="1" applyBorder="1" applyAlignment="1">
      <alignment horizontal="center" vertical="center" wrapText="1"/>
    </xf>
    <xf numFmtId="10" fontId="36" fillId="6" borderId="58" xfId="1" applyNumberFormat="1" applyFont="1" applyFill="1" applyBorder="1" applyAlignment="1">
      <alignment horizontal="center" vertical="center"/>
    </xf>
    <xf numFmtId="174" fontId="0" fillId="0" borderId="33" xfId="45" applyNumberFormat="1" applyFont="1" applyBorder="1" applyAlignment="1">
      <alignment horizontal="center" vertical="center"/>
    </xf>
    <xf numFmtId="169" fontId="36" fillId="0" borderId="29" xfId="40" applyNumberFormat="1" applyFont="1" applyBorder="1" applyAlignment="1">
      <alignment horizontal="center" vertical="center" wrapText="1"/>
    </xf>
    <xf numFmtId="9" fontId="36" fillId="0" borderId="46" xfId="1" applyNumberFormat="1" applyFont="1" applyBorder="1" applyAlignment="1">
      <alignment horizontal="center" vertical="center"/>
    </xf>
    <xf numFmtId="10" fontId="36" fillId="2" borderId="61" xfId="1" applyNumberFormat="1" applyFont="1" applyFill="1" applyBorder="1" applyAlignment="1">
      <alignment horizontal="center" vertical="center"/>
    </xf>
    <xf numFmtId="9" fontId="36" fillId="2" borderId="59" xfId="1" applyFont="1" applyFill="1" applyBorder="1" applyAlignment="1">
      <alignment horizontal="center" vertical="center"/>
    </xf>
    <xf numFmtId="0" fontId="36" fillId="0" borderId="33" xfId="0" applyFont="1" applyBorder="1" applyAlignment="1">
      <alignment horizontal="center" vertical="center" wrapText="1"/>
    </xf>
    <xf numFmtId="0" fontId="36" fillId="0" borderId="79" xfId="0" applyFont="1" applyBorder="1" applyAlignment="1">
      <alignment vertical="center" wrapText="1"/>
    </xf>
    <xf numFmtId="0" fontId="39" fillId="0" borderId="31" xfId="0" applyFont="1" applyBorder="1" applyAlignment="1">
      <alignment vertical="center" wrapText="1"/>
    </xf>
    <xf numFmtId="0" fontId="39" fillId="0" borderId="33" xfId="0" applyFont="1" applyBorder="1" applyAlignment="1">
      <alignment vertical="center" wrapText="1"/>
    </xf>
    <xf numFmtId="0" fontId="36" fillId="0" borderId="32" xfId="0" applyFont="1" applyBorder="1" applyAlignment="1">
      <alignment vertical="center" wrapText="1"/>
    </xf>
    <xf numFmtId="0" fontId="36" fillId="0" borderId="33" xfId="0" applyFont="1" applyBorder="1" applyAlignment="1">
      <alignment vertical="center" wrapText="1"/>
    </xf>
    <xf numFmtId="9" fontId="36" fillId="0" borderId="32" xfId="0" applyNumberFormat="1" applyFont="1" applyFill="1" applyBorder="1" applyAlignment="1">
      <alignment horizontal="center" vertical="center"/>
    </xf>
    <xf numFmtId="0" fontId="32" fillId="8" borderId="3" xfId="0" applyFont="1" applyFill="1" applyBorder="1" applyAlignment="1">
      <alignment vertical="center" wrapText="1"/>
    </xf>
    <xf numFmtId="9" fontId="36" fillId="3" borderId="38" xfId="0" applyNumberFormat="1" applyFont="1" applyFill="1" applyBorder="1" applyAlignment="1">
      <alignment horizontal="center" vertical="center" wrapText="1"/>
    </xf>
    <xf numFmtId="9" fontId="36" fillId="2" borderId="45" xfId="1" applyFont="1" applyFill="1" applyBorder="1" applyAlignment="1">
      <alignment horizontal="center" vertical="center"/>
    </xf>
    <xf numFmtId="10" fontId="36" fillId="2" borderId="66" xfId="1" applyNumberFormat="1" applyFont="1" applyFill="1" applyBorder="1" applyAlignment="1">
      <alignment horizontal="center" vertical="center"/>
    </xf>
    <xf numFmtId="10" fontId="36" fillId="2" borderId="46" xfId="1" applyNumberFormat="1" applyFont="1" applyFill="1" applyBorder="1" applyAlignment="1">
      <alignment horizontal="center" vertical="center"/>
    </xf>
    <xf numFmtId="10" fontId="36" fillId="16" borderId="32" xfId="1" applyNumberFormat="1" applyFont="1" applyFill="1" applyBorder="1" applyAlignment="1">
      <alignment vertical="center"/>
    </xf>
    <xf numFmtId="9" fontId="36" fillId="10" borderId="33" xfId="0" applyNumberFormat="1" applyFont="1" applyFill="1" applyBorder="1" applyAlignment="1">
      <alignment horizontal="center" vertical="center" wrapText="1"/>
    </xf>
    <xf numFmtId="10" fontId="36" fillId="10" borderId="33" xfId="0" applyNumberFormat="1" applyFont="1" applyFill="1" applyBorder="1" applyAlignment="1">
      <alignment horizontal="center" vertical="center" wrapText="1"/>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6" fillId="0" borderId="24" xfId="0" applyFont="1" applyFill="1" applyBorder="1" applyAlignment="1">
      <alignment horizontal="center" vertical="center" wrapText="1"/>
    </xf>
    <xf numFmtId="166" fontId="36" fillId="8" borderId="29" xfId="1" applyNumberFormat="1" applyFont="1" applyFill="1" applyBorder="1" applyAlignment="1">
      <alignment horizontal="center" vertical="center"/>
    </xf>
    <xf numFmtId="166" fontId="36" fillId="8" borderId="32" xfId="1" applyNumberFormat="1" applyFont="1" applyFill="1" applyBorder="1" applyAlignment="1">
      <alignment horizontal="center" vertical="center"/>
    </xf>
    <xf numFmtId="9" fontId="36" fillId="8" borderId="29" xfId="1" applyFont="1" applyFill="1" applyBorder="1" applyAlignment="1">
      <alignment horizontal="center" vertical="center"/>
    </xf>
    <xf numFmtId="9" fontId="36" fillId="8" borderId="32" xfId="1" applyFont="1" applyFill="1" applyBorder="1" applyAlignment="1">
      <alignment horizontal="center" vertical="center"/>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10" fontId="36" fillId="6" borderId="30" xfId="1" applyNumberFormat="1" applyFont="1" applyFill="1" applyBorder="1" applyAlignment="1">
      <alignment horizontal="center" vertical="center"/>
    </xf>
    <xf numFmtId="10" fontId="36" fillId="6" borderId="58" xfId="1" applyNumberFormat="1" applyFont="1" applyFill="1" applyBorder="1" applyAlignment="1">
      <alignment horizontal="center" vertical="center"/>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6" fillId="8" borderId="30" xfId="0" applyFont="1" applyFill="1" applyBorder="1" applyAlignment="1">
      <alignment horizontal="left" vertical="center" wrapText="1"/>
    </xf>
    <xf numFmtId="0" fontId="36" fillId="0" borderId="58" xfId="0" applyFont="1" applyBorder="1" applyAlignment="1">
      <alignment horizontal="left" vertical="center" wrapText="1"/>
    </xf>
    <xf numFmtId="0" fontId="47" fillId="0" borderId="41" xfId="0" applyFont="1" applyBorder="1" applyAlignment="1">
      <alignment horizontal="left" vertical="center" wrapText="1"/>
    </xf>
    <xf numFmtId="0" fontId="47" fillId="0" borderId="77" xfId="0" applyFont="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10" fontId="36" fillId="8" borderId="29" xfId="1" applyNumberFormat="1" applyFont="1" applyFill="1" applyBorder="1" applyAlignment="1">
      <alignment horizontal="center" vertical="center"/>
    </xf>
    <xf numFmtId="10" fontId="36" fillId="8" borderId="32" xfId="1"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9" fillId="0" borderId="65" xfId="0" applyFont="1" applyBorder="1" applyAlignment="1">
      <alignment horizontal="left" vertical="center" wrapText="1"/>
    </xf>
    <xf numFmtId="0" fontId="39" fillId="0" borderId="73"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15" xfId="0" applyFont="1" applyFill="1" applyBorder="1" applyAlignment="1">
      <alignment horizontal="left" vertical="center" wrapText="1"/>
    </xf>
    <xf numFmtId="1" fontId="36" fillId="0" borderId="76" xfId="0" applyNumberFormat="1" applyFont="1" applyBorder="1" applyAlignment="1">
      <alignment horizontal="center" vertical="center" wrapText="1"/>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0" fontId="36" fillId="0" borderId="32" xfId="0" applyFont="1" applyBorder="1" applyAlignment="1">
      <alignment horizontal="center" vertical="center" wrapText="1"/>
    </xf>
    <xf numFmtId="0" fontId="39" fillId="8" borderId="92" xfId="0" applyFont="1" applyFill="1" applyBorder="1" applyAlignment="1">
      <alignment horizontal="left" vertical="center" wrapText="1"/>
    </xf>
    <xf numFmtId="0" fontId="39" fillId="8" borderId="93" xfId="0" applyFont="1" applyFill="1" applyBorder="1" applyAlignment="1">
      <alignment horizontal="left" vertical="center" wrapText="1"/>
    </xf>
    <xf numFmtId="0" fontId="36" fillId="0" borderId="84" xfId="0" applyFont="1" applyBorder="1" applyAlignment="1">
      <alignment horizontal="center" vertical="center" wrapText="1"/>
    </xf>
    <xf numFmtId="0" fontId="36" fillId="0" borderId="86" xfId="0" applyFont="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6" fontId="38" fillId="11" borderId="34"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90" xfId="0" applyFont="1" applyBorder="1" applyAlignment="1">
      <alignment horizontal="center" vertical="center" wrapText="1"/>
    </xf>
    <xf numFmtId="0" fontId="36" fillId="0" borderId="91" xfId="0" applyFont="1" applyBorder="1" applyAlignment="1">
      <alignment horizontal="center" vertical="center" wrapText="1"/>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0"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88"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9" fillId="0" borderId="31" xfId="0" quotePrefix="1" applyFont="1" applyBorder="1" applyAlignment="1">
      <alignment horizontal="left" vertical="center" wrapText="1"/>
    </xf>
    <xf numFmtId="169" fontId="39" fillId="0" borderId="31" xfId="4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0" fontId="36" fillId="0" borderId="81" xfId="0" applyFont="1" applyBorder="1" applyAlignment="1">
      <alignment horizontal="center" vertical="center" wrapText="1"/>
    </xf>
    <xf numFmtId="0" fontId="36" fillId="0" borderId="82" xfId="0" applyFont="1" applyBorder="1" applyAlignment="1">
      <alignment horizontal="center"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6" fillId="0" borderId="29" xfId="0" quotePrefix="1" applyFont="1" applyBorder="1" applyAlignment="1">
      <alignment horizontal="center" vertical="center" wrapText="1"/>
    </xf>
    <xf numFmtId="0" fontId="0" fillId="14" borderId="7" xfId="0" applyFill="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6">
    <cellStyle name="Hipervínculo" xfId="13" builtinId="8" hidden="1"/>
    <cellStyle name="Hipervínculo" xfId="15" builtinId="8" hidden="1"/>
    <cellStyle name="Hipervínculo" xfId="19" builtinId="8" hidden="1"/>
    <cellStyle name="Hipervínculo" xfId="21" builtinId="8" hidden="1"/>
    <cellStyle name="Hipervínculo" xfId="17" builtinId="8" hidden="1"/>
    <cellStyle name="Hipervínculo" xfId="11" builtinId="8" hidden="1"/>
    <cellStyle name="Hipervínculo" xfId="7" builtinId="8" hidden="1"/>
    <cellStyle name="Hipervínculo" xfId="9" builtinId="8" hidden="1"/>
    <cellStyle name="Hipervínculo" xfId="29" builtinId="8" hidden="1"/>
    <cellStyle name="Hipervínculo" xfId="31" builtinId="8" hidden="1"/>
    <cellStyle name="Hipervínculo" xfId="37" builtinId="8" hidden="1"/>
    <cellStyle name="Hipervínculo" xfId="33" builtinId="8" hidden="1"/>
    <cellStyle name="Hipervínculo" xfId="35" builtinId="8" hidden="1"/>
    <cellStyle name="Hipervínculo" xfId="25" builtinId="8" hidden="1"/>
    <cellStyle name="Hipervínculo" xfId="27" builtinId="8" hidden="1"/>
    <cellStyle name="Hipervínculo" xfId="23" builtinId="8" hidden="1"/>
    <cellStyle name="Hipervínculo 2" xfId="4" xr:uid="{00000000-0005-0000-0000-000010000000}"/>
    <cellStyle name="Hipervínculo visitado" xfId="20" builtinId="9" hidden="1"/>
    <cellStyle name="Hipervínculo visitado" xfId="22" builtinId="9" hidden="1"/>
    <cellStyle name="Hipervínculo visitado" xfId="16" builtinId="9" hidden="1"/>
    <cellStyle name="Hipervínculo visitado" xfId="10" builtinId="9" hidden="1"/>
    <cellStyle name="Hipervínculo visitado" xfId="6" builtinId="9" hidden="1"/>
    <cellStyle name="Hipervínculo visitado" xfId="5" builtinId="9" hidden="1"/>
    <cellStyle name="Hipervínculo visitado" xfId="8" builtinId="9" hidden="1"/>
    <cellStyle name="Hipervínculo visitado" xfId="18" builtinId="9" hidden="1"/>
    <cellStyle name="Hipervínculo visitado" xfId="36" builtinId="9" hidden="1"/>
    <cellStyle name="Hipervínculo visitado" xfId="38" builtinId="9" hidden="1"/>
    <cellStyle name="Hipervínculo visitado" xfId="24" builtinId="9" hidden="1"/>
    <cellStyle name="Hipervínculo visitado" xfId="12" builtinId="9" hidden="1"/>
    <cellStyle name="Hipervínculo visitado" xfId="14" builtinId="9" hidden="1"/>
    <cellStyle name="Hipervínculo visitado" xfId="32" builtinId="9" hidden="1"/>
    <cellStyle name="Hipervínculo visitado" xfId="30" builtinId="9" hidden="1"/>
    <cellStyle name="Hipervínculo visitado" xfId="34" builtinId="9" hidden="1"/>
    <cellStyle name="Hipervínculo visitado" xfId="28" builtinId="9" hidden="1"/>
    <cellStyle name="Hipervínculo visitado" xfId="26" builtinId="9" hidden="1"/>
    <cellStyle name="Millares" xfId="45" builtinId="3"/>
    <cellStyle name="Millares [0]" xfId="40" builtinId="6"/>
    <cellStyle name="Millares [0] 2" xfId="42" xr:uid="{00000000-0005-0000-0000-000024000000}"/>
    <cellStyle name="Millares 2" xfId="39" xr:uid="{00000000-0005-0000-0000-000025000000}"/>
    <cellStyle name="Millares 2 2" xfId="41" xr:uid="{00000000-0005-0000-0000-000026000000}"/>
    <cellStyle name="Moneda" xfId="43" builtinId="4"/>
    <cellStyle name="Moneda [0]" xfId="44" builtinId="7"/>
    <cellStyle name="Normal" xfId="0" builtinId="0"/>
    <cellStyle name="Normal 2" xfId="2" xr:uid="{00000000-0005-0000-0000-00002A000000}"/>
    <cellStyle name="Porcentaje" xfId="1" builtinId="5"/>
    <cellStyle name="Porcentual 2" xfId="3" xr:uid="{00000000-0005-0000-0000-00002C000000}"/>
  </cellStyles>
  <dxfs count="17">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colors>
    <mruColors>
      <color rgb="FFFFCC66"/>
      <color rgb="FFFF3300"/>
      <color rgb="FFDEEE1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371009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F23"/>
  <sheetViews>
    <sheetView zoomScale="85" zoomScaleNormal="85" workbookViewId="0">
      <selection activeCell="A2" sqref="A2"/>
    </sheetView>
  </sheetViews>
  <sheetFormatPr baseColWidth="10" defaultColWidth="11.44140625" defaultRowHeight="14.4"/>
  <cols>
    <col min="1" max="1" width="54.88671875" customWidth="1"/>
    <col min="2" max="2" width="15.44140625" bestFit="1" customWidth="1"/>
    <col min="3" max="3" width="8.44140625" customWidth="1"/>
    <col min="4" max="4" width="36.88671875" customWidth="1"/>
    <col min="5" max="5" width="13.44140625" bestFit="1" customWidth="1"/>
  </cols>
  <sheetData>
    <row r="1" spans="1:5" ht="26.4" thickBot="1">
      <c r="A1" s="790" t="s">
        <v>450</v>
      </c>
      <c r="B1" s="791"/>
      <c r="C1" s="791"/>
      <c r="D1" s="792"/>
      <c r="E1" s="614">
        <f>+AVERAGE(B4:B8)</f>
        <v>0.54002352085638672</v>
      </c>
    </row>
    <row r="2" spans="1:5" ht="15" thickBot="1">
      <c r="B2" s="612"/>
    </row>
    <row r="3" spans="1:5" ht="38.25" customHeight="1" thickBot="1">
      <c r="A3" s="794" t="s">
        <v>0</v>
      </c>
      <c r="B3" s="794"/>
      <c r="D3" s="793" t="s">
        <v>1</v>
      </c>
      <c r="E3" s="793"/>
    </row>
    <row r="4" spans="1:5" ht="31.8" thickBot="1">
      <c r="A4" s="610" t="s">
        <v>3</v>
      </c>
      <c r="B4" s="683">
        <f>+'Tablero Estratégico'!AJ6</f>
        <v>0.91666666666666663</v>
      </c>
      <c r="D4" s="611" t="s">
        <v>4</v>
      </c>
      <c r="E4" s="683">
        <f>+AVERAGE('Tablero Estratégico'!AJ6,'Tablero Estratégico'!AJ7)</f>
        <v>0.53318333333333334</v>
      </c>
    </row>
    <row r="5" spans="1:5" ht="78.599999999999994" thickBot="1">
      <c r="A5" s="610" t="s">
        <v>5</v>
      </c>
      <c r="B5" s="683">
        <f>+'Tablero Estratégico'!AJ7</f>
        <v>0.1497</v>
      </c>
      <c r="D5" s="610" t="s">
        <v>6</v>
      </c>
      <c r="E5" s="770">
        <f>+'Tablero Estratégico'!AJ8</f>
        <v>12687</v>
      </c>
    </row>
    <row r="6" spans="1:5" ht="63" thickBot="1">
      <c r="A6" s="613" t="s">
        <v>16</v>
      </c>
      <c r="B6" s="765">
        <f>+AVERAGE('Tablero Estratégico'!AJ15:AJ19)</f>
        <v>0.13660773806299037</v>
      </c>
      <c r="D6" s="611" t="s">
        <v>7</v>
      </c>
      <c r="E6" s="683">
        <f>+AVERAGE('Tablero Estratégico'!AJ20:AJ21,'Tablero Estratégico'!AI24)</f>
        <v>0.5433783045417756</v>
      </c>
    </row>
    <row r="7" spans="1:5" ht="31.8" thickBot="1">
      <c r="A7" s="766" t="s">
        <v>19</v>
      </c>
      <c r="B7" s="765">
        <f>+AVERAGE('Tablero Estratégico'!AJ20:AJ23)</f>
        <v>0.74314319955227648</v>
      </c>
      <c r="D7" s="613" t="s">
        <v>10</v>
      </c>
      <c r="E7" s="683">
        <f>+AVERAGE('Tablero Estratégico'!AJ15:AJ19)</f>
        <v>0.13660773806299037</v>
      </c>
    </row>
    <row r="8" spans="1:5" ht="63" thickBot="1">
      <c r="A8" s="610" t="s">
        <v>20</v>
      </c>
      <c r="B8" s="683">
        <f>+AVERAGE('Tablero Estratégico'!AI24)</f>
        <v>0.754</v>
      </c>
      <c r="D8" s="684" t="s">
        <v>17</v>
      </c>
      <c r="E8" s="683">
        <f>+AVERAGE('Tablero Estratégico'!AJ22:AJ23)</f>
        <v>0.94833649478663906</v>
      </c>
    </row>
    <row r="13" spans="1:5" ht="16.2" customHeight="1"/>
    <row r="19" spans="1:6" ht="15" customHeight="1"/>
    <row r="20" spans="1:6" ht="15.75" customHeight="1"/>
    <row r="22" spans="1:6" ht="15" thickBot="1"/>
    <row r="23" spans="1:6" ht="58.2" thickBot="1">
      <c r="A23" s="676" t="s">
        <v>21</v>
      </c>
      <c r="B23" s="677" t="s">
        <v>22</v>
      </c>
      <c r="C23" s="678" t="s">
        <v>23</v>
      </c>
      <c r="D23" s="679" t="s">
        <v>24</v>
      </c>
      <c r="E23" s="679" t="s">
        <v>25</v>
      </c>
      <c r="F23" s="679">
        <v>2</v>
      </c>
    </row>
  </sheetData>
  <mergeCells count="3">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BT38"/>
  <sheetViews>
    <sheetView showGridLines="0" tabSelected="1" topLeftCell="A3" zoomScale="40" zoomScaleNormal="40" zoomScalePageLayoutView="40" workbookViewId="0">
      <pane xSplit="17" ySplit="3" topLeftCell="R6" activePane="bottomRight" state="frozen"/>
      <selection pane="topRight" activeCell="I3" sqref="I3"/>
      <selection pane="bottomLeft" activeCell="A6" sqref="A6"/>
      <selection pane="bottomRight" activeCell="W30" sqref="W30"/>
    </sheetView>
  </sheetViews>
  <sheetFormatPr baseColWidth="10" defaultColWidth="10.88671875" defaultRowHeight="25.8"/>
  <cols>
    <col min="1" max="1" width="41.88671875" style="511" customWidth="1"/>
    <col min="2" max="2" width="29.21875" style="511" customWidth="1"/>
    <col min="3" max="9" width="23.44140625" style="511" hidden="1" customWidth="1"/>
    <col min="10" max="10" width="56.88671875" style="511" hidden="1" customWidth="1"/>
    <col min="11" max="11" width="57.6640625" style="511" hidden="1" customWidth="1"/>
    <col min="12" max="12" width="76.109375" style="511" hidden="1" customWidth="1"/>
    <col min="13" max="13" width="73.44140625" style="513" hidden="1" customWidth="1"/>
    <col min="14" max="14" width="6.44140625" style="511" hidden="1" customWidth="1"/>
    <col min="15" max="15" width="35.88671875" style="511" hidden="1" customWidth="1"/>
    <col min="16" max="16" width="23.44140625" style="512" hidden="1" customWidth="1"/>
    <col min="17" max="17" width="43" style="511" customWidth="1"/>
    <col min="18" max="18" width="39" style="511" customWidth="1"/>
    <col min="19" max="19" width="14" style="511" customWidth="1"/>
    <col min="20" max="20" width="18.6640625" style="511" customWidth="1"/>
    <col min="21" max="21" width="23.33203125" style="511" hidden="1" customWidth="1"/>
    <col min="22" max="22" width="34.88671875" style="511" hidden="1" customWidth="1"/>
    <col min="23" max="23" width="17.21875" style="511" customWidth="1"/>
    <col min="24" max="24" width="15" style="511" customWidth="1"/>
    <col min="25" max="25" width="14.109375" style="513" customWidth="1"/>
    <col min="26" max="26" width="16" style="513" customWidth="1"/>
    <col min="27" max="27" width="15.6640625" style="513" customWidth="1"/>
    <col min="28" max="29" width="17.44140625" style="511" hidden="1" customWidth="1"/>
    <col min="30" max="30" width="27.109375" style="511" hidden="1" customWidth="1"/>
    <col min="31" max="31" width="50.109375" style="511" hidden="1" customWidth="1"/>
    <col min="32" max="35" width="35.88671875" style="511" hidden="1" customWidth="1"/>
    <col min="36" max="36" width="17.44140625" style="511" customWidth="1"/>
    <col min="37" max="40" width="35.88671875" style="511" hidden="1" customWidth="1"/>
    <col min="41" max="42" width="50.109375" style="511" hidden="1" customWidth="1"/>
    <col min="43" max="43" width="172.77734375" style="513" customWidth="1"/>
    <col min="44" max="44" width="13.109375" style="511" hidden="1" customWidth="1"/>
    <col min="45" max="45" width="13" style="511" hidden="1" customWidth="1"/>
    <col min="46" max="46" width="27.6640625" style="511" hidden="1" customWidth="1"/>
    <col min="47" max="47" width="40.6640625" style="511" hidden="1" customWidth="1"/>
    <col min="48" max="48" width="27.6640625" style="511" hidden="1" customWidth="1"/>
    <col min="49" max="49" width="65" style="511" hidden="1" customWidth="1"/>
    <col min="50" max="50" width="35.6640625" style="511" hidden="1" customWidth="1"/>
    <col min="51" max="51" width="34" style="511" hidden="1" customWidth="1"/>
    <col min="52" max="52" width="36.88671875" style="511" hidden="1" customWidth="1"/>
    <col min="53" max="53" width="31.44140625" style="511" hidden="1" customWidth="1"/>
    <col min="54" max="54" width="49.6640625" style="511" hidden="1" customWidth="1"/>
    <col min="55" max="55" width="65" style="511" hidden="1" customWidth="1"/>
    <col min="56" max="56" width="58.44140625" style="511" hidden="1" customWidth="1"/>
    <col min="57" max="57" width="72.44140625" style="511" hidden="1" customWidth="1"/>
    <col min="58" max="58" width="78.33203125" style="511" hidden="1" customWidth="1"/>
    <col min="59" max="59" width="11.44140625" style="511" hidden="1" customWidth="1"/>
    <col min="60" max="61" width="40.88671875" style="511" customWidth="1"/>
    <col min="62" max="62" width="50.109375" style="511" customWidth="1"/>
    <col min="63" max="63" width="24.44140625" style="511" customWidth="1"/>
    <col min="64" max="65" width="50.109375" style="511" customWidth="1"/>
    <col min="66" max="67" width="50.109375" style="511" hidden="1" customWidth="1"/>
    <col min="68" max="68" width="50.109375" style="511" customWidth="1"/>
    <col min="69" max="70" width="32.33203125" style="511" customWidth="1"/>
    <col min="71" max="71" width="27.109375" style="511" customWidth="1"/>
    <col min="72" max="72" width="32.33203125" style="511" hidden="1" customWidth="1"/>
    <col min="73" max="75" width="32.33203125" style="511" bestFit="1" customWidth="1"/>
    <col min="76" max="76" width="10.88671875" style="511"/>
    <col min="77" max="77" width="17.44140625" style="511" customWidth="1"/>
    <col min="78" max="16384" width="10.88671875" style="511"/>
  </cols>
  <sheetData>
    <row r="1" spans="1:54" ht="409.5" customHeight="1" thickBot="1">
      <c r="A1" s="839" t="s">
        <v>494</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1"/>
    </row>
    <row r="2" spans="1:54" ht="26.4" thickBot="1">
      <c r="AR2" s="514"/>
      <c r="AS2" s="514"/>
      <c r="AT2" s="514"/>
      <c r="AU2" s="514"/>
      <c r="AV2" s="514"/>
      <c r="AW2" s="514"/>
      <c r="AX2" s="514"/>
      <c r="AY2" s="514"/>
      <c r="AZ2" s="514"/>
      <c r="BA2" s="514"/>
      <c r="BB2" s="514"/>
    </row>
    <row r="3" spans="1:54" s="515" customFormat="1" ht="26.4" thickBot="1">
      <c r="A3" s="858" t="s">
        <v>26</v>
      </c>
      <c r="B3" s="872" t="s">
        <v>27</v>
      </c>
      <c r="C3" s="921" t="s">
        <v>2</v>
      </c>
      <c r="D3" s="922"/>
      <c r="E3" s="922"/>
      <c r="F3" s="922"/>
      <c r="G3" s="922"/>
      <c r="H3" s="922"/>
      <c r="I3" s="922"/>
      <c r="J3" s="922"/>
      <c r="K3" s="922"/>
      <c r="L3" s="923"/>
      <c r="M3" s="874" t="s">
        <v>28</v>
      </c>
      <c r="N3" s="861" t="s">
        <v>29</v>
      </c>
      <c r="O3" s="862"/>
      <c r="P3" s="915" t="s">
        <v>30</v>
      </c>
      <c r="Q3" s="913" t="s">
        <v>31</v>
      </c>
      <c r="R3" s="861" t="s">
        <v>32</v>
      </c>
      <c r="S3" s="858" t="s">
        <v>33</v>
      </c>
      <c r="T3" s="868" t="s">
        <v>34</v>
      </c>
      <c r="U3" s="870" t="s">
        <v>35</v>
      </c>
      <c r="V3" s="906" t="s">
        <v>448</v>
      </c>
      <c r="W3" s="906" t="s">
        <v>449</v>
      </c>
      <c r="X3" s="868" t="s">
        <v>36</v>
      </c>
      <c r="Y3" s="919" t="s">
        <v>37</v>
      </c>
      <c r="Z3" s="920"/>
      <c r="AA3" s="894"/>
      <c r="AB3" s="895"/>
      <c r="AC3" s="896"/>
      <c r="AD3" s="897"/>
      <c r="AE3" s="893"/>
      <c r="AF3" s="893"/>
      <c r="AG3" s="893"/>
      <c r="AH3" s="893"/>
      <c r="AI3" s="893"/>
      <c r="AJ3" s="893"/>
      <c r="AK3" s="893"/>
      <c r="AL3" s="893"/>
      <c r="AM3" s="893"/>
      <c r="AN3" s="893"/>
      <c r="AO3" s="893"/>
      <c r="AP3" s="893"/>
      <c r="AQ3" s="894"/>
      <c r="AR3" s="517"/>
      <c r="AS3" s="517"/>
      <c r="AT3" s="517"/>
      <c r="AU3" s="517"/>
      <c r="AV3" s="517"/>
      <c r="AW3" s="517"/>
      <c r="AX3" s="517"/>
      <c r="AY3" s="517"/>
      <c r="AZ3" s="516"/>
      <c r="BA3" s="516"/>
    </row>
    <row r="4" spans="1:54" s="515" customFormat="1">
      <c r="A4" s="859"/>
      <c r="B4" s="873"/>
      <c r="C4" s="904">
        <v>1</v>
      </c>
      <c r="D4" s="904">
        <v>2</v>
      </c>
      <c r="E4" s="904">
        <v>3</v>
      </c>
      <c r="F4" s="904">
        <v>4</v>
      </c>
      <c r="G4" s="904">
        <v>5</v>
      </c>
      <c r="H4" s="904">
        <v>6</v>
      </c>
      <c r="I4" s="904">
        <v>7</v>
      </c>
      <c r="J4" s="904">
        <v>8</v>
      </c>
      <c r="K4" s="904">
        <v>9</v>
      </c>
      <c r="L4" s="904">
        <v>10</v>
      </c>
      <c r="M4" s="875"/>
      <c r="N4" s="863"/>
      <c r="O4" s="864"/>
      <c r="P4" s="916"/>
      <c r="Q4" s="914"/>
      <c r="R4" s="863"/>
      <c r="S4" s="859"/>
      <c r="T4" s="869"/>
      <c r="U4" s="871"/>
      <c r="V4" s="907"/>
      <c r="W4" s="907"/>
      <c r="X4" s="869"/>
      <c r="Y4" s="518" t="s">
        <v>38</v>
      </c>
      <c r="Z4" s="519" t="s">
        <v>39</v>
      </c>
      <c r="AA4" s="520" t="s">
        <v>40</v>
      </c>
      <c r="AB4" s="898"/>
      <c r="AC4" s="899"/>
      <c r="AD4" s="900"/>
      <c r="AE4" s="688" t="s">
        <v>52</v>
      </c>
      <c r="AF4" s="688" t="s">
        <v>42</v>
      </c>
      <c r="AG4" s="688" t="s">
        <v>41</v>
      </c>
      <c r="AH4" s="688" t="s">
        <v>43</v>
      </c>
      <c r="AI4" s="688" t="s">
        <v>44</v>
      </c>
      <c r="AJ4" s="688" t="s">
        <v>45</v>
      </c>
      <c r="AK4" s="688" t="s">
        <v>46</v>
      </c>
      <c r="AL4" s="688" t="s">
        <v>47</v>
      </c>
      <c r="AM4" s="688" t="s">
        <v>48</v>
      </c>
      <c r="AN4" s="688" t="s">
        <v>49</v>
      </c>
      <c r="AO4" s="688" t="s">
        <v>50</v>
      </c>
      <c r="AP4" s="711" t="s">
        <v>51</v>
      </c>
      <c r="AQ4" s="866" t="s">
        <v>53</v>
      </c>
      <c r="AR4" s="517"/>
      <c r="AS4" s="517"/>
      <c r="AT4" s="517"/>
      <c r="AU4" s="517"/>
      <c r="AV4" s="517"/>
      <c r="AW4" s="517"/>
      <c r="AX4" s="517"/>
      <c r="AY4" s="517"/>
      <c r="AZ4" s="516"/>
      <c r="BA4" s="516"/>
    </row>
    <row r="5" spans="1:54" s="515" customFormat="1" ht="26.4" thickBot="1">
      <c r="A5" s="860"/>
      <c r="B5" s="873"/>
      <c r="C5" s="905"/>
      <c r="D5" s="905"/>
      <c r="E5" s="905"/>
      <c r="F5" s="905"/>
      <c r="G5" s="905"/>
      <c r="H5" s="905"/>
      <c r="I5" s="905"/>
      <c r="J5" s="905"/>
      <c r="K5" s="905"/>
      <c r="L5" s="905"/>
      <c r="M5" s="875"/>
      <c r="N5" s="863"/>
      <c r="O5" s="864"/>
      <c r="P5" s="916"/>
      <c r="Q5" s="914"/>
      <c r="R5" s="863"/>
      <c r="S5" s="860"/>
      <c r="T5" s="869"/>
      <c r="U5" s="871"/>
      <c r="V5" s="907"/>
      <c r="W5" s="907"/>
      <c r="X5" s="869"/>
      <c r="Y5" s="910"/>
      <c r="Z5" s="911"/>
      <c r="AA5" s="912"/>
      <c r="AB5" s="898"/>
      <c r="AC5" s="899"/>
      <c r="AD5" s="900"/>
      <c r="AE5" s="653"/>
      <c r="AF5" s="653"/>
      <c r="AG5" s="653"/>
      <c r="AH5" s="653"/>
      <c r="AI5" s="653"/>
      <c r="AJ5" s="653"/>
      <c r="AK5" s="653"/>
      <c r="AL5" s="653"/>
      <c r="AM5" s="653"/>
      <c r="AN5" s="653"/>
      <c r="AO5" s="653"/>
      <c r="AP5" s="653"/>
      <c r="AQ5" s="867"/>
      <c r="AR5" s="517"/>
      <c r="AS5" s="517"/>
      <c r="AT5" s="517"/>
      <c r="AU5" s="517"/>
      <c r="AV5" s="517"/>
      <c r="AW5" s="517"/>
      <c r="AX5" s="517"/>
      <c r="AY5" s="517"/>
      <c r="AZ5" s="516"/>
      <c r="BA5" s="516"/>
    </row>
    <row r="6" spans="1:54" ht="409.2" customHeight="1" thickBot="1">
      <c r="A6" s="700" t="s">
        <v>3</v>
      </c>
      <c r="B6" s="775" t="s">
        <v>4</v>
      </c>
      <c r="C6" s="771">
        <f>+AVERAGE($AR$6:$AR$6,AR10)</f>
        <v>1</v>
      </c>
      <c r="D6" s="771">
        <f>+C6</f>
        <v>1</v>
      </c>
      <c r="E6" s="771">
        <f t="shared" ref="E6:L6" si="0">+D6</f>
        <v>1</v>
      </c>
      <c r="F6" s="771">
        <f t="shared" si="0"/>
        <v>1</v>
      </c>
      <c r="G6" s="771">
        <f t="shared" si="0"/>
        <v>1</v>
      </c>
      <c r="H6" s="771">
        <f t="shared" si="0"/>
        <v>1</v>
      </c>
      <c r="I6" s="771">
        <f t="shared" si="0"/>
        <v>1</v>
      </c>
      <c r="J6" s="771">
        <f t="shared" si="0"/>
        <v>1</v>
      </c>
      <c r="K6" s="771">
        <f t="shared" si="0"/>
        <v>1</v>
      </c>
      <c r="L6" s="771">
        <f t="shared" si="0"/>
        <v>1</v>
      </c>
      <c r="M6" s="712" t="s">
        <v>54</v>
      </c>
      <c r="N6" s="695">
        <v>1</v>
      </c>
      <c r="O6" s="546" t="s">
        <v>55</v>
      </c>
      <c r="P6" s="547" t="s">
        <v>56</v>
      </c>
      <c r="Q6" s="547" t="s">
        <v>447</v>
      </c>
      <c r="R6" s="585" t="s">
        <v>57</v>
      </c>
      <c r="S6" s="591" t="s">
        <v>58</v>
      </c>
      <c r="T6" s="697" t="s">
        <v>59</v>
      </c>
      <c r="U6" s="537" t="s">
        <v>60</v>
      </c>
      <c r="V6" s="566">
        <v>0</v>
      </c>
      <c r="W6" s="713">
        <v>0.85</v>
      </c>
      <c r="X6" s="763">
        <v>1</v>
      </c>
      <c r="Y6" s="567">
        <v>0.94</v>
      </c>
      <c r="Z6" s="783">
        <v>0.96</v>
      </c>
      <c r="AA6" s="788">
        <v>1</v>
      </c>
      <c r="AB6" s="774">
        <v>0.95</v>
      </c>
      <c r="AC6" s="773">
        <v>0.96</v>
      </c>
      <c r="AD6" s="600">
        <v>1</v>
      </c>
      <c r="AE6" s="552"/>
      <c r="AF6" s="552"/>
      <c r="AG6" s="552"/>
      <c r="AH6" s="552"/>
      <c r="AI6" s="552"/>
      <c r="AJ6" s="789">
        <v>0.91666666666666663</v>
      </c>
      <c r="AK6" s="552"/>
      <c r="AL6" s="552"/>
      <c r="AM6" s="552"/>
      <c r="AN6" s="552"/>
      <c r="AO6" s="721"/>
      <c r="AP6" s="721"/>
      <c r="AQ6" s="782" t="s">
        <v>499</v>
      </c>
      <c r="AR6" s="521">
        <f>+IF(IF(AE6="","",IFERROR(AE6/AD6,0))&gt;1,1,IF(AE6="","",IFERROR(AE6/AD6,0)))</f>
        <v>1</v>
      </c>
      <c r="AS6" s="521"/>
      <c r="AT6" s="521"/>
      <c r="AU6" s="521"/>
      <c r="AV6" s="521"/>
      <c r="AW6" s="521"/>
      <c r="AX6" s="521"/>
      <c r="AY6" s="514"/>
      <c r="AZ6" s="514"/>
      <c r="BA6" s="514"/>
    </row>
    <row r="7" spans="1:54" ht="389.4" customHeight="1" thickBot="1">
      <c r="A7" s="529" t="s">
        <v>5</v>
      </c>
      <c r="B7" s="775" t="s">
        <v>500</v>
      </c>
      <c r="C7" s="767"/>
      <c r="D7" s="767"/>
      <c r="E7" s="767"/>
      <c r="F7" s="767"/>
      <c r="G7" s="767"/>
      <c r="H7" s="767"/>
      <c r="I7" s="767"/>
      <c r="J7" s="767"/>
      <c r="K7" s="767"/>
      <c r="L7" s="767"/>
      <c r="M7" s="746"/>
      <c r="N7" s="755"/>
      <c r="O7" s="546"/>
      <c r="P7" s="547"/>
      <c r="Q7" s="547" t="s">
        <v>489</v>
      </c>
      <c r="R7" s="585" t="s">
        <v>488</v>
      </c>
      <c r="S7" s="591" t="s">
        <v>58</v>
      </c>
      <c r="T7" s="537" t="s">
        <v>59</v>
      </c>
      <c r="U7" s="548"/>
      <c r="V7" s="524"/>
      <c r="W7" s="715" t="s">
        <v>60</v>
      </c>
      <c r="X7" s="763">
        <v>0.15</v>
      </c>
      <c r="Y7" s="550" t="s">
        <v>490</v>
      </c>
      <c r="Z7" s="575" t="s">
        <v>491</v>
      </c>
      <c r="AA7" s="569" t="s">
        <v>492</v>
      </c>
      <c r="AB7" s="784"/>
      <c r="AC7" s="785"/>
      <c r="AD7" s="786"/>
      <c r="AE7" s="772"/>
      <c r="AF7" s="772"/>
      <c r="AG7" s="772"/>
      <c r="AH7" s="772"/>
      <c r="AI7" s="772"/>
      <c r="AJ7" s="787">
        <v>0.1497</v>
      </c>
      <c r="AK7" s="651"/>
      <c r="AL7" s="651"/>
      <c r="AM7" s="651"/>
      <c r="AN7" s="651"/>
      <c r="AO7" s="651"/>
      <c r="AP7" s="651"/>
      <c r="AQ7" s="570" t="s">
        <v>493</v>
      </c>
      <c r="AR7" s="521"/>
      <c r="AS7" s="521"/>
      <c r="AT7" s="521"/>
      <c r="AU7" s="521"/>
      <c r="AV7" s="521"/>
      <c r="AW7" s="521"/>
      <c r="AX7" s="521"/>
      <c r="AY7" s="514"/>
      <c r="AZ7" s="514"/>
      <c r="BA7" s="514"/>
    </row>
    <row r="8" spans="1:54" ht="316.2" customHeight="1" thickBot="1">
      <c r="A8" s="529" t="s">
        <v>5</v>
      </c>
      <c r="B8" s="776" t="s">
        <v>6</v>
      </c>
      <c r="C8" s="624"/>
      <c r="D8" s="624"/>
      <c r="E8" s="624"/>
      <c r="F8" s="624"/>
      <c r="G8" s="624"/>
      <c r="H8" s="624"/>
      <c r="I8" s="624"/>
      <c r="J8" s="624"/>
      <c r="K8" s="624"/>
      <c r="L8" s="624"/>
      <c r="M8" s="700" t="s">
        <v>67</v>
      </c>
      <c r="N8" s="559">
        <v>5</v>
      </c>
      <c r="O8" s="571" t="s">
        <v>68</v>
      </c>
      <c r="P8" s="572" t="s">
        <v>56</v>
      </c>
      <c r="Q8" s="573" t="s">
        <v>470</v>
      </c>
      <c r="R8" s="586" t="s">
        <v>69</v>
      </c>
      <c r="S8" s="592" t="s">
        <v>70</v>
      </c>
      <c r="T8" s="574" t="s">
        <v>65</v>
      </c>
      <c r="U8" s="601">
        <v>7.22</v>
      </c>
      <c r="V8" s="602">
        <v>7.2</v>
      </c>
      <c r="W8" s="715" t="s">
        <v>60</v>
      </c>
      <c r="X8" s="603">
        <v>9</v>
      </c>
      <c r="Y8" s="550">
        <v>13</v>
      </c>
      <c r="Z8" s="575" t="s">
        <v>472</v>
      </c>
      <c r="AA8" s="551" t="s">
        <v>471</v>
      </c>
      <c r="AB8" s="605">
        <f>+Y8</f>
        <v>13</v>
      </c>
      <c r="AC8" s="606" t="str">
        <f>+Z8</f>
        <v>12&lt;=x&lt;=9</v>
      </c>
      <c r="AD8" s="607" t="str">
        <f>+AA8</f>
        <v>8&lt;x&lt;=0</v>
      </c>
      <c r="AE8" s="604"/>
      <c r="AF8" s="657"/>
      <c r="AG8" s="657"/>
      <c r="AH8" s="657"/>
      <c r="AI8" s="657"/>
      <c r="AJ8" s="762">
        <f>78533-65846</f>
        <v>12687</v>
      </c>
      <c r="AK8" s="657"/>
      <c r="AL8" s="657"/>
      <c r="AM8" s="657"/>
      <c r="AN8" s="657"/>
      <c r="AO8" s="657"/>
      <c r="AP8" s="657"/>
      <c r="AQ8" s="545" t="s">
        <v>469</v>
      </c>
      <c r="AR8" s="521">
        <f>+IF(IF(AE8="","",IFERROR(AE8/AD8,0))&gt;1,1,IF(AE8="","",IFERROR(AE8/AD8,0)))</f>
        <v>1</v>
      </c>
      <c r="AS8" s="521"/>
      <c r="AT8" s="521"/>
      <c r="AU8" s="521"/>
      <c r="AV8" s="521"/>
      <c r="AW8" s="521"/>
      <c r="AX8" s="521"/>
      <c r="AY8" s="514"/>
      <c r="AZ8" s="514"/>
      <c r="BA8" s="514"/>
    </row>
    <row r="9" spans="1:54" ht="314.39999999999998" customHeight="1" thickBot="1">
      <c r="A9" s="529" t="s">
        <v>5</v>
      </c>
      <c r="B9" s="776" t="s">
        <v>6</v>
      </c>
      <c r="C9" s="625"/>
      <c r="D9" s="625"/>
      <c r="E9" s="625"/>
      <c r="F9" s="625"/>
      <c r="G9" s="625"/>
      <c r="H9" s="625"/>
      <c r="I9" s="625"/>
      <c r="J9" s="625"/>
      <c r="K9" s="625"/>
      <c r="L9" s="625"/>
      <c r="M9" s="701" t="s">
        <v>71</v>
      </c>
      <c r="N9" s="699">
        <v>6</v>
      </c>
      <c r="O9" s="531" t="s">
        <v>72</v>
      </c>
      <c r="P9" s="532" t="s">
        <v>56</v>
      </c>
      <c r="Q9" s="532" t="s">
        <v>73</v>
      </c>
      <c r="R9" s="587" t="s">
        <v>74</v>
      </c>
      <c r="S9" s="690" t="s">
        <v>58</v>
      </c>
      <c r="T9" s="698" t="s">
        <v>65</v>
      </c>
      <c r="U9" s="704">
        <v>0.91</v>
      </c>
      <c r="V9" s="692">
        <v>0.86980000000000002</v>
      </c>
      <c r="W9" s="769">
        <v>8.6499999999999994E-2</v>
      </c>
      <c r="X9" s="781">
        <v>0.93</v>
      </c>
      <c r="Y9" s="608" t="s">
        <v>495</v>
      </c>
      <c r="Z9" s="568" t="s">
        <v>496</v>
      </c>
      <c r="AA9" s="569" t="s">
        <v>497</v>
      </c>
      <c r="AB9" s="685">
        <v>0</v>
      </c>
      <c r="AC9" s="686">
        <v>0.78</v>
      </c>
      <c r="AD9" s="687">
        <v>0.91</v>
      </c>
      <c r="AE9" s="552"/>
      <c r="AF9" s="658"/>
      <c r="AG9" s="658"/>
      <c r="AH9" s="658"/>
      <c r="AI9" s="658"/>
      <c r="AJ9" s="764">
        <v>0.91346153846153844</v>
      </c>
      <c r="AK9" s="658"/>
      <c r="AL9" s="658"/>
      <c r="AM9" s="658"/>
      <c r="AN9" s="658"/>
      <c r="AO9" s="658"/>
      <c r="AP9" s="658"/>
      <c r="AQ9" s="570" t="s">
        <v>498</v>
      </c>
      <c r="AR9" s="521">
        <f>+IF(IF(AE9="","",IFERROR(AE9/AD9,0))&gt;1,1,IF(AE9="","",IFERROR(AE9/AD9,0)))</f>
        <v>1</v>
      </c>
      <c r="AS9" s="521" t="s">
        <v>75</v>
      </c>
      <c r="AT9" s="521"/>
      <c r="AU9" s="521"/>
      <c r="AV9" s="521"/>
      <c r="AW9" s="521"/>
      <c r="AX9" s="521"/>
      <c r="AY9" s="514"/>
      <c r="AZ9" s="514"/>
      <c r="BA9" s="514"/>
    </row>
    <row r="10" spans="1:54" ht="243.75" hidden="1" customHeight="1" thickBot="1">
      <c r="A10" s="700" t="s">
        <v>8</v>
      </c>
      <c r="B10" s="560" t="s">
        <v>4</v>
      </c>
      <c r="C10" s="626"/>
      <c r="D10" s="626"/>
      <c r="E10" s="626"/>
      <c r="F10" s="626"/>
      <c r="G10" s="626"/>
      <c r="H10" s="626"/>
      <c r="I10" s="626"/>
      <c r="J10" s="626"/>
      <c r="K10" s="626"/>
      <c r="L10" s="626"/>
      <c r="M10" s="700" t="s">
        <v>63</v>
      </c>
      <c r="N10" s="561">
        <v>8</v>
      </c>
      <c r="O10" s="527" t="s">
        <v>77</v>
      </c>
      <c r="P10" s="528" t="s">
        <v>78</v>
      </c>
      <c r="Q10" s="753" t="s">
        <v>79</v>
      </c>
      <c r="R10" s="589" t="s">
        <v>80</v>
      </c>
      <c r="S10" s="689" t="s">
        <v>58</v>
      </c>
      <c r="T10" s="697" t="s">
        <v>59</v>
      </c>
      <c r="U10" s="696">
        <v>90</v>
      </c>
      <c r="V10" s="691">
        <v>0.9</v>
      </c>
      <c r="W10" s="717"/>
      <c r="X10" s="706">
        <v>1</v>
      </c>
      <c r="Y10" s="703" t="s">
        <v>81</v>
      </c>
      <c r="Z10" s="702" t="s">
        <v>82</v>
      </c>
      <c r="AA10" s="705" t="s">
        <v>83</v>
      </c>
      <c r="AB10" s="685">
        <v>0.5</v>
      </c>
      <c r="AC10" s="686">
        <v>0.72</v>
      </c>
      <c r="AD10" s="687">
        <v>1</v>
      </c>
      <c r="AE10" s="552"/>
      <c r="AF10" s="654"/>
      <c r="AG10" s="654"/>
      <c r="AH10" s="654"/>
      <c r="AI10" s="654"/>
      <c r="AJ10" s="670"/>
      <c r="AK10" s="670"/>
      <c r="AL10" s="670"/>
      <c r="AM10" s="670"/>
      <c r="AN10" s="670"/>
      <c r="AO10" s="670"/>
      <c r="AP10" s="670"/>
      <c r="AQ10" s="622"/>
      <c r="AR10" s="521">
        <f>+IF(IF(AE10="","",IFERROR(AE10/AD10,0))&gt;1,1,IF(AE10="","",IFERROR(AE10/AD10,0)))</f>
        <v>1</v>
      </c>
      <c r="AS10" s="521"/>
      <c r="AT10" s="521"/>
      <c r="AU10" s="521"/>
      <c r="AV10" s="521"/>
      <c r="AW10" s="521"/>
      <c r="AX10" s="521"/>
      <c r="AY10" s="514"/>
      <c r="AZ10" s="514"/>
      <c r="BA10" s="514"/>
    </row>
    <row r="11" spans="1:54" ht="207" hidden="1" thickBot="1">
      <c r="A11" s="693" t="s">
        <v>9</v>
      </c>
      <c r="B11" s="851" t="s">
        <v>84</v>
      </c>
      <c r="C11" s="627"/>
      <c r="D11" s="627"/>
      <c r="E11" s="627"/>
      <c r="F11" s="627"/>
      <c r="G11" s="627"/>
      <c r="H11" s="627"/>
      <c r="I11" s="627"/>
      <c r="J11" s="627"/>
      <c r="K11" s="627"/>
      <c r="L11" s="627"/>
      <c r="M11" s="878" t="s">
        <v>85</v>
      </c>
      <c r="N11" s="928">
        <v>9</v>
      </c>
      <c r="O11" s="853" t="s">
        <v>86</v>
      </c>
      <c r="P11" s="855" t="s">
        <v>78</v>
      </c>
      <c r="Q11" s="849" t="s">
        <v>87</v>
      </c>
      <c r="R11" s="847" t="s">
        <v>88</v>
      </c>
      <c r="S11" s="889" t="s">
        <v>58</v>
      </c>
      <c r="T11" s="845" t="s">
        <v>65</v>
      </c>
      <c r="U11" s="843">
        <v>100</v>
      </c>
      <c r="V11" s="908">
        <v>1</v>
      </c>
      <c r="W11" s="717"/>
      <c r="X11" s="827">
        <v>0.9</v>
      </c>
      <c r="Y11" s="831" t="s">
        <v>89</v>
      </c>
      <c r="Z11" s="833" t="s">
        <v>90</v>
      </c>
      <c r="AA11" s="829" t="s">
        <v>91</v>
      </c>
      <c r="AB11" s="826">
        <v>0</v>
      </c>
      <c r="AC11" s="824">
        <v>0.6</v>
      </c>
      <c r="AD11" s="825">
        <v>0.8</v>
      </c>
      <c r="AE11" s="810"/>
      <c r="AF11" s="659"/>
      <c r="AG11" s="659"/>
      <c r="AH11" s="659"/>
      <c r="AI11" s="659"/>
      <c r="AJ11" s="659"/>
      <c r="AK11" s="659"/>
      <c r="AL11" s="659"/>
      <c r="AM11" s="659"/>
      <c r="AN11" s="659"/>
      <c r="AO11" s="659"/>
      <c r="AP11" s="659"/>
      <c r="AQ11" s="882"/>
      <c r="AR11" s="521" t="e">
        <f>+IF(#REF!="","",IFERROR(#REF!/AD11,0))</f>
        <v>#REF!</v>
      </c>
      <c r="AS11" s="521"/>
      <c r="AT11" s="521"/>
      <c r="AU11" s="521"/>
      <c r="AV11" s="521"/>
      <c r="AW11" s="521"/>
      <c r="AX11" s="521"/>
      <c r="AY11" s="514"/>
      <c r="AZ11" s="514"/>
      <c r="BA11" s="514"/>
    </row>
    <row r="12" spans="1:54" ht="167.25" hidden="1" customHeight="1" thickBot="1">
      <c r="A12" s="694" t="s">
        <v>11</v>
      </c>
      <c r="B12" s="852"/>
      <c r="C12" s="624"/>
      <c r="D12" s="624"/>
      <c r="E12" s="624"/>
      <c r="F12" s="624"/>
      <c r="G12" s="624"/>
      <c r="H12" s="624"/>
      <c r="I12" s="624"/>
      <c r="J12" s="624"/>
      <c r="K12" s="624"/>
      <c r="L12" s="624"/>
      <c r="M12" s="879"/>
      <c r="N12" s="929"/>
      <c r="O12" s="854"/>
      <c r="P12" s="856"/>
      <c r="Q12" s="850"/>
      <c r="R12" s="848"/>
      <c r="S12" s="890"/>
      <c r="T12" s="846"/>
      <c r="U12" s="844"/>
      <c r="V12" s="909"/>
      <c r="W12" s="716"/>
      <c r="X12" s="842"/>
      <c r="Y12" s="865"/>
      <c r="Z12" s="901"/>
      <c r="AA12" s="918"/>
      <c r="AB12" s="826"/>
      <c r="AC12" s="824"/>
      <c r="AD12" s="825"/>
      <c r="AE12" s="811"/>
      <c r="AF12" s="660"/>
      <c r="AG12" s="660"/>
      <c r="AH12" s="660"/>
      <c r="AI12" s="660"/>
      <c r="AJ12" s="660"/>
      <c r="AK12" s="660"/>
      <c r="AL12" s="660"/>
      <c r="AM12" s="660"/>
      <c r="AN12" s="660"/>
      <c r="AO12" s="660"/>
      <c r="AP12" s="660"/>
      <c r="AQ12" s="883"/>
      <c r="AR12" s="521" t="e">
        <f>+IF(#REF!="","",IFERROR(#REF!/AD12,0))</f>
        <v>#REF!</v>
      </c>
      <c r="AS12" s="521"/>
      <c r="AT12" s="521"/>
      <c r="AU12" s="521"/>
      <c r="AV12" s="521"/>
      <c r="AW12" s="521"/>
      <c r="AX12" s="521"/>
      <c r="AY12" s="514"/>
      <c r="AZ12" s="514"/>
      <c r="BA12" s="514"/>
    </row>
    <row r="13" spans="1:54" ht="129.6" hidden="1" thickBot="1">
      <c r="A13" s="529" t="s">
        <v>13</v>
      </c>
      <c r="B13" s="852"/>
      <c r="C13" s="624"/>
      <c r="D13" s="624"/>
      <c r="E13" s="624"/>
      <c r="F13" s="624"/>
      <c r="G13" s="624"/>
      <c r="H13" s="624"/>
      <c r="I13" s="624"/>
      <c r="J13" s="624"/>
      <c r="K13" s="624"/>
      <c r="L13" s="624"/>
      <c r="M13" s="876" t="s">
        <v>92</v>
      </c>
      <c r="N13" s="902">
        <v>10</v>
      </c>
      <c r="O13" s="853" t="s">
        <v>93</v>
      </c>
      <c r="P13" s="855" t="s">
        <v>78</v>
      </c>
      <c r="Q13" s="849" t="s">
        <v>94</v>
      </c>
      <c r="R13" s="847" t="s">
        <v>95</v>
      </c>
      <c r="S13" s="889" t="s">
        <v>58</v>
      </c>
      <c r="T13" s="845" t="s">
        <v>65</v>
      </c>
      <c r="U13" s="843" t="s">
        <v>60</v>
      </c>
      <c r="V13" s="930">
        <v>1</v>
      </c>
      <c r="W13" s="718"/>
      <c r="X13" s="827">
        <v>1</v>
      </c>
      <c r="Y13" s="831" t="s">
        <v>89</v>
      </c>
      <c r="Z13" s="833" t="s">
        <v>90</v>
      </c>
      <c r="AA13" s="829" t="s">
        <v>96</v>
      </c>
      <c r="AB13" s="826">
        <v>0</v>
      </c>
      <c r="AC13" s="824">
        <v>0.6</v>
      </c>
      <c r="AD13" s="825">
        <v>0.8</v>
      </c>
      <c r="AE13" s="810"/>
      <c r="AF13" s="659"/>
      <c r="AG13" s="659"/>
      <c r="AH13" s="659"/>
      <c r="AI13" s="659"/>
      <c r="AJ13" s="659"/>
      <c r="AK13" s="659"/>
      <c r="AL13" s="659"/>
      <c r="AM13" s="659"/>
      <c r="AN13" s="659"/>
      <c r="AO13" s="659"/>
      <c r="AP13" s="659"/>
      <c r="AQ13" s="814"/>
      <c r="AR13" s="521" t="e">
        <f>+IF(#REF!="","",IFERROR(#REF!/AD13,0))</f>
        <v>#REF!</v>
      </c>
      <c r="AS13" s="521"/>
      <c r="AT13" s="521"/>
      <c r="AU13" s="521"/>
      <c r="AV13" s="521"/>
      <c r="AW13" s="521"/>
      <c r="AX13" s="521"/>
      <c r="AY13" s="514"/>
      <c r="AZ13" s="514"/>
      <c r="BA13" s="514"/>
    </row>
    <row r="14" spans="1:54" ht="165.75" hidden="1" customHeight="1" thickBot="1">
      <c r="A14" s="530" t="s">
        <v>14</v>
      </c>
      <c r="B14" s="852"/>
      <c r="C14" s="624"/>
      <c r="D14" s="624"/>
      <c r="E14" s="624"/>
      <c r="F14" s="624"/>
      <c r="G14" s="624"/>
      <c r="H14" s="624"/>
      <c r="I14" s="624"/>
      <c r="J14" s="624"/>
      <c r="K14" s="624"/>
      <c r="L14" s="624"/>
      <c r="M14" s="877"/>
      <c r="N14" s="903"/>
      <c r="O14" s="917"/>
      <c r="P14" s="857"/>
      <c r="Q14" s="880"/>
      <c r="R14" s="927"/>
      <c r="S14" s="890"/>
      <c r="T14" s="926"/>
      <c r="U14" s="881"/>
      <c r="V14" s="931"/>
      <c r="W14" s="719"/>
      <c r="X14" s="828"/>
      <c r="Y14" s="832"/>
      <c r="Z14" s="834"/>
      <c r="AA14" s="830"/>
      <c r="AB14" s="826"/>
      <c r="AC14" s="824"/>
      <c r="AD14" s="825"/>
      <c r="AE14" s="811"/>
      <c r="AF14" s="656"/>
      <c r="AG14" s="656"/>
      <c r="AH14" s="656"/>
      <c r="AI14" s="656"/>
      <c r="AJ14" s="656"/>
      <c r="AK14" s="656"/>
      <c r="AL14" s="656"/>
      <c r="AM14" s="656"/>
      <c r="AN14" s="656"/>
      <c r="AO14" s="656"/>
      <c r="AP14" s="656"/>
      <c r="AQ14" s="815"/>
      <c r="AR14" s="521" t="e">
        <f>+IF(#REF!="","",IFERROR(#REF!/AD14,0))</f>
        <v>#REF!</v>
      </c>
      <c r="AS14" s="521"/>
      <c r="AT14" s="521"/>
      <c r="AU14" s="521"/>
      <c r="AV14" s="521"/>
      <c r="AW14" s="521"/>
      <c r="AX14" s="521"/>
      <c r="AY14" s="514"/>
      <c r="AZ14" s="514"/>
      <c r="BA14" s="514"/>
    </row>
    <row r="15" spans="1:54" ht="354.9" customHeight="1" thickBot="1">
      <c r="A15" s="778" t="s">
        <v>16</v>
      </c>
      <c r="B15" s="778" t="s">
        <v>10</v>
      </c>
      <c r="C15" s="925"/>
      <c r="D15" s="925"/>
      <c r="E15" s="925"/>
      <c r="F15" s="925"/>
      <c r="G15" s="925"/>
      <c r="H15" s="925"/>
      <c r="I15" s="925"/>
      <c r="J15" s="925"/>
      <c r="K15" s="925"/>
      <c r="L15" s="925"/>
      <c r="M15" s="924"/>
      <c r="N15" s="576"/>
      <c r="O15" s="577"/>
      <c r="P15" s="578"/>
      <c r="Q15" s="754" t="s">
        <v>466</v>
      </c>
      <c r="R15" s="754" t="s">
        <v>473</v>
      </c>
      <c r="S15" s="593" t="s">
        <v>58</v>
      </c>
      <c r="T15" s="581" t="s">
        <v>59</v>
      </c>
      <c r="U15" s="543"/>
      <c r="V15" s="580"/>
      <c r="W15" s="730" t="s">
        <v>60</v>
      </c>
      <c r="X15" s="759">
        <v>2406</v>
      </c>
      <c r="Y15" s="525" t="s">
        <v>463</v>
      </c>
      <c r="Z15" s="541" t="s">
        <v>464</v>
      </c>
      <c r="AA15" s="526" t="s">
        <v>465</v>
      </c>
      <c r="AB15" s="733"/>
      <c r="AC15" s="731"/>
      <c r="AD15" s="732"/>
      <c r="AE15" s="552"/>
      <c r="AF15" s="658"/>
      <c r="AG15" s="658"/>
      <c r="AH15" s="658"/>
      <c r="AI15" s="658"/>
      <c r="AJ15" s="789">
        <f>757/X15</f>
        <v>0.31463009143807147</v>
      </c>
      <c r="AK15" s="658"/>
      <c r="AL15" s="658"/>
      <c r="AM15" s="658"/>
      <c r="AN15" s="658"/>
      <c r="AO15" s="658"/>
      <c r="AP15" s="658"/>
      <c r="AQ15" s="756" t="s">
        <v>501</v>
      </c>
      <c r="AR15" s="521"/>
      <c r="AS15" s="521"/>
      <c r="AT15" s="521"/>
      <c r="AU15" s="521"/>
      <c r="AV15" s="521"/>
      <c r="AW15" s="521"/>
      <c r="AX15" s="521"/>
      <c r="AY15" s="514"/>
      <c r="AZ15" s="514"/>
      <c r="BA15" s="514"/>
    </row>
    <row r="16" spans="1:54" ht="354.9" customHeight="1" thickBot="1">
      <c r="A16" s="778" t="s">
        <v>16</v>
      </c>
      <c r="B16" s="778" t="s">
        <v>10</v>
      </c>
      <c r="C16" s="925"/>
      <c r="D16" s="925"/>
      <c r="E16" s="925"/>
      <c r="F16" s="925"/>
      <c r="G16" s="925"/>
      <c r="H16" s="925"/>
      <c r="I16" s="925"/>
      <c r="J16" s="925"/>
      <c r="K16" s="925"/>
      <c r="L16" s="925"/>
      <c r="M16" s="924"/>
      <c r="N16" s="576"/>
      <c r="O16" s="577"/>
      <c r="P16" s="578"/>
      <c r="Q16" s="754" t="s">
        <v>451</v>
      </c>
      <c r="R16" s="579" t="s">
        <v>452</v>
      </c>
      <c r="S16" s="593" t="s">
        <v>70</v>
      </c>
      <c r="T16" s="581" t="s">
        <v>59</v>
      </c>
      <c r="U16" s="543" t="s">
        <v>60</v>
      </c>
      <c r="V16" s="580" t="s">
        <v>60</v>
      </c>
      <c r="W16" s="730" t="s">
        <v>60</v>
      </c>
      <c r="X16" s="757">
        <v>1.7000000000000001E-2</v>
      </c>
      <c r="Y16" s="738" t="s">
        <v>453</v>
      </c>
      <c r="Z16" s="737" t="s">
        <v>454</v>
      </c>
      <c r="AA16" s="735" t="s">
        <v>455</v>
      </c>
      <c r="AB16" s="733"/>
      <c r="AC16" s="731"/>
      <c r="AD16" s="732"/>
      <c r="AE16" s="552"/>
      <c r="AF16" s="658"/>
      <c r="AG16" s="658"/>
      <c r="AH16" s="658"/>
      <c r="AI16" s="658"/>
      <c r="AJ16" s="822">
        <v>1.7193122750899639E-2</v>
      </c>
      <c r="AK16" s="658"/>
      <c r="AL16" s="658"/>
      <c r="AM16" s="658"/>
      <c r="AN16" s="658"/>
      <c r="AO16" s="658"/>
      <c r="AP16" s="658"/>
      <c r="AQ16" s="756" t="s">
        <v>456</v>
      </c>
      <c r="AR16" s="521"/>
      <c r="AS16" s="521"/>
      <c r="AT16" s="521"/>
      <c r="AU16" s="521"/>
      <c r="AV16" s="521"/>
      <c r="AW16" s="521"/>
      <c r="AX16" s="521"/>
      <c r="AY16" s="514"/>
      <c r="AZ16" s="514"/>
      <c r="BA16" s="514"/>
    </row>
    <row r="17" spans="1:69" ht="78" hidden="1" customHeight="1" thickBot="1">
      <c r="A17" s="777"/>
      <c r="B17" s="777"/>
      <c r="C17" s="808"/>
      <c r="D17" s="808"/>
      <c r="E17" s="891">
        <f>+AVERAGE($AR$17:$AR$18)</f>
        <v>1</v>
      </c>
      <c r="F17" s="808"/>
      <c r="G17" s="808"/>
      <c r="H17" s="808"/>
      <c r="I17" s="808"/>
      <c r="J17" s="808">
        <f>+E17</f>
        <v>1</v>
      </c>
      <c r="K17" s="808"/>
      <c r="L17" s="808"/>
      <c r="M17" s="942" t="s">
        <v>98</v>
      </c>
      <c r="N17" s="536">
        <v>13</v>
      </c>
      <c r="O17" s="522" t="s">
        <v>99</v>
      </c>
      <c r="P17" s="523" t="s">
        <v>56</v>
      </c>
      <c r="Q17" s="523" t="s">
        <v>100</v>
      </c>
      <c r="R17" s="588" t="s">
        <v>101</v>
      </c>
      <c r="S17" s="594" t="s">
        <v>58</v>
      </c>
      <c r="T17" s="537" t="s">
        <v>65</v>
      </c>
      <c r="U17" s="543">
        <v>0.41299999999999998</v>
      </c>
      <c r="V17" s="524">
        <v>0.82</v>
      </c>
      <c r="W17" s="715"/>
      <c r="X17" s="584">
        <v>0.85</v>
      </c>
      <c r="Y17" s="525" t="s">
        <v>102</v>
      </c>
      <c r="Z17" s="541" t="s">
        <v>103</v>
      </c>
      <c r="AA17" s="526" t="s">
        <v>76</v>
      </c>
      <c r="AB17" s="685">
        <v>0.41299999999999998</v>
      </c>
      <c r="AC17" s="686">
        <v>0.5</v>
      </c>
      <c r="AD17" s="687">
        <v>0.75</v>
      </c>
      <c r="AE17" s="652"/>
      <c r="AF17" s="661"/>
      <c r="AG17" s="661"/>
      <c r="AH17" s="661"/>
      <c r="AI17" s="661"/>
      <c r="AJ17" s="823"/>
      <c r="AK17" s="661"/>
      <c r="AL17" s="661"/>
      <c r="AM17" s="661"/>
      <c r="AN17" s="661"/>
      <c r="AO17" s="661"/>
      <c r="AP17" s="661"/>
      <c r="AQ17" s="545"/>
      <c r="AR17" s="521">
        <f>+IF(IF(AE17="","",IFERROR(AE17/AD17,0))&gt;1,1,IF(AE17="","",IFERROR(AE17/AD17,0)))</f>
        <v>1</v>
      </c>
      <c r="AS17" s="521"/>
      <c r="AT17" s="521"/>
      <c r="AU17" s="521"/>
      <c r="AV17" s="521"/>
      <c r="AW17" s="521"/>
      <c r="AX17" s="521"/>
      <c r="AY17" s="514"/>
      <c r="AZ17" s="514"/>
      <c r="BA17" s="514"/>
    </row>
    <row r="18" spans="1:69" ht="120" hidden="1" customHeight="1" thickBot="1">
      <c r="A18" s="777"/>
      <c r="B18" s="777"/>
      <c r="C18" s="809"/>
      <c r="D18" s="809"/>
      <c r="E18" s="892"/>
      <c r="F18" s="809"/>
      <c r="G18" s="809"/>
      <c r="H18" s="809"/>
      <c r="I18" s="809"/>
      <c r="J18" s="809"/>
      <c r="K18" s="809"/>
      <c r="L18" s="809"/>
      <c r="M18" s="884"/>
      <c r="N18" s="553">
        <v>14</v>
      </c>
      <c r="O18" s="562" t="s">
        <v>104</v>
      </c>
      <c r="P18" s="563" t="s">
        <v>56</v>
      </c>
      <c r="Q18" s="563" t="s">
        <v>105</v>
      </c>
      <c r="R18" s="590" t="s">
        <v>106</v>
      </c>
      <c r="S18" s="595" t="s">
        <v>58</v>
      </c>
      <c r="T18" s="554" t="s">
        <v>107</v>
      </c>
      <c r="U18" s="548">
        <v>0.92800000000000005</v>
      </c>
      <c r="V18" s="549">
        <v>5.9999999999999995E-4</v>
      </c>
      <c r="W18" s="714"/>
      <c r="X18" s="564">
        <v>0.95</v>
      </c>
      <c r="Y18" s="557" t="s">
        <v>108</v>
      </c>
      <c r="Z18" s="556" t="s">
        <v>109</v>
      </c>
      <c r="AA18" s="555" t="s">
        <v>110</v>
      </c>
      <c r="AB18" s="685">
        <v>0</v>
      </c>
      <c r="AC18" s="686">
        <v>0.92800000000000005</v>
      </c>
      <c r="AD18" s="687">
        <v>0.95</v>
      </c>
      <c r="AE18" s="552"/>
      <c r="AF18" s="662"/>
      <c r="AG18" s="662"/>
      <c r="AH18" s="662"/>
      <c r="AI18" s="662"/>
      <c r="AJ18" s="662"/>
      <c r="AK18" s="662"/>
      <c r="AL18" s="662"/>
      <c r="AM18" s="662"/>
      <c r="AN18" s="662"/>
      <c r="AO18" s="662"/>
      <c r="AP18" s="662"/>
      <c r="AQ18" s="583"/>
      <c r="AR18" s="521">
        <f>+IF(IF(AE18="","",IFERROR(AE18/AD18,0))&gt;1,1,IF(AE18="","",IFERROR(AE18/AD18,0)))</f>
        <v>1</v>
      </c>
      <c r="AS18" s="521"/>
      <c r="AT18" s="521"/>
      <c r="AU18" s="521"/>
      <c r="AV18" s="521"/>
      <c r="AW18" s="521"/>
      <c r="AX18" s="521"/>
      <c r="AY18" s="514"/>
      <c r="AZ18" s="514"/>
      <c r="BA18" s="514"/>
    </row>
    <row r="19" spans="1:69" ht="258.60000000000002" customHeight="1" thickBot="1">
      <c r="A19" s="778" t="s">
        <v>16</v>
      </c>
      <c r="B19" s="778" t="s">
        <v>10</v>
      </c>
      <c r="C19" s="743"/>
      <c r="D19" s="743"/>
      <c r="E19" s="743"/>
      <c r="F19" s="743"/>
      <c r="G19" s="743"/>
      <c r="H19" s="743"/>
      <c r="I19" s="743"/>
      <c r="J19" s="743"/>
      <c r="K19" s="743"/>
      <c r="L19" s="743"/>
      <c r="M19" s="747"/>
      <c r="N19" s="748"/>
      <c r="O19" s="750"/>
      <c r="P19" s="751"/>
      <c r="Q19" s="740" t="s">
        <v>475</v>
      </c>
      <c r="R19" s="739" t="s">
        <v>474</v>
      </c>
      <c r="S19" s="744" t="s">
        <v>70</v>
      </c>
      <c r="T19" s="741" t="s">
        <v>59</v>
      </c>
      <c r="U19" s="749"/>
      <c r="V19" s="745"/>
      <c r="W19" s="729" t="s">
        <v>60</v>
      </c>
      <c r="X19" s="742">
        <v>0</v>
      </c>
      <c r="Y19" s="738" t="s">
        <v>476</v>
      </c>
      <c r="Z19" s="736" t="s">
        <v>477</v>
      </c>
      <c r="AA19" s="734" t="s">
        <v>478</v>
      </c>
      <c r="AB19" s="723"/>
      <c r="AC19" s="724"/>
      <c r="AD19" s="725"/>
      <c r="AE19" s="726"/>
      <c r="AF19" s="663"/>
      <c r="AG19" s="663"/>
      <c r="AH19" s="663"/>
      <c r="AI19" s="663"/>
      <c r="AJ19" s="764">
        <v>7.8E-2</v>
      </c>
      <c r="AK19" s="663"/>
      <c r="AL19" s="663"/>
      <c r="AM19" s="663"/>
      <c r="AN19" s="663"/>
      <c r="AO19" s="663"/>
      <c r="AP19" s="728"/>
      <c r="AQ19" s="727" t="s">
        <v>479</v>
      </c>
      <c r="AR19" s="521"/>
      <c r="AS19" s="521"/>
      <c r="AT19" s="521"/>
      <c r="AU19" s="521"/>
      <c r="AV19" s="521"/>
      <c r="AW19" s="521"/>
      <c r="AX19" s="521"/>
      <c r="AY19" s="623"/>
      <c r="AZ19" s="514"/>
      <c r="BA19" s="514"/>
    </row>
    <row r="20" spans="1:69" ht="408.75" customHeight="1">
      <c r="A20" s="878" t="s">
        <v>19</v>
      </c>
      <c r="B20" s="878" t="s">
        <v>7</v>
      </c>
      <c r="C20" s="808"/>
      <c r="D20" s="808"/>
      <c r="E20" s="808"/>
      <c r="F20" s="808"/>
      <c r="G20" s="808"/>
      <c r="H20" s="808"/>
      <c r="I20" s="808"/>
      <c r="J20" s="808"/>
      <c r="K20" s="808"/>
      <c r="L20" s="808"/>
      <c r="M20" s="876" t="s">
        <v>115</v>
      </c>
      <c r="N20" s="887">
        <v>16</v>
      </c>
      <c r="O20" s="885" t="s">
        <v>116</v>
      </c>
      <c r="P20" s="934" t="s">
        <v>112</v>
      </c>
      <c r="Q20" s="934" t="s">
        <v>117</v>
      </c>
      <c r="R20" s="932" t="s">
        <v>118</v>
      </c>
      <c r="S20" s="889" t="s">
        <v>58</v>
      </c>
      <c r="T20" s="940" t="s">
        <v>59</v>
      </c>
      <c r="U20" s="938" t="s">
        <v>60</v>
      </c>
      <c r="V20" s="936" t="s">
        <v>119</v>
      </c>
      <c r="W20" s="806">
        <v>0.92</v>
      </c>
      <c r="X20" s="820">
        <v>0.98</v>
      </c>
      <c r="Y20" s="818" t="s">
        <v>120</v>
      </c>
      <c r="Z20" s="816" t="s">
        <v>121</v>
      </c>
      <c r="AA20" s="835" t="s">
        <v>110</v>
      </c>
      <c r="AB20" s="800">
        <v>0.85</v>
      </c>
      <c r="AC20" s="802">
        <v>0.95</v>
      </c>
      <c r="AD20" s="804">
        <v>0.95</v>
      </c>
      <c r="AE20" s="837"/>
      <c r="AF20" s="663"/>
      <c r="AG20" s="663"/>
      <c r="AH20" s="663"/>
      <c r="AI20" s="798"/>
      <c r="AJ20" s="822">
        <f>3736957226.48/11230302042</f>
        <v>0.33275660908355115</v>
      </c>
      <c r="AK20" s="798"/>
      <c r="AL20" s="796"/>
      <c r="AM20" s="796"/>
      <c r="AN20" s="796"/>
      <c r="AO20" s="798"/>
      <c r="AP20" s="798"/>
      <c r="AQ20" s="812" t="s">
        <v>457</v>
      </c>
      <c r="AR20" s="795">
        <f>+IF(IF(AH20="","",IFERROR(AI20/AD20,0))&gt;1,1,IF(AI20="","",IFERROR(AI20/AD20,0)))</f>
        <v>1</v>
      </c>
      <c r="AS20" s="521"/>
      <c r="AT20" s="616">
        <v>2217931658</v>
      </c>
      <c r="AU20" s="616">
        <v>2815469050</v>
      </c>
      <c r="AV20" s="616">
        <v>3166449610</v>
      </c>
      <c r="AW20" s="616">
        <v>3538975396</v>
      </c>
      <c r="AX20" s="616">
        <v>3834524764</v>
      </c>
      <c r="AY20" s="616">
        <v>4226109249</v>
      </c>
      <c r="AZ20" s="617">
        <v>6536325721</v>
      </c>
      <c r="BA20" s="617">
        <v>7589971626</v>
      </c>
      <c r="BB20" s="618">
        <v>8238680187</v>
      </c>
      <c r="BC20" s="618">
        <v>8853291139</v>
      </c>
      <c r="BD20" s="619">
        <v>10445752039</v>
      </c>
      <c r="BE20" s="619">
        <v>11050804592</v>
      </c>
      <c r="BF20" s="615">
        <f>58/7*12</f>
        <v>99.428571428571445</v>
      </c>
      <c r="BG20" s="633">
        <f>450000000/ 6536325721</f>
        <v>6.8846018268984607E-2</v>
      </c>
      <c r="BH20" s="631"/>
      <c r="BI20" s="758"/>
    </row>
    <row r="21" spans="1:69" ht="3" customHeight="1" thickBot="1">
      <c r="A21" s="884"/>
      <c r="B21" s="884"/>
      <c r="C21" s="809"/>
      <c r="D21" s="809"/>
      <c r="E21" s="809"/>
      <c r="F21" s="809"/>
      <c r="G21" s="809"/>
      <c r="H21" s="809"/>
      <c r="I21" s="809"/>
      <c r="J21" s="809"/>
      <c r="K21" s="809"/>
      <c r="L21" s="809"/>
      <c r="M21" s="813"/>
      <c r="N21" s="888"/>
      <c r="O21" s="886"/>
      <c r="P21" s="935"/>
      <c r="Q21" s="935"/>
      <c r="R21" s="933"/>
      <c r="S21" s="890"/>
      <c r="T21" s="941"/>
      <c r="U21" s="939"/>
      <c r="V21" s="937"/>
      <c r="W21" s="807"/>
      <c r="X21" s="821"/>
      <c r="Y21" s="819"/>
      <c r="Z21" s="817"/>
      <c r="AA21" s="836"/>
      <c r="AB21" s="801"/>
      <c r="AC21" s="803"/>
      <c r="AD21" s="805"/>
      <c r="AE21" s="838"/>
      <c r="AF21" s="664"/>
      <c r="AG21" s="664"/>
      <c r="AH21" s="664"/>
      <c r="AI21" s="799"/>
      <c r="AJ21" s="823"/>
      <c r="AK21" s="799"/>
      <c r="AL21" s="797"/>
      <c r="AM21" s="797"/>
      <c r="AN21" s="797"/>
      <c r="AO21" s="799"/>
      <c r="AP21" s="799"/>
      <c r="AQ21" s="813"/>
      <c r="AR21" s="795"/>
      <c r="AS21" s="521"/>
      <c r="AT21" s="616">
        <v>2101993441.28</v>
      </c>
      <c r="AU21" s="616">
        <v>2787274448.8800001</v>
      </c>
      <c r="AV21" s="616">
        <v>2987610735.8800001</v>
      </c>
      <c r="AW21" s="616" t="e">
        <f>+AW20*#REF!</f>
        <v>#REF!</v>
      </c>
      <c r="AX21" s="616" t="e">
        <f>+AX20*#REF!</f>
        <v>#REF!</v>
      </c>
      <c r="AY21" s="616" t="e">
        <f>+AY20*#REF!</f>
        <v>#REF!</v>
      </c>
      <c r="AZ21" s="616" t="e">
        <f>+AZ20*#REF!</f>
        <v>#REF!</v>
      </c>
      <c r="BA21" s="616" t="e">
        <f>+BA20*#REF!</f>
        <v>#REF!</v>
      </c>
      <c r="BB21" s="616" t="e">
        <f>+BB20*#REF!</f>
        <v>#REF!</v>
      </c>
      <c r="BC21" s="616" t="e">
        <f>+BC20*#REF!</f>
        <v>#REF!</v>
      </c>
      <c r="BD21" s="616" t="e">
        <f>+BD20*#REF!</f>
        <v>#REF!</v>
      </c>
      <c r="BE21" s="616" t="e">
        <f>+BE20*#REF!</f>
        <v>#REF!</v>
      </c>
      <c r="BH21" s="615"/>
      <c r="BN21" s="511">
        <v>3834524764</v>
      </c>
      <c r="BO21" s="511">
        <f>+BN21*0.88</f>
        <v>3374381792.3200002</v>
      </c>
    </row>
    <row r="22" spans="1:69" ht="195" customHeight="1" thickBot="1">
      <c r="A22" s="780" t="s">
        <v>19</v>
      </c>
      <c r="B22" s="768" t="s">
        <v>17</v>
      </c>
      <c r="C22" s="628"/>
      <c r="D22" s="628"/>
      <c r="E22" s="628">
        <f>+AR22</f>
        <v>1</v>
      </c>
      <c r="F22" s="628"/>
      <c r="G22" s="628">
        <f>+E22</f>
        <v>1</v>
      </c>
      <c r="H22" s="628">
        <f>+G22</f>
        <v>1</v>
      </c>
      <c r="I22" s="628"/>
      <c r="J22" s="628">
        <f>+H22</f>
        <v>1</v>
      </c>
      <c r="K22" s="628"/>
      <c r="L22" s="628">
        <f>+J22</f>
        <v>1</v>
      </c>
      <c r="M22" s="565" t="s">
        <v>122</v>
      </c>
      <c r="N22" s="536">
        <v>17</v>
      </c>
      <c r="O22" s="522" t="s">
        <v>123</v>
      </c>
      <c r="P22" s="523" t="s">
        <v>112</v>
      </c>
      <c r="Q22" s="523" t="s">
        <v>124</v>
      </c>
      <c r="R22" s="588" t="s">
        <v>125</v>
      </c>
      <c r="S22" s="594" t="s">
        <v>58</v>
      </c>
      <c r="T22" s="537" t="s">
        <v>59</v>
      </c>
      <c r="U22" s="538">
        <v>1.0374939776423666</v>
      </c>
      <c r="V22" s="539">
        <v>1.0195417137892298</v>
      </c>
      <c r="W22" s="720">
        <v>0.94</v>
      </c>
      <c r="X22" s="540">
        <v>100</v>
      </c>
      <c r="Y22" s="525" t="s">
        <v>126</v>
      </c>
      <c r="Z22" s="541" t="s">
        <v>127</v>
      </c>
      <c r="AA22" s="526" t="s">
        <v>128</v>
      </c>
      <c r="AB22" s="609">
        <v>0.75</v>
      </c>
      <c r="AC22" s="596">
        <v>0.9</v>
      </c>
      <c r="AD22" s="597">
        <v>1</v>
      </c>
      <c r="AE22" s="542"/>
      <c r="AF22" s="665"/>
      <c r="AG22" s="666"/>
      <c r="AH22" s="666"/>
      <c r="AI22" s="669"/>
      <c r="AJ22" s="655">
        <f>3897272665.03/3730097550.48</f>
        <v>1.0448178934431587</v>
      </c>
      <c r="AK22" s="669"/>
      <c r="AL22" s="669"/>
      <c r="AM22" s="669"/>
      <c r="AN22" s="680"/>
      <c r="AO22" s="680"/>
      <c r="AP22" s="680"/>
      <c r="AQ22" s="647" t="s">
        <v>468</v>
      </c>
      <c r="AR22" s="645">
        <f>+IF(IF(ATJ22="","",IFERROR(AI22/AD22,0))&gt;1,1,IF(AI22="","",IFERROR(AI22/AG22,0)))</f>
        <v>1</v>
      </c>
      <c r="AS22" s="521"/>
      <c r="AT22" s="521">
        <f>+AT20/$BE$20</f>
        <v>0.20070318315153499</v>
      </c>
      <c r="AU22" s="521">
        <f>+AU20/$BE$20</f>
        <v>0.25477502805888003</v>
      </c>
      <c r="AV22" s="521">
        <f>+AV20/$BE$20</f>
        <v>0.28653566205417164</v>
      </c>
      <c r="AW22" s="521">
        <f>+AW20/$BE$20</f>
        <v>0.32024594829610575</v>
      </c>
      <c r="AX22" s="521">
        <f>+AX20/$BE$20</f>
        <v>0.34699055006147916</v>
      </c>
      <c r="AY22" s="521">
        <f t="shared" ref="AY22:BE22" si="1">+AY20/$BE$20</f>
        <v>0.38242547986590986</v>
      </c>
      <c r="AZ22" s="521">
        <f t="shared" si="1"/>
        <v>0.59147962183059832</v>
      </c>
      <c r="BA22" s="521">
        <f t="shared" si="1"/>
        <v>0.68682524994556526</v>
      </c>
      <c r="BB22" s="521">
        <f t="shared" si="1"/>
        <v>0.74552763270868272</v>
      </c>
      <c r="BC22" s="521">
        <f t="shared" si="1"/>
        <v>0.80114448367037061</v>
      </c>
      <c r="BD22" s="521">
        <f t="shared" si="1"/>
        <v>0.94524809954218036</v>
      </c>
      <c r="BE22" s="521">
        <f t="shared" si="1"/>
        <v>1</v>
      </c>
      <c r="BG22" s="631"/>
      <c r="BH22" s="631"/>
      <c r="BI22" s="631"/>
      <c r="BJ22" s="535"/>
      <c r="BL22" s="632"/>
      <c r="BN22" s="615">
        <v>4226109249</v>
      </c>
      <c r="BO22" s="511">
        <f t="shared" ref="BO22:BO27" si="2">+BN22*0.88</f>
        <v>3718976139.1199999</v>
      </c>
    </row>
    <row r="23" spans="1:69" ht="288.60000000000002" customHeight="1" thickBot="1">
      <c r="A23" s="779" t="s">
        <v>19</v>
      </c>
      <c r="B23" s="768" t="s">
        <v>17</v>
      </c>
      <c r="C23" s="628"/>
      <c r="D23" s="628"/>
      <c r="E23" s="628"/>
      <c r="F23" s="628"/>
      <c r="G23" s="628"/>
      <c r="H23" s="628"/>
      <c r="I23" s="628"/>
      <c r="J23" s="628"/>
      <c r="K23" s="628"/>
      <c r="L23" s="628"/>
      <c r="M23" s="760"/>
      <c r="N23" s="536"/>
      <c r="O23" s="522"/>
      <c r="P23" s="523"/>
      <c r="Q23" s="523" t="s">
        <v>462</v>
      </c>
      <c r="R23" s="588" t="s">
        <v>458</v>
      </c>
      <c r="S23" s="594" t="s">
        <v>58</v>
      </c>
      <c r="T23" s="537" t="s">
        <v>59</v>
      </c>
      <c r="U23" s="538"/>
      <c r="V23" s="539"/>
      <c r="W23" s="720" t="s">
        <v>60</v>
      </c>
      <c r="X23" s="540">
        <v>100</v>
      </c>
      <c r="Y23" s="525" t="s">
        <v>459</v>
      </c>
      <c r="Z23" s="541" t="s">
        <v>460</v>
      </c>
      <c r="AA23" s="526" t="s">
        <v>461</v>
      </c>
      <c r="AB23" s="609"/>
      <c r="AC23" s="596"/>
      <c r="AD23" s="597"/>
      <c r="AE23" s="665"/>
      <c r="AF23" s="665"/>
      <c r="AG23" s="666"/>
      <c r="AH23" s="666"/>
      <c r="AI23" s="669"/>
      <c r="AJ23" s="655">
        <f>21375033809/25092335429</f>
        <v>0.85185509613011956</v>
      </c>
      <c r="AK23" s="669"/>
      <c r="AL23" s="669"/>
      <c r="AM23" s="669"/>
      <c r="AN23" s="680"/>
      <c r="AO23" s="680"/>
      <c r="AP23" s="680"/>
      <c r="AQ23" s="647" t="s">
        <v>467</v>
      </c>
      <c r="AR23" s="645"/>
      <c r="AS23" s="521"/>
      <c r="AT23" s="521"/>
      <c r="AU23" s="521"/>
      <c r="AV23" s="521"/>
      <c r="AW23" s="521"/>
      <c r="AX23" s="521"/>
      <c r="AY23" s="521"/>
      <c r="AZ23" s="521"/>
      <c r="BA23" s="521"/>
      <c r="BB23" s="521"/>
      <c r="BC23" s="521"/>
      <c r="BD23" s="521"/>
      <c r="BE23" s="521"/>
      <c r="BG23" s="631"/>
      <c r="BH23" s="631"/>
      <c r="BI23" s="631"/>
      <c r="BJ23" s="535"/>
      <c r="BL23" s="761"/>
      <c r="BN23" s="615"/>
    </row>
    <row r="24" spans="1:69" ht="409.6" customHeight="1" thickBot="1">
      <c r="A24" s="558" t="s">
        <v>20</v>
      </c>
      <c r="B24" s="700" t="s">
        <v>7</v>
      </c>
      <c r="C24" s="629"/>
      <c r="D24" s="629"/>
      <c r="E24" s="629"/>
      <c r="F24" s="629"/>
      <c r="G24" s="629"/>
      <c r="H24" s="629"/>
      <c r="I24" s="629"/>
      <c r="J24" s="629">
        <f>+AR24</f>
        <v>1</v>
      </c>
      <c r="K24" s="629"/>
      <c r="L24" s="629"/>
      <c r="M24" s="565" t="s">
        <v>132</v>
      </c>
      <c r="N24" s="559">
        <v>19</v>
      </c>
      <c r="O24" s="522" t="s">
        <v>133</v>
      </c>
      <c r="P24" s="523" t="s">
        <v>56</v>
      </c>
      <c r="Q24" s="752" t="s">
        <v>482</v>
      </c>
      <c r="R24" s="588" t="s">
        <v>483</v>
      </c>
      <c r="S24" s="594" t="s">
        <v>58</v>
      </c>
      <c r="T24" s="537" t="s">
        <v>65</v>
      </c>
      <c r="U24" s="543">
        <v>0.67</v>
      </c>
      <c r="V24" s="524">
        <v>0.98</v>
      </c>
      <c r="W24" s="715" t="s">
        <v>60</v>
      </c>
      <c r="X24" s="544">
        <v>0.86</v>
      </c>
      <c r="Y24" s="525" t="s">
        <v>120</v>
      </c>
      <c r="Z24" s="541" t="s">
        <v>480</v>
      </c>
      <c r="AA24" s="526" t="s">
        <v>481</v>
      </c>
      <c r="AB24" s="685">
        <v>0</v>
      </c>
      <c r="AC24" s="598">
        <v>0.85</v>
      </c>
      <c r="AD24" s="599">
        <v>1</v>
      </c>
      <c r="AE24" s="552"/>
      <c r="AF24" s="655"/>
      <c r="AG24" s="655"/>
      <c r="AH24" s="655"/>
      <c r="AI24" s="655">
        <v>0.754</v>
      </c>
      <c r="AJ24" s="655">
        <v>0.754</v>
      </c>
      <c r="AK24" s="655"/>
      <c r="AL24" s="655"/>
      <c r="AM24" s="655"/>
      <c r="AN24" s="655"/>
      <c r="AO24" s="655"/>
      <c r="AP24" s="655"/>
      <c r="AQ24" s="582" t="s">
        <v>484</v>
      </c>
      <c r="AR24" s="521">
        <f>+IF(IF(AH24="","",IFERROR(AH24/AD24,0))&gt;1,1,IF(AH24="","",IFERROR(AH24/AD24,0)))</f>
        <v>1</v>
      </c>
      <c r="AS24" s="521"/>
      <c r="AT24" s="521"/>
      <c r="AU24" s="521"/>
      <c r="AV24" s="521"/>
      <c r="AW24" s="521"/>
      <c r="AX24" s="521"/>
      <c r="AY24" s="514"/>
      <c r="AZ24" s="514"/>
      <c r="BA24" s="514"/>
      <c r="BH24" s="761"/>
      <c r="BN24" s="615">
        <v>7589971626</v>
      </c>
      <c r="BO24" s="511">
        <f t="shared" si="2"/>
        <v>6679175030.8800001</v>
      </c>
      <c r="BP24" s="621"/>
      <c r="BQ24" s="621"/>
    </row>
    <row r="25" spans="1:69">
      <c r="C25" s="630">
        <f t="shared" ref="C25:L25" si="3">+AVERAGE(C6:C24)</f>
        <v>1</v>
      </c>
      <c r="D25" s="630">
        <f t="shared" si="3"/>
        <v>1</v>
      </c>
      <c r="E25" s="630">
        <f t="shared" si="3"/>
        <v>1</v>
      </c>
      <c r="F25" s="630">
        <f t="shared" si="3"/>
        <v>1</v>
      </c>
      <c r="G25" s="630">
        <f t="shared" si="3"/>
        <v>1</v>
      </c>
      <c r="H25" s="630">
        <f t="shared" si="3"/>
        <v>1</v>
      </c>
      <c r="I25" s="630">
        <f t="shared" si="3"/>
        <v>1</v>
      </c>
      <c r="J25" s="630">
        <f t="shared" si="3"/>
        <v>1</v>
      </c>
      <c r="K25" s="630">
        <f t="shared" si="3"/>
        <v>1</v>
      </c>
      <c r="L25" s="630">
        <f t="shared" si="3"/>
        <v>1</v>
      </c>
      <c r="AQ25" s="511"/>
      <c r="AT25" s="521"/>
      <c r="AU25" s="521"/>
      <c r="AV25" s="521"/>
      <c r="AW25" s="521"/>
      <c r="AX25" s="521"/>
      <c r="AY25" s="514"/>
      <c r="AZ25" s="514"/>
      <c r="BA25" s="514"/>
      <c r="BN25" s="615">
        <v>8853291139</v>
      </c>
      <c r="BO25" s="511">
        <f t="shared" si="2"/>
        <v>7790896202.3199997</v>
      </c>
    </row>
    <row r="26" spans="1:69">
      <c r="Q26" s="534"/>
      <c r="R26" s="534"/>
      <c r="AE26" s="534"/>
      <c r="AF26" s="534"/>
      <c r="AG26" s="534"/>
      <c r="AH26" s="534"/>
      <c r="AI26" s="534"/>
      <c r="AJ26" s="534"/>
      <c r="AK26" s="534"/>
      <c r="AL26" s="534"/>
      <c r="AM26" s="534"/>
      <c r="AN26" s="534"/>
      <c r="AO26" s="534"/>
      <c r="AP26" s="534"/>
      <c r="AQ26" s="534"/>
      <c r="BA26" s="511" t="e">
        <f>+#REF!-#REF!</f>
        <v>#REF!</v>
      </c>
      <c r="BN26" s="615">
        <v>10445752039</v>
      </c>
      <c r="BO26" s="511">
        <f t="shared" si="2"/>
        <v>9192261794.3199997</v>
      </c>
    </row>
    <row r="27" spans="1:69">
      <c r="Q27" s="533"/>
      <c r="R27" s="533"/>
      <c r="AQ27" s="682"/>
      <c r="BI27" s="681"/>
      <c r="BN27" s="615">
        <v>11050804592</v>
      </c>
      <c r="BO27" s="511">
        <f t="shared" si="2"/>
        <v>9724708040.960001</v>
      </c>
    </row>
    <row r="28" spans="1:69">
      <c r="BN28" s="620"/>
    </row>
    <row r="29" spans="1:69" ht="26.4" thickBot="1">
      <c r="AQ29" s="667"/>
      <c r="BN29" s="620"/>
    </row>
    <row r="30" spans="1:69" ht="29.4" thickBot="1">
      <c r="B30" s="676" t="s">
        <v>485</v>
      </c>
      <c r="C30" s="677" t="s">
        <v>22</v>
      </c>
      <c r="D30" s="678" t="s">
        <v>23</v>
      </c>
      <c r="E30" s="679" t="s">
        <v>24</v>
      </c>
      <c r="F30" s="679" t="s">
        <v>25</v>
      </c>
      <c r="G30" s="679">
        <v>2</v>
      </c>
      <c r="Q30" s="722" t="s">
        <v>22</v>
      </c>
      <c r="R30" s="679" t="s">
        <v>486</v>
      </c>
      <c r="S30" s="679" t="s">
        <v>24</v>
      </c>
      <c r="T30" s="679" t="s">
        <v>487</v>
      </c>
      <c r="U30" s="679">
        <v>2</v>
      </c>
      <c r="W30" s="679">
        <v>2</v>
      </c>
      <c r="AQ30" s="668"/>
      <c r="BN30" s="615"/>
    </row>
    <row r="31" spans="1:69">
      <c r="O31" s="535"/>
      <c r="BN31" s="615"/>
    </row>
    <row r="32" spans="1:69">
      <c r="BN32" s="615"/>
    </row>
    <row r="33" spans="66:66">
      <c r="BN33" s="615"/>
    </row>
    <row r="34" spans="66:66">
      <c r="BN34" s="615"/>
    </row>
    <row r="35" spans="66:66">
      <c r="BN35" s="615"/>
    </row>
    <row r="36" spans="66:66">
      <c r="BN36" s="615"/>
    </row>
    <row r="37" spans="66:66">
      <c r="BN37" s="615"/>
    </row>
    <row r="38" spans="66:66">
      <c r="BN38" s="615"/>
    </row>
  </sheetData>
  <mergeCells count="133">
    <mergeCell ref="A20:A21"/>
    <mergeCell ref="AD11:AD12"/>
    <mergeCell ref="N11:N12"/>
    <mergeCell ref="I15:I16"/>
    <mergeCell ref="J15:J16"/>
    <mergeCell ref="K15:K16"/>
    <mergeCell ref="L15:L16"/>
    <mergeCell ref="I17:I18"/>
    <mergeCell ref="J17:J18"/>
    <mergeCell ref="K17:K18"/>
    <mergeCell ref="L17:L18"/>
    <mergeCell ref="V13:V14"/>
    <mergeCell ref="R20:R21"/>
    <mergeCell ref="Q20:Q21"/>
    <mergeCell ref="P20:P21"/>
    <mergeCell ref="V20:V21"/>
    <mergeCell ref="U20:U21"/>
    <mergeCell ref="T20:T21"/>
    <mergeCell ref="C20:C21"/>
    <mergeCell ref="D20:D21"/>
    <mergeCell ref="E20:E21"/>
    <mergeCell ref="F20:F21"/>
    <mergeCell ref="G20:G21"/>
    <mergeCell ref="M17:M18"/>
    <mergeCell ref="M15:M16"/>
    <mergeCell ref="H17:H18"/>
    <mergeCell ref="H15:H16"/>
    <mergeCell ref="T13:T14"/>
    <mergeCell ref="R13:R14"/>
    <mergeCell ref="S13:S14"/>
    <mergeCell ref="C15:C16"/>
    <mergeCell ref="D15:D16"/>
    <mergeCell ref="G17:G18"/>
    <mergeCell ref="E15:E16"/>
    <mergeCell ref="F15:F16"/>
    <mergeCell ref="G15:G16"/>
    <mergeCell ref="F17:F18"/>
    <mergeCell ref="Q3:Q5"/>
    <mergeCell ref="P3:P5"/>
    <mergeCell ref="O13:O14"/>
    <mergeCell ref="W3:W5"/>
    <mergeCell ref="AA11:AA12"/>
    <mergeCell ref="AB11:AB12"/>
    <mergeCell ref="AC11:AC12"/>
    <mergeCell ref="Y3:AA3"/>
    <mergeCell ref="C3:L3"/>
    <mergeCell ref="C4:C5"/>
    <mergeCell ref="D4:D5"/>
    <mergeCell ref="E4:E5"/>
    <mergeCell ref="F4:F5"/>
    <mergeCell ref="G4:G5"/>
    <mergeCell ref="H4:H5"/>
    <mergeCell ref="I4:I5"/>
    <mergeCell ref="J4:J5"/>
    <mergeCell ref="K4:K5"/>
    <mergeCell ref="AQ11:AQ12"/>
    <mergeCell ref="S3:S5"/>
    <mergeCell ref="M20:M21"/>
    <mergeCell ref="B20:B21"/>
    <mergeCell ref="O20:O21"/>
    <mergeCell ref="N20:N21"/>
    <mergeCell ref="S20:S21"/>
    <mergeCell ref="C17:C18"/>
    <mergeCell ref="D17:D18"/>
    <mergeCell ref="E17:E18"/>
    <mergeCell ref="H20:H21"/>
    <mergeCell ref="I20:I21"/>
    <mergeCell ref="J20:J21"/>
    <mergeCell ref="AE3:AQ3"/>
    <mergeCell ref="AB3:AD5"/>
    <mergeCell ref="Z11:Z12"/>
    <mergeCell ref="S11:S12"/>
    <mergeCell ref="AE11:AE12"/>
    <mergeCell ref="N13:N14"/>
    <mergeCell ref="L4:L5"/>
    <mergeCell ref="V3:V5"/>
    <mergeCell ref="V11:V12"/>
    <mergeCell ref="L20:L21"/>
    <mergeCell ref="Y5:AA5"/>
    <mergeCell ref="A1:AQ1"/>
    <mergeCell ref="X11:X12"/>
    <mergeCell ref="U11:U12"/>
    <mergeCell ref="T11:T12"/>
    <mergeCell ref="R11:R12"/>
    <mergeCell ref="Q11:Q12"/>
    <mergeCell ref="B11:B14"/>
    <mergeCell ref="O11:O12"/>
    <mergeCell ref="P11:P12"/>
    <mergeCell ref="P13:P14"/>
    <mergeCell ref="A3:A5"/>
    <mergeCell ref="N3:O5"/>
    <mergeCell ref="Y11:Y12"/>
    <mergeCell ref="AQ4:AQ5"/>
    <mergeCell ref="R3:R5"/>
    <mergeCell ref="T3:T5"/>
    <mergeCell ref="U3:U5"/>
    <mergeCell ref="X3:X5"/>
    <mergeCell ref="B3:B5"/>
    <mergeCell ref="M3:M5"/>
    <mergeCell ref="M13:M14"/>
    <mergeCell ref="M11:M12"/>
    <mergeCell ref="Q13:Q14"/>
    <mergeCell ref="U13:U14"/>
    <mergeCell ref="AE13:AE14"/>
    <mergeCell ref="AQ20:AQ21"/>
    <mergeCell ref="AQ13:AQ14"/>
    <mergeCell ref="AK20:AK21"/>
    <mergeCell ref="AL20:AL21"/>
    <mergeCell ref="AM20:AM21"/>
    <mergeCell ref="Z20:Z21"/>
    <mergeCell ref="Y20:Y21"/>
    <mergeCell ref="X20:X21"/>
    <mergeCell ref="AJ20:AJ21"/>
    <mergeCell ref="AC13:AC14"/>
    <mergeCell ref="AD13:AD14"/>
    <mergeCell ref="AB13:AB14"/>
    <mergeCell ref="X13:X14"/>
    <mergeCell ref="AA13:AA14"/>
    <mergeCell ref="Y13:Y14"/>
    <mergeCell ref="Z13:Z14"/>
    <mergeCell ref="AA20:AA21"/>
    <mergeCell ref="AE20:AE21"/>
    <mergeCell ref="AI20:AI21"/>
    <mergeCell ref="AJ16:AJ17"/>
    <mergeCell ref="AR20:AR21"/>
    <mergeCell ref="AN20:AN21"/>
    <mergeCell ref="AO20:AO21"/>
    <mergeCell ref="AP20:AP21"/>
    <mergeCell ref="AB20:AB21"/>
    <mergeCell ref="AC20:AC21"/>
    <mergeCell ref="AD20:AD21"/>
    <mergeCell ref="W20:W21"/>
    <mergeCell ref="K20:K21"/>
  </mergeCells>
  <conditionalFormatting sqref="AE8:AI8 AK8:AP8">
    <cfRule type="colorScale" priority="92">
      <colorScale>
        <cfvo type="num" val="$AB$8"/>
        <cfvo type="num" val="$AC$8"/>
        <cfvo type="num" val="$AD$8"/>
        <color theme="6" tint="-0.249977111117893"/>
        <color rgb="FFFFEB84"/>
        <color rgb="FFFF0000"/>
      </colorScale>
    </cfRule>
  </conditionalFormatting>
  <conditionalFormatting sqref="AB9:AI9 AK9:AP9">
    <cfRule type="colorScale" priority="91">
      <colorScale>
        <cfvo type="num" val="$AB$9"/>
        <cfvo type="num" val="$AC$9"/>
        <cfvo type="num" val="$AD$9"/>
        <color rgb="FFFF0000"/>
        <color rgb="FFFFEB84"/>
        <color theme="6" tint="-0.249977111117893"/>
      </colorScale>
    </cfRule>
  </conditionalFormatting>
  <conditionalFormatting sqref="AB10:AP10">
    <cfRule type="colorScale" priority="89">
      <colorScale>
        <cfvo type="num" val="$AB$10"/>
        <cfvo type="num" val="$AC$10"/>
        <cfvo type="num" val="$AD$10"/>
        <color rgb="FFFF0000"/>
        <color rgb="FFFFEB84"/>
        <color theme="6" tint="-0.249977111117893"/>
      </colorScale>
    </cfRule>
  </conditionalFormatting>
  <conditionalFormatting sqref="AB12:AD12 AE13:AP13 AB11:AP11">
    <cfRule type="colorScale" priority="88">
      <colorScale>
        <cfvo type="num" val="$AB$11"/>
        <cfvo type="num" val="$AC$11"/>
        <cfvo type="num" val="$AD$11"/>
        <color rgb="FFFF0000"/>
        <color rgb="FFFFEB84"/>
        <color theme="6" tint="-0.249977111117893"/>
      </colorScale>
    </cfRule>
  </conditionalFormatting>
  <conditionalFormatting sqref="AB13:AD14">
    <cfRule type="colorScale" priority="87">
      <colorScale>
        <cfvo type="num" val="$AB$13"/>
        <cfvo type="num" val="$AC$13"/>
        <cfvo type="num" val="$AD$13"/>
        <color rgb="FFFF0000"/>
        <color rgb="FFFFEB84"/>
        <color theme="6" tint="-0.249977111117893"/>
      </colorScale>
    </cfRule>
  </conditionalFormatting>
  <conditionalFormatting sqref="AL16:AP16 AM15:AP15 AB15:AI16">
    <cfRule type="colorScale" priority="86">
      <colorScale>
        <cfvo type="num" val="#REF!"/>
        <cfvo type="num" val="#REF!"/>
        <cfvo type="num" val="#REF!"/>
        <color rgb="FFFF0000"/>
        <color rgb="FFFFEB84"/>
        <color theme="6" tint="-0.249977111117893"/>
      </colorScale>
    </cfRule>
  </conditionalFormatting>
  <conditionalFormatting sqref="AB17:AI17 AK17:AP17">
    <cfRule type="colorScale" priority="85">
      <colorScale>
        <cfvo type="num" val="$AB$17"/>
        <cfvo type="num" val="$AC$17"/>
        <cfvo type="num" val="$AD$17"/>
        <color rgb="FFFF0000"/>
        <color rgb="FFFFEB84"/>
        <color theme="6" tint="-0.249977111117893"/>
      </colorScale>
    </cfRule>
  </conditionalFormatting>
  <conditionalFormatting sqref="AB22:AD23">
    <cfRule type="colorScale" priority="82">
      <colorScale>
        <cfvo type="num" val="$AB$22"/>
        <cfvo type="num" val="$AC$22"/>
        <cfvo type="num" val="$AD$22"/>
        <color rgb="FFFF0000"/>
        <color rgb="FFFFEB84"/>
        <color theme="6" tint="-0.249977111117893"/>
      </colorScale>
    </cfRule>
  </conditionalFormatting>
  <conditionalFormatting sqref="AB24:AP24">
    <cfRule type="colorScale" priority="80">
      <colorScale>
        <cfvo type="num" val="$AB$24"/>
        <cfvo type="num" val="$AC$24"/>
        <cfvo type="num" val="$AD$24"/>
        <color rgb="FFFF0000"/>
        <color rgb="FFFFEB84"/>
        <color theme="6" tint="-0.249977111117893"/>
      </colorScale>
    </cfRule>
  </conditionalFormatting>
  <conditionalFormatting sqref="AD6 AB6 AK6:AN6">
    <cfRule type="colorScale" priority="74">
      <colorScale>
        <cfvo type="num" val="$Y$6"/>
        <cfvo type="num" val="$Z$6"/>
        <cfvo type="num" val="$AA$6"/>
        <color rgb="FFFF0000"/>
        <color rgb="FFFFEB84"/>
        <color theme="6" tint="-0.249977111117893"/>
      </colorScale>
    </cfRule>
  </conditionalFormatting>
  <conditionalFormatting sqref="AB8:AD8">
    <cfRule type="colorScale" priority="43">
      <colorScale>
        <cfvo type="min"/>
        <cfvo type="percentile" val="50"/>
        <cfvo type="max"/>
        <color theme="6" tint="-0.249977111117893"/>
        <color rgb="FFFFEB84"/>
        <color rgb="FFFF0000"/>
      </colorScale>
    </cfRule>
  </conditionalFormatting>
  <conditionalFormatting sqref="AB18:AP18">
    <cfRule type="colorScale" priority="41">
      <colorScale>
        <cfvo type="num" val="$AB$18"/>
        <cfvo type="num" val="$AC$18"/>
        <cfvo type="num" val="$AD$18"/>
        <color rgb="FFFF0000"/>
        <color rgb="FFFFEB84"/>
        <color theme="6" tint="-0.249977111117893"/>
      </colorScale>
    </cfRule>
  </conditionalFormatting>
  <conditionalFormatting sqref="AB19:AI19 AK19:AP19">
    <cfRule type="colorScale" priority="40">
      <colorScale>
        <cfvo type="num" val="$AB$19"/>
        <cfvo type="num" val="$AC$19"/>
        <cfvo type="num" val="$AD$19"/>
        <color rgb="FFFF3300"/>
        <color rgb="FFFFEB84"/>
        <color theme="6" tint="-0.249977111117893"/>
      </colorScale>
    </cfRule>
  </conditionalFormatting>
  <conditionalFormatting sqref="AB20:AD21 AE21:AH21 AE20:AN20">
    <cfRule type="colorScale" priority="39">
      <colorScale>
        <cfvo type="num" val="$AB$20"/>
        <cfvo type="num" val="$AC$20"/>
        <cfvo type="num" val="$AD$20"/>
        <color rgb="FFFF3300"/>
        <color rgb="FFFFEB84"/>
        <color theme="6" tint="-0.249977111117893"/>
      </colorScale>
    </cfRule>
  </conditionalFormatting>
  <conditionalFormatting sqref="AE6:AI6">
    <cfRule type="colorScale" priority="22">
      <colorScale>
        <cfvo type="num" val="$Y$6"/>
        <cfvo type="num" val="$Z$6"/>
        <cfvo type="num" val="$AA$6"/>
        <color rgb="FFFF0000"/>
        <color rgb="FFFFEB84"/>
        <color theme="6" tint="-0.249977111117893"/>
      </colorScale>
    </cfRule>
  </conditionalFormatting>
  <conditionalFormatting sqref="AE6:AI6 AK6:AN6">
    <cfRule type="cellIs" dxfId="16" priority="36" operator="greaterThan">
      <formula>#REF!</formula>
    </cfRule>
  </conditionalFormatting>
  <conditionalFormatting sqref="AO6:AP6 AC6">
    <cfRule type="colorScale" priority="197">
      <colorScale>
        <cfvo type="num" val="#REF!"/>
        <cfvo type="num" val="#REF!"/>
        <cfvo type="num" val="#REF!"/>
        <color rgb="FFFF0000"/>
        <color rgb="FFFFEB84"/>
        <color theme="6" tint="-0.249977111117893"/>
      </colorScale>
    </cfRule>
  </conditionalFormatting>
  <conditionalFormatting sqref="AK6:AN6">
    <cfRule type="colorScale" priority="13">
      <colorScale>
        <cfvo type="num" val="$Y$6"/>
        <cfvo type="num" val="$Z$6"/>
        <cfvo type="num" val="$AA$6"/>
        <color rgb="FFFF0000"/>
        <color rgb="FFFFEB84"/>
        <color theme="6" tint="-0.249977111117893"/>
      </colorScale>
    </cfRule>
  </conditionalFormatting>
  <conditionalFormatting sqref="AO20:AP20">
    <cfRule type="colorScale" priority="11">
      <colorScale>
        <cfvo type="num" val="$AB$20"/>
        <cfvo type="num" val="$AC$20"/>
        <cfvo type="num" val="$AD$20"/>
        <color rgb="FFFF3300"/>
        <color rgb="FFFFEB84"/>
        <color theme="6" tint="-0.249977111117893"/>
      </colorScale>
    </cfRule>
  </conditionalFormatting>
  <conditionalFormatting sqref="AK16">
    <cfRule type="colorScale" priority="10">
      <colorScale>
        <cfvo type="num" val="#REF!"/>
        <cfvo type="num" val="#REF!"/>
        <cfvo type="num" val="#REF!"/>
        <color rgb="FFFF0000"/>
        <color rgb="FFFFEB84"/>
        <color theme="6" tint="-0.249977111117893"/>
      </colorScale>
    </cfRule>
  </conditionalFormatting>
  <conditionalFormatting sqref="AK15:AL15">
    <cfRule type="colorScale" priority="9">
      <colorScale>
        <cfvo type="num" val="#REF!"/>
        <cfvo type="num" val="#REF!"/>
        <cfvo type="num" val="#REF!"/>
        <color rgb="FFFF0000"/>
        <color rgb="FFFFEB84"/>
        <color theme="6" tint="-0.249977111117893"/>
      </colorScale>
    </cfRule>
  </conditionalFormatting>
  <conditionalFormatting sqref="AE22:AI23 AK22:AP23">
    <cfRule type="colorScale" priority="198">
      <colorScale>
        <cfvo type="num" val="#REF!"/>
        <cfvo type="num" val="#REF!"/>
        <cfvo type="num" val="#REF!"/>
        <color rgb="FFFF0000"/>
        <color rgb="FFFFEB84"/>
        <color theme="6" tint="-0.249977111117893"/>
      </colorScale>
    </cfRule>
  </conditionalFormatting>
  <conditionalFormatting sqref="AJ22:AJ23">
    <cfRule type="colorScale" priority="7">
      <colorScale>
        <cfvo type="num" val="$AB$24"/>
        <cfvo type="num" val="$AC$24"/>
        <cfvo type="num" val="$AD$24"/>
        <color rgb="FFFF0000"/>
        <color rgb="FFFFEB84"/>
        <color theme="6" tint="-0.249977111117893"/>
      </colorScale>
    </cfRule>
  </conditionalFormatting>
  <conditionalFormatting sqref="AB7:AI7 AK7:AP7">
    <cfRule type="colorScale" priority="5">
      <colorScale>
        <cfvo type="num" val="#REF!"/>
        <cfvo type="num" val="#REF!"/>
        <cfvo type="num" val="#REF!"/>
        <color rgb="FFFF0000"/>
        <color rgb="FFFFEB84"/>
        <color theme="6" tint="-0.249977111117893"/>
      </colorScale>
    </cfRule>
  </conditionalFormatting>
  <conditionalFormatting sqref="AJ16">
    <cfRule type="colorScale" priority="1">
      <colorScale>
        <cfvo type="num" val="$AB$20"/>
        <cfvo type="num" val="$AC$20"/>
        <cfvo type="num" val="$AD$20"/>
        <color rgb="FFFF3300"/>
        <color rgb="FFFFEB84"/>
        <color theme="6" tint="-0.249977111117893"/>
      </colorScale>
    </cfRule>
  </conditionalFormatting>
  <dataValidations count="1">
    <dataValidation type="list" allowBlank="1" showInputMessage="1" showErrorMessage="1" sqref="S13 S22:S24 S6:S11 S15:S20" xr:uid="{00000000-0002-0000-0100-000000000000}">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6:R36"/>
  <sheetViews>
    <sheetView topLeftCell="B6" workbookViewId="0">
      <selection activeCell="J26" sqref="J26"/>
    </sheetView>
  </sheetViews>
  <sheetFormatPr baseColWidth="10" defaultColWidth="11.44140625" defaultRowHeight="14.4"/>
  <cols>
    <col min="14" max="14" width="13.44140625" bestFit="1" customWidth="1"/>
  </cols>
  <sheetData>
    <row r="6" spans="5:18">
      <c r="E6" s="673"/>
      <c r="F6" s="673" t="s">
        <v>135</v>
      </c>
      <c r="G6" s="673" t="s">
        <v>136</v>
      </c>
      <c r="H6" s="673"/>
      <c r="I6" s="673"/>
      <c r="J6" s="673"/>
      <c r="K6" s="673"/>
      <c r="N6" s="675"/>
      <c r="O6" s="675"/>
      <c r="P6" s="675"/>
      <c r="Q6" s="675"/>
      <c r="R6" s="675"/>
    </row>
    <row r="7" spans="5:18">
      <c r="E7" s="943" t="s">
        <v>137</v>
      </c>
      <c r="F7" s="673">
        <v>35</v>
      </c>
      <c r="G7" s="673">
        <v>100</v>
      </c>
      <c r="H7" s="673"/>
      <c r="I7" s="673"/>
      <c r="J7" s="673"/>
      <c r="K7" s="673"/>
      <c r="N7" s="675"/>
      <c r="O7" s="675" t="s">
        <v>138</v>
      </c>
      <c r="P7" s="675" t="s">
        <v>139</v>
      </c>
      <c r="Q7" s="675"/>
      <c r="R7" s="675"/>
    </row>
    <row r="8" spans="5:18">
      <c r="E8" s="943"/>
      <c r="F8" s="673">
        <v>49</v>
      </c>
      <c r="G8" s="673">
        <v>100</v>
      </c>
      <c r="H8" s="673"/>
      <c r="I8" s="673"/>
      <c r="J8" s="673"/>
      <c r="K8" s="673"/>
      <c r="N8" s="675" t="s">
        <v>140</v>
      </c>
      <c r="O8" s="675">
        <v>3574</v>
      </c>
      <c r="P8" s="675">
        <v>1590</v>
      </c>
      <c r="Q8" s="675"/>
      <c r="R8" s="675"/>
    </row>
    <row r="9" spans="5:18">
      <c r="E9" s="943"/>
      <c r="F9" s="673">
        <v>40</v>
      </c>
      <c r="G9" s="673">
        <v>100</v>
      </c>
      <c r="H9" s="673"/>
      <c r="I9" s="674">
        <f>+F11/G11</f>
        <v>0.52500000000000002</v>
      </c>
      <c r="J9" s="673"/>
      <c r="K9" s="673"/>
      <c r="N9" s="675" t="s">
        <v>141</v>
      </c>
      <c r="O9" s="675">
        <v>932</v>
      </c>
      <c r="P9" s="675">
        <v>1670</v>
      </c>
      <c r="Q9" s="675"/>
      <c r="R9" s="675"/>
    </row>
    <row r="10" spans="5:18">
      <c r="E10" s="943"/>
      <c r="F10" s="673">
        <v>86</v>
      </c>
      <c r="G10" s="673">
        <v>100</v>
      </c>
      <c r="H10" s="673"/>
      <c r="I10" s="671">
        <f>+G11/4</f>
        <v>100</v>
      </c>
      <c r="J10" s="673"/>
      <c r="K10" s="672">
        <f>+(I10+I19+I22+I28+I33)/5</f>
        <v>97.409523809523805</v>
      </c>
      <c r="N10" s="675" t="s">
        <v>142</v>
      </c>
      <c r="O10" s="675">
        <v>1122</v>
      </c>
      <c r="P10" s="675">
        <v>1913</v>
      </c>
      <c r="Q10" s="675"/>
      <c r="R10" s="675"/>
    </row>
    <row r="11" spans="5:18">
      <c r="E11" s="943"/>
      <c r="F11" s="671">
        <f>SUM(F7:F10)</f>
        <v>210</v>
      </c>
      <c r="G11" s="671">
        <f>SUM(G7:G10)</f>
        <v>400</v>
      </c>
      <c r="H11" s="673"/>
      <c r="I11" s="673"/>
      <c r="J11" s="673"/>
      <c r="K11" s="673"/>
      <c r="N11" s="675" t="s">
        <v>143</v>
      </c>
      <c r="O11" s="675">
        <v>17199</v>
      </c>
      <c r="P11" s="675">
        <v>15792</v>
      </c>
      <c r="Q11" s="675"/>
      <c r="R11" s="675"/>
    </row>
    <row r="12" spans="5:18">
      <c r="E12" s="943" t="s">
        <v>141</v>
      </c>
      <c r="F12" s="673">
        <v>20</v>
      </c>
      <c r="G12" s="673">
        <v>95</v>
      </c>
      <c r="H12" s="673"/>
      <c r="I12" s="673"/>
      <c r="J12" s="673"/>
      <c r="K12" s="673"/>
      <c r="N12" s="675" t="s">
        <v>144</v>
      </c>
      <c r="O12" s="675">
        <v>1421</v>
      </c>
      <c r="P12" s="675">
        <v>1759</v>
      </c>
      <c r="Q12" s="675"/>
      <c r="R12" s="675"/>
    </row>
    <row r="13" spans="5:18">
      <c r="E13" s="943"/>
      <c r="F13" s="673">
        <v>87</v>
      </c>
      <c r="G13" s="673">
        <v>95</v>
      </c>
      <c r="H13" s="673"/>
      <c r="I13" s="673"/>
      <c r="J13" s="673"/>
      <c r="K13" s="673"/>
      <c r="N13" s="675" t="s">
        <v>145</v>
      </c>
      <c r="O13" s="675">
        <v>655</v>
      </c>
      <c r="P13" s="675">
        <v>1400</v>
      </c>
      <c r="Q13" s="675"/>
      <c r="R13" s="675"/>
    </row>
    <row r="14" spans="5:18">
      <c r="E14" s="943"/>
      <c r="F14" s="673">
        <v>10</v>
      </c>
      <c r="G14" s="673">
        <v>92</v>
      </c>
      <c r="H14" s="673"/>
      <c r="I14" s="673"/>
      <c r="J14" s="673"/>
      <c r="K14" s="673"/>
      <c r="N14" s="675"/>
      <c r="O14" s="675">
        <f>SUM(O8:O13)</f>
        <v>24903</v>
      </c>
      <c r="P14" s="675">
        <f>SUM(P8:P13)</f>
        <v>24124</v>
      </c>
      <c r="Q14" s="675"/>
      <c r="R14" s="675">
        <f>+P14/O14</f>
        <v>0.9687186282777176</v>
      </c>
    </row>
    <row r="15" spans="5:18">
      <c r="E15" s="943"/>
      <c r="F15" s="673">
        <v>38</v>
      </c>
      <c r="G15" s="673">
        <v>95</v>
      </c>
      <c r="H15" s="673"/>
      <c r="I15" s="673"/>
      <c r="J15" s="673"/>
      <c r="K15" s="673"/>
    </row>
    <row r="16" spans="5:18">
      <c r="E16" s="943"/>
      <c r="F16" s="673">
        <v>63</v>
      </c>
      <c r="G16" s="673">
        <v>92</v>
      </c>
      <c r="H16" s="673"/>
      <c r="I16" s="673"/>
      <c r="J16" s="673"/>
      <c r="K16" s="673"/>
    </row>
    <row r="17" spans="5:11">
      <c r="E17" s="943"/>
      <c r="F17" s="673">
        <v>20</v>
      </c>
      <c r="G17" s="673">
        <v>90</v>
      </c>
      <c r="H17" s="673"/>
      <c r="I17" s="673"/>
      <c r="J17" s="673"/>
      <c r="K17" s="673"/>
    </row>
    <row r="18" spans="5:11">
      <c r="E18" s="943"/>
      <c r="F18" s="673">
        <v>10</v>
      </c>
      <c r="G18" s="673">
        <v>92</v>
      </c>
      <c r="H18" s="673"/>
      <c r="I18" s="673"/>
      <c r="J18" s="673"/>
      <c r="K18" s="673"/>
    </row>
    <row r="19" spans="5:11">
      <c r="E19" s="943"/>
      <c r="F19" s="673">
        <v>15</v>
      </c>
      <c r="G19" s="673">
        <v>90</v>
      </c>
      <c r="H19" s="673"/>
      <c r="I19" s="671">
        <f>+G21/9</f>
        <v>92.333333333333329</v>
      </c>
      <c r="J19" s="673"/>
      <c r="K19" s="673"/>
    </row>
    <row r="20" spans="5:11">
      <c r="E20" s="943"/>
      <c r="F20" s="673">
        <v>77</v>
      </c>
      <c r="G20" s="673">
        <v>90</v>
      </c>
      <c r="H20" s="673"/>
      <c r="I20" s="673"/>
      <c r="J20" s="673"/>
      <c r="K20" s="673"/>
    </row>
    <row r="21" spans="5:11">
      <c r="E21" s="943"/>
      <c r="F21" s="671">
        <f>SUM(F12:F20)</f>
        <v>340</v>
      </c>
      <c r="G21" s="671">
        <f>SUM(G12:G20)</f>
        <v>831</v>
      </c>
      <c r="H21" s="673"/>
      <c r="I21" s="673"/>
      <c r="J21" s="673"/>
      <c r="K21" s="673"/>
    </row>
    <row r="22" spans="5:11">
      <c r="E22" s="673" t="s">
        <v>146</v>
      </c>
      <c r="F22" s="671">
        <v>222</v>
      </c>
      <c r="G22" s="671">
        <v>95</v>
      </c>
      <c r="H22" s="673"/>
      <c r="I22" s="671">
        <v>95</v>
      </c>
      <c r="J22" s="673"/>
      <c r="K22" s="673"/>
    </row>
    <row r="23" spans="5:11">
      <c r="E23" s="943" t="s">
        <v>142</v>
      </c>
      <c r="F23" s="673">
        <v>43</v>
      </c>
      <c r="G23" s="673">
        <v>98</v>
      </c>
      <c r="H23" s="673"/>
      <c r="I23" s="673"/>
      <c r="J23" s="673"/>
      <c r="K23" s="673"/>
    </row>
    <row r="24" spans="5:11">
      <c r="E24" s="943"/>
      <c r="F24" s="673">
        <v>80</v>
      </c>
      <c r="G24" s="673">
        <v>100</v>
      </c>
      <c r="H24" s="673"/>
      <c r="I24" s="673"/>
      <c r="J24" s="673"/>
      <c r="K24" s="673"/>
    </row>
    <row r="25" spans="5:11">
      <c r="E25" s="943"/>
      <c r="F25" s="673">
        <v>82</v>
      </c>
      <c r="G25" s="673">
        <v>100</v>
      </c>
      <c r="H25" s="673"/>
      <c r="I25" s="673"/>
      <c r="J25" s="673"/>
      <c r="K25" s="673"/>
    </row>
    <row r="26" spans="5:11">
      <c r="E26" s="943"/>
      <c r="F26" s="673">
        <v>160</v>
      </c>
      <c r="G26" s="673">
        <v>100</v>
      </c>
      <c r="H26" s="673"/>
      <c r="I26" s="673"/>
      <c r="J26" s="673"/>
      <c r="K26" s="673"/>
    </row>
    <row r="27" spans="5:11">
      <c r="E27" s="943"/>
      <c r="F27" s="673">
        <v>125</v>
      </c>
      <c r="G27" s="673">
        <v>100</v>
      </c>
      <c r="H27" s="673"/>
      <c r="I27" s="673"/>
      <c r="J27" s="673"/>
      <c r="K27" s="673"/>
    </row>
    <row r="28" spans="5:11">
      <c r="E28" s="943"/>
      <c r="F28" s="673">
        <v>44</v>
      </c>
      <c r="G28" s="673">
        <v>100</v>
      </c>
      <c r="H28" s="673"/>
      <c r="I28" s="671">
        <f>+G30/7</f>
        <v>99.714285714285708</v>
      </c>
      <c r="J28" s="673"/>
      <c r="K28" s="673"/>
    </row>
    <row r="29" spans="5:11">
      <c r="E29" s="943"/>
      <c r="F29" s="673">
        <v>30</v>
      </c>
      <c r="G29" s="673">
        <v>100</v>
      </c>
      <c r="H29" s="673"/>
      <c r="I29" s="673"/>
      <c r="J29" s="673"/>
      <c r="K29" s="673"/>
    </row>
    <row r="30" spans="5:11">
      <c r="E30" s="943"/>
      <c r="F30" s="671">
        <f>SUM(F23:F29)</f>
        <v>564</v>
      </c>
      <c r="G30" s="671">
        <f>SUM(G23:G29)</f>
        <v>698</v>
      </c>
      <c r="H30" s="673"/>
      <c r="I30" s="673"/>
      <c r="J30" s="673"/>
      <c r="K30" s="673"/>
    </row>
    <row r="31" spans="5:11">
      <c r="E31" s="943" t="s">
        <v>144</v>
      </c>
      <c r="F31" s="673">
        <v>91</v>
      </c>
      <c r="G31" s="673">
        <v>100</v>
      </c>
      <c r="H31" s="673"/>
      <c r="I31" s="673"/>
      <c r="J31" s="673"/>
      <c r="K31" s="673"/>
    </row>
    <row r="32" spans="5:11">
      <c r="E32" s="943"/>
      <c r="F32" s="673">
        <v>25</v>
      </c>
      <c r="G32" s="673">
        <v>100</v>
      </c>
      <c r="H32" s="673"/>
      <c r="I32" s="673"/>
      <c r="J32" s="673"/>
      <c r="K32" s="673"/>
    </row>
    <row r="33" spans="5:11">
      <c r="E33" s="943"/>
      <c r="F33" s="673">
        <v>18</v>
      </c>
      <c r="G33" s="673">
        <v>100</v>
      </c>
      <c r="H33" s="673"/>
      <c r="I33" s="671">
        <f>+G36/5</f>
        <v>100</v>
      </c>
      <c r="J33" s="673"/>
      <c r="K33" s="673"/>
    </row>
    <row r="34" spans="5:11">
      <c r="E34" s="943"/>
      <c r="F34" s="673">
        <v>20</v>
      </c>
      <c r="G34" s="673">
        <v>100</v>
      </c>
      <c r="H34" s="673"/>
      <c r="I34" s="673"/>
      <c r="J34" s="673"/>
      <c r="K34" s="673"/>
    </row>
    <row r="35" spans="5:11">
      <c r="E35" s="943"/>
      <c r="F35" s="673">
        <v>25</v>
      </c>
      <c r="G35" s="673">
        <v>100</v>
      </c>
      <c r="H35" s="673"/>
      <c r="I35" s="673"/>
      <c r="J35" s="673"/>
      <c r="K35" s="673"/>
    </row>
    <row r="36" spans="5:11">
      <c r="E36" s="943"/>
      <c r="F36" s="671">
        <f>SUM(F31:F35)</f>
        <v>179</v>
      </c>
      <c r="G36" s="671">
        <f>SUM(G31:G35)</f>
        <v>500</v>
      </c>
      <c r="H36" s="673"/>
      <c r="I36" s="673"/>
      <c r="J36" s="673"/>
      <c r="K36" s="673"/>
    </row>
  </sheetData>
  <mergeCells count="4">
    <mergeCell ref="E12:E21"/>
    <mergeCell ref="E7:E11"/>
    <mergeCell ref="E23:E30"/>
    <mergeCell ref="E31: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9:G14"/>
  <sheetViews>
    <sheetView workbookViewId="0">
      <selection activeCell="F14" sqref="F14"/>
    </sheetView>
  </sheetViews>
  <sheetFormatPr baseColWidth="10" defaultColWidth="11.44140625" defaultRowHeight="14.4"/>
  <cols>
    <col min="4" max="4" width="16.88671875" bestFit="1" customWidth="1"/>
  </cols>
  <sheetData>
    <row r="9" spans="3:7">
      <c r="D9" s="650">
        <v>8500000000</v>
      </c>
      <c r="E9">
        <v>100</v>
      </c>
      <c r="G9">
        <f>+(D11*E9)/D9</f>
        <v>35.447188875999998</v>
      </c>
    </row>
    <row r="10" spans="3:7">
      <c r="D10" s="650">
        <v>3834524769</v>
      </c>
      <c r="E10">
        <v>100</v>
      </c>
      <c r="G10">
        <f>+(D11*E10)/D10</f>
        <v>78.575866266884447</v>
      </c>
    </row>
    <row r="11" spans="3:7">
      <c r="D11" s="650">
        <v>3013011054.46</v>
      </c>
      <c r="E11" t="s">
        <v>147</v>
      </c>
    </row>
    <row r="13" spans="3:7">
      <c r="C13" t="s">
        <v>148</v>
      </c>
      <c r="D13" s="635">
        <v>4226109249</v>
      </c>
      <c r="E13">
        <v>100</v>
      </c>
      <c r="G13">
        <f>+(D14*100)/D9</f>
        <v>40.849990723058824</v>
      </c>
    </row>
    <row r="14" spans="3:7">
      <c r="C14" t="s">
        <v>149</v>
      </c>
      <c r="D14" s="650">
        <v>3472249211.46</v>
      </c>
      <c r="E14" t="s">
        <v>147</v>
      </c>
      <c r="G14">
        <f>+(D14*100)/D13</f>
        <v>82.161842178633179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4:Y17"/>
  <sheetViews>
    <sheetView topLeftCell="D1" workbookViewId="0">
      <selection activeCell="Y12" sqref="Y12"/>
    </sheetView>
  </sheetViews>
  <sheetFormatPr baseColWidth="10" defaultColWidth="11.44140625" defaultRowHeight="14.4"/>
  <cols>
    <col min="5" max="8" width="0" hidden="1" customWidth="1"/>
    <col min="9" max="9" width="34.109375" hidden="1" customWidth="1"/>
    <col min="10" max="11" width="0" hidden="1" customWidth="1"/>
    <col min="12" max="12" width="18.44140625" hidden="1" customWidth="1"/>
    <col min="13" max="13" width="12" hidden="1" customWidth="1"/>
    <col min="14" max="16" width="0" hidden="1" customWidth="1"/>
    <col min="23" max="23" width="15.33203125" bestFit="1" customWidth="1"/>
    <col min="25" max="25" width="15.109375" bestFit="1" customWidth="1"/>
  </cols>
  <sheetData>
    <row r="4" spans="5:25">
      <c r="I4" s="646" t="s">
        <v>150</v>
      </c>
    </row>
    <row r="6" spans="5:25">
      <c r="L6" t="s">
        <v>151</v>
      </c>
      <c r="M6" t="s">
        <v>152</v>
      </c>
    </row>
    <row r="7" spans="5:25">
      <c r="K7" t="s">
        <v>153</v>
      </c>
      <c r="L7">
        <v>24910188203.779999</v>
      </c>
      <c r="M7">
        <v>21456571434.48</v>
      </c>
      <c r="N7">
        <f>+(L7*100)/M7</f>
        <v>116.09584634640254</v>
      </c>
      <c r="O7">
        <v>100</v>
      </c>
      <c r="P7" s="646">
        <f>+N7-O7</f>
        <v>16.095846346402539</v>
      </c>
    </row>
    <row r="8" spans="5:25">
      <c r="K8" t="s">
        <v>154</v>
      </c>
      <c r="L8">
        <v>25526515027.59</v>
      </c>
      <c r="M8">
        <v>23537620568.959999</v>
      </c>
      <c r="N8">
        <f>+(L8*100)/M8</f>
        <v>108.44985351345511</v>
      </c>
      <c r="O8">
        <v>100</v>
      </c>
      <c r="P8">
        <f>+N8-O8</f>
        <v>8.4498535134551105</v>
      </c>
    </row>
    <row r="9" spans="5:25">
      <c r="V9">
        <v>100</v>
      </c>
      <c r="W9">
        <v>8000000000</v>
      </c>
      <c r="X9" t="s">
        <v>155</v>
      </c>
      <c r="Y9" t="s">
        <v>156</v>
      </c>
    </row>
    <row r="10" spans="5:25">
      <c r="W10" s="650">
        <v>7586109350.5299997</v>
      </c>
      <c r="X10" t="s">
        <v>157</v>
      </c>
      <c r="Y10">
        <f>+(W10*V9)/W9</f>
        <v>94.826366881625006</v>
      </c>
    </row>
    <row r="11" spans="5:25">
      <c r="W11" s="650">
        <v>7209690969.5299997</v>
      </c>
      <c r="X11" t="s">
        <v>158</v>
      </c>
      <c r="Y11">
        <f>+W11*100/W10</f>
        <v>95.038057539024251</v>
      </c>
    </row>
    <row r="12" spans="5:25">
      <c r="I12" s="648"/>
    </row>
    <row r="13" spans="5:25">
      <c r="E13" t="s">
        <v>159</v>
      </c>
      <c r="I13" s="649"/>
    </row>
    <row r="14" spans="5:25">
      <c r="E14" t="s">
        <v>160</v>
      </c>
      <c r="I14" s="649" t="s">
        <v>161</v>
      </c>
    </row>
    <row r="15" spans="5:25">
      <c r="E15" t="e">
        <f>+E13/E14</f>
        <v>#VALUE!</v>
      </c>
      <c r="I15" s="649"/>
    </row>
    <row r="16" spans="5:25">
      <c r="I16" s="649" t="s">
        <v>162</v>
      </c>
    </row>
    <row r="17" spans="9:9">
      <c r="I17" s="649"/>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7:H17"/>
  <sheetViews>
    <sheetView topLeftCell="A4" workbookViewId="0">
      <selection activeCell="B15" sqref="B15"/>
    </sheetView>
  </sheetViews>
  <sheetFormatPr baseColWidth="10" defaultColWidth="11.44140625" defaultRowHeight="14.4"/>
  <cols>
    <col min="2" max="2" width="78.109375" customWidth="1"/>
    <col min="5" max="6" width="21.88671875" bestFit="1" customWidth="1"/>
    <col min="7" max="7" width="27.441406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72">
      <c r="B13" s="177" t="s">
        <v>163</v>
      </c>
    </row>
    <row r="14" spans="2:8">
      <c r="E14" t="s">
        <v>164</v>
      </c>
      <c r="F14" t="s">
        <v>165</v>
      </c>
      <c r="G14" t="s">
        <v>166</v>
      </c>
    </row>
    <row r="15" spans="2:8" ht="86.4">
      <c r="B15" s="177" t="s">
        <v>167</v>
      </c>
      <c r="E15" s="646">
        <v>19554218548.529999</v>
      </c>
      <c r="F15" s="646">
        <v>21735135297.009998</v>
      </c>
      <c r="G15" s="646">
        <v>19227028885.700001</v>
      </c>
    </row>
    <row r="16" spans="2:8">
      <c r="E16" s="646">
        <v>21456571434.48</v>
      </c>
      <c r="F16" s="646">
        <v>23537620568.349998</v>
      </c>
      <c r="G16" s="646">
        <v>21013229068.959999</v>
      </c>
    </row>
    <row r="17" spans="5:6">
      <c r="E17">
        <f>+E15/E16</f>
        <v>0.91133938188777996</v>
      </c>
      <c r="F17">
        <f>+F15/F16</f>
        <v>0.9234210923697308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F10:G28"/>
  <sheetViews>
    <sheetView topLeftCell="A4" workbookViewId="0">
      <selection activeCell="G28" sqref="G28"/>
    </sheetView>
  </sheetViews>
  <sheetFormatPr baseColWidth="10" defaultColWidth="11.44140625" defaultRowHeight="14.4"/>
  <cols>
    <col min="6" max="6" width="59.88671875" customWidth="1"/>
    <col min="7" max="7" width="43.44140625" customWidth="1"/>
  </cols>
  <sheetData>
    <row r="10" spans="6:7" ht="86.4">
      <c r="F10" s="641" t="s">
        <v>168</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11:I12"/>
  <sheetViews>
    <sheetView workbookViewId="0">
      <selection activeCell="I12" sqref="I12"/>
    </sheetView>
  </sheetViews>
  <sheetFormatPr baseColWidth="10" defaultColWidth="11.44140625" defaultRowHeight="14.4"/>
  <cols>
    <col min="5" max="6" width="17.88671875" bestFit="1" customWidth="1"/>
  </cols>
  <sheetData>
    <row r="11" spans="4:9">
      <c r="D11" t="s">
        <v>169</v>
      </c>
      <c r="E11" s="637">
        <v>16690514730.530001</v>
      </c>
      <c r="F11" s="637">
        <v>18214740191.799999</v>
      </c>
      <c r="H11" s="638">
        <f>+(F11*100)/E11</f>
        <v>109.13228552791072</v>
      </c>
      <c r="I11" s="640">
        <f>+H11-100</f>
        <v>9.1322855279107245</v>
      </c>
    </row>
    <row r="12" spans="4:9">
      <c r="D12" t="s">
        <v>170</v>
      </c>
      <c r="E12" s="637">
        <v>14999781739.27</v>
      </c>
      <c r="F12" s="637">
        <v>20154761426.970001</v>
      </c>
      <c r="H12" s="638">
        <f>+(F12*100)/E12</f>
        <v>134.36703131622286</v>
      </c>
      <c r="I12" s="639">
        <f>+H12-100</f>
        <v>34.367031316222864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9:F16"/>
  <sheetViews>
    <sheetView topLeftCell="A4" workbookViewId="0">
      <selection activeCell="E17" sqref="E17"/>
    </sheetView>
  </sheetViews>
  <sheetFormatPr baseColWidth="10" defaultColWidth="11.44140625" defaultRowHeight="14.4"/>
  <cols>
    <col min="4" max="4" width="13.6640625" bestFit="1" customWidth="1"/>
    <col min="5" max="5" width="37.88671875" customWidth="1"/>
    <col min="6" max="6" width="15.33203125" bestFit="1" customWidth="1"/>
  </cols>
  <sheetData>
    <row r="9" spans="4:6">
      <c r="D9" s="181">
        <v>1</v>
      </c>
      <c r="E9" t="s">
        <v>171</v>
      </c>
      <c r="F9" s="636" t="s">
        <v>171</v>
      </c>
    </row>
    <row r="10" spans="4:6" ht="43.2">
      <c r="D10" s="635">
        <v>11050804592</v>
      </c>
      <c r="E10" s="634" t="s">
        <v>172</v>
      </c>
      <c r="F10" s="231">
        <v>6374026878.5299997</v>
      </c>
    </row>
    <row r="14" spans="4:6">
      <c r="D14">
        <v>11050804592</v>
      </c>
      <c r="E14">
        <v>823868018.70000005</v>
      </c>
      <c r="F14">
        <v>637402687.89999998</v>
      </c>
    </row>
    <row r="16" spans="4:6">
      <c r="D16" s="165"/>
      <c r="E16">
        <f>+(E14*100)/D14</f>
        <v>7.4552763270868265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F11:K13"/>
  <sheetViews>
    <sheetView workbookViewId="0">
      <selection activeCell="H12" sqref="H12"/>
    </sheetView>
  </sheetViews>
  <sheetFormatPr baseColWidth="10" defaultColWidth="11.44140625" defaultRowHeight="14.4"/>
  <cols>
    <col min="6" max="6" width="15.33203125" customWidth="1"/>
    <col min="7" max="7" width="15.33203125" bestFit="1" customWidth="1"/>
    <col min="9" max="9" width="12" bestFit="1" customWidth="1"/>
    <col min="11" max="11" width="12.6640625" bestFit="1" customWidth="1"/>
  </cols>
  <sheetData>
    <row r="11" spans="6:11">
      <c r="F11" t="s">
        <v>173</v>
      </c>
      <c r="G11" s="642">
        <v>7785630322.46</v>
      </c>
    </row>
    <row r="12" spans="6:11">
      <c r="F12" t="s">
        <v>174</v>
      </c>
      <c r="G12" s="642">
        <v>8500000000</v>
      </c>
      <c r="I12" s="644">
        <f>+(G11*100)/G12</f>
        <v>91.595650852470584</v>
      </c>
      <c r="K12" s="635">
        <v>4836325721</v>
      </c>
    </row>
    <row r="13" spans="6:11">
      <c r="F13" t="s">
        <v>175</v>
      </c>
      <c r="G13" s="642">
        <v>8500000000</v>
      </c>
      <c r="I13" s="643">
        <f>+(G11*100)/G13</f>
        <v>91.595650852470584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
  <dimension ref="E6:G17"/>
  <sheetViews>
    <sheetView workbookViewId="0">
      <selection activeCell="J9" sqref="J9"/>
    </sheetView>
  </sheetViews>
  <sheetFormatPr baseColWidth="10" defaultColWidth="11.44140625" defaultRowHeight="14.4"/>
  <sheetData>
    <row r="6" spans="5:7">
      <c r="E6" t="s">
        <v>176</v>
      </c>
      <c r="F6" t="s">
        <v>177</v>
      </c>
      <c r="G6" t="s">
        <v>178</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5">
        <f>+F15/E15</f>
        <v>0.24489795918367346</v>
      </c>
      <c r="G17" s="165">
        <f>+G15/E15</f>
        <v>0.75510204081632648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filterMode="1">
    <pageSetUpPr fitToPage="1"/>
  </sheetPr>
  <dimension ref="A1:BL60"/>
  <sheetViews>
    <sheetView zoomScale="55" zoomScaleNormal="55" zoomScalePageLayoutView="55" workbookViewId="0">
      <pane xSplit="2" ySplit="7" topLeftCell="C36" activePane="bottomRight" state="frozen"/>
      <selection pane="topRight" activeCell="H17" sqref="H17"/>
      <selection pane="bottomLeft" activeCell="H17" sqref="H17"/>
      <selection pane="bottomRight" activeCell="H62" sqref="H62"/>
    </sheetView>
  </sheetViews>
  <sheetFormatPr baseColWidth="10" defaultColWidth="11.44140625" defaultRowHeight="14.4" outlineLevelCol="1"/>
  <cols>
    <col min="1" max="1" width="34.44140625" customWidth="1"/>
    <col min="2" max="2" width="16.44140625" hidden="1" customWidth="1"/>
    <col min="3" max="3" width="56.109375" customWidth="1"/>
    <col min="4" max="4" width="40.109375" style="77" customWidth="1"/>
    <col min="5" max="6" width="4.44140625" hidden="1" customWidth="1"/>
    <col min="7" max="7" width="51" customWidth="1"/>
    <col min="8" max="8" width="48.44140625" customWidth="1"/>
    <col min="9" max="9" width="35.109375" customWidth="1"/>
    <col min="10" max="10" width="16" customWidth="1"/>
    <col min="11" max="11" width="9.44140625" customWidth="1"/>
    <col min="12" max="14" width="17.88671875" customWidth="1"/>
    <col min="15" max="15" width="16.44140625" style="72" customWidth="1"/>
    <col min="16" max="27" width="7.88671875" hidden="1" customWidth="1" outlineLevel="1"/>
    <col min="28" max="28" width="11.44140625" style="67" hidden="1" customWidth="1"/>
    <col min="29" max="29" width="31.44140625" hidden="1" customWidth="1"/>
    <col min="30" max="30" width="11.44140625" hidden="1" customWidth="1"/>
    <col min="31" max="31" width="16.44140625" customWidth="1"/>
    <col min="32" max="32" width="19.109375" customWidth="1"/>
    <col min="33" max="33" width="14.109375" customWidth="1"/>
    <col min="34" max="35" width="16.109375" customWidth="1"/>
    <col min="36" max="37" width="13.88671875" customWidth="1"/>
    <col min="38" max="38" width="88.109375" customWidth="1"/>
    <col min="39" max="39" width="34.88671875" customWidth="1"/>
    <col min="40" max="40" width="13.109375" hidden="1" customWidth="1"/>
    <col min="41" max="41" width="27.109375" bestFit="1" customWidth="1"/>
    <col min="50" max="50" width="7" bestFit="1" customWidth="1"/>
    <col min="51" max="51" width="8.88671875" bestFit="1" customWidth="1"/>
    <col min="52" max="52" width="7.44140625" bestFit="1" customWidth="1"/>
    <col min="53" max="53" width="6" bestFit="1" customWidth="1"/>
    <col min="54" max="55" width="6.44140625" bestFit="1" customWidth="1"/>
    <col min="56" max="56" width="5.88671875" bestFit="1" customWidth="1"/>
    <col min="57" max="57" width="8.44140625" bestFit="1" customWidth="1"/>
    <col min="58" max="58" width="11.88671875" customWidth="1"/>
    <col min="59" max="59" width="9.109375" bestFit="1" customWidth="1"/>
    <col min="60" max="60" width="11.88671875" customWidth="1"/>
    <col min="61" max="61" width="10.44140625" bestFit="1" customWidth="1"/>
    <col min="75" max="80" width="9.44140625" customWidth="1"/>
  </cols>
  <sheetData>
    <row r="1" spans="1:64" ht="15" customHeight="1">
      <c r="A1" s="965" t="s">
        <v>179</v>
      </c>
      <c r="B1" s="965"/>
      <c r="C1" s="966"/>
      <c r="D1" s="967" t="s">
        <v>180</v>
      </c>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9"/>
      <c r="AF1" s="944" t="s">
        <v>181</v>
      </c>
      <c r="AG1" s="944"/>
    </row>
    <row r="2" spans="1:64" ht="15" customHeight="1">
      <c r="A2" s="966"/>
      <c r="B2" s="966"/>
      <c r="C2" s="966"/>
      <c r="D2" s="970"/>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2"/>
      <c r="AF2" s="944"/>
      <c r="AG2" s="944"/>
    </row>
    <row r="3" spans="1:64" ht="15" customHeight="1">
      <c r="A3" s="966"/>
      <c r="B3" s="966"/>
      <c r="C3" s="966"/>
      <c r="D3" s="973"/>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5"/>
      <c r="AF3" s="944"/>
      <c r="AG3" s="944"/>
    </row>
    <row r="4" spans="1:64" ht="15" customHeight="1">
      <c r="A4" s="966"/>
      <c r="B4" s="966"/>
      <c r="C4" s="966"/>
      <c r="D4" s="945" t="s">
        <v>182</v>
      </c>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7"/>
      <c r="AF4" s="951" t="s">
        <v>183</v>
      </c>
      <c r="AG4" s="951"/>
      <c r="AW4" s="64"/>
      <c r="AX4" s="64"/>
      <c r="AY4" s="64"/>
      <c r="AZ4" s="64"/>
      <c r="BA4" s="64"/>
      <c r="BB4" s="64"/>
      <c r="BC4" s="64"/>
      <c r="BD4" s="64"/>
      <c r="BE4" s="64"/>
      <c r="BF4" s="64"/>
      <c r="BG4" s="64"/>
      <c r="BH4" s="64"/>
      <c r="BI4" s="64"/>
      <c r="BJ4" s="64"/>
      <c r="BK4" s="64"/>
      <c r="BL4" s="64"/>
    </row>
    <row r="5" spans="1:64" ht="15" customHeight="1">
      <c r="A5" s="966"/>
      <c r="B5" s="966"/>
      <c r="C5" s="966"/>
      <c r="D5" s="948"/>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50"/>
      <c r="AF5" s="952">
        <v>42731</v>
      </c>
      <c r="AG5" s="952"/>
      <c r="AW5" s="64"/>
      <c r="AX5" s="64"/>
      <c r="AY5" s="64"/>
      <c r="AZ5" s="64"/>
      <c r="BA5" s="64"/>
      <c r="BB5" s="64"/>
      <c r="BC5" s="64"/>
      <c r="BD5" s="64"/>
      <c r="BE5" s="64"/>
      <c r="BF5" s="64"/>
      <c r="BG5" s="64"/>
      <c r="BH5" s="64"/>
      <c r="BI5" s="64"/>
      <c r="BJ5" s="64"/>
      <c r="BK5" s="64"/>
      <c r="BL5" s="64"/>
    </row>
    <row r="6" spans="1:64" ht="15" thickBot="1">
      <c r="D6" s="707"/>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6" thickBot="1">
      <c r="A7" s="232" t="s">
        <v>184</v>
      </c>
      <c r="B7" s="233"/>
      <c r="C7" s="233" t="s">
        <v>185</v>
      </c>
      <c r="D7" s="233" t="s">
        <v>186</v>
      </c>
      <c r="E7" s="233" t="s">
        <v>187</v>
      </c>
      <c r="F7" s="233" t="s">
        <v>188</v>
      </c>
      <c r="G7" s="233" t="s">
        <v>189</v>
      </c>
      <c r="H7" s="233" t="s">
        <v>190</v>
      </c>
      <c r="I7" s="233" t="s">
        <v>191</v>
      </c>
      <c r="J7" s="233" t="s">
        <v>192</v>
      </c>
      <c r="K7" s="233" t="s">
        <v>193</v>
      </c>
      <c r="L7" s="233" t="s">
        <v>194</v>
      </c>
      <c r="M7" s="233" t="s">
        <v>195</v>
      </c>
      <c r="N7" s="233" t="s">
        <v>196</v>
      </c>
      <c r="O7" s="233" t="s">
        <v>197</v>
      </c>
      <c r="P7" s="234">
        <v>42736</v>
      </c>
      <c r="Q7" s="234">
        <v>42767</v>
      </c>
      <c r="R7" s="234">
        <v>42795</v>
      </c>
      <c r="S7" s="234">
        <v>42826</v>
      </c>
      <c r="T7" s="234">
        <v>42856</v>
      </c>
      <c r="U7" s="234">
        <v>42887</v>
      </c>
      <c r="V7" s="234">
        <v>42917</v>
      </c>
      <c r="W7" s="234">
        <v>42948</v>
      </c>
      <c r="X7" s="234">
        <v>42979</v>
      </c>
      <c r="Y7" s="234">
        <v>43009</v>
      </c>
      <c r="Z7" s="234">
        <v>43040</v>
      </c>
      <c r="AA7" s="234">
        <v>43070</v>
      </c>
      <c r="AB7" s="233" t="s">
        <v>198</v>
      </c>
      <c r="AC7" s="233" t="s">
        <v>199</v>
      </c>
      <c r="AD7" s="233" t="s">
        <v>200</v>
      </c>
      <c r="AE7" s="233" t="s">
        <v>201</v>
      </c>
      <c r="AF7" s="235" t="s">
        <v>202</v>
      </c>
      <c r="AG7" s="235" t="s">
        <v>203</v>
      </c>
      <c r="AH7" s="235" t="s">
        <v>204</v>
      </c>
      <c r="AI7" s="236" t="s">
        <v>44</v>
      </c>
      <c r="AJ7" s="236" t="s">
        <v>45</v>
      </c>
      <c r="AK7" s="500" t="s">
        <v>46</v>
      </c>
      <c r="AL7" s="237" t="s">
        <v>53</v>
      </c>
      <c r="AM7" s="443" t="s">
        <v>205</v>
      </c>
      <c r="AN7" s="221" t="s">
        <v>206</v>
      </c>
      <c r="AV7" s="64"/>
      <c r="AW7" s="65"/>
      <c r="AX7" s="65"/>
      <c r="AY7" s="65"/>
      <c r="AZ7" s="65"/>
      <c r="BA7" s="65"/>
      <c r="BB7" s="65"/>
      <c r="BC7" s="65"/>
      <c r="BD7" s="65"/>
      <c r="BE7" s="65"/>
      <c r="BF7" s="65"/>
      <c r="BG7" s="65"/>
      <c r="BH7" s="65"/>
      <c r="BI7" s="65"/>
      <c r="BJ7" s="64"/>
      <c r="BK7" s="64"/>
    </row>
    <row r="8" spans="1:64" ht="36.75" hidden="1" customHeight="1">
      <c r="A8" s="956" t="s">
        <v>207</v>
      </c>
      <c r="B8" s="238">
        <v>1</v>
      </c>
      <c r="C8" s="239" t="s">
        <v>55</v>
      </c>
      <c r="D8" s="240" t="s">
        <v>56</v>
      </c>
      <c r="E8" s="241"/>
      <c r="F8" s="242"/>
      <c r="G8" s="239" t="s">
        <v>208</v>
      </c>
      <c r="H8" s="239" t="s">
        <v>209</v>
      </c>
      <c r="I8" s="243">
        <v>0.1111111111111111</v>
      </c>
      <c r="J8" s="244" t="s">
        <v>65</v>
      </c>
      <c r="K8" s="245" t="s">
        <v>70</v>
      </c>
      <c r="L8" s="245"/>
      <c r="M8" s="245"/>
      <c r="N8" s="245"/>
      <c r="O8" s="246">
        <v>0.1111111111111111</v>
      </c>
      <c r="P8" s="247"/>
      <c r="Q8" s="247"/>
      <c r="R8" s="247"/>
      <c r="S8" s="247"/>
      <c r="T8" s="247"/>
      <c r="U8" s="247"/>
      <c r="V8" s="247"/>
      <c r="W8" s="247"/>
      <c r="X8" s="247"/>
      <c r="Y8" s="247"/>
      <c r="Z8" s="247"/>
      <c r="AA8" s="247"/>
      <c r="AB8" s="248" t="e">
        <f>LOOKUP(1000000000,P8:AA8)</f>
        <v>#N/A</v>
      </c>
      <c r="AC8" s="249"/>
      <c r="AD8" s="247" t="e">
        <f t="shared" ref="AD8:AD27" si="0">+IF(SLOPE(P8:AA8,$P$7:$AA$7)&gt;0,"Al alza",IF(SLOPE(P8:AA8,$P$7:$AA$7)&lt;0,"A la baja","Sin cambio"))</f>
        <v>#DIV/0!</v>
      </c>
      <c r="AE8" s="250" t="s">
        <v>210</v>
      </c>
      <c r="AF8" s="251">
        <v>9.6100000000000005E-3</v>
      </c>
      <c r="AG8" s="252" t="str">
        <f>IF($K$8="Sube",IF(ISERROR(AB8/$O$8)=TRUE,"",IF(AB8&gt;$O$8,AF8,AB8/$O$8*AF8)),IF(ISERROR($O$8/AB8)=TRUE,"",IF($O$8&lt;AB8,$O$8/AB8*AF8,AF8)))</f>
        <v/>
      </c>
      <c r="AH8" s="253" t="str">
        <f>IF($K$8="Sube",IF(ISERROR(AB8/$O$8)=TRUE,"",IF(AB8&gt;=$O$8,1,0)),IF(ISERROR($O$8/AB8)=TRUE,"",IF($O$8&lt;AB8,0,1)))</f>
        <v/>
      </c>
      <c r="AI8" s="254"/>
      <c r="AJ8" s="255"/>
      <c r="AK8" s="444"/>
      <c r="AL8" s="444"/>
      <c r="AM8" s="174"/>
      <c r="AN8" s="134"/>
      <c r="AV8" s="64"/>
      <c r="AW8" s="63"/>
      <c r="AX8" s="63"/>
      <c r="AY8" s="63"/>
      <c r="AZ8" s="63"/>
      <c r="BA8" s="63"/>
      <c r="BB8" s="63"/>
      <c r="BC8" s="63"/>
      <c r="BD8" s="63"/>
      <c r="BE8" s="63"/>
      <c r="BF8" s="63"/>
      <c r="BG8" s="63"/>
      <c r="BH8" s="63"/>
      <c r="BI8" s="64"/>
      <c r="BJ8" s="64"/>
      <c r="BK8" s="64"/>
    </row>
    <row r="9" spans="1:64" ht="41.4" hidden="1" thickBot="1">
      <c r="A9" s="954"/>
      <c r="B9" s="256">
        <v>2</v>
      </c>
      <c r="C9" s="257" t="s">
        <v>211</v>
      </c>
      <c r="D9" s="258" t="s">
        <v>56</v>
      </c>
      <c r="E9" s="259"/>
      <c r="F9" s="260"/>
      <c r="G9" s="257" t="s">
        <v>212</v>
      </c>
      <c r="H9" s="257" t="s">
        <v>64</v>
      </c>
      <c r="I9" s="261" t="s">
        <v>213</v>
      </c>
      <c r="J9" s="262" t="s">
        <v>65</v>
      </c>
      <c r="K9" s="263"/>
      <c r="L9" s="263"/>
      <c r="M9" s="263"/>
      <c r="N9" s="263"/>
      <c r="O9" s="264">
        <f>+(9.9925/9.9204)-1</f>
        <v>7.2678521027376153E-3</v>
      </c>
      <c r="P9" s="265"/>
      <c r="Q9" s="265"/>
      <c r="R9" s="265"/>
      <c r="S9" s="265"/>
      <c r="T9" s="265"/>
      <c r="U9" s="265"/>
      <c r="V9" s="265"/>
      <c r="W9" s="265"/>
      <c r="X9" s="265"/>
      <c r="Y9" s="265"/>
      <c r="Z9" s="265"/>
      <c r="AA9" s="265"/>
      <c r="AB9" s="266" t="e">
        <f>LOOKUP(1000000000,P9:AA9)</f>
        <v>#N/A</v>
      </c>
      <c r="AC9" s="267"/>
      <c r="AD9" s="265" t="e">
        <f t="shared" si="0"/>
        <v>#DIV/0!</v>
      </c>
      <c r="AE9" s="268" t="s">
        <v>210</v>
      </c>
      <c r="AF9" s="269">
        <v>9.6100000000000005E-3</v>
      </c>
      <c r="AG9" s="270" t="str">
        <f>IF($K$9="Sube",IF(ISERROR(AB9/$O$9)=TRUE,"",IF(AB9&gt;$O$9,AF9,AB9/$O$9*AF9)),IF(ISERROR($O$9/AB9)=TRUE,"",IF($O$9&lt;AB9,$O$9/AB9*AF9,AF9)))</f>
        <v/>
      </c>
      <c r="AH9" s="271" t="str">
        <f>IF($K$9="Sube",IF(ISERROR(AB9/$O$9)=TRUE,"",IF(AB9&gt;=$O$9,1,0)),IF(ISERROR($O$9/AB9)=TRUE,"",IF($O$9&lt;AB9,0,1)))</f>
        <v/>
      </c>
      <c r="AI9" s="272"/>
      <c r="AJ9" s="273"/>
      <c r="AK9" s="445"/>
      <c r="AL9" s="445"/>
      <c r="AM9" s="222"/>
      <c r="AN9" s="135"/>
      <c r="AV9" s="64"/>
      <c r="AW9" s="63"/>
      <c r="AX9" s="63"/>
      <c r="AY9" s="63"/>
      <c r="AZ9" s="63"/>
      <c r="BA9" s="63"/>
      <c r="BB9" s="63"/>
      <c r="BC9" s="63"/>
      <c r="BD9" s="63"/>
      <c r="BE9" s="63"/>
      <c r="BF9" s="63"/>
      <c r="BG9" s="63"/>
      <c r="BH9" s="63"/>
      <c r="BI9" s="64"/>
      <c r="BJ9" s="64"/>
      <c r="BK9" s="64"/>
    </row>
    <row r="10" spans="1:64" ht="61.8" hidden="1" thickBot="1">
      <c r="A10" s="954"/>
      <c r="B10" s="256">
        <v>3</v>
      </c>
      <c r="C10" s="257" t="s">
        <v>66</v>
      </c>
      <c r="D10" s="258" t="s">
        <v>56</v>
      </c>
      <c r="E10" s="259"/>
      <c r="F10" s="260"/>
      <c r="G10" s="257" t="s">
        <v>214</v>
      </c>
      <c r="H10" s="257" t="s">
        <v>215</v>
      </c>
      <c r="I10" s="274" t="s">
        <v>216</v>
      </c>
      <c r="J10" s="275" t="s">
        <v>59</v>
      </c>
      <c r="K10" s="263"/>
      <c r="L10" s="263"/>
      <c r="M10" s="263"/>
      <c r="N10" s="263"/>
      <c r="O10" s="276" t="s">
        <v>217</v>
      </c>
      <c r="P10" s="265"/>
      <c r="Q10" s="265"/>
      <c r="R10" s="265"/>
      <c r="S10" s="265"/>
      <c r="T10" s="265"/>
      <c r="U10" s="265"/>
      <c r="V10" s="265"/>
      <c r="W10" s="265"/>
      <c r="X10" s="265"/>
      <c r="Y10" s="265"/>
      <c r="Z10" s="265"/>
      <c r="AA10" s="265"/>
      <c r="AB10" s="266" t="e">
        <f t="shared" ref="AB10:AB48" si="1">LOOKUP(1000000000,P10:AA10)</f>
        <v>#N/A</v>
      </c>
      <c r="AC10" s="267"/>
      <c r="AD10" s="265" t="e">
        <f t="shared" si="0"/>
        <v>#DIV/0!</v>
      </c>
      <c r="AE10" s="268" t="s">
        <v>210</v>
      </c>
      <c r="AF10" s="269">
        <v>9.6100000000000005E-3</v>
      </c>
      <c r="AG10" s="270" t="str">
        <f>IF($K$10="Sube",IF(ISERROR(AB10/$O$10)=TRUE,"",IF(AB10&gt;$O$10,AF10,AB10/$O$10*AF10)),IF(ISERROR($O$10/AB10)=TRUE,"",IF($O$10&lt;AB10,$O$10/AB10*AF10,AF10)))</f>
        <v/>
      </c>
      <c r="AH10" s="271" t="str">
        <f>IF($K$10="Sube",IF(ISERROR(AB10/$O$10)=TRUE,"",IF(AB10&gt;=$O$10,1,0)),IF(ISERROR($O$10/AB10)=TRUE,"",IF($O$10&lt;AB10,0,1)))</f>
        <v/>
      </c>
      <c r="AI10" s="272"/>
      <c r="AJ10" s="273"/>
      <c r="AK10" s="445"/>
      <c r="AL10" s="445"/>
      <c r="AM10" s="222"/>
      <c r="AN10" s="135"/>
      <c r="AV10" s="64"/>
      <c r="AW10" s="63"/>
      <c r="AX10" s="63"/>
      <c r="AY10" s="63"/>
      <c r="AZ10" s="63"/>
      <c r="BA10" s="63"/>
      <c r="BB10" s="63"/>
      <c r="BC10" s="63"/>
      <c r="BD10" s="63"/>
      <c r="BE10" s="63"/>
      <c r="BF10" s="63"/>
      <c r="BG10" s="63"/>
      <c r="BH10" s="63"/>
      <c r="BI10" s="64"/>
      <c r="BJ10" s="64"/>
      <c r="BK10" s="64"/>
    </row>
    <row r="11" spans="1:64" ht="41.4" hidden="1" thickBot="1">
      <c r="A11" s="954"/>
      <c r="B11" s="256"/>
      <c r="C11" s="257" t="s">
        <v>218</v>
      </c>
      <c r="D11" s="258" t="s">
        <v>78</v>
      </c>
      <c r="E11" s="261"/>
      <c r="F11" s="277"/>
      <c r="G11" s="257" t="s">
        <v>219</v>
      </c>
      <c r="H11" s="257" t="s">
        <v>220</v>
      </c>
      <c r="I11" s="278">
        <v>0.94169999999999998</v>
      </c>
      <c r="J11" s="275" t="s">
        <v>221</v>
      </c>
      <c r="K11" s="263"/>
      <c r="L11" s="263"/>
      <c r="M11" s="263"/>
      <c r="N11" s="263"/>
      <c r="O11" s="276">
        <v>1</v>
      </c>
      <c r="P11" s="265"/>
      <c r="Q11" s="265"/>
      <c r="R11" s="265"/>
      <c r="S11" s="265"/>
      <c r="T11" s="265"/>
      <c r="U11" s="265"/>
      <c r="V11" s="265"/>
      <c r="W11" s="265"/>
      <c r="X11" s="265"/>
      <c r="Y11" s="265"/>
      <c r="Z11" s="265"/>
      <c r="AA11" s="265"/>
      <c r="AB11" s="266" t="e">
        <f t="shared" si="1"/>
        <v>#N/A</v>
      </c>
      <c r="AC11" s="267"/>
      <c r="AD11" s="265" t="e">
        <f t="shared" si="0"/>
        <v>#DIV/0!</v>
      </c>
      <c r="AE11" s="268" t="s">
        <v>210</v>
      </c>
      <c r="AF11" s="269">
        <v>9.6100000000000005E-3</v>
      </c>
      <c r="AG11" s="270" t="str">
        <f>IF($K$11="Sube",IF(ISERROR(AB11/$O$11)=TRUE,"",IF(AB11&gt;$O$11,AF11,AB11/$O$11*AF11)),IF(ISERROR($O$11/AB11)=TRUE,"",IF($O$11&lt;AB11,$O$11/AB11*AF11,AF11)))</f>
        <v/>
      </c>
      <c r="AH11" s="271" t="str">
        <f>IF($K$11="Sube",IF(ISERROR(AB11/$O$11)=TRUE,"",IF(AB11&gt;=$O$11,1,0)),IF(ISERROR($O$11/AB11)=TRUE,"",IF($O$11&lt;AB11,0,1)))</f>
        <v/>
      </c>
      <c r="AI11" s="272"/>
      <c r="AJ11" s="279">
        <v>0.96</v>
      </c>
      <c r="AK11" s="501"/>
      <c r="AL11" s="446" t="s">
        <v>222</v>
      </c>
      <c r="AM11" s="228" t="s">
        <v>223</v>
      </c>
      <c r="AN11" s="135"/>
      <c r="AV11" s="64"/>
      <c r="AW11" s="63"/>
      <c r="AX11" s="63"/>
      <c r="AY11" s="63"/>
      <c r="AZ11" s="63"/>
      <c r="BA11" s="63"/>
      <c r="BB11" s="63"/>
      <c r="BC11" s="63"/>
      <c r="BD11" s="63"/>
      <c r="BE11" s="63"/>
      <c r="BF11" s="63"/>
      <c r="BG11" s="63"/>
      <c r="BH11" s="63"/>
      <c r="BI11" s="64"/>
      <c r="BJ11" s="64"/>
      <c r="BK11" s="64"/>
    </row>
    <row r="12" spans="1:64" s="170" customFormat="1" ht="102.6" hidden="1" thickBot="1">
      <c r="A12" s="957"/>
      <c r="B12" s="280"/>
      <c r="C12" s="281" t="s">
        <v>224</v>
      </c>
      <c r="D12" s="282" t="s">
        <v>78</v>
      </c>
      <c r="E12" s="281"/>
      <c r="F12" s="281"/>
      <c r="G12" s="283" t="s">
        <v>225</v>
      </c>
      <c r="H12" s="283" t="s">
        <v>226</v>
      </c>
      <c r="I12" s="284">
        <v>0.97</v>
      </c>
      <c r="J12" s="285" t="s">
        <v>227</v>
      </c>
      <c r="K12" s="286"/>
      <c r="L12" s="286"/>
      <c r="M12" s="286"/>
      <c r="N12" s="286"/>
      <c r="O12" s="287">
        <v>0.98</v>
      </c>
      <c r="P12" s="288"/>
      <c r="Q12" s="288"/>
      <c r="R12" s="288"/>
      <c r="S12" s="288"/>
      <c r="T12" s="288"/>
      <c r="U12" s="288"/>
      <c r="V12" s="288"/>
      <c r="W12" s="288"/>
      <c r="X12" s="288"/>
      <c r="Y12" s="288"/>
      <c r="Z12" s="288"/>
      <c r="AA12" s="288"/>
      <c r="AB12" s="289" t="e">
        <f t="shared" si="1"/>
        <v>#N/A</v>
      </c>
      <c r="AC12" s="290"/>
      <c r="AD12" s="288" t="e">
        <f t="shared" si="0"/>
        <v>#DIV/0!</v>
      </c>
      <c r="AE12" s="291" t="s">
        <v>210</v>
      </c>
      <c r="AF12" s="292">
        <v>9.6100000000000005E-3</v>
      </c>
      <c r="AG12" s="293" t="str">
        <f>IF($K$12="Sube",IF(ISERROR(AB12/$O$12)=TRUE,"",IF(AB12&gt;$O$12,AF12,AB12/$O$12*AF12)),IF(ISERROR($O$12/AB12)=TRUE,"",IF($O$12&lt;AB12,$O$12/AB12*AF12,AF12)))</f>
        <v/>
      </c>
      <c r="AH12" s="294" t="str">
        <f>IF($K$12="Sube",IF(ISERROR(AB12/$O$12)=TRUE,"",IF(AB12&gt;=$O$12,1,0)),IF(ISERROR($O$12/AB12)=TRUE,"",IF($O$12&lt;AB12,0,1)))</f>
        <v/>
      </c>
      <c r="AI12" s="295"/>
      <c r="AJ12" s="296"/>
      <c r="AK12" s="447"/>
      <c r="AL12" s="447"/>
      <c r="AM12" s="223"/>
      <c r="AN12" s="173"/>
      <c r="AV12" s="171"/>
      <c r="AW12" s="172"/>
      <c r="AX12" s="172"/>
      <c r="AY12" s="172"/>
      <c r="AZ12" s="172"/>
      <c r="BA12" s="172"/>
      <c r="BB12" s="172"/>
      <c r="BC12" s="172"/>
      <c r="BD12" s="172"/>
      <c r="BE12" s="172"/>
      <c r="BF12" s="172"/>
      <c r="BG12" s="172"/>
      <c r="BH12" s="172"/>
      <c r="BI12" s="171"/>
      <c r="BJ12" s="171"/>
      <c r="BK12" s="171"/>
    </row>
    <row r="13" spans="1:64" ht="61.8" hidden="1" thickBot="1">
      <c r="A13" s="962" t="s">
        <v>15</v>
      </c>
      <c r="B13" s="256">
        <v>5</v>
      </c>
      <c r="C13" s="258" t="s">
        <v>228</v>
      </c>
      <c r="D13" s="258" t="s">
        <v>61</v>
      </c>
      <c r="E13" s="297"/>
      <c r="F13" s="297"/>
      <c r="G13" s="258" t="s">
        <v>229</v>
      </c>
      <c r="H13" s="258" t="s">
        <v>230</v>
      </c>
      <c r="I13" s="298" t="s">
        <v>231</v>
      </c>
      <c r="J13" s="275" t="s">
        <v>232</v>
      </c>
      <c r="K13" s="263" t="s">
        <v>58</v>
      </c>
      <c r="L13" s="263"/>
      <c r="M13" s="263"/>
      <c r="N13" s="263"/>
      <c r="O13" s="276"/>
      <c r="P13" s="265"/>
      <c r="Q13" s="265"/>
      <c r="R13" s="265"/>
      <c r="S13" s="265"/>
      <c r="T13" s="265"/>
      <c r="U13" s="265"/>
      <c r="V13" s="265"/>
      <c r="W13" s="265"/>
      <c r="X13" s="265"/>
      <c r="Y13" s="265"/>
      <c r="Z13" s="265"/>
      <c r="AA13" s="265"/>
      <c r="AB13" s="266" t="e">
        <f t="shared" si="1"/>
        <v>#N/A</v>
      </c>
      <c r="AC13" s="267"/>
      <c r="AD13" s="265" t="e">
        <f t="shared" si="0"/>
        <v>#DIV/0!</v>
      </c>
      <c r="AE13" s="268" t="s">
        <v>210</v>
      </c>
      <c r="AF13" s="299">
        <v>9.6100000000000005E-3</v>
      </c>
      <c r="AG13" s="270" t="str">
        <f>IF($K$13="Sube",IF(ISERROR(AB13/$O$13)=TRUE,"",IF(AB13&gt;$O$13,AF13,AB13/$O$13*AF13)),IF(ISERROR($O$13/AB13)=TRUE,"",IF($O$13&lt;AB13,$O$13/AB13*AF13,AF13)))</f>
        <v/>
      </c>
      <c r="AH13" s="271" t="str">
        <f>IF($K$13="Sube",IF(ISERROR(AB13/$O$13)=TRUE,"",IF(AB13&gt;=$O$13,1,0)),IF(ISERROR($O$13/AB13)=TRUE,"",IF($O$13&lt;AB13,0,1)))</f>
        <v/>
      </c>
      <c r="AI13" s="272"/>
      <c r="AJ13" s="273"/>
      <c r="AK13" s="445"/>
      <c r="AL13" s="445"/>
      <c r="AM13" s="222"/>
      <c r="AN13" s="135"/>
      <c r="AV13" s="64"/>
      <c r="AW13" s="63"/>
      <c r="AX13" s="63"/>
      <c r="AY13" s="63"/>
      <c r="AZ13" s="63"/>
      <c r="BA13" s="63"/>
      <c r="BB13" s="63"/>
      <c r="BC13" s="63"/>
      <c r="BD13" s="63"/>
      <c r="BE13" s="63"/>
      <c r="BF13" s="63"/>
      <c r="BG13" s="63"/>
      <c r="BH13" s="63"/>
      <c r="BI13" s="64"/>
      <c r="BJ13" s="64"/>
      <c r="BK13" s="64"/>
    </row>
    <row r="14" spans="1:64" ht="66.75" hidden="1" customHeight="1" thickBot="1">
      <c r="A14" s="963"/>
      <c r="B14" s="256">
        <v>6</v>
      </c>
      <c r="C14" s="258" t="s">
        <v>233</v>
      </c>
      <c r="D14" s="258" t="s">
        <v>78</v>
      </c>
      <c r="E14" s="297"/>
      <c r="F14" s="297"/>
      <c r="G14" s="258" t="s">
        <v>234</v>
      </c>
      <c r="H14" s="258" t="s">
        <v>235</v>
      </c>
      <c r="I14" s="298" t="s">
        <v>231</v>
      </c>
      <c r="J14" s="275" t="s">
        <v>232</v>
      </c>
      <c r="K14" s="263" t="s">
        <v>58</v>
      </c>
      <c r="L14" s="263"/>
      <c r="M14" s="263"/>
      <c r="N14" s="263"/>
      <c r="O14" s="276"/>
      <c r="P14" s="265"/>
      <c r="Q14" s="265"/>
      <c r="R14" s="265"/>
      <c r="S14" s="265"/>
      <c r="T14" s="265"/>
      <c r="U14" s="265"/>
      <c r="V14" s="265"/>
      <c r="W14" s="265"/>
      <c r="X14" s="265"/>
      <c r="Y14" s="265"/>
      <c r="Z14" s="265"/>
      <c r="AA14" s="265"/>
      <c r="AB14" s="266" t="e">
        <f t="shared" si="1"/>
        <v>#N/A</v>
      </c>
      <c r="AC14" s="267"/>
      <c r="AD14" s="265" t="e">
        <f t="shared" si="0"/>
        <v>#DIV/0!</v>
      </c>
      <c r="AE14" s="268" t="s">
        <v>210</v>
      </c>
      <c r="AF14" s="299">
        <v>9.6100000000000005E-3</v>
      </c>
      <c r="AG14" s="270" t="str">
        <f>IF($K$14="Sube",IF(ISERROR(AB14/$O$14)=TRUE,"",IF(AB14&gt;$O$14,AF14,AB14/$O$14*AF14)),IF(ISERROR($O$14/AB14)=TRUE,"",IF($O$14&lt;AB14,$O$14/AB14*AF14,AF14)))</f>
        <v/>
      </c>
      <c r="AH14" s="271" t="str">
        <f>IF($K$14="Sube",IF(ISERROR(AB14/$O$14)=TRUE,"",IF(AB14&gt;=$O$14,1,0)),IF(ISERROR($O$14/AB14)=TRUE,"",IF($O$14&lt;AB14,0,1)))</f>
        <v/>
      </c>
      <c r="AI14" s="272"/>
      <c r="AJ14" s="273"/>
      <c r="AK14" s="445"/>
      <c r="AL14" s="445"/>
      <c r="AM14" s="222"/>
      <c r="AN14" s="135"/>
      <c r="AV14" s="64"/>
      <c r="AW14" s="63"/>
      <c r="AX14" s="63"/>
      <c r="AY14" s="63"/>
      <c r="AZ14" s="63"/>
      <c r="BA14" s="63"/>
      <c r="BB14" s="63"/>
      <c r="BC14" s="63"/>
      <c r="BD14" s="63"/>
      <c r="BE14" s="63"/>
      <c r="BF14" s="63"/>
      <c r="BG14" s="63"/>
      <c r="BH14" s="63"/>
      <c r="BI14" s="64"/>
      <c r="BJ14" s="64"/>
      <c r="BK14" s="64"/>
    </row>
    <row r="15" spans="1:64" ht="66.75" hidden="1" customHeight="1" thickBot="1">
      <c r="A15" s="963"/>
      <c r="B15" s="256"/>
      <c r="C15" s="300" t="s">
        <v>236</v>
      </c>
      <c r="D15" s="300" t="s">
        <v>61</v>
      </c>
      <c r="E15" s="301"/>
      <c r="F15" s="301"/>
      <c r="G15" s="300" t="s">
        <v>237</v>
      </c>
      <c r="H15" s="300" t="s">
        <v>238</v>
      </c>
      <c r="I15" s="298" t="s">
        <v>231</v>
      </c>
      <c r="J15" s="275" t="s">
        <v>232</v>
      </c>
      <c r="K15" s="302"/>
      <c r="L15" s="302"/>
      <c r="M15" s="302"/>
      <c r="N15" s="302"/>
      <c r="O15" s="303"/>
      <c r="P15" s="304"/>
      <c r="Q15" s="304"/>
      <c r="R15" s="304"/>
      <c r="S15" s="304"/>
      <c r="T15" s="304"/>
      <c r="U15" s="304"/>
      <c r="V15" s="304"/>
      <c r="W15" s="304"/>
      <c r="X15" s="304"/>
      <c r="Y15" s="304"/>
      <c r="Z15" s="304"/>
      <c r="AA15" s="304"/>
      <c r="AB15" s="305"/>
      <c r="AC15" s="306"/>
      <c r="AD15" s="304"/>
      <c r="AE15" s="307"/>
      <c r="AF15" s="308"/>
      <c r="AG15" s="309"/>
      <c r="AH15" s="310"/>
      <c r="AI15" s="311"/>
      <c r="AJ15" s="312"/>
      <c r="AK15" s="448"/>
      <c r="AL15" s="448"/>
      <c r="AM15" s="224"/>
      <c r="AN15" s="175"/>
      <c r="AV15" s="64"/>
      <c r="AW15" s="63"/>
      <c r="AX15" s="63"/>
      <c r="AY15" s="63"/>
      <c r="AZ15" s="63"/>
      <c r="BA15" s="63"/>
      <c r="BB15" s="63"/>
      <c r="BC15" s="63"/>
      <c r="BD15" s="63"/>
      <c r="BE15" s="63"/>
      <c r="BF15" s="63"/>
      <c r="BG15" s="63"/>
      <c r="BH15" s="63"/>
      <c r="BI15" s="64"/>
      <c r="BJ15" s="64"/>
      <c r="BK15" s="64"/>
    </row>
    <row r="16" spans="1:64" ht="61.8" hidden="1" thickBot="1">
      <c r="A16" s="964"/>
      <c r="B16" s="313">
        <v>7</v>
      </c>
      <c r="C16" s="282" t="s">
        <v>129</v>
      </c>
      <c r="D16" s="282" t="s">
        <v>56</v>
      </c>
      <c r="E16" s="314"/>
      <c r="F16" s="314"/>
      <c r="G16" s="282" t="s">
        <v>130</v>
      </c>
      <c r="H16" s="282" t="s">
        <v>131</v>
      </c>
      <c r="I16" s="315">
        <f>44099470/60000000</f>
        <v>0.73499116666666664</v>
      </c>
      <c r="J16" s="285" t="s">
        <v>239</v>
      </c>
      <c r="K16" s="286" t="s">
        <v>58</v>
      </c>
      <c r="L16" s="286"/>
      <c r="M16" s="286"/>
      <c r="N16" s="286"/>
      <c r="O16" s="316">
        <v>0.8</v>
      </c>
      <c r="P16" s="317"/>
      <c r="Q16" s="317"/>
      <c r="R16" s="317"/>
      <c r="S16" s="317"/>
      <c r="T16" s="317"/>
      <c r="U16" s="317"/>
      <c r="V16" s="317"/>
      <c r="W16" s="317"/>
      <c r="X16" s="317"/>
      <c r="Y16" s="317"/>
      <c r="Z16" s="317"/>
      <c r="AA16" s="317"/>
      <c r="AB16" s="318" t="e">
        <f t="shared" si="1"/>
        <v>#N/A</v>
      </c>
      <c r="AC16" s="319"/>
      <c r="AD16" s="317" t="e">
        <f t="shared" si="0"/>
        <v>#DIV/0!</v>
      </c>
      <c r="AE16" s="291" t="s">
        <v>210</v>
      </c>
      <c r="AF16" s="320">
        <v>9.6100000000000005E-3</v>
      </c>
      <c r="AG16" s="321" t="str">
        <f>IF($K$16="Sube",IF(ISERROR(AB16/$O$16)=TRUE,"",IF(AB16&gt;$O$16,AF16,AB16/$O$16*AF16)),IF(ISERROR($O$16/AB16)=TRUE,"",IF($O$16&lt;AB16,$O$16/AB16*AF16,AF16)))</f>
        <v/>
      </c>
      <c r="AH16" s="322" t="str">
        <f>IF($K$16="Sube",IF(ISERROR(AB16/$O$16)=TRUE,"",IF(AB16&gt;=$O$16,1,0)),IF(ISERROR($O$16/AB16)=TRUE,"",IF($O$16&lt;AB16,0,1)))</f>
        <v/>
      </c>
      <c r="AI16" s="323"/>
      <c r="AJ16" s="324"/>
      <c r="AK16" s="449"/>
      <c r="AL16" s="449"/>
      <c r="AM16" s="176"/>
      <c r="AN16" s="148"/>
      <c r="AV16" s="64"/>
      <c r="AW16" s="63"/>
      <c r="AX16" s="63"/>
      <c r="AY16" s="63"/>
      <c r="AZ16" s="63"/>
      <c r="BA16" s="63"/>
      <c r="BB16" s="63"/>
      <c r="BC16" s="63"/>
      <c r="BD16" s="63"/>
      <c r="BE16" s="63"/>
      <c r="BF16" s="63"/>
      <c r="BG16" s="63"/>
      <c r="BH16" s="63"/>
      <c r="BI16" s="64"/>
      <c r="BJ16" s="64"/>
      <c r="BK16" s="64"/>
    </row>
    <row r="17" spans="1:63" ht="61.8" hidden="1" thickBot="1">
      <c r="A17" s="958" t="s">
        <v>4</v>
      </c>
      <c r="B17" s="325">
        <v>8</v>
      </c>
      <c r="C17" s="240" t="s">
        <v>240</v>
      </c>
      <c r="D17" s="240" t="s">
        <v>78</v>
      </c>
      <c r="E17" s="326"/>
      <c r="F17" s="327"/>
      <c r="G17" s="240" t="s">
        <v>241</v>
      </c>
      <c r="H17" s="240" t="s">
        <v>242</v>
      </c>
      <c r="I17" s="328" t="s">
        <v>231</v>
      </c>
      <c r="J17" s="244" t="s">
        <v>65</v>
      </c>
      <c r="K17" s="245" t="s">
        <v>58</v>
      </c>
      <c r="L17" s="245"/>
      <c r="M17" s="245"/>
      <c r="N17" s="245"/>
      <c r="O17" s="246">
        <v>1</v>
      </c>
      <c r="P17" s="247"/>
      <c r="Q17" s="247"/>
      <c r="R17" s="247"/>
      <c r="S17" s="247"/>
      <c r="T17" s="247"/>
      <c r="U17" s="247"/>
      <c r="V17" s="247"/>
      <c r="W17" s="247"/>
      <c r="X17" s="247"/>
      <c r="Y17" s="247"/>
      <c r="Z17" s="247"/>
      <c r="AA17" s="247"/>
      <c r="AB17" s="248" t="e">
        <f t="shared" si="1"/>
        <v>#N/A</v>
      </c>
      <c r="AC17" s="249"/>
      <c r="AD17" s="247" t="e">
        <f t="shared" si="0"/>
        <v>#DIV/0!</v>
      </c>
      <c r="AE17" s="250" t="s">
        <v>210</v>
      </c>
      <c r="AF17" s="329">
        <v>9.6100000000000005E-3</v>
      </c>
      <c r="AG17" s="252" t="str">
        <f>IF($K$17="Sube",IF(ISERROR(AB17/$O$17)=TRUE,"",IF(AB17&gt;$O$17,AF17,AB17/$O$17*AF17)),IF(ISERROR($O$17/AB17)=TRUE,"",IF($O$17&lt;AB17,$O$17/AB17*AF17,AF17)))</f>
        <v/>
      </c>
      <c r="AH17" s="253" t="str">
        <f>IF($K$17="Sube",IF(ISERROR(AB17/$O$17)=TRUE,"",IF(AB17&gt;=$O$17,1,0)),IF(ISERROR($O$17/AB17)=TRUE,"",IF($O$17&lt;AB17,0,1)))</f>
        <v/>
      </c>
      <c r="AI17" s="254"/>
      <c r="AJ17" s="255"/>
      <c r="AK17" s="444"/>
      <c r="AL17" s="444"/>
      <c r="AM17" s="174"/>
      <c r="AN17" s="134"/>
      <c r="AO17" t="s">
        <v>243</v>
      </c>
      <c r="AV17" s="64"/>
      <c r="AW17" s="63"/>
      <c r="AX17" s="63"/>
      <c r="AY17" s="63"/>
      <c r="AZ17" s="63"/>
      <c r="BA17" s="63"/>
      <c r="BB17" s="63"/>
      <c r="BC17" s="63"/>
      <c r="BD17" s="63"/>
      <c r="BE17" s="63"/>
      <c r="BF17" s="63"/>
      <c r="BG17" s="63"/>
      <c r="BH17" s="63"/>
      <c r="BI17" s="64"/>
      <c r="BJ17" s="64"/>
      <c r="BK17" s="64"/>
    </row>
    <row r="18" spans="1:63" ht="73.8" hidden="1" thickBot="1">
      <c r="A18" s="959"/>
      <c r="B18" s="330">
        <v>10</v>
      </c>
      <c r="C18" s="331" t="s">
        <v>244</v>
      </c>
      <c r="D18" s="258" t="s">
        <v>78</v>
      </c>
      <c r="E18" s="297"/>
      <c r="F18" s="332"/>
      <c r="G18" s="258" t="s">
        <v>245</v>
      </c>
      <c r="H18" s="258" t="s">
        <v>246</v>
      </c>
      <c r="I18" s="333" t="s">
        <v>231</v>
      </c>
      <c r="J18" s="275" t="s">
        <v>65</v>
      </c>
      <c r="K18" s="263" t="s">
        <v>58</v>
      </c>
      <c r="L18" s="263"/>
      <c r="M18" s="263"/>
      <c r="N18" s="263"/>
      <c r="O18" s="276">
        <v>1</v>
      </c>
      <c r="P18" s="265"/>
      <c r="Q18" s="265"/>
      <c r="R18" s="265"/>
      <c r="S18" s="265"/>
      <c r="T18" s="265"/>
      <c r="U18" s="265"/>
      <c r="V18" s="265"/>
      <c r="W18" s="265"/>
      <c r="X18" s="265"/>
      <c r="Y18" s="265"/>
      <c r="Z18" s="265"/>
      <c r="AA18" s="265"/>
      <c r="AB18" s="266" t="e">
        <f t="shared" si="1"/>
        <v>#N/A</v>
      </c>
      <c r="AC18" s="267"/>
      <c r="AD18" s="265" t="e">
        <f t="shared" si="0"/>
        <v>#DIV/0!</v>
      </c>
      <c r="AE18" s="268" t="s">
        <v>210</v>
      </c>
      <c r="AF18" s="299">
        <v>9.6100000000000005E-3</v>
      </c>
      <c r="AG18" s="270" t="str">
        <f>IF($K$18="Sube",IF(ISERROR(AB18/$O$18)=TRUE,"",IF(AB18&gt;$O$18,AF18,AB18/$O$18*AF18)),IF(ISERROR($O$18/AB18)=TRUE,"",IF($O$18&lt;AB18,$O$18/AB18*AF18,AF18)))</f>
        <v/>
      </c>
      <c r="AH18" s="271" t="str">
        <f>IF($K$18="Sube",IF(ISERROR(AB18/$O$18)=TRUE,"",IF(AB18&gt;=$O$18,1,0)),IF(ISERROR($O$18/AB18)=TRUE,"",IF($O$18&lt;AB18,0,1)))</f>
        <v/>
      </c>
      <c r="AI18" s="272"/>
      <c r="AJ18" s="273"/>
      <c r="AK18" s="445"/>
      <c r="AL18" s="445"/>
      <c r="AM18" s="222"/>
      <c r="AN18" s="135"/>
      <c r="AO18" s="177" t="s">
        <v>247</v>
      </c>
      <c r="AV18" s="64"/>
      <c r="AW18" s="63"/>
      <c r="AX18" s="63"/>
      <c r="AY18" s="63"/>
      <c r="AZ18" s="63"/>
      <c r="BA18" s="63"/>
      <c r="BB18" s="63"/>
      <c r="BC18" s="63"/>
      <c r="BD18" s="63"/>
      <c r="BE18" s="63"/>
      <c r="BF18" s="63"/>
      <c r="BG18" s="63"/>
      <c r="BH18" s="63"/>
      <c r="BI18" s="64"/>
      <c r="BJ18" s="64"/>
      <c r="BK18" s="64"/>
    </row>
    <row r="19" spans="1:63" ht="61.8" hidden="1" thickBot="1">
      <c r="A19" s="959"/>
      <c r="B19" s="330">
        <v>11</v>
      </c>
      <c r="C19" s="334" t="s">
        <v>248</v>
      </c>
      <c r="D19" s="258" t="s">
        <v>61</v>
      </c>
      <c r="E19" s="297"/>
      <c r="F19" s="332"/>
      <c r="G19" s="258" t="s">
        <v>249</v>
      </c>
      <c r="H19" s="258" t="s">
        <v>250</v>
      </c>
      <c r="I19" s="333" t="s">
        <v>231</v>
      </c>
      <c r="J19" s="275" t="s">
        <v>59</v>
      </c>
      <c r="K19" s="263" t="s">
        <v>58</v>
      </c>
      <c r="L19" s="263"/>
      <c r="M19" s="263"/>
      <c r="N19" s="263"/>
      <c r="O19" s="276">
        <v>1</v>
      </c>
      <c r="P19" s="265"/>
      <c r="Q19" s="265"/>
      <c r="R19" s="265"/>
      <c r="S19" s="265"/>
      <c r="T19" s="265"/>
      <c r="U19" s="265"/>
      <c r="V19" s="265"/>
      <c r="W19" s="265"/>
      <c r="X19" s="265"/>
      <c r="Y19" s="265"/>
      <c r="Z19" s="265"/>
      <c r="AA19" s="265"/>
      <c r="AB19" s="266" t="e">
        <f t="shared" si="1"/>
        <v>#N/A</v>
      </c>
      <c r="AC19" s="267"/>
      <c r="AD19" s="265" t="e">
        <f t="shared" si="0"/>
        <v>#DIV/0!</v>
      </c>
      <c r="AE19" s="268" t="s">
        <v>210</v>
      </c>
      <c r="AF19" s="299">
        <v>9.6100000000000005E-3</v>
      </c>
      <c r="AG19" s="270" t="str">
        <f>IF($K$19="Sube",IF(ISERROR(AB19/$O$19)=TRUE,"",IF(AB19&gt;$O$19,AF19,AB19/$O$19*AF19)),IF(ISERROR($O$19/AB19)=TRUE,"",IF($O$19&lt;AB19,$O$19/AB19*AF19,AF19)))</f>
        <v/>
      </c>
      <c r="AH19" s="271" t="str">
        <f>IF($K$19="Sube",IF(ISERROR(AB19/$O$19)=TRUE,"",IF(AB19&gt;=$O$19,1,0)),IF(ISERROR($O$19/AB19)=TRUE,"",IF($O$19&lt;AB19,0,1)))</f>
        <v/>
      </c>
      <c r="AI19" s="272"/>
      <c r="AJ19" s="273"/>
      <c r="AK19" s="445"/>
      <c r="AL19" s="445"/>
      <c r="AM19" s="222"/>
      <c r="AN19" s="135"/>
      <c r="AO19" t="s">
        <v>251</v>
      </c>
      <c r="AV19" s="64"/>
      <c r="AW19" s="63"/>
      <c r="AX19" s="63"/>
      <c r="AY19" s="63"/>
      <c r="AZ19" s="63"/>
      <c r="BA19" s="63"/>
      <c r="BB19" s="63"/>
      <c r="BC19" s="63"/>
      <c r="BD19" s="63"/>
      <c r="BE19" s="63"/>
      <c r="BF19" s="63"/>
      <c r="BG19" s="63"/>
      <c r="BH19" s="63"/>
      <c r="BI19" s="64"/>
      <c r="BJ19" s="64"/>
      <c r="BK19" s="64"/>
    </row>
    <row r="20" spans="1:63" ht="41.4" hidden="1" thickBot="1">
      <c r="A20" s="959"/>
      <c r="B20" s="330"/>
      <c r="C20" s="258" t="s">
        <v>77</v>
      </c>
      <c r="D20" s="300" t="s">
        <v>78</v>
      </c>
      <c r="E20" s="301"/>
      <c r="F20" s="335"/>
      <c r="G20" s="258" t="s">
        <v>79</v>
      </c>
      <c r="H20" s="258" t="s">
        <v>80</v>
      </c>
      <c r="I20" s="336" t="s">
        <v>252</v>
      </c>
      <c r="J20" s="275" t="s">
        <v>59</v>
      </c>
      <c r="K20" s="263" t="s">
        <v>58</v>
      </c>
      <c r="L20" s="263"/>
      <c r="M20" s="263"/>
      <c r="N20" s="263"/>
      <c r="O20" s="276">
        <v>0.9</v>
      </c>
      <c r="P20" s="265"/>
      <c r="Q20" s="265"/>
      <c r="R20" s="265"/>
      <c r="S20" s="265"/>
      <c r="T20" s="265"/>
      <c r="U20" s="265"/>
      <c r="V20" s="265"/>
      <c r="W20" s="265"/>
      <c r="X20" s="265"/>
      <c r="Y20" s="265"/>
      <c r="Z20" s="265"/>
      <c r="AA20" s="265"/>
      <c r="AB20" s="266" t="e">
        <f t="shared" ref="AB20" si="2">LOOKUP(1000000000,P20:AA20)</f>
        <v>#N/A</v>
      </c>
      <c r="AC20" s="267"/>
      <c r="AD20" s="265" t="e">
        <f t="shared" ref="AD20" si="3">+IF(SLOPE(P20:AA20,$P$7:$AA$7)&gt;0,"Al alza",IF(SLOPE(P20:AA20,$P$7:$AA$7)&lt;0,"A la baja","Sin cambio"))</f>
        <v>#DIV/0!</v>
      </c>
      <c r="AE20" s="268" t="s">
        <v>210</v>
      </c>
      <c r="AF20" s="299">
        <v>9.6100000000000005E-3</v>
      </c>
      <c r="AG20" s="270"/>
      <c r="AH20" s="271"/>
      <c r="AI20" s="272"/>
      <c r="AJ20" s="273"/>
      <c r="AK20" s="445"/>
      <c r="AL20" s="445"/>
      <c r="AM20" s="222"/>
      <c r="AN20" s="135"/>
      <c r="AV20" s="64"/>
      <c r="AW20" s="63"/>
      <c r="AX20" s="63"/>
      <c r="AY20" s="63"/>
      <c r="AZ20" s="63"/>
      <c r="BA20" s="63"/>
      <c r="BB20" s="63"/>
      <c r="BC20" s="63"/>
      <c r="BD20" s="63"/>
      <c r="BE20" s="63"/>
      <c r="BF20" s="63"/>
      <c r="BG20" s="63"/>
      <c r="BH20" s="63"/>
      <c r="BI20" s="64"/>
      <c r="BJ20" s="64"/>
      <c r="BK20" s="64"/>
    </row>
    <row r="21" spans="1:63" ht="61.8" hidden="1" thickBot="1">
      <c r="A21" s="959"/>
      <c r="B21" s="330"/>
      <c r="C21" s="258" t="s">
        <v>253</v>
      </c>
      <c r="D21" s="300" t="s">
        <v>56</v>
      </c>
      <c r="E21" s="301"/>
      <c r="F21" s="335"/>
      <c r="G21" s="258" t="s">
        <v>254</v>
      </c>
      <c r="H21" s="258" t="s">
        <v>255</v>
      </c>
      <c r="I21" s="261" t="s">
        <v>213</v>
      </c>
      <c r="J21" s="275" t="s">
        <v>65</v>
      </c>
      <c r="K21" s="263" t="s">
        <v>58</v>
      </c>
      <c r="L21" s="263"/>
      <c r="M21" s="263"/>
      <c r="N21" s="263"/>
      <c r="O21" s="264">
        <f>+(9.9925/9.9204)-1</f>
        <v>7.2678521027376153E-3</v>
      </c>
      <c r="P21" s="265"/>
      <c r="Q21" s="265"/>
      <c r="R21" s="265"/>
      <c r="S21" s="265"/>
      <c r="T21" s="265"/>
      <c r="U21" s="265"/>
      <c r="V21" s="265"/>
      <c r="W21" s="265"/>
      <c r="X21" s="265"/>
      <c r="Y21" s="265"/>
      <c r="Z21" s="265"/>
      <c r="AA21" s="265"/>
      <c r="AB21" s="266"/>
      <c r="AC21" s="267"/>
      <c r="AD21" s="265"/>
      <c r="AE21" s="268"/>
      <c r="AF21" s="299"/>
      <c r="AG21" s="270"/>
      <c r="AH21" s="271"/>
      <c r="AI21" s="272"/>
      <c r="AJ21" s="273"/>
      <c r="AK21" s="445"/>
      <c r="AL21" s="445"/>
      <c r="AM21" s="222"/>
      <c r="AN21" s="135"/>
      <c r="AV21" s="64"/>
      <c r="AW21" s="63"/>
      <c r="AX21" s="63"/>
      <c r="AY21" s="63"/>
      <c r="AZ21" s="63"/>
      <c r="BA21" s="63"/>
      <c r="BB21" s="63"/>
      <c r="BC21" s="63"/>
      <c r="BD21" s="63"/>
      <c r="BE21" s="63"/>
      <c r="BF21" s="63"/>
      <c r="BG21" s="63"/>
      <c r="BH21" s="63"/>
      <c r="BI21" s="64"/>
      <c r="BJ21" s="64"/>
      <c r="BK21" s="64"/>
    </row>
    <row r="22" spans="1:63" ht="61.8" hidden="1" thickBot="1">
      <c r="A22" s="960"/>
      <c r="B22" s="337">
        <v>12</v>
      </c>
      <c r="C22" s="282" t="s">
        <v>256</v>
      </c>
      <c r="D22" s="282" t="s">
        <v>56</v>
      </c>
      <c r="E22" s="314"/>
      <c r="F22" s="338"/>
      <c r="G22" s="282" t="s">
        <v>257</v>
      </c>
      <c r="H22" s="282" t="s">
        <v>258</v>
      </c>
      <c r="I22" s="274" t="s">
        <v>216</v>
      </c>
      <c r="J22" s="275" t="s">
        <v>59</v>
      </c>
      <c r="K22" s="263"/>
      <c r="L22" s="263"/>
      <c r="M22" s="263"/>
      <c r="N22" s="263"/>
      <c r="O22" s="276" t="s">
        <v>259</v>
      </c>
      <c r="P22" s="317"/>
      <c r="Q22" s="317"/>
      <c r="R22" s="317"/>
      <c r="S22" s="317"/>
      <c r="T22" s="317"/>
      <c r="U22" s="317"/>
      <c r="V22" s="317"/>
      <c r="W22" s="317"/>
      <c r="X22" s="317"/>
      <c r="Y22" s="317"/>
      <c r="Z22" s="317"/>
      <c r="AA22" s="317"/>
      <c r="AB22" s="318"/>
      <c r="AC22" s="319"/>
      <c r="AD22" s="317"/>
      <c r="AE22" s="291"/>
      <c r="AF22" s="320"/>
      <c r="AG22" s="321" t="str">
        <f>IF($K$22="Sube",IF(ISERROR(AB22/$O$22)=TRUE,"",IF(AB22&gt;$O$22,AF22,AB22/$O$22*AF22)),IF(ISERROR($O$22/AB22)=TRUE,"",IF($O$22&lt;AB22,$O$22/AB22*AF22,AF22)))</f>
        <v/>
      </c>
      <c r="AH22" s="322" t="str">
        <f>IF($K$22="Sube",IF(ISERROR(AB22/$O$22)=TRUE,"",IF(AB22&gt;=$O$22,1,0)),IF(ISERROR($O$22/AB22)=TRUE,"",IF($O$22&lt;AB22,0,1)))</f>
        <v/>
      </c>
      <c r="AI22" s="323"/>
      <c r="AJ22" s="324"/>
      <c r="AK22" s="449"/>
      <c r="AL22" s="449"/>
      <c r="AM22" s="176"/>
      <c r="AN22" s="148"/>
      <c r="AV22" s="64"/>
      <c r="AW22" s="63"/>
      <c r="AX22" s="63"/>
      <c r="AY22" s="63"/>
      <c r="AZ22" s="63"/>
      <c r="BA22" s="63"/>
      <c r="BB22" s="63"/>
      <c r="BC22" s="63"/>
      <c r="BD22" s="63"/>
      <c r="BE22" s="63"/>
      <c r="BF22" s="63"/>
      <c r="BG22" s="63"/>
      <c r="BH22" s="63"/>
      <c r="BI22" s="64"/>
      <c r="BJ22" s="64"/>
      <c r="BK22" s="64"/>
    </row>
    <row r="23" spans="1:63" ht="45" hidden="1" customHeight="1">
      <c r="A23" s="953" t="s">
        <v>6</v>
      </c>
      <c r="B23" s="238">
        <f>+B22+1</f>
        <v>13</v>
      </c>
      <c r="C23" s="240" t="s">
        <v>260</v>
      </c>
      <c r="D23" s="240" t="s">
        <v>112</v>
      </c>
      <c r="E23" s="339"/>
      <c r="F23" s="327"/>
      <c r="G23" s="240" t="s">
        <v>261</v>
      </c>
      <c r="H23" s="240" t="s">
        <v>262</v>
      </c>
      <c r="I23" s="340" t="s">
        <v>231</v>
      </c>
      <c r="J23" s="341" t="s">
        <v>263</v>
      </c>
      <c r="K23" s="245" t="s">
        <v>58</v>
      </c>
      <c r="L23" s="245"/>
      <c r="M23" s="245"/>
      <c r="N23" s="245"/>
      <c r="O23" s="246"/>
      <c r="P23" s="247"/>
      <c r="Q23" s="247"/>
      <c r="R23" s="247"/>
      <c r="S23" s="247"/>
      <c r="T23" s="247"/>
      <c r="U23" s="247"/>
      <c r="V23" s="247"/>
      <c r="W23" s="247"/>
      <c r="X23" s="247"/>
      <c r="Y23" s="247"/>
      <c r="Z23" s="247"/>
      <c r="AA23" s="247"/>
      <c r="AB23" s="248" t="e">
        <f t="shared" si="1"/>
        <v>#N/A</v>
      </c>
      <c r="AC23" s="249"/>
      <c r="AD23" s="247" t="e">
        <f t="shared" si="0"/>
        <v>#DIV/0!</v>
      </c>
      <c r="AE23" s="250" t="s">
        <v>210</v>
      </c>
      <c r="AF23" s="329">
        <v>9.6100000000000005E-3</v>
      </c>
      <c r="AG23" s="252" t="str">
        <f>IF($K$23="Sube",IF(ISERROR(AB23/$O$23)=TRUE,"",IF(AB23&gt;$O$23,AF23,AB23/$O$23*AF23)),IF(ISERROR($O$23/AB23)=TRUE,"",IF($O$23&lt;AB23,$O$23/AB23*AF23,AF23)))</f>
        <v/>
      </c>
      <c r="AH23" s="253" t="str">
        <f>IF($K$23="Sube",IF(ISERROR(AB23/$O$23)=TRUE,"",IF(AB23&gt;=$O$23,1,0)),IF(ISERROR($O$23/AB23)=TRUE,"",IF($O$23&lt;AB23,0,1)))</f>
        <v/>
      </c>
      <c r="AI23" s="254"/>
      <c r="AJ23" s="342">
        <v>3.64</v>
      </c>
      <c r="AK23" s="502"/>
      <c r="AL23" s="450" t="s">
        <v>264</v>
      </c>
      <c r="AM23" s="174"/>
      <c r="AN23" s="134"/>
      <c r="AV23" s="64"/>
      <c r="AW23" s="63"/>
      <c r="AX23" s="63"/>
      <c r="AY23" s="63"/>
      <c r="AZ23" s="63"/>
      <c r="BA23" s="63"/>
      <c r="BB23" s="63"/>
      <c r="BC23" s="63"/>
      <c r="BD23" s="63"/>
      <c r="BE23" s="63"/>
      <c r="BF23" s="63"/>
      <c r="BG23" s="63"/>
      <c r="BH23" s="63"/>
      <c r="BI23" s="64"/>
      <c r="BJ23" s="64"/>
      <c r="BK23" s="64"/>
    </row>
    <row r="24" spans="1:63" ht="49.5" hidden="1" customHeight="1" thickBot="1">
      <c r="A24" s="961"/>
      <c r="B24" s="343">
        <f t="shared" ref="B24:B49" si="4">+B23+1</f>
        <v>14</v>
      </c>
      <c r="C24" s="258" t="s">
        <v>72</v>
      </c>
      <c r="D24" s="344" t="s">
        <v>56</v>
      </c>
      <c r="E24" s="297"/>
      <c r="F24" s="332"/>
      <c r="G24" s="345" t="s">
        <v>73</v>
      </c>
      <c r="H24" s="345" t="s">
        <v>74</v>
      </c>
      <c r="I24" s="346">
        <f>1152/1344</f>
        <v>0.8571428571428571</v>
      </c>
      <c r="J24" s="275" t="s">
        <v>65</v>
      </c>
      <c r="K24" s="263" t="s">
        <v>58</v>
      </c>
      <c r="L24" s="263"/>
      <c r="M24" s="263"/>
      <c r="N24" s="263"/>
      <c r="O24" s="276">
        <v>0.87</v>
      </c>
      <c r="P24" s="265"/>
      <c r="Q24" s="265"/>
      <c r="R24" s="265"/>
      <c r="S24" s="265"/>
      <c r="T24" s="265"/>
      <c r="U24" s="265"/>
      <c r="V24" s="265"/>
      <c r="W24" s="265"/>
      <c r="X24" s="265"/>
      <c r="Y24" s="265"/>
      <c r="Z24" s="265"/>
      <c r="AA24" s="265"/>
      <c r="AB24" s="266" t="e">
        <f t="shared" si="1"/>
        <v>#N/A</v>
      </c>
      <c r="AC24" s="267"/>
      <c r="AD24" s="265" t="e">
        <f t="shared" si="0"/>
        <v>#DIV/0!</v>
      </c>
      <c r="AE24" s="268" t="s">
        <v>210</v>
      </c>
      <c r="AF24" s="299">
        <v>9.6100000000000005E-3</v>
      </c>
      <c r="AG24" s="270" t="str">
        <f>IF($K$24="Sube",IF(ISERROR(AB24/$O$24)=TRUE,"",IF(AB24&gt;$O$24,AF24,AB24/$O$24*AF24)),IF(ISERROR($O$24/AB24)=TRUE,"",IF($O$24&lt;AB24,$O$24/AB24*AF24,AF24)))</f>
        <v/>
      </c>
      <c r="AH24" s="271" t="str">
        <f>IF($K$24="Sube",IF(ISERROR(AB24/$O$24)=TRUE,"",IF(AB24&gt;=$O$24,1,0)),IF(ISERROR($O$24/AB24)=TRUE,"",IF($O$24&lt;AB24,0,1)))</f>
        <v/>
      </c>
      <c r="AI24" s="272"/>
      <c r="AJ24" s="273"/>
      <c r="AK24" s="445"/>
      <c r="AL24" s="445"/>
      <c r="AM24" s="222"/>
      <c r="AN24" s="135"/>
      <c r="AV24" s="64"/>
      <c r="AW24" s="63"/>
      <c r="AX24" s="63"/>
      <c r="AY24" s="63"/>
      <c r="AZ24" s="63"/>
      <c r="BA24" s="63"/>
      <c r="BB24" s="63"/>
      <c r="BC24" s="63"/>
      <c r="BD24" s="63"/>
      <c r="BE24" s="63"/>
      <c r="BF24" s="63"/>
      <c r="BG24" s="63"/>
      <c r="BH24" s="63"/>
      <c r="BI24" s="64"/>
      <c r="BJ24" s="64"/>
      <c r="BK24" s="64"/>
    </row>
    <row r="25" spans="1:63" ht="56.25" hidden="1" customHeight="1" thickBot="1">
      <c r="A25" s="955"/>
      <c r="B25" s="347">
        <f t="shared" si="4"/>
        <v>15</v>
      </c>
      <c r="C25" s="282" t="s">
        <v>265</v>
      </c>
      <c r="D25" s="348" t="s">
        <v>56</v>
      </c>
      <c r="E25" s="314"/>
      <c r="F25" s="338"/>
      <c r="G25" s="349" t="s">
        <v>266</v>
      </c>
      <c r="H25" s="349" t="s">
        <v>69</v>
      </c>
      <c r="I25" s="350">
        <f>7.218/9.426-1</f>
        <v>-0.23424570337364736</v>
      </c>
      <c r="J25" s="285" t="s">
        <v>239</v>
      </c>
      <c r="K25" s="286" t="s">
        <v>58</v>
      </c>
      <c r="L25" s="286"/>
      <c r="M25" s="286"/>
      <c r="N25" s="286"/>
      <c r="O25" s="287">
        <f>+'Tablero Estratégico'!X8</f>
        <v>9</v>
      </c>
      <c r="P25" s="317"/>
      <c r="Q25" s="317"/>
      <c r="R25" s="317"/>
      <c r="S25" s="317"/>
      <c r="T25" s="317"/>
      <c r="U25" s="317"/>
      <c r="V25" s="317"/>
      <c r="W25" s="317"/>
      <c r="X25" s="317"/>
      <c r="Y25" s="317"/>
      <c r="Z25" s="317"/>
      <c r="AA25" s="317"/>
      <c r="AB25" s="318" t="e">
        <f t="shared" si="1"/>
        <v>#N/A</v>
      </c>
      <c r="AC25" s="319"/>
      <c r="AD25" s="317" t="e">
        <f t="shared" si="0"/>
        <v>#DIV/0!</v>
      </c>
      <c r="AE25" s="291" t="s">
        <v>210</v>
      </c>
      <c r="AF25" s="320">
        <v>9.6100000000000005E-3</v>
      </c>
      <c r="AG25" s="321" t="str">
        <f>IF($K$25="Sube",IF(ISERROR(AB25/$O$25)=TRUE,"",IF(AB25&gt;$O$25,AF25,AB25/$O$25*AF25)),IF(ISERROR($O$25/AB25)=TRUE,"",IF($O$25&lt;AB25,$O$25/AB25*AF25,AF25)))</f>
        <v/>
      </c>
      <c r="AH25" s="322" t="str">
        <f>IF($K$25="Sube",IF(ISERROR(AB25/$O$25)=TRUE,"",IF(AB25&gt;=$O$25,1,0)),IF(ISERROR($O$25/AB25)=TRUE,"",IF($O$25&lt;AB25,0,1)))</f>
        <v/>
      </c>
      <c r="AI25" s="323"/>
      <c r="AJ25" s="324"/>
      <c r="AK25" s="449"/>
      <c r="AL25" s="449"/>
      <c r="AM25" s="176"/>
      <c r="AN25" s="148"/>
      <c r="AV25" s="64"/>
      <c r="AW25" s="63"/>
      <c r="AX25" s="63"/>
      <c r="AY25" s="63"/>
      <c r="AZ25" s="63"/>
      <c r="BA25" s="63"/>
      <c r="BB25" s="63"/>
      <c r="BC25" s="63"/>
      <c r="BD25" s="63"/>
      <c r="BE25" s="63"/>
      <c r="BF25" s="63"/>
      <c r="BG25" s="63"/>
      <c r="BH25" s="63"/>
      <c r="BI25" s="64"/>
      <c r="BJ25" s="64"/>
      <c r="BK25" s="64"/>
    </row>
    <row r="26" spans="1:63" ht="143.4" hidden="1" thickBot="1">
      <c r="A26" s="953" t="s">
        <v>84</v>
      </c>
      <c r="B26" s="238" t="e">
        <f>+#REF!+1</f>
        <v>#REF!</v>
      </c>
      <c r="C26" s="239" t="s">
        <v>86</v>
      </c>
      <c r="D26" s="239" t="s">
        <v>78</v>
      </c>
      <c r="E26" s="351"/>
      <c r="F26" s="351"/>
      <c r="G26" s="239" t="s">
        <v>267</v>
      </c>
      <c r="H26" s="239" t="s">
        <v>88</v>
      </c>
      <c r="I26" s="352">
        <v>1</v>
      </c>
      <c r="J26" s="341" t="s">
        <v>65</v>
      </c>
      <c r="K26" s="245"/>
      <c r="L26" s="245"/>
      <c r="M26" s="245"/>
      <c r="N26" s="245"/>
      <c r="O26" s="246">
        <v>1</v>
      </c>
      <c r="P26" s="247"/>
      <c r="Q26" s="247"/>
      <c r="R26" s="247"/>
      <c r="S26" s="247"/>
      <c r="T26" s="247"/>
      <c r="U26" s="247"/>
      <c r="V26" s="247"/>
      <c r="W26" s="247"/>
      <c r="X26" s="247"/>
      <c r="Y26" s="247"/>
      <c r="Z26" s="247"/>
      <c r="AA26" s="247"/>
      <c r="AB26" s="248" t="e">
        <f t="shared" si="1"/>
        <v>#N/A</v>
      </c>
      <c r="AC26" s="249"/>
      <c r="AD26" s="247" t="e">
        <f t="shared" si="0"/>
        <v>#DIV/0!</v>
      </c>
      <c r="AE26" s="250" t="s">
        <v>210</v>
      </c>
      <c r="AF26" s="329">
        <v>9.6100000000000005E-3</v>
      </c>
      <c r="AG26" s="252" t="str">
        <f>IF($K$26="Sube",IF(ISERROR(AB26/$O$26)=TRUE,"",IF(AB26&gt;$O$26,AF26,AB26/$O$26*AF26)),IF(ISERROR($O$26/AB26)=TRUE,"",IF($O$26&lt;AB26,$O$26/AB26*AF26,AF26)))</f>
        <v/>
      </c>
      <c r="AH26" s="253" t="str">
        <f>IF($K$26="Sube",IF(ISERROR(AB26/$O$26)=TRUE,"",IF(AB26&gt;=$O$26,1,0)),IF(ISERROR($O$26/AB26)=TRUE,"",IF($O$26&lt;AB26,0,1)))</f>
        <v/>
      </c>
      <c r="AI26" s="254"/>
      <c r="AJ26" s="255"/>
      <c r="AK26" s="444"/>
      <c r="AL26" s="444"/>
      <c r="AM26" s="174"/>
      <c r="AN26" s="134"/>
      <c r="AV26" s="64"/>
      <c r="AW26" s="63"/>
      <c r="AX26" s="63"/>
      <c r="AY26" s="63"/>
      <c r="AZ26" s="63"/>
      <c r="BA26" s="63"/>
      <c r="BB26" s="63"/>
      <c r="BC26" s="63"/>
      <c r="BD26" s="63"/>
      <c r="BE26" s="63"/>
      <c r="BF26" s="63"/>
      <c r="BG26" s="63"/>
      <c r="BH26" s="63"/>
      <c r="BI26" s="64"/>
      <c r="BJ26" s="64"/>
      <c r="BK26" s="64"/>
    </row>
    <row r="27" spans="1:63" ht="123" hidden="1" thickBot="1">
      <c r="A27" s="961"/>
      <c r="B27" s="256" t="e">
        <f t="shared" si="4"/>
        <v>#REF!</v>
      </c>
      <c r="C27" s="257" t="s">
        <v>93</v>
      </c>
      <c r="D27" s="257" t="s">
        <v>78</v>
      </c>
      <c r="E27" s="353"/>
      <c r="F27" s="353"/>
      <c r="G27" s="331" t="s">
        <v>268</v>
      </c>
      <c r="H27" s="257" t="s">
        <v>269</v>
      </c>
      <c r="I27" s="354">
        <v>0.9</v>
      </c>
      <c r="J27" s="275" t="s">
        <v>59</v>
      </c>
      <c r="K27" s="263"/>
      <c r="L27" s="263"/>
      <c r="M27" s="263"/>
      <c r="N27" s="263"/>
      <c r="O27" s="276">
        <v>1</v>
      </c>
      <c r="P27" s="265"/>
      <c r="Q27" s="265"/>
      <c r="R27" s="265"/>
      <c r="S27" s="265"/>
      <c r="T27" s="265"/>
      <c r="U27" s="265"/>
      <c r="V27" s="265"/>
      <c r="W27" s="265"/>
      <c r="X27" s="265"/>
      <c r="Y27" s="265"/>
      <c r="Z27" s="265"/>
      <c r="AA27" s="265"/>
      <c r="AB27" s="266" t="e">
        <f t="shared" si="1"/>
        <v>#N/A</v>
      </c>
      <c r="AC27" s="267"/>
      <c r="AD27" s="265" t="e">
        <f t="shared" si="0"/>
        <v>#DIV/0!</v>
      </c>
      <c r="AE27" s="268" t="s">
        <v>210</v>
      </c>
      <c r="AF27" s="299">
        <v>9.6100000000000005E-3</v>
      </c>
      <c r="AG27" s="270" t="str">
        <f>IF($K$27="Sube",IF(ISERROR(AB27/$O$27)=TRUE,"",IF(AB27&gt;$O$27,AF27,AB27/$O$27*AF27)),IF(ISERROR($O$27/AB27)=TRUE,"",IF($O$27&lt;AB27,$O$27/AB27*AF27,AF27)))</f>
        <v/>
      </c>
      <c r="AH27" s="271" t="str">
        <f>IF($K$27="Sube",IF(ISERROR(AB27/$O$27)=TRUE,"",IF(AB27&gt;=$O$27,1,0)),IF(ISERROR($O$27/AB27)=TRUE,"",IF($O$27&lt;AB27,0,1)))</f>
        <v/>
      </c>
      <c r="AI27" s="272"/>
      <c r="AJ27" s="355" t="e">
        <f>+'Tablero Estratégico'!#REF!</f>
        <v>#REF!</v>
      </c>
      <c r="AK27" s="503"/>
      <c r="AL27" s="446" t="s">
        <v>270</v>
      </c>
      <c r="AM27" s="222"/>
      <c r="AN27" s="135"/>
      <c r="AV27" s="64"/>
      <c r="AW27" s="63"/>
      <c r="AX27" s="63"/>
      <c r="AY27" s="63"/>
      <c r="AZ27" s="63"/>
      <c r="BA27" s="63"/>
      <c r="BB27" s="63"/>
      <c r="BC27" s="63"/>
      <c r="BD27" s="63"/>
      <c r="BE27" s="63"/>
      <c r="BF27" s="63"/>
      <c r="BG27" s="63"/>
      <c r="BH27" s="63"/>
      <c r="BI27" s="64"/>
      <c r="BJ27" s="64"/>
      <c r="BK27" s="64"/>
    </row>
    <row r="28" spans="1:63" ht="143.4" hidden="1" thickBot="1">
      <c r="A28" s="961"/>
      <c r="B28" s="256" t="e">
        <f t="shared" si="4"/>
        <v>#REF!</v>
      </c>
      <c r="C28" s="257" t="s">
        <v>271</v>
      </c>
      <c r="D28" s="257" t="s">
        <v>78</v>
      </c>
      <c r="E28" s="353"/>
      <c r="F28" s="353"/>
      <c r="G28" s="257" t="s">
        <v>272</v>
      </c>
      <c r="H28" s="257" t="s">
        <v>273</v>
      </c>
      <c r="I28" s="268" t="s">
        <v>231</v>
      </c>
      <c r="J28" s="275"/>
      <c r="K28" s="263"/>
      <c r="L28" s="263"/>
      <c r="M28" s="263"/>
      <c r="N28" s="263"/>
      <c r="O28" s="276"/>
      <c r="P28" s="265"/>
      <c r="Q28" s="265"/>
      <c r="R28" s="265"/>
      <c r="S28" s="265"/>
      <c r="T28" s="265"/>
      <c r="U28" s="265"/>
      <c r="V28" s="265"/>
      <c r="W28" s="265"/>
      <c r="X28" s="265"/>
      <c r="Y28" s="265"/>
      <c r="Z28" s="265"/>
      <c r="AA28" s="265"/>
      <c r="AB28" s="266"/>
      <c r="AC28" s="267"/>
      <c r="AD28" s="265"/>
      <c r="AE28" s="268"/>
      <c r="AF28" s="299"/>
      <c r="AG28" s="270"/>
      <c r="AH28" s="271"/>
      <c r="AI28" s="272"/>
      <c r="AJ28" s="273"/>
      <c r="AK28" s="445"/>
      <c r="AL28" s="445"/>
      <c r="AM28" s="222"/>
      <c r="AN28" s="135"/>
      <c r="AV28" s="64"/>
      <c r="AW28" s="63"/>
      <c r="AX28" s="63"/>
      <c r="AY28" s="63"/>
      <c r="AZ28" s="63"/>
      <c r="BA28" s="63"/>
      <c r="BB28" s="63"/>
      <c r="BC28" s="63"/>
      <c r="BD28" s="63"/>
      <c r="BE28" s="63"/>
      <c r="BF28" s="63"/>
      <c r="BG28" s="63"/>
      <c r="BH28" s="63"/>
      <c r="BI28" s="64"/>
      <c r="BJ28" s="64"/>
      <c r="BK28" s="64"/>
    </row>
    <row r="29" spans="1:63" ht="61.8" hidden="1" thickBot="1">
      <c r="A29" s="955"/>
      <c r="B29" s="313" t="e">
        <f t="shared" si="4"/>
        <v>#REF!</v>
      </c>
      <c r="C29" s="356" t="s">
        <v>274</v>
      </c>
      <c r="D29" s="357" t="s">
        <v>112</v>
      </c>
      <c r="E29" s="358"/>
      <c r="F29" s="358"/>
      <c r="G29" s="357" t="s">
        <v>275</v>
      </c>
      <c r="H29" s="282" t="s">
        <v>276</v>
      </c>
      <c r="I29" s="359">
        <v>0.878</v>
      </c>
      <c r="J29" s="285" t="s">
        <v>59</v>
      </c>
      <c r="K29" s="286" t="s">
        <v>58</v>
      </c>
      <c r="L29" s="286"/>
      <c r="M29" s="286"/>
      <c r="N29" s="286"/>
      <c r="O29" s="287">
        <v>0.93</v>
      </c>
      <c r="P29" s="317"/>
      <c r="Q29" s="317"/>
      <c r="R29" s="317"/>
      <c r="S29" s="317"/>
      <c r="T29" s="317"/>
      <c r="U29" s="317"/>
      <c r="V29" s="317"/>
      <c r="W29" s="317"/>
      <c r="X29" s="317"/>
      <c r="Y29" s="317"/>
      <c r="Z29" s="317"/>
      <c r="AA29" s="317"/>
      <c r="AB29" s="318" t="e">
        <f t="shared" si="1"/>
        <v>#N/A</v>
      </c>
      <c r="AC29" s="319"/>
      <c r="AD29" s="317" t="e">
        <f t="shared" ref="AD29:AD48" si="5">+IF(SLOPE(P29:AA29,$P$7:$AA$7)&gt;0,"Al alza",IF(SLOPE(P29:AA29,$P$7:$AA$7)&lt;0,"A la baja","Sin cambio"))</f>
        <v>#DIV/0!</v>
      </c>
      <c r="AE29" s="291" t="s">
        <v>210</v>
      </c>
      <c r="AF29" s="320">
        <v>9.6100000000000005E-3</v>
      </c>
      <c r="AG29" s="321" t="str">
        <f t="shared" ref="AG29" si="6">IF(K29="Sube",IF(ISERROR(AB29/O29)=TRUE,"",IF(AB29&gt;O29,AF29,AB29/O29*AF29)),IF(ISERROR(O29/AB29)=TRUE,"",IF(O29&lt;AB29,O29/AB29*AF29,AF29)))</f>
        <v/>
      </c>
      <c r="AH29" s="322" t="str">
        <f>IF($K$29="Sube",IF(ISERROR(AB29/$O$29)=TRUE,"",IF(AB29&gt;=$O$29,1,0)),IF(ISERROR($O$29/AB29)=TRUE,"",IF($O$29&lt;AB29,0,1)))</f>
        <v/>
      </c>
      <c r="AI29" s="323"/>
      <c r="AJ29" s="360">
        <f>236943151/1000000000</f>
        <v>0.23694315099999999</v>
      </c>
      <c r="AK29" s="504"/>
      <c r="AL29" s="447" t="s">
        <v>277</v>
      </c>
      <c r="AM29" s="176"/>
      <c r="AN29" s="148"/>
      <c r="AV29" s="64"/>
      <c r="AW29" s="63"/>
      <c r="AX29" s="63"/>
      <c r="AY29" s="63"/>
      <c r="AZ29" s="63"/>
      <c r="BA29" s="63"/>
      <c r="BB29" s="63"/>
      <c r="BC29" s="63"/>
      <c r="BD29" s="63"/>
      <c r="BE29" s="63"/>
      <c r="BF29" s="63"/>
      <c r="BG29" s="63"/>
      <c r="BH29" s="63"/>
      <c r="BI29" s="64"/>
      <c r="BJ29" s="64"/>
      <c r="BK29" s="64"/>
    </row>
    <row r="30" spans="1:63" ht="61.8" hidden="1" thickBot="1">
      <c r="A30" s="953" t="s">
        <v>10</v>
      </c>
      <c r="B30" s="361" t="e">
        <f t="shared" si="4"/>
        <v>#REF!</v>
      </c>
      <c r="C30" s="240" t="s">
        <v>278</v>
      </c>
      <c r="D30" s="240" t="s">
        <v>78</v>
      </c>
      <c r="E30" s="326"/>
      <c r="F30" s="327"/>
      <c r="G30" s="362" t="s">
        <v>279</v>
      </c>
      <c r="H30" s="240" t="s">
        <v>97</v>
      </c>
      <c r="I30" s="363">
        <v>0.97599999999999998</v>
      </c>
      <c r="J30" s="244" t="s">
        <v>59</v>
      </c>
      <c r="K30" s="245" t="s">
        <v>58</v>
      </c>
      <c r="L30" s="245"/>
      <c r="M30" s="245"/>
      <c r="N30" s="245"/>
      <c r="O30" s="246" t="s">
        <v>280</v>
      </c>
      <c r="P30" s="247"/>
      <c r="Q30" s="247"/>
      <c r="R30" s="247"/>
      <c r="S30" s="247"/>
      <c r="T30" s="247"/>
      <c r="U30" s="247"/>
      <c r="V30" s="247"/>
      <c r="W30" s="247"/>
      <c r="X30" s="247"/>
      <c r="Y30" s="247"/>
      <c r="Z30" s="247"/>
      <c r="AA30" s="247"/>
      <c r="AB30" s="248" t="e">
        <f t="shared" si="1"/>
        <v>#N/A</v>
      </c>
      <c r="AC30" s="249"/>
      <c r="AD30" s="247" t="e">
        <f t="shared" si="5"/>
        <v>#DIV/0!</v>
      </c>
      <c r="AE30" s="250" t="s">
        <v>210</v>
      </c>
      <c r="AF30" s="329">
        <v>9.6100000000000005E-3</v>
      </c>
      <c r="AG30" s="252" t="str">
        <f>IF($K$30="Sube",IF(ISERROR(AB30/$O$30)=TRUE,"",IF(AB30&gt;$O$30,AF30,AB30/$O$30*AF30)),IF(ISERROR($O$30/AB30)=TRUE,"",IF($O$30&lt;AB30,$O$30/AB30*AF30,AF30)))</f>
        <v/>
      </c>
      <c r="AH30" s="253" t="str">
        <f>IF($K$30="Sube",IF(ISERROR(AB30/$O$30)=TRUE,"",IF(AB30&gt;=$O$30,1,0)),IF(ISERROR($O$30/AB30)=TRUE,"",IF($O$30&lt;AB30,0,1)))</f>
        <v/>
      </c>
      <c r="AI30" s="254"/>
      <c r="AJ30" s="364" t="e">
        <f>+'Tablero Estratégico'!#REF!</f>
        <v>#REF!</v>
      </c>
      <c r="AK30" s="505"/>
      <c r="AL30" s="450" t="s">
        <v>281</v>
      </c>
      <c r="AM30" s="174"/>
      <c r="AN30" s="134"/>
      <c r="AV30" s="64"/>
      <c r="AW30" s="63"/>
      <c r="AX30" s="63"/>
      <c r="AY30" s="63"/>
      <c r="AZ30" s="63"/>
      <c r="BA30" s="63"/>
      <c r="BB30" s="63"/>
      <c r="BC30" s="63"/>
      <c r="BD30" s="63"/>
      <c r="BE30" s="63"/>
      <c r="BF30" s="63"/>
      <c r="BG30" s="63"/>
      <c r="BH30" s="63"/>
      <c r="BI30" s="64"/>
      <c r="BJ30" s="64"/>
      <c r="BK30" s="64"/>
    </row>
    <row r="31" spans="1:63" ht="82.2" hidden="1" thickBot="1">
      <c r="A31" s="961"/>
      <c r="B31" s="365" t="e">
        <f t="shared" si="4"/>
        <v>#REF!</v>
      </c>
      <c r="C31" s="258" t="s">
        <v>282</v>
      </c>
      <c r="D31" s="258" t="s">
        <v>56</v>
      </c>
      <c r="E31" s="297"/>
      <c r="F31" s="297"/>
      <c r="G31" s="258" t="s">
        <v>283</v>
      </c>
      <c r="H31" s="258" t="s">
        <v>284</v>
      </c>
      <c r="I31" s="366" t="s">
        <v>231</v>
      </c>
      <c r="J31" s="262" t="s">
        <v>59</v>
      </c>
      <c r="K31" s="263" t="s">
        <v>58</v>
      </c>
      <c r="L31" s="263"/>
      <c r="M31" s="263"/>
      <c r="N31" s="263"/>
      <c r="O31" s="276"/>
      <c r="P31" s="265"/>
      <c r="Q31" s="265"/>
      <c r="R31" s="265"/>
      <c r="S31" s="265"/>
      <c r="T31" s="265"/>
      <c r="U31" s="265"/>
      <c r="V31" s="265"/>
      <c r="W31" s="265"/>
      <c r="X31" s="265"/>
      <c r="Y31" s="265"/>
      <c r="Z31" s="265"/>
      <c r="AA31" s="265"/>
      <c r="AB31" s="266" t="e">
        <f t="shared" si="1"/>
        <v>#N/A</v>
      </c>
      <c r="AC31" s="267"/>
      <c r="AD31" s="265" t="e">
        <f t="shared" si="5"/>
        <v>#DIV/0!</v>
      </c>
      <c r="AE31" s="268" t="s">
        <v>210</v>
      </c>
      <c r="AF31" s="299">
        <v>9.6100000000000005E-3</v>
      </c>
      <c r="AG31" s="270" t="str">
        <f>IF($K$31="Sube",IF(ISERROR(AB31/$O$31)=TRUE,"",IF(AB31&gt;$O$31,AF31,AB31/$O$31*AF31)),IF(ISERROR($O$31/AB31)=TRUE,"",IF($O$31&lt;AB31,$O$31/AB31*AF31,AF31)))</f>
        <v/>
      </c>
      <c r="AH31" s="271" t="str">
        <f>IF($K$31="Sube",IF(ISERROR(AB31/$O$31)=TRUE,"",IF(AB31&gt;=$O$31,1,0)),IF(ISERROR($O$31/AB31)=TRUE,"",IF($O$31&lt;AB31,0,1)))</f>
        <v/>
      </c>
      <c r="AI31" s="272"/>
      <c r="AJ31" s="273">
        <v>17702</v>
      </c>
      <c r="AK31" s="445"/>
      <c r="AL31" s="446" t="s">
        <v>285</v>
      </c>
      <c r="AM31" s="222"/>
      <c r="AN31" s="135"/>
      <c r="AV31" s="64"/>
      <c r="AW31" s="63"/>
      <c r="AX31" s="63"/>
      <c r="AY31" s="63"/>
      <c r="AZ31" s="63"/>
      <c r="BA31" s="63"/>
      <c r="BB31" s="63"/>
      <c r="BC31" s="63"/>
      <c r="BD31" s="63"/>
      <c r="BE31" s="63"/>
      <c r="BF31" s="63"/>
      <c r="BG31" s="63"/>
      <c r="BH31" s="63"/>
      <c r="BI31" s="64"/>
      <c r="BJ31" s="64"/>
      <c r="BK31" s="64"/>
    </row>
    <row r="32" spans="1:63" ht="61.8" hidden="1" thickBot="1">
      <c r="A32" s="955"/>
      <c r="B32" s="367" t="e">
        <f t="shared" si="4"/>
        <v>#REF!</v>
      </c>
      <c r="C32" s="300" t="s">
        <v>286</v>
      </c>
      <c r="D32" s="300" t="s">
        <v>78</v>
      </c>
      <c r="E32" s="301"/>
      <c r="F32" s="301"/>
      <c r="G32" s="300" t="s">
        <v>287</v>
      </c>
      <c r="H32" s="300" t="s">
        <v>288</v>
      </c>
      <c r="I32" s="368">
        <v>0.98</v>
      </c>
      <c r="J32" s="369" t="s">
        <v>59</v>
      </c>
      <c r="K32" s="302" t="s">
        <v>58</v>
      </c>
      <c r="L32" s="302"/>
      <c r="M32" s="302"/>
      <c r="N32" s="302"/>
      <c r="O32" s="303">
        <v>1</v>
      </c>
      <c r="P32" s="304"/>
      <c r="Q32" s="304"/>
      <c r="R32" s="304"/>
      <c r="S32" s="304"/>
      <c r="T32" s="304"/>
      <c r="U32" s="304"/>
      <c r="V32" s="304"/>
      <c r="W32" s="304"/>
      <c r="X32" s="304"/>
      <c r="Y32" s="304"/>
      <c r="Z32" s="304"/>
      <c r="AA32" s="304"/>
      <c r="AB32" s="305" t="e">
        <f t="shared" si="1"/>
        <v>#N/A</v>
      </c>
      <c r="AC32" s="306"/>
      <c r="AD32" s="304" t="e">
        <f t="shared" si="5"/>
        <v>#DIV/0!</v>
      </c>
      <c r="AE32" s="307" t="s">
        <v>210</v>
      </c>
      <c r="AF32" s="308">
        <v>9.6100000000000005E-3</v>
      </c>
      <c r="AG32" s="309" t="str">
        <f>IF($K$32="Sube",IF(ISERROR(AB32/$O$32)=TRUE,"",IF(AB32&gt;$O$32,AF32,AB32/$O$32*AF32)),IF(ISERROR($O$32/AB32)=TRUE,"",IF($O$32&lt;AB32,$O$32/AB32*AF32,AF32)))</f>
        <v/>
      </c>
      <c r="AH32" s="310" t="str">
        <f>IF($K$32="Sube",IF(ISERROR(AB32/$O$32)=TRUE,"",IF(AB32&gt;=$O$32,1,0)),IF(ISERROR($O$32/AB32)=TRUE,"",IF($O$32&lt;AB32,0,1)))</f>
        <v/>
      </c>
      <c r="AI32" s="311"/>
      <c r="AJ32" s="370">
        <v>0.81</v>
      </c>
      <c r="AK32" s="506"/>
      <c r="AL32" s="451" t="s">
        <v>289</v>
      </c>
      <c r="AM32" s="224"/>
      <c r="AN32" s="175"/>
      <c r="AV32" s="64"/>
      <c r="AW32" s="63"/>
      <c r="AX32" s="63"/>
      <c r="AY32" s="63"/>
      <c r="AZ32" s="63"/>
      <c r="BA32" s="63"/>
      <c r="BB32" s="63"/>
      <c r="BC32" s="63"/>
      <c r="BD32" s="63"/>
      <c r="BE32" s="63"/>
      <c r="BF32" s="63"/>
      <c r="BG32" s="63"/>
      <c r="BH32" s="63"/>
      <c r="BI32" s="64"/>
      <c r="BJ32" s="64"/>
      <c r="BK32" s="64"/>
    </row>
    <row r="33" spans="1:63" s="4" customFormat="1" ht="61.8" hidden="1" thickBot="1">
      <c r="A33" s="953" t="s">
        <v>18</v>
      </c>
      <c r="B33" s="361" t="e">
        <f>+#REF!+1</f>
        <v>#REF!</v>
      </c>
      <c r="C33" s="240" t="s">
        <v>134</v>
      </c>
      <c r="D33" s="240" t="s">
        <v>112</v>
      </c>
      <c r="E33" s="339"/>
      <c r="F33" s="339"/>
      <c r="G33" s="240" t="s">
        <v>290</v>
      </c>
      <c r="H33" s="240" t="s">
        <v>291</v>
      </c>
      <c r="I33" s="363" t="e">
        <f>+'Tablero Estratégico'!#REF!</f>
        <v>#REF!</v>
      </c>
      <c r="J33" s="244" t="s">
        <v>292</v>
      </c>
      <c r="K33" s="245" t="s">
        <v>293</v>
      </c>
      <c r="L33" s="458"/>
      <c r="M33" s="458"/>
      <c r="N33" s="458"/>
      <c r="O33" s="457" t="e">
        <f>+'Tablero Estratégico'!#REF!</f>
        <v>#REF!</v>
      </c>
      <c r="P33" s="247"/>
      <c r="Q33" s="247"/>
      <c r="R33" s="247"/>
      <c r="S33" s="247"/>
      <c r="T33" s="247"/>
      <c r="U33" s="247"/>
      <c r="V33" s="247"/>
      <c r="W33" s="247"/>
      <c r="X33" s="247"/>
      <c r="Y33" s="247"/>
      <c r="Z33" s="247"/>
      <c r="AA33" s="247"/>
      <c r="AB33" s="248" t="e">
        <f t="shared" si="1"/>
        <v>#N/A</v>
      </c>
      <c r="AC33" s="249"/>
      <c r="AD33" s="247" t="e">
        <f t="shared" si="5"/>
        <v>#DIV/0!</v>
      </c>
      <c r="AE33" s="250" t="s">
        <v>210</v>
      </c>
      <c r="AF33" s="329">
        <v>9.6100000000000005E-3</v>
      </c>
      <c r="AG33" s="252" t="str">
        <f>IF($K$33="Sube",IF(ISERROR(AB33/$O$33)=TRUE,"",IF(AB33&gt;$O$33,AF33,AB33/$O$33*AF33)),IF(ISERROR($O$33/AB33)=TRUE,"",IF($O$33&lt;AB33,$O$33/AB33*AF33,AF33)))</f>
        <v/>
      </c>
      <c r="AH33" s="253" t="str">
        <f>IF($K$33="Sube",IF(ISERROR(AB33/$O$33)=TRUE,"",IF(AB33&gt;=$O$33,1,0)),IF(ISERROR($O$33/AB33)=TRUE,"",IF($O$33&lt;AB33,0,1)))</f>
        <v/>
      </c>
      <c r="AI33" s="254"/>
      <c r="AJ33" s="371" t="e">
        <f>+'Tablero Estratégico'!#REF!</f>
        <v>#REF!</v>
      </c>
      <c r="AK33" s="507"/>
      <c r="AL33" s="452" t="e">
        <f>+'Tablero Estratégico'!#REF!</f>
        <v>#REF!</v>
      </c>
      <c r="AM33" s="174"/>
      <c r="AN33" s="124"/>
      <c r="AO33" s="220" t="s">
        <v>294</v>
      </c>
      <c r="AV33" s="64"/>
      <c r="AW33" s="63"/>
      <c r="AX33" s="63"/>
      <c r="AY33" s="63"/>
      <c r="AZ33" s="63"/>
      <c r="BA33" s="63"/>
      <c r="BB33" s="63"/>
      <c r="BC33" s="63"/>
      <c r="BD33" s="63"/>
      <c r="BE33" s="63"/>
      <c r="BF33" s="63"/>
      <c r="BG33" s="63"/>
      <c r="BH33" s="63"/>
      <c r="BI33" s="64"/>
      <c r="BJ33" s="64"/>
      <c r="BK33" s="64"/>
    </row>
    <row r="34" spans="1:63" s="4" customFormat="1" ht="57" hidden="1" customHeight="1">
      <c r="A34" s="954"/>
      <c r="B34" s="372"/>
      <c r="C34" s="373" t="s">
        <v>295</v>
      </c>
      <c r="D34" s="373" t="s">
        <v>112</v>
      </c>
      <c r="E34" s="374"/>
      <c r="F34" s="374"/>
      <c r="G34" s="375" t="s">
        <v>296</v>
      </c>
      <c r="H34" s="373" t="s">
        <v>297</v>
      </c>
      <c r="I34" s="376" t="s">
        <v>231</v>
      </c>
      <c r="J34" s="377" t="s">
        <v>59</v>
      </c>
      <c r="K34" s="378"/>
      <c r="L34" s="378"/>
      <c r="M34" s="378"/>
      <c r="N34" s="378"/>
      <c r="O34" s="276" t="s">
        <v>298</v>
      </c>
      <c r="P34" s="379"/>
      <c r="Q34" s="379"/>
      <c r="R34" s="379"/>
      <c r="S34" s="379"/>
      <c r="T34" s="379"/>
      <c r="U34" s="379"/>
      <c r="V34" s="379"/>
      <c r="W34" s="379"/>
      <c r="X34" s="379"/>
      <c r="Y34" s="379"/>
      <c r="Z34" s="379"/>
      <c r="AA34" s="379"/>
      <c r="AB34" s="380"/>
      <c r="AC34" s="381"/>
      <c r="AD34" s="379"/>
      <c r="AE34" s="382"/>
      <c r="AF34" s="383"/>
      <c r="AG34" s="384"/>
      <c r="AH34" s="385"/>
      <c r="AI34" s="386"/>
      <c r="AJ34" s="387">
        <v>0.9</v>
      </c>
      <c r="AK34" s="508"/>
      <c r="AL34" s="452" t="s">
        <v>299</v>
      </c>
      <c r="AM34" s="230"/>
      <c r="AN34" s="229"/>
      <c r="AO34" s="220"/>
      <c r="AV34" s="64"/>
      <c r="AW34" s="63"/>
      <c r="AX34" s="63"/>
      <c r="AY34" s="63"/>
      <c r="AZ34" s="63"/>
      <c r="BA34" s="63"/>
      <c r="BB34" s="63"/>
      <c r="BC34" s="63"/>
      <c r="BD34" s="63"/>
      <c r="BE34" s="63"/>
      <c r="BF34" s="63"/>
      <c r="BG34" s="63"/>
      <c r="BH34" s="63"/>
      <c r="BI34" s="64"/>
      <c r="BJ34" s="64"/>
      <c r="BK34" s="64"/>
    </row>
    <row r="35" spans="1:63" s="4" customFormat="1" ht="61.8" hidden="1" thickBot="1">
      <c r="A35" s="955"/>
      <c r="B35" s="388" t="e">
        <f>+#REF!+1</f>
        <v>#REF!</v>
      </c>
      <c r="C35" s="282" t="s">
        <v>300</v>
      </c>
      <c r="D35" s="282" t="s">
        <v>112</v>
      </c>
      <c r="E35" s="314"/>
      <c r="F35" s="314"/>
      <c r="G35" s="389" t="s">
        <v>301</v>
      </c>
      <c r="H35" s="282" t="s">
        <v>302</v>
      </c>
      <c r="I35" s="390" t="s">
        <v>231</v>
      </c>
      <c r="J35" s="391" t="s">
        <v>59</v>
      </c>
      <c r="K35" s="286" t="s">
        <v>58</v>
      </c>
      <c r="L35" s="286"/>
      <c r="M35" s="286"/>
      <c r="N35" s="286"/>
      <c r="O35" s="287"/>
      <c r="P35" s="317"/>
      <c r="Q35" s="317"/>
      <c r="R35" s="317"/>
      <c r="S35" s="317"/>
      <c r="T35" s="317"/>
      <c r="U35" s="317"/>
      <c r="V35" s="317"/>
      <c r="W35" s="317"/>
      <c r="X35" s="317"/>
      <c r="Y35" s="317"/>
      <c r="Z35" s="317"/>
      <c r="AA35" s="317"/>
      <c r="AB35" s="318" t="e">
        <f t="shared" si="1"/>
        <v>#N/A</v>
      </c>
      <c r="AC35" s="319"/>
      <c r="AD35" s="317" t="e">
        <f t="shared" si="5"/>
        <v>#DIV/0!</v>
      </c>
      <c r="AE35" s="291" t="s">
        <v>210</v>
      </c>
      <c r="AF35" s="320">
        <v>9.6100000000000005E-3</v>
      </c>
      <c r="AG35" s="321" t="str">
        <f>IF($K$35="Sube",IF(ISERROR(AB35/$O$35)=TRUE,"",IF(AB35&gt;$O$35,AF35,AB35/$O$35*AF35)),IF(ISERROR($O$35/AB35)=TRUE,"",IF($O$35&lt;AB35,$O$35/AB35*AF35,AF35)))</f>
        <v/>
      </c>
      <c r="AH35" s="322" t="str">
        <f>IF($K$35="Sube",IF(ISERROR(AB35/$O$35)=TRUE,"",IF(AB35&gt;=$O$35,1,0)),IF(ISERROR($O$35/AB35)=TRUE,"",IF($O$35&lt;AB35,0,1)))</f>
        <v/>
      </c>
      <c r="AI35" s="323"/>
      <c r="AJ35" s="360">
        <v>1</v>
      </c>
      <c r="AK35" s="504"/>
      <c r="AL35" s="447" t="s">
        <v>303</v>
      </c>
      <c r="AM35" s="176"/>
      <c r="AN35" s="147"/>
      <c r="AO35" s="220"/>
      <c r="AV35" s="64"/>
      <c r="AW35" s="63"/>
      <c r="AX35" s="63"/>
      <c r="AY35" s="63"/>
      <c r="AZ35" s="63"/>
      <c r="BA35" s="63"/>
      <c r="BB35" s="63"/>
      <c r="BC35" s="63"/>
      <c r="BD35" s="63"/>
      <c r="BE35" s="63"/>
      <c r="BF35" s="63"/>
      <c r="BG35" s="63"/>
      <c r="BH35" s="63"/>
      <c r="BI35" s="64"/>
      <c r="BJ35" s="64"/>
      <c r="BK35" s="64"/>
    </row>
    <row r="36" spans="1:63" s="215" customFormat="1" ht="63.75" customHeight="1">
      <c r="A36" s="976" t="s">
        <v>304</v>
      </c>
      <c r="B36" s="392" t="e">
        <f t="shared" si="4"/>
        <v>#REF!</v>
      </c>
      <c r="C36" s="239" t="s">
        <v>305</v>
      </c>
      <c r="D36" s="239" t="s">
        <v>78</v>
      </c>
      <c r="E36" s="351"/>
      <c r="F36" s="351"/>
      <c r="G36" s="239" t="s">
        <v>306</v>
      </c>
      <c r="H36" s="239" t="s">
        <v>307</v>
      </c>
      <c r="I36" s="393">
        <v>0.75</v>
      </c>
      <c r="J36" s="244" t="s">
        <v>59</v>
      </c>
      <c r="K36" s="245" t="s">
        <v>58</v>
      </c>
      <c r="L36" s="245"/>
      <c r="M36" s="245"/>
      <c r="N36" s="245"/>
      <c r="O36" s="246" t="s">
        <v>308</v>
      </c>
      <c r="P36" s="247"/>
      <c r="Q36" s="247"/>
      <c r="R36" s="247"/>
      <c r="S36" s="247"/>
      <c r="T36" s="247"/>
      <c r="U36" s="247"/>
      <c r="V36" s="247"/>
      <c r="W36" s="247"/>
      <c r="X36" s="247"/>
      <c r="Y36" s="247"/>
      <c r="Z36" s="247"/>
      <c r="AA36" s="247"/>
      <c r="AB36" s="248" t="e">
        <f t="shared" si="1"/>
        <v>#N/A</v>
      </c>
      <c r="AC36" s="249"/>
      <c r="AD36" s="247" t="e">
        <f t="shared" si="5"/>
        <v>#DIV/0!</v>
      </c>
      <c r="AE36" s="250" t="s">
        <v>210</v>
      </c>
      <c r="AF36" s="329">
        <v>9.6100000000000005E-3</v>
      </c>
      <c r="AG36" s="252" t="str">
        <f>IF($K$36="Sube",IF(ISERROR(AB36/$O$36)=TRUE,"",IF(AB36&gt;$O$36,AF36,AB36/$O$36*AF36)),IF(ISERROR($O$36/AB36)=TRUE,"",IF($O$36&lt;AB36,$O$36/AB36*AF36,AF36)))</f>
        <v/>
      </c>
      <c r="AH36" s="253" t="str">
        <f>IF($K$36="Sube",IF(ISERROR(AB36/$O$36)=TRUE,"",IF(AB36&gt;=$O$36,1,0)),IF(ISERROR($O$36/AB36)=TRUE,"",IF($O$36&lt;AB36,0,1)))</f>
        <v/>
      </c>
      <c r="AI36" s="254"/>
      <c r="AJ36" s="387">
        <v>0.75</v>
      </c>
      <c r="AK36" s="508"/>
      <c r="AL36" s="453" t="s">
        <v>309</v>
      </c>
      <c r="AM36" s="169"/>
      <c r="AN36" s="214"/>
      <c r="AV36" s="216"/>
      <c r="AW36" s="217"/>
      <c r="AX36" s="217"/>
      <c r="AY36" s="217"/>
      <c r="AZ36" s="217"/>
      <c r="BA36" s="217"/>
      <c r="BB36" s="217"/>
      <c r="BC36" s="217"/>
      <c r="BD36" s="217"/>
      <c r="BE36" s="217"/>
      <c r="BF36" s="217"/>
      <c r="BG36" s="217"/>
      <c r="BH36" s="217"/>
      <c r="BI36" s="216"/>
      <c r="BJ36" s="216"/>
      <c r="BK36" s="216"/>
    </row>
    <row r="37" spans="1:63" s="215" customFormat="1" ht="61.8" hidden="1" thickBot="1">
      <c r="A37" s="977"/>
      <c r="B37" s="394" t="e">
        <f>+B36+1</f>
        <v>#REF!</v>
      </c>
      <c r="C37" s="357" t="s">
        <v>111</v>
      </c>
      <c r="D37" s="357" t="s">
        <v>310</v>
      </c>
      <c r="E37" s="358"/>
      <c r="F37" s="358"/>
      <c r="G37" s="357" t="s">
        <v>311</v>
      </c>
      <c r="H37" s="357" t="s">
        <v>113</v>
      </c>
      <c r="I37" s="395" t="s">
        <v>231</v>
      </c>
      <c r="J37" s="391" t="s">
        <v>312</v>
      </c>
      <c r="K37" s="286" t="s">
        <v>58</v>
      </c>
      <c r="L37" s="286"/>
      <c r="M37" s="286"/>
      <c r="N37" s="286"/>
      <c r="O37" s="287"/>
      <c r="P37" s="317"/>
      <c r="Q37" s="317"/>
      <c r="R37" s="317"/>
      <c r="S37" s="317"/>
      <c r="T37" s="317"/>
      <c r="U37" s="317"/>
      <c r="V37" s="317"/>
      <c r="W37" s="317"/>
      <c r="X37" s="317"/>
      <c r="Y37" s="317"/>
      <c r="Z37" s="317"/>
      <c r="AA37" s="317"/>
      <c r="AB37" s="318" t="e">
        <f t="shared" si="1"/>
        <v>#N/A</v>
      </c>
      <c r="AC37" s="319"/>
      <c r="AD37" s="317" t="e">
        <f t="shared" si="5"/>
        <v>#DIV/0!</v>
      </c>
      <c r="AE37" s="291" t="s">
        <v>210</v>
      </c>
      <c r="AF37" s="320">
        <v>9.6100000000000005E-3</v>
      </c>
      <c r="AG37" s="321" t="str">
        <f>IF($K$37="Sube",IF(ISERROR(AB37/$O$37)=TRUE,"",IF(AB37&gt;$O$37,AF37,AB37/$O$37*AF37)),IF(ISERROR($O$37/AB37)=TRUE,"",IF($O$37&lt;AB37,$O$37/AB37*AF37,AF37)))</f>
        <v/>
      </c>
      <c r="AH37" s="322" t="str">
        <f>IF($K$37="Sube",IF(ISERROR(AB37/$O$37)=TRUE,"",IF(AB37&gt;=$O$37,1,0)),IF(ISERROR($O$37/AB37)=TRUE,"",IF($O$37&lt;AB37,0,1)))</f>
        <v/>
      </c>
      <c r="AI37" s="323"/>
      <c r="AJ37" s="396"/>
      <c r="AK37" s="454"/>
      <c r="AL37" s="454"/>
      <c r="AM37" s="225"/>
      <c r="AN37" s="218"/>
      <c r="AV37" s="216"/>
      <c r="AW37" s="217"/>
      <c r="AX37" s="217"/>
      <c r="AY37" s="217"/>
      <c r="AZ37" s="217"/>
      <c r="BA37" s="217"/>
      <c r="BB37" s="217"/>
      <c r="BC37" s="217"/>
      <c r="BD37" s="217"/>
      <c r="BE37" s="217"/>
      <c r="BF37" s="217"/>
      <c r="BG37" s="217"/>
      <c r="BH37" s="217"/>
      <c r="BI37" s="216"/>
      <c r="BJ37" s="216"/>
      <c r="BK37" s="216"/>
    </row>
    <row r="38" spans="1:63" ht="63" hidden="1">
      <c r="A38" s="953" t="s">
        <v>313</v>
      </c>
      <c r="B38" s="238" t="e">
        <f t="shared" si="4"/>
        <v>#REF!</v>
      </c>
      <c r="C38" s="397" t="s">
        <v>314</v>
      </c>
      <c r="D38" s="239" t="s">
        <v>78</v>
      </c>
      <c r="E38" s="241"/>
      <c r="F38" s="351"/>
      <c r="G38" s="466" t="s">
        <v>315</v>
      </c>
      <c r="H38" s="466" t="s">
        <v>316</v>
      </c>
      <c r="I38" s="467">
        <v>0</v>
      </c>
      <c r="J38" s="468" t="s">
        <v>317</v>
      </c>
      <c r="K38" s="469" t="s">
        <v>58</v>
      </c>
      <c r="L38" s="463" t="s">
        <v>318</v>
      </c>
      <c r="M38" s="464" t="s">
        <v>319</v>
      </c>
      <c r="N38" s="465" t="s">
        <v>114</v>
      </c>
      <c r="O38" s="246">
        <v>1</v>
      </c>
      <c r="P38" s="247"/>
      <c r="Q38" s="247"/>
      <c r="R38" s="247"/>
      <c r="S38" s="247"/>
      <c r="T38" s="247"/>
      <c r="U38" s="247"/>
      <c r="V38" s="247"/>
      <c r="W38" s="247"/>
      <c r="X38" s="247"/>
      <c r="Y38" s="247"/>
      <c r="Z38" s="247"/>
      <c r="AA38" s="247"/>
      <c r="AB38" s="248" t="e">
        <f t="shared" si="1"/>
        <v>#N/A</v>
      </c>
      <c r="AC38" s="249"/>
      <c r="AD38" s="247" t="e">
        <f t="shared" si="5"/>
        <v>#DIV/0!</v>
      </c>
      <c r="AE38" s="250" t="s">
        <v>210</v>
      </c>
      <c r="AF38" s="329">
        <v>9.6100000000000005E-3</v>
      </c>
      <c r="AG38" s="252" t="str">
        <f>IF($K$38="Sube",IF(ISERROR(AB38/$O$38)=TRUE,"",IF(AB38&gt;$O$38,AF38,AB38/$O$38*AF38)),IF(ISERROR($O$38/AB38)=TRUE,"",IF($O$38&lt;AB38,$O$38/AB38*AF38,AF38)))</f>
        <v/>
      </c>
      <c r="AH38" s="253" t="str">
        <f>IF($K$38="Sube",IF(ISERROR(AB38/$O$38)=TRUE,"",IF(AB38&gt;=$O$38,1,0)),IF(ISERROR($O$38/AB38)=TRUE,"",IF($O$38&lt;AB38,0,1)))</f>
        <v/>
      </c>
      <c r="AI38" s="254"/>
      <c r="AJ38" s="255"/>
      <c r="AK38" s="444"/>
      <c r="AL38" s="450" t="s">
        <v>320</v>
      </c>
      <c r="AM38" s="174"/>
      <c r="AN38" s="134"/>
      <c r="AV38" s="64"/>
      <c r="AW38" s="63"/>
      <c r="AX38" s="63"/>
      <c r="AY38" s="63"/>
      <c r="AZ38" s="63"/>
      <c r="BA38" s="63"/>
      <c r="BB38" s="63"/>
      <c r="BC38" s="63"/>
      <c r="BD38" s="63"/>
      <c r="BE38" s="63"/>
      <c r="BF38" s="63"/>
      <c r="BG38" s="63"/>
      <c r="BH38" s="63"/>
      <c r="BI38" s="64"/>
      <c r="BJ38" s="64"/>
      <c r="BK38" s="64"/>
    </row>
    <row r="39" spans="1:63" ht="59.4" hidden="1" thickBot="1">
      <c r="A39" s="955"/>
      <c r="B39" s="313" t="e">
        <f>+#REF!+1</f>
        <v>#REF!</v>
      </c>
      <c r="C39" s="389" t="s">
        <v>321</v>
      </c>
      <c r="D39" s="282" t="s">
        <v>61</v>
      </c>
      <c r="E39" s="398"/>
      <c r="F39" s="314"/>
      <c r="G39" s="470" t="s">
        <v>322</v>
      </c>
      <c r="H39" s="345" t="s">
        <v>323</v>
      </c>
      <c r="I39" s="471">
        <v>0.85</v>
      </c>
      <c r="J39" s="472" t="s">
        <v>312</v>
      </c>
      <c r="K39" s="473" t="s">
        <v>58</v>
      </c>
      <c r="L39" s="285"/>
      <c r="M39" s="285"/>
      <c r="N39" s="285"/>
      <c r="O39" s="287">
        <v>0.92</v>
      </c>
      <c r="P39" s="317"/>
      <c r="Q39" s="317"/>
      <c r="R39" s="317"/>
      <c r="S39" s="317"/>
      <c r="T39" s="317"/>
      <c r="U39" s="317"/>
      <c r="V39" s="317"/>
      <c r="W39" s="317"/>
      <c r="X39" s="317"/>
      <c r="Y39" s="317"/>
      <c r="Z39" s="317"/>
      <c r="AA39" s="317"/>
      <c r="AB39" s="318" t="e">
        <f t="shared" si="1"/>
        <v>#N/A</v>
      </c>
      <c r="AC39" s="319">
        <f>+(4*100)/4</f>
        <v>100</v>
      </c>
      <c r="AD39" s="317" t="e">
        <f t="shared" si="5"/>
        <v>#DIV/0!</v>
      </c>
      <c r="AE39" s="291" t="s">
        <v>210</v>
      </c>
      <c r="AF39" s="320">
        <v>9.6100000000000005E-3</v>
      </c>
      <c r="AG39" s="321" t="str">
        <f>IF($K$39="Sube",IF(ISERROR(AB39/$O$39)=TRUE,"",IF(AB39&gt;$O$39,AF39,AB39/$O$39*AF39)),IF(ISERROR($O$39/AB39)=TRUE,"",IF($O$39&lt;AB39,$O$39/AB39*AF39,AF39)))</f>
        <v/>
      </c>
      <c r="AH39" s="322" t="str">
        <f>IF($K$39="Sube",IF(ISERROR(AB39/$O$39)=TRUE,"",IF(AB39&gt;=$O$39,1,0)),IF(ISERROR($O$39/AB39)=TRUE,"",IF($O$39&lt;AB39,0,1)))</f>
        <v/>
      </c>
      <c r="AI39" s="323"/>
      <c r="AJ39" s="324"/>
      <c r="AK39" s="449"/>
      <c r="AL39" s="449"/>
      <c r="AM39" s="176"/>
      <c r="AN39" s="148"/>
      <c r="AO39" s="177" t="s">
        <v>324</v>
      </c>
      <c r="AV39" s="64"/>
      <c r="AW39" s="63"/>
      <c r="AX39" s="63"/>
      <c r="AY39" s="63"/>
      <c r="AZ39" s="63"/>
      <c r="BA39" s="63"/>
      <c r="BB39" s="63"/>
      <c r="BC39" s="63"/>
      <c r="BD39" s="63"/>
      <c r="BE39" s="63"/>
      <c r="BF39" s="63"/>
      <c r="BG39" s="63"/>
      <c r="BH39" s="63"/>
      <c r="BI39" s="64"/>
      <c r="BJ39" s="64"/>
      <c r="BK39" s="64"/>
    </row>
    <row r="40" spans="1:63" ht="42" hidden="1">
      <c r="A40" s="953" t="s">
        <v>12</v>
      </c>
      <c r="B40" s="399" t="e">
        <f t="shared" si="4"/>
        <v>#REF!</v>
      </c>
      <c r="C40" s="400" t="s">
        <v>99</v>
      </c>
      <c r="D40" s="400" t="s">
        <v>56</v>
      </c>
      <c r="E40" s="401"/>
      <c r="F40" s="402"/>
      <c r="G40" s="403" t="str">
        <f>+'Tablero Estratégico'!Q17</f>
        <v>Resultado de la medición del clima laboral en el período</v>
      </c>
      <c r="H40" s="403" t="s">
        <v>325</v>
      </c>
      <c r="I40" s="474">
        <f>+'Tablero Estratégico'!U17</f>
        <v>0.41299999999999998</v>
      </c>
      <c r="J40" s="474" t="s">
        <v>239</v>
      </c>
      <c r="K40" s="469" t="s">
        <v>58</v>
      </c>
      <c r="L40" s="341"/>
      <c r="M40" s="341"/>
      <c r="N40" s="341"/>
      <c r="O40" s="404">
        <f>+'Tablero Estratégico'!X17</f>
        <v>0.85</v>
      </c>
      <c r="P40" s="247"/>
      <c r="Q40" s="247"/>
      <c r="R40" s="247"/>
      <c r="S40" s="247"/>
      <c r="T40" s="247"/>
      <c r="U40" s="247"/>
      <c r="V40" s="247"/>
      <c r="W40" s="247"/>
      <c r="X40" s="247"/>
      <c r="Y40" s="247"/>
      <c r="Z40" s="247"/>
      <c r="AA40" s="247"/>
      <c r="AB40" s="248" t="e">
        <f t="shared" si="1"/>
        <v>#N/A</v>
      </c>
      <c r="AC40" s="249"/>
      <c r="AD40" s="247" t="e">
        <f t="shared" si="5"/>
        <v>#DIV/0!</v>
      </c>
      <c r="AE40" s="250" t="s">
        <v>210</v>
      </c>
      <c r="AF40" s="329">
        <v>9.6100000000000005E-3</v>
      </c>
      <c r="AG40" s="252" t="str">
        <f>IF($K$40="Sube",IF(ISERROR(AB40/$O$40)=TRUE,"",IF(AB40&gt;$O$40,AF40,AB40/$O$40*AF40)),IF(ISERROR($O$40/AB40)=TRUE,"",IF($O$40&lt;AB40,$O$40/AB40*AF40,AF40)))</f>
        <v/>
      </c>
      <c r="AH40" s="253" t="str">
        <f>IF($K$40="Sube",IF(ISERROR(AB40/$O$40)=TRUE,"",IF(AB40&gt;=$O$40,1,0)),IF(ISERROR($O$40/AB40)=TRUE,"",IF($O$40&lt;AB40,0,1)))</f>
        <v/>
      </c>
      <c r="AI40" s="254"/>
      <c r="AJ40" s="255"/>
      <c r="AK40" s="444"/>
      <c r="AL40" s="444"/>
      <c r="AM40" s="174"/>
      <c r="AN40" s="134"/>
      <c r="AV40" s="64"/>
      <c r="AW40" s="63"/>
      <c r="AX40" s="63"/>
      <c r="AY40" s="63"/>
      <c r="AZ40" s="63"/>
      <c r="BA40" s="63"/>
      <c r="BB40" s="63"/>
      <c r="BC40" s="63"/>
      <c r="BD40" s="63"/>
      <c r="BE40" s="63"/>
      <c r="BF40" s="63"/>
      <c r="BG40" s="63"/>
      <c r="BH40" s="63"/>
      <c r="BI40" s="64"/>
      <c r="BJ40" s="64"/>
      <c r="BK40" s="64"/>
    </row>
    <row r="41" spans="1:63" ht="42" hidden="1">
      <c r="A41" s="961"/>
      <c r="B41" s="405" t="e">
        <f t="shared" si="4"/>
        <v>#REF!</v>
      </c>
      <c r="C41" s="331" t="s">
        <v>104</v>
      </c>
      <c r="D41" s="331" t="s">
        <v>56</v>
      </c>
      <c r="E41" s="406"/>
      <c r="F41" s="407"/>
      <c r="G41" s="408" t="s">
        <v>326</v>
      </c>
      <c r="H41" s="408" t="s">
        <v>106</v>
      </c>
      <c r="I41" s="475"/>
      <c r="J41" s="475" t="s">
        <v>239</v>
      </c>
      <c r="K41" s="476" t="s">
        <v>58</v>
      </c>
      <c r="L41" s="275"/>
      <c r="M41" s="275"/>
      <c r="N41" s="275"/>
      <c r="O41" s="276"/>
      <c r="P41" s="265"/>
      <c r="Q41" s="265"/>
      <c r="R41" s="265"/>
      <c r="S41" s="265"/>
      <c r="T41" s="265"/>
      <c r="U41" s="265"/>
      <c r="V41" s="265"/>
      <c r="W41" s="265"/>
      <c r="X41" s="265"/>
      <c r="Y41" s="265"/>
      <c r="Z41" s="265"/>
      <c r="AA41" s="265"/>
      <c r="AB41" s="266" t="e">
        <f t="shared" si="1"/>
        <v>#N/A</v>
      </c>
      <c r="AC41" s="267"/>
      <c r="AD41" s="265" t="e">
        <f t="shared" si="5"/>
        <v>#DIV/0!</v>
      </c>
      <c r="AE41" s="268" t="s">
        <v>210</v>
      </c>
      <c r="AF41" s="299">
        <v>9.6100000000000005E-3</v>
      </c>
      <c r="AG41" s="270" t="str">
        <f>IF($K$41="Sube",IF(ISERROR(AB41/$O$41)=TRUE,"",IF(AB41&gt;$O$41,AF41,AB41/$O$41*AF41)),IF(ISERROR($O$41/AB41)=TRUE,"",IF($O$41&lt;AB41,$O$41/AB41*AF41,AF41)))</f>
        <v/>
      </c>
      <c r="AH41" s="271" t="str">
        <f>IF($K$41="Sube",IF(ISERROR(AB41/$O$41)=TRUE,"",IF(AB41&gt;=$O$41,1,0)),IF(ISERROR($O$41/AB41)=TRUE,"",IF($O$41&lt;AB41,0,1)))</f>
        <v/>
      </c>
      <c r="AI41" s="272"/>
      <c r="AJ41" s="273"/>
      <c r="AK41" s="445"/>
      <c r="AL41" s="445"/>
      <c r="AM41" s="222"/>
      <c r="AN41" s="135"/>
      <c r="AV41" s="64"/>
      <c r="AW41" s="63"/>
      <c r="AX41" s="63"/>
      <c r="AY41" s="63"/>
      <c r="AZ41" s="63"/>
      <c r="BA41" s="63"/>
      <c r="BB41" s="63"/>
      <c r="BC41" s="63"/>
      <c r="BD41" s="63"/>
      <c r="BE41" s="63"/>
      <c r="BF41" s="63"/>
      <c r="BG41" s="63"/>
      <c r="BH41" s="63"/>
      <c r="BI41" s="64"/>
      <c r="BJ41" s="64"/>
      <c r="BK41" s="64"/>
    </row>
    <row r="42" spans="1:63" ht="42" hidden="1">
      <c r="A42" s="961"/>
      <c r="B42" s="405" t="e">
        <f>+#REF!+1</f>
        <v>#REF!</v>
      </c>
      <c r="C42" s="331" t="s">
        <v>327</v>
      </c>
      <c r="D42" s="331" t="s">
        <v>56</v>
      </c>
      <c r="E42" s="406"/>
      <c r="F42" s="407"/>
      <c r="G42" s="408" t="s">
        <v>328</v>
      </c>
      <c r="H42" s="408" t="s">
        <v>329</v>
      </c>
      <c r="I42" s="475" t="s">
        <v>231</v>
      </c>
      <c r="J42" s="477" t="s">
        <v>317</v>
      </c>
      <c r="K42" s="476" t="s">
        <v>58</v>
      </c>
      <c r="L42" s="275"/>
      <c r="M42" s="275"/>
      <c r="N42" s="275"/>
      <c r="O42" s="276"/>
      <c r="P42" s="265"/>
      <c r="Q42" s="265"/>
      <c r="R42" s="265"/>
      <c r="S42" s="265"/>
      <c r="T42" s="265"/>
      <c r="U42" s="265"/>
      <c r="V42" s="265"/>
      <c r="W42" s="265"/>
      <c r="X42" s="265"/>
      <c r="Y42" s="265"/>
      <c r="Z42" s="265"/>
      <c r="AA42" s="265"/>
      <c r="AB42" s="266" t="e">
        <f t="shared" si="1"/>
        <v>#N/A</v>
      </c>
      <c r="AC42" s="267"/>
      <c r="AD42" s="265" t="e">
        <f t="shared" si="5"/>
        <v>#DIV/0!</v>
      </c>
      <c r="AE42" s="268" t="s">
        <v>210</v>
      </c>
      <c r="AF42" s="299">
        <v>9.6100000000000005E-3</v>
      </c>
      <c r="AG42" s="270" t="str">
        <f>IF($K$42="Sube",IF(ISERROR(AB42/$O$42)=TRUE,"",IF(AB42&gt;$O$42,AF42,AB42/$O$42*AF42)),IF(ISERROR($O$42/AB42)=TRUE,"",IF($O$42&lt;AB42,$O$42/AB42*AF42,AF42)))</f>
        <v/>
      </c>
      <c r="AH42" s="271" t="str">
        <f>IF($K$42="Sube",IF(ISERROR(AB42/$O$42)=TRUE,"",IF(AB42&gt;=$O$42,1,0)),IF(ISERROR($O$42/AB42)=TRUE,"",IF($O$42&lt;AB42,0,1)))</f>
        <v/>
      </c>
      <c r="AI42" s="272"/>
      <c r="AJ42" s="273"/>
      <c r="AK42" s="445"/>
      <c r="AL42" s="445"/>
      <c r="AM42" s="222"/>
      <c r="AN42" s="135"/>
      <c r="AV42" s="64"/>
      <c r="AW42" s="63"/>
      <c r="AX42" s="63"/>
      <c r="AY42" s="63"/>
      <c r="AZ42" s="63"/>
      <c r="BA42" s="63"/>
      <c r="BB42" s="63"/>
      <c r="BC42" s="63"/>
      <c r="BD42" s="63"/>
      <c r="BE42" s="63"/>
      <c r="BF42" s="63"/>
      <c r="BG42" s="63"/>
      <c r="BH42" s="63"/>
      <c r="BI42" s="64"/>
      <c r="BJ42" s="64"/>
      <c r="BK42" s="64"/>
    </row>
    <row r="43" spans="1:63" ht="33.75" hidden="1" customHeight="1">
      <c r="A43" s="961"/>
      <c r="B43" s="405" t="e">
        <f t="shared" si="4"/>
        <v>#REF!</v>
      </c>
      <c r="C43" s="331" t="s">
        <v>330</v>
      </c>
      <c r="D43" s="331" t="s">
        <v>78</v>
      </c>
      <c r="E43" s="406"/>
      <c r="F43" s="407"/>
      <c r="G43" s="408" t="s">
        <v>331</v>
      </c>
      <c r="H43" s="408" t="s">
        <v>332</v>
      </c>
      <c r="I43" s="478">
        <v>1</v>
      </c>
      <c r="J43" s="475" t="s">
        <v>59</v>
      </c>
      <c r="K43" s="476" t="s">
        <v>58</v>
      </c>
      <c r="L43" s="275"/>
      <c r="M43" s="275"/>
      <c r="N43" s="275"/>
      <c r="O43" s="276">
        <v>1</v>
      </c>
      <c r="P43" s="265"/>
      <c r="Q43" s="265"/>
      <c r="R43" s="265"/>
      <c r="S43" s="265"/>
      <c r="T43" s="265"/>
      <c r="U43" s="265"/>
      <c r="V43" s="265"/>
      <c r="W43" s="265"/>
      <c r="X43" s="265"/>
      <c r="Y43" s="265"/>
      <c r="Z43" s="265"/>
      <c r="AA43" s="265"/>
      <c r="AB43" s="266" t="e">
        <f t="shared" si="1"/>
        <v>#N/A</v>
      </c>
      <c r="AC43" s="267"/>
      <c r="AD43" s="265" t="e">
        <f t="shared" si="5"/>
        <v>#DIV/0!</v>
      </c>
      <c r="AE43" s="268" t="s">
        <v>210</v>
      </c>
      <c r="AF43" s="299">
        <v>9.6100000000000005E-3</v>
      </c>
      <c r="AG43" s="270" t="str">
        <f>IF($K$43="Sube",IF(ISERROR(AB43/$O$43)=TRUE,"",IF(AB43&gt;$O$43,AF43,AB43/$O$43*AF43)),IF(ISERROR($O$43/AB43)=TRUE,"",IF($O$43&lt;AB43,$O$43/AB43*AF43,AF43)))</f>
        <v/>
      </c>
      <c r="AH43" s="271" t="str">
        <f>IF($K$43="Sube",IF(ISERROR(AB43/$O$43)=TRUE,"",IF(AB43&gt;=$O$43,1,0)),IF(ISERROR($O$43/AB43)=TRUE,"",IF($O$43&lt;AB43,0,1)))</f>
        <v/>
      </c>
      <c r="AI43" s="272"/>
      <c r="AJ43" s="273"/>
      <c r="AK43" s="445"/>
      <c r="AL43" s="445"/>
      <c r="AM43" s="222"/>
      <c r="AN43" s="135"/>
      <c r="AV43" s="64"/>
      <c r="AW43" s="63"/>
      <c r="AX43" s="63"/>
      <c r="AY43" s="63"/>
      <c r="AZ43" s="63"/>
      <c r="BA43" s="63"/>
      <c r="BB43" s="63"/>
      <c r="BC43" s="63"/>
      <c r="BD43" s="63"/>
      <c r="BE43" s="63"/>
      <c r="BF43" s="63"/>
      <c r="BG43" s="63"/>
      <c r="BH43" s="63"/>
      <c r="BI43" s="64"/>
      <c r="BJ43" s="64"/>
      <c r="BK43" s="64"/>
    </row>
    <row r="44" spans="1:63" ht="63" hidden="1">
      <c r="A44" s="961"/>
      <c r="B44" s="405" t="e">
        <f t="shared" si="4"/>
        <v>#REF!</v>
      </c>
      <c r="C44" s="331" t="s">
        <v>333</v>
      </c>
      <c r="D44" s="331" t="s">
        <v>78</v>
      </c>
      <c r="E44" s="407"/>
      <c r="F44" s="407"/>
      <c r="G44" s="408" t="s">
        <v>334</v>
      </c>
      <c r="H44" s="408" t="s">
        <v>335</v>
      </c>
      <c r="I44" s="475" t="s">
        <v>231</v>
      </c>
      <c r="J44" s="477" t="s">
        <v>239</v>
      </c>
      <c r="K44" s="476" t="s">
        <v>58</v>
      </c>
      <c r="L44" s="275"/>
      <c r="M44" s="275"/>
      <c r="N44" s="275"/>
      <c r="O44" s="276"/>
      <c r="P44" s="265"/>
      <c r="Q44" s="265"/>
      <c r="R44" s="265"/>
      <c r="S44" s="265"/>
      <c r="T44" s="265"/>
      <c r="U44" s="265"/>
      <c r="V44" s="265"/>
      <c r="W44" s="265"/>
      <c r="X44" s="265"/>
      <c r="Y44" s="265"/>
      <c r="Z44" s="265"/>
      <c r="AA44" s="265"/>
      <c r="AB44" s="266" t="e">
        <f t="shared" si="1"/>
        <v>#N/A</v>
      </c>
      <c r="AC44" s="267"/>
      <c r="AD44" s="265" t="e">
        <f t="shared" si="5"/>
        <v>#DIV/0!</v>
      </c>
      <c r="AE44" s="268" t="s">
        <v>210</v>
      </c>
      <c r="AF44" s="299">
        <v>9.6100000000000005E-3</v>
      </c>
      <c r="AG44" s="270" t="str">
        <f>IF($K$44="Sube",IF(ISERROR(AB44/$O$44)=TRUE,"",IF(AB44&gt;$O$44,AF44,AB44/$O$44*AF44)),IF(ISERROR($O$44/AB44)=TRUE,"",IF($O$44&lt;AB44,$O$44/AB44*AF44,AF44)))</f>
        <v/>
      </c>
      <c r="AH44" s="271" t="str">
        <f>IF($K$44="Sube",IF(ISERROR(AB44/$O$44)=TRUE,"",IF(AB44&gt;=$O$44,1,0)),IF(ISERROR($O$44/AB44)=TRUE,"",IF($O$44&lt;AB44,0,1)))</f>
        <v/>
      </c>
      <c r="AI44" s="272"/>
      <c r="AJ44" s="273"/>
      <c r="AK44" s="445"/>
      <c r="AL44" s="445"/>
      <c r="AM44" s="222"/>
      <c r="AN44" s="135"/>
      <c r="AV44" s="64"/>
      <c r="AW44" s="63"/>
      <c r="AX44" s="63"/>
      <c r="AY44" s="63"/>
      <c r="AZ44" s="63"/>
      <c r="BA44" s="63"/>
      <c r="BB44" s="63"/>
      <c r="BC44" s="63"/>
      <c r="BD44" s="63"/>
      <c r="BE44" s="63"/>
      <c r="BF44" s="63"/>
      <c r="BG44" s="63"/>
      <c r="BH44" s="63"/>
      <c r="BI44" s="64"/>
      <c r="BJ44" s="64"/>
      <c r="BK44" s="64"/>
    </row>
    <row r="45" spans="1:63" ht="63.6" hidden="1" thickBot="1">
      <c r="A45" s="955"/>
      <c r="B45" s="343"/>
      <c r="C45" s="409" t="s">
        <v>336</v>
      </c>
      <c r="D45" s="409" t="s">
        <v>78</v>
      </c>
      <c r="E45" s="410"/>
      <c r="F45" s="410"/>
      <c r="G45" s="479" t="s">
        <v>337</v>
      </c>
      <c r="H45" s="479" t="s">
        <v>338</v>
      </c>
      <c r="I45" s="480">
        <v>1</v>
      </c>
      <c r="J45" s="481" t="s">
        <v>239</v>
      </c>
      <c r="K45" s="482" t="s">
        <v>293</v>
      </c>
      <c r="L45" s="459"/>
      <c r="M45" s="459"/>
      <c r="N45" s="459"/>
      <c r="O45" s="303">
        <v>1</v>
      </c>
      <c r="P45" s="304"/>
      <c r="Q45" s="304"/>
      <c r="R45" s="304"/>
      <c r="S45" s="304"/>
      <c r="T45" s="304"/>
      <c r="U45" s="304"/>
      <c r="V45" s="304"/>
      <c r="W45" s="304"/>
      <c r="X45" s="304"/>
      <c r="Y45" s="304"/>
      <c r="Z45" s="304"/>
      <c r="AA45" s="304"/>
      <c r="AB45" s="305"/>
      <c r="AC45" s="306"/>
      <c r="AD45" s="304"/>
      <c r="AE45" s="307"/>
      <c r="AF45" s="308"/>
      <c r="AG45" s="309"/>
      <c r="AH45" s="310"/>
      <c r="AI45" s="311"/>
      <c r="AJ45" s="312"/>
      <c r="AK45" s="448"/>
      <c r="AL45" s="448"/>
      <c r="AM45" s="224"/>
      <c r="AN45" s="175"/>
      <c r="AV45" s="64"/>
      <c r="AW45" s="63"/>
      <c r="AX45" s="63"/>
      <c r="AY45" s="63"/>
      <c r="AZ45" s="63"/>
      <c r="BA45" s="63"/>
      <c r="BB45" s="63"/>
      <c r="BC45" s="63"/>
      <c r="BD45" s="63"/>
      <c r="BE45" s="63"/>
      <c r="BF45" s="63"/>
      <c r="BG45" s="63"/>
      <c r="BH45" s="63"/>
      <c r="BI45" s="64"/>
      <c r="BJ45" s="64"/>
      <c r="BK45" s="64"/>
    </row>
    <row r="46" spans="1:63" s="4" customFormat="1" ht="327" hidden="1" thickBot="1">
      <c r="A46" s="411" t="s">
        <v>339</v>
      </c>
      <c r="B46" s="412" t="e">
        <f>+#REF!+1</f>
        <v>#REF!</v>
      </c>
      <c r="C46" s="413" t="s">
        <v>340</v>
      </c>
      <c r="D46" s="413" t="s">
        <v>78</v>
      </c>
      <c r="E46" s="414"/>
      <c r="F46" s="414"/>
      <c r="G46" s="483" t="s">
        <v>341</v>
      </c>
      <c r="H46" s="483" t="s">
        <v>342</v>
      </c>
      <c r="I46" s="484" t="str">
        <f>+'Tablero Estratégico'!U20</f>
        <v>NA</v>
      </c>
      <c r="J46" s="485" t="str">
        <f>+'Tablero Estratégico'!T20</f>
        <v>Semestral</v>
      </c>
      <c r="K46" s="486" t="s">
        <v>58</v>
      </c>
      <c r="L46" s="460"/>
      <c r="M46" s="460"/>
      <c r="N46" s="460"/>
      <c r="O46" s="415">
        <v>1</v>
      </c>
      <c r="P46" s="416"/>
      <c r="Q46" s="416"/>
      <c r="R46" s="416"/>
      <c r="S46" s="416"/>
      <c r="T46" s="416"/>
      <c r="U46" s="416"/>
      <c r="V46" s="416"/>
      <c r="W46" s="416"/>
      <c r="X46" s="416"/>
      <c r="Y46" s="416"/>
      <c r="Z46" s="416"/>
      <c r="AA46" s="416"/>
      <c r="AB46" s="417" t="e">
        <f t="shared" si="1"/>
        <v>#N/A</v>
      </c>
      <c r="AC46" s="418"/>
      <c r="AD46" s="416" t="e">
        <f t="shared" si="5"/>
        <v>#DIV/0!</v>
      </c>
      <c r="AE46" s="419" t="s">
        <v>210</v>
      </c>
      <c r="AF46" s="420">
        <v>9.6100000000000005E-3</v>
      </c>
      <c r="AG46" s="421" t="str">
        <f>IF($K$46="Sube",IF(ISERROR(AB46/$O$46)=TRUE,"",IF(AB46&gt;$O$46,AF46,AB46/$O$46*AF46)),IF(ISERROR($O$46/AB46)=TRUE,"",IF($O$46&lt;AB46,$O$46/AB46*AF46,AF46)))</f>
        <v/>
      </c>
      <c r="AH46" s="422" t="str">
        <f>IF($K$46="Sube",IF(ISERROR(AB46/$O$46)=TRUE,"",IF(AB46&gt;=$O$46,1,0)),IF(ISERROR($O$46/AB46)=TRUE,"",IF($O$46&lt;AB46,0,1)))</f>
        <v/>
      </c>
      <c r="AI46" s="423"/>
      <c r="AJ46" s="424" t="e">
        <f>+'Tablero Estratégico'!#REF!</f>
        <v>#REF!</v>
      </c>
      <c r="AK46" s="455"/>
      <c r="AL46" s="455" t="str">
        <f>+'Tablero Estratégico'!AQ20</f>
        <v>Con corte a 30 de junio, la ETITC percibió ingresos por $3.736.957.226,48 pesos, distribuidos así:
Enero: $ 2.288.836.116
Febrero: $ 610.873.339,48
Marzo: $ 100.842.724
Abril: $ 257.829.411
Mayo: $ 100.885.782
Junio: $ 377.689.854
La ley 2008 de 2019, "Por la cual se decreta el presupuesto de rentas y recursos de capital y ley de apropiaciones para la vigencia fiscal del 1° de enero al 31 de diciembre de 2020", establece que la ETITC tiene programado un total de $ 11.230.302.042 por concepto de recursos propios.
Por lo anterior, con corte al 30 de junio, se evidencia un recaudo del 33,28%.</v>
      </c>
      <c r="AM46" s="226"/>
      <c r="AN46" s="178"/>
      <c r="AO46" s="220"/>
      <c r="AV46" s="64"/>
      <c r="AW46" s="63"/>
      <c r="AX46" s="63"/>
      <c r="AY46" s="63"/>
      <c r="AZ46" s="63"/>
      <c r="BA46" s="63"/>
      <c r="BB46" s="63"/>
      <c r="BC46" s="63"/>
      <c r="BD46" s="63"/>
      <c r="BE46" s="63"/>
      <c r="BF46" s="63"/>
      <c r="BG46" s="63"/>
      <c r="BH46" s="63"/>
      <c r="BI46" s="64"/>
      <c r="BJ46" s="64"/>
      <c r="BK46" s="64"/>
    </row>
    <row r="47" spans="1:63" ht="63" hidden="1">
      <c r="A47" s="953" t="s">
        <v>17</v>
      </c>
      <c r="B47" s="361" t="e">
        <f>+#REF!+1</f>
        <v>#REF!</v>
      </c>
      <c r="C47" s="239" t="s">
        <v>343</v>
      </c>
      <c r="D47" s="240" t="s">
        <v>112</v>
      </c>
      <c r="E47" s="339"/>
      <c r="F47" s="339"/>
      <c r="G47" s="487" t="s">
        <v>344</v>
      </c>
      <c r="H47" s="487" t="s">
        <v>345</v>
      </c>
      <c r="I47" s="488"/>
      <c r="J47" s="468" t="s">
        <v>292</v>
      </c>
      <c r="K47" s="469" t="s">
        <v>293</v>
      </c>
      <c r="L47" s="341"/>
      <c r="M47" s="341"/>
      <c r="N47" s="341"/>
      <c r="O47" s="246"/>
      <c r="P47" s="247"/>
      <c r="Q47" s="247"/>
      <c r="R47" s="247"/>
      <c r="S47" s="247"/>
      <c r="T47" s="247"/>
      <c r="U47" s="247"/>
      <c r="V47" s="247"/>
      <c r="W47" s="247"/>
      <c r="X47" s="247"/>
      <c r="Y47" s="247"/>
      <c r="Z47" s="247"/>
      <c r="AA47" s="247"/>
      <c r="AB47" s="248" t="e">
        <f t="shared" si="1"/>
        <v>#N/A</v>
      </c>
      <c r="AC47" s="249"/>
      <c r="AD47" s="247" t="e">
        <f t="shared" si="5"/>
        <v>#DIV/0!</v>
      </c>
      <c r="AE47" s="250" t="s">
        <v>210</v>
      </c>
      <c r="AF47" s="329">
        <v>9.6100000000000005E-3</v>
      </c>
      <c r="AG47" s="252" t="str">
        <f>IF($K$47="Sube",IF(ISERROR(AB47/$O$47)=TRUE,"",IF(AB47&gt;$O$47,AF47,AB47/$O$47*AF47)),IF(ISERROR($O$47/AB47)=TRUE,"",IF($O$47&lt;AB47,$O$47/AB47*AF47,AF47)))</f>
        <v/>
      </c>
      <c r="AH47" s="253" t="str">
        <f>IF($K$47="Sube",IF(ISERROR(AB47/$O$47)=TRUE,"",IF(AB47&gt;=$O$47,1,0)),IF(ISERROR($O$47/AB47)=TRUE,"",IF($O$47&lt;AB47,0,1)))</f>
        <v/>
      </c>
      <c r="AI47" s="254"/>
      <c r="AJ47" s="255"/>
      <c r="AK47" s="444"/>
      <c r="AL47" s="444"/>
      <c r="AM47" s="174"/>
      <c r="AN47" s="134"/>
      <c r="AV47" s="64"/>
      <c r="AW47" s="63"/>
      <c r="AX47" s="63"/>
      <c r="AY47" s="63"/>
      <c r="AZ47" s="63"/>
      <c r="BA47" s="63"/>
      <c r="BB47" s="63"/>
      <c r="BC47" s="63"/>
      <c r="BD47" s="63"/>
      <c r="BE47" s="63"/>
      <c r="BF47" s="63"/>
      <c r="BG47" s="63"/>
      <c r="BH47" s="63"/>
      <c r="BI47" s="64"/>
      <c r="BJ47" s="64"/>
      <c r="BK47" s="64"/>
    </row>
    <row r="48" spans="1:63" ht="102" hidden="1">
      <c r="A48" s="961"/>
      <c r="B48" s="365" t="e">
        <f t="shared" si="4"/>
        <v>#REF!</v>
      </c>
      <c r="C48" s="258" t="s">
        <v>346</v>
      </c>
      <c r="D48" s="258" t="s">
        <v>78</v>
      </c>
      <c r="E48" s="297"/>
      <c r="F48" s="297"/>
      <c r="G48" s="489" t="s">
        <v>347</v>
      </c>
      <c r="H48" s="489" t="s">
        <v>348</v>
      </c>
      <c r="I48" s="490"/>
      <c r="J48" s="477" t="s">
        <v>292</v>
      </c>
      <c r="K48" s="476" t="s">
        <v>58</v>
      </c>
      <c r="L48" s="275"/>
      <c r="M48" s="275"/>
      <c r="N48" s="275"/>
      <c r="O48" s="276"/>
      <c r="P48" s="265"/>
      <c r="Q48" s="265"/>
      <c r="R48" s="265"/>
      <c r="S48" s="265"/>
      <c r="T48" s="265"/>
      <c r="U48" s="265"/>
      <c r="V48" s="265"/>
      <c r="W48" s="265"/>
      <c r="X48" s="265"/>
      <c r="Y48" s="265"/>
      <c r="Z48" s="265"/>
      <c r="AA48" s="265"/>
      <c r="AB48" s="266" t="e">
        <f t="shared" si="1"/>
        <v>#N/A</v>
      </c>
      <c r="AC48" s="267"/>
      <c r="AD48" s="265" t="e">
        <f t="shared" si="5"/>
        <v>#DIV/0!</v>
      </c>
      <c r="AE48" s="268" t="s">
        <v>210</v>
      </c>
      <c r="AF48" s="299">
        <v>9.6100000000000005E-3</v>
      </c>
      <c r="AG48" s="270" t="str">
        <f>IF($K$48="Sube",IF(ISERROR(AB48/$O$48)=TRUE,"",IF(AB48&gt;$O$48,AF48,AB48/$O$48*AF48)),IF(ISERROR($O$48/AB48)=TRUE,"",IF($O$48&lt;AB48,$O$48/AB48*AF48,AF48)))</f>
        <v/>
      </c>
      <c r="AH48" s="271" t="str">
        <f>IF($K$48="Sube",IF(ISERROR(AB48/$O$48)=TRUE,"",IF(AB48&gt;=$O$48,1,0)),IF(ISERROR($O$48/AB48)=TRUE,"",IF($O$48&lt;AB48,0,1)))</f>
        <v/>
      </c>
      <c r="AI48" s="272"/>
      <c r="AJ48" s="425" t="e">
        <f>+'Tablero Estratégico'!#REF!</f>
        <v>#REF!</v>
      </c>
      <c r="AK48" s="509"/>
      <c r="AL48" s="446" t="str">
        <f>+'Tablero Estratégico'!AQ22</f>
        <v>Con corte a junio 30, con recursos propios se se cuenta con:
Ingresos recaudados: $ 3.897.272.665,03
Compromisos: $ 3.730.097.550,48
Por cada peso comprometido, se cuenta con un peso y cuatro centavos para el respaldo del compromiso.</v>
      </c>
      <c r="AM48" s="222"/>
      <c r="AN48" s="135"/>
      <c r="AV48" s="64"/>
      <c r="AW48" s="63"/>
      <c r="AX48" s="63"/>
      <c r="AY48" s="63"/>
      <c r="AZ48" s="63"/>
      <c r="BA48" s="63"/>
      <c r="BB48" s="63"/>
      <c r="BC48" s="63"/>
      <c r="BD48" s="63"/>
      <c r="BE48" s="63"/>
      <c r="BF48" s="63"/>
      <c r="BG48" s="63"/>
      <c r="BH48" s="63"/>
      <c r="BI48" s="64"/>
      <c r="BJ48" s="64"/>
      <c r="BK48" s="64"/>
    </row>
    <row r="49" spans="1:64" ht="42.6" hidden="1" thickBot="1">
      <c r="A49" s="955"/>
      <c r="B49" s="388" t="e">
        <f t="shared" si="4"/>
        <v>#REF!</v>
      </c>
      <c r="C49" s="282" t="s">
        <v>123</v>
      </c>
      <c r="D49" s="282" t="s">
        <v>56</v>
      </c>
      <c r="E49" s="314"/>
      <c r="F49" s="314"/>
      <c r="G49" s="345" t="s">
        <v>124</v>
      </c>
      <c r="H49" s="345" t="s">
        <v>125</v>
      </c>
      <c r="I49" s="491">
        <f>+'Tablero Estratégico'!U22</f>
        <v>1.0374939776423666</v>
      </c>
      <c r="J49" s="472" t="s">
        <v>292</v>
      </c>
      <c r="K49" s="473" t="s">
        <v>58</v>
      </c>
      <c r="L49" s="285"/>
      <c r="M49" s="285"/>
      <c r="N49" s="285"/>
      <c r="O49" s="287">
        <f>+'Tablero Estratégico'!X22</f>
        <v>100</v>
      </c>
      <c r="P49" s="317"/>
      <c r="Q49" s="317"/>
      <c r="R49" s="317"/>
      <c r="S49" s="317"/>
      <c r="T49" s="317"/>
      <c r="U49" s="317"/>
      <c r="V49" s="317"/>
      <c r="W49" s="317"/>
      <c r="X49" s="317"/>
      <c r="Y49" s="317"/>
      <c r="Z49" s="317"/>
      <c r="AA49" s="317"/>
      <c r="AB49" s="318"/>
      <c r="AC49" s="319"/>
      <c r="AD49" s="317"/>
      <c r="AE49" s="291"/>
      <c r="AF49" s="320"/>
      <c r="AG49" s="321"/>
      <c r="AH49" s="322"/>
      <c r="AI49" s="323"/>
      <c r="AJ49" s="324"/>
      <c r="AK49" s="449"/>
      <c r="AL49" s="449"/>
      <c r="AM49" s="176"/>
      <c r="AN49" s="148"/>
      <c r="AV49" s="64"/>
      <c r="AW49" s="63"/>
      <c r="AX49" s="63"/>
      <c r="AY49" s="63"/>
      <c r="AZ49" s="63"/>
      <c r="BA49" s="63"/>
      <c r="BB49" s="63"/>
      <c r="BC49" s="63"/>
      <c r="BD49" s="63"/>
      <c r="BE49" s="63"/>
      <c r="BF49" s="63"/>
      <c r="BG49" s="63"/>
      <c r="BH49" s="63"/>
      <c r="BI49" s="64"/>
      <c r="BJ49" s="64"/>
      <c r="BK49" s="64"/>
    </row>
    <row r="50" spans="1:64" ht="81.599999999999994" hidden="1">
      <c r="A50" s="954" t="s">
        <v>349</v>
      </c>
      <c r="B50" s="426" t="e">
        <f>+#REF!+1</f>
        <v>#REF!</v>
      </c>
      <c r="C50" s="427" t="s">
        <v>350</v>
      </c>
      <c r="D50" s="428" t="s">
        <v>61</v>
      </c>
      <c r="E50" s="429"/>
      <c r="F50" s="429"/>
      <c r="G50" s="492" t="s">
        <v>351</v>
      </c>
      <c r="H50" s="492" t="s">
        <v>352</v>
      </c>
      <c r="I50" s="493">
        <v>0.4</v>
      </c>
      <c r="J50" s="494" t="s">
        <v>59</v>
      </c>
      <c r="K50" s="495" t="s">
        <v>58</v>
      </c>
      <c r="L50" s="461"/>
      <c r="M50" s="461"/>
      <c r="N50" s="461"/>
      <c r="O50" s="430">
        <v>0.85</v>
      </c>
      <c r="P50" s="431"/>
      <c r="Q50" s="431"/>
      <c r="R50" s="431"/>
      <c r="S50" s="431"/>
      <c r="T50" s="431"/>
      <c r="U50" s="431"/>
      <c r="V50" s="431"/>
      <c r="W50" s="431"/>
      <c r="X50" s="431"/>
      <c r="Y50" s="431"/>
      <c r="Z50" s="431"/>
      <c r="AA50" s="431"/>
      <c r="AB50" s="432"/>
      <c r="AC50" s="433"/>
      <c r="AD50" s="431"/>
      <c r="AE50" s="434"/>
      <c r="AF50" s="435"/>
      <c r="AG50" s="436"/>
      <c r="AH50" s="437"/>
      <c r="AI50" s="438"/>
      <c r="AJ50" s="439">
        <v>0.4</v>
      </c>
      <c r="AK50" s="510"/>
      <c r="AL50" s="456" t="s">
        <v>353</v>
      </c>
      <c r="AM50" s="222"/>
      <c r="AN50" s="135"/>
      <c r="AV50" s="64"/>
      <c r="AW50" s="63"/>
      <c r="AX50" s="63"/>
      <c r="AY50" s="63"/>
      <c r="AZ50" s="63"/>
      <c r="BA50" s="63"/>
      <c r="BB50" s="63"/>
      <c r="BC50" s="63"/>
      <c r="BD50" s="63"/>
      <c r="BE50" s="63"/>
      <c r="BF50" s="63"/>
      <c r="BG50" s="63"/>
      <c r="BH50" s="63"/>
      <c r="BI50" s="64"/>
      <c r="BJ50" s="64"/>
      <c r="BK50" s="64"/>
    </row>
    <row r="51" spans="1:64" ht="63.6" hidden="1" thickBot="1">
      <c r="A51" s="957"/>
      <c r="B51" s="440"/>
      <c r="C51" s="283" t="s">
        <v>354</v>
      </c>
      <c r="D51" s="441" t="s">
        <v>61</v>
      </c>
      <c r="E51" s="314"/>
      <c r="F51" s="314"/>
      <c r="G51" s="496" t="s">
        <v>355</v>
      </c>
      <c r="H51" s="496" t="s">
        <v>356</v>
      </c>
      <c r="I51" s="497">
        <v>0.4</v>
      </c>
      <c r="J51" s="498" t="s">
        <v>59</v>
      </c>
      <c r="K51" s="499" t="s">
        <v>58</v>
      </c>
      <c r="L51" s="462"/>
      <c r="M51" s="462"/>
      <c r="N51" s="462"/>
      <c r="O51" s="287">
        <v>0.85</v>
      </c>
      <c r="P51" s="442"/>
      <c r="Q51" s="317"/>
      <c r="R51" s="317"/>
      <c r="S51" s="317"/>
      <c r="T51" s="317"/>
      <c r="U51" s="317"/>
      <c r="V51" s="317"/>
      <c r="W51" s="317"/>
      <c r="X51" s="317"/>
      <c r="Y51" s="317"/>
      <c r="Z51" s="317"/>
      <c r="AA51" s="317"/>
      <c r="AB51" s="318"/>
      <c r="AC51" s="319"/>
      <c r="AD51" s="317"/>
      <c r="AE51" s="291"/>
      <c r="AF51" s="320"/>
      <c r="AG51" s="321"/>
      <c r="AH51" s="322"/>
      <c r="AI51" s="323"/>
      <c r="AJ51" s="360">
        <v>0.4</v>
      </c>
      <c r="AK51" s="504"/>
      <c r="AL51" s="447" t="s">
        <v>357</v>
      </c>
      <c r="AM51" s="176"/>
      <c r="AN51" s="148"/>
      <c r="AV51" s="64"/>
      <c r="AW51" s="63"/>
      <c r="AX51" s="63"/>
      <c r="AY51" s="63"/>
      <c r="AZ51" s="63"/>
      <c r="BA51" s="63"/>
      <c r="BB51" s="63"/>
      <c r="BC51" s="63"/>
      <c r="BD51" s="63"/>
      <c r="BE51" s="63"/>
      <c r="BF51" s="63"/>
      <c r="BG51" s="63"/>
      <c r="BH51" s="63"/>
      <c r="BI51" s="64"/>
      <c r="BJ51" s="64"/>
      <c r="BK51" s="64"/>
    </row>
    <row r="52" spans="1:64" ht="15" hidden="1" thickBot="1">
      <c r="D52" s="707"/>
      <c r="O52" s="219"/>
      <c r="AE52" s="70" t="s">
        <v>175</v>
      </c>
      <c r="AF52" s="80">
        <f>SUM(AF8:AF51)</f>
        <v>0.3363500000000002</v>
      </c>
      <c r="AG52" s="79">
        <f>SUMIFS(AG8:AG51,AE8:AE51,"Si")/SUMIFS(AF8:AF51,AE8:AE51,"Si")</f>
        <v>0</v>
      </c>
      <c r="AH52" s="71">
        <f>SUMIFS(AH8:AH51,AE8:AE51,"Si")/AE54</f>
        <v>0</v>
      </c>
      <c r="AI52" s="179"/>
      <c r="AJ52" s="179"/>
      <c r="AK52" s="179"/>
      <c r="AL52" s="179"/>
      <c r="AW52" s="64"/>
      <c r="AX52" s="63"/>
      <c r="AY52" s="63"/>
      <c r="AZ52" s="63"/>
      <c r="BA52" s="63"/>
      <c r="BB52" s="63"/>
      <c r="BC52" s="63"/>
      <c r="BD52" s="63"/>
      <c r="BE52" s="63"/>
      <c r="BF52" s="63"/>
      <c r="BG52" s="63"/>
      <c r="BH52" s="63"/>
      <c r="BI52" s="63"/>
      <c r="BJ52" s="64"/>
      <c r="BK52" s="64"/>
      <c r="BL52" s="64"/>
    </row>
    <row r="53" spans="1:64" ht="39.6" hidden="1">
      <c r="D53" s="707"/>
      <c r="O53" s="219"/>
      <c r="AE53" s="22" t="s">
        <v>358</v>
      </c>
      <c r="AF53" s="708" t="s">
        <v>359</v>
      </c>
      <c r="AG53" s="23" t="s">
        <v>360</v>
      </c>
      <c r="AM53" s="19"/>
      <c r="AW53" s="64"/>
      <c r="AX53" s="64"/>
      <c r="AY53" s="64"/>
      <c r="AZ53" s="64"/>
      <c r="BA53" s="64"/>
      <c r="BB53" s="64"/>
      <c r="BC53" s="64"/>
      <c r="BD53" s="64"/>
      <c r="BE53" s="64"/>
      <c r="BF53" s="64"/>
      <c r="BG53" s="64"/>
      <c r="BH53" s="64"/>
      <c r="BI53" s="64"/>
      <c r="BJ53" s="64"/>
      <c r="BK53" s="64"/>
      <c r="BL53" s="64"/>
    </row>
    <row r="54" spans="1:64" ht="15" hidden="1" thickBot="1">
      <c r="D54" s="707"/>
      <c r="G54" s="63"/>
      <c r="O54" s="219"/>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D55" s="707"/>
      <c r="O55" s="219"/>
      <c r="AE55" s="1"/>
      <c r="AF55" s="2"/>
      <c r="AG55" s="2"/>
      <c r="AM55" s="1"/>
      <c r="AW55" s="64"/>
      <c r="AX55" s="64"/>
      <c r="AY55" s="64"/>
      <c r="AZ55" s="64"/>
      <c r="BA55" s="64"/>
      <c r="BB55" s="64"/>
      <c r="BC55" s="64"/>
      <c r="BD55" s="64"/>
      <c r="BE55" s="64"/>
      <c r="BF55" s="64"/>
      <c r="BG55" s="64"/>
      <c r="BH55" s="64"/>
      <c r="BI55" s="64"/>
      <c r="BJ55" s="64"/>
      <c r="BK55" s="64"/>
      <c r="BL55" s="64"/>
    </row>
    <row r="56" spans="1:64">
      <c r="D56" s="707"/>
      <c r="O56" s="219"/>
      <c r="AE56" s="27" t="s">
        <v>361</v>
      </c>
      <c r="AF56" s="28" t="s">
        <v>362</v>
      </c>
      <c r="AG56" s="2"/>
      <c r="AM56" s="1"/>
      <c r="AW56" s="64"/>
      <c r="AX56" s="64"/>
      <c r="AY56" s="64"/>
      <c r="AZ56" s="64"/>
      <c r="BA56" s="64"/>
      <c r="BB56" s="64"/>
      <c r="BC56" s="64"/>
      <c r="BD56" s="64"/>
      <c r="BE56" s="64"/>
      <c r="BF56" s="64"/>
      <c r="BG56" s="64"/>
      <c r="BH56" s="64"/>
      <c r="BI56" s="64"/>
      <c r="BJ56" s="64"/>
      <c r="BK56" s="64"/>
      <c r="BL56" s="64"/>
    </row>
    <row r="57" spans="1:64">
      <c r="D57" s="707"/>
      <c r="O57" s="219"/>
      <c r="AE57" s="29" t="s">
        <v>363</v>
      </c>
      <c r="AF57" s="30" t="s">
        <v>364</v>
      </c>
      <c r="AG57" s="2"/>
      <c r="AM57" s="1"/>
      <c r="AW57" s="64"/>
      <c r="AX57" s="64"/>
      <c r="AY57" s="64"/>
      <c r="AZ57" s="64"/>
      <c r="BA57" s="64"/>
      <c r="BB57" s="64"/>
      <c r="BC57" s="64"/>
      <c r="BD57" s="64"/>
      <c r="BE57" s="64"/>
      <c r="BF57" s="64"/>
      <c r="BG57" s="64"/>
      <c r="BH57" s="64"/>
      <c r="BI57" s="64"/>
      <c r="BJ57" s="64"/>
      <c r="BK57" s="64"/>
      <c r="BL57" s="64"/>
    </row>
    <row r="58" spans="1:64">
      <c r="D58" s="707"/>
      <c r="O58" s="219"/>
      <c r="AE58" s="31" t="s">
        <v>365</v>
      </c>
      <c r="AF58" s="32" t="s">
        <v>366</v>
      </c>
      <c r="AG58" s="2"/>
      <c r="AM58" s="1"/>
      <c r="AW58" s="64"/>
      <c r="AX58" s="64"/>
      <c r="AY58" s="64"/>
      <c r="AZ58" s="64"/>
      <c r="BA58" s="64"/>
      <c r="BB58" s="64"/>
      <c r="BC58" s="64"/>
      <c r="BD58" s="64"/>
      <c r="BE58" s="64"/>
      <c r="BF58" s="64"/>
      <c r="BG58" s="64"/>
      <c r="BH58" s="64"/>
      <c r="BI58" s="64"/>
      <c r="BJ58" s="64"/>
      <c r="BK58" s="64"/>
      <c r="BL58" s="64"/>
    </row>
    <row r="59" spans="1:64">
      <c r="D59" s="707"/>
      <c r="O59" s="219"/>
    </row>
    <row r="60" spans="1:64">
      <c r="D60" s="707"/>
      <c r="O60" s="219"/>
    </row>
  </sheetData>
  <autoFilter ref="A7:BL54" xr:uid="{00000000-0009-0000-0000-00000B000000}">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xr:uid="{00000000-0002-0000-0B00-000000000000}">
      <formula1>"Si,No"</formula1>
    </dataValidation>
    <dataValidation type="list" allowBlank="1" showInputMessage="1" showErrorMessage="1" sqref="K8:K51 L8:N37" xr:uid="{00000000-0002-0000-0B00-000001000000}">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0B00-000000000000}">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r2:uid="{00000000-0003-0000-0B00-000001000000}">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r2:uid="{00000000-0003-0000-0B00-000002000000}">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r2:uid="{00000000-0003-0000-0B00-000003000000}">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r2:uid="{00000000-0003-0000-0B00-000004000000}">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4140625" defaultRowHeight="14.4"/>
  <cols>
    <col min="2" max="2" width="13.44140625" customWidth="1"/>
    <col min="3" max="3" width="75.109375" customWidth="1"/>
    <col min="4" max="4" width="67.44140625" customWidth="1"/>
    <col min="5" max="5" width="54.44140625" style="177" bestFit="1" customWidth="1"/>
    <col min="6" max="6" width="10.44140625" customWidth="1"/>
  </cols>
  <sheetData>
    <row r="2" spans="3:6" ht="15" thickBot="1"/>
    <row r="3" spans="3:6" ht="15" thickBot="1">
      <c r="C3" s="164" t="s">
        <v>367</v>
      </c>
      <c r="D3" s="182" t="s">
        <v>29</v>
      </c>
      <c r="E3" s="182" t="s">
        <v>368</v>
      </c>
      <c r="F3" s="188" t="s">
        <v>36</v>
      </c>
    </row>
    <row r="4" spans="3:6" ht="28.5" customHeight="1">
      <c r="C4" s="981" t="s">
        <v>369</v>
      </c>
      <c r="D4" s="190" t="str">
        <f>+'Tablero Eficacia - Eficiencia'!C31</f>
        <v xml:space="preserve">Beneficiados de actividad </v>
      </c>
      <c r="E4" s="191" t="str">
        <f>+'Tablero Eficacia - Eficiencia'!I31</f>
        <v>No tiene, es la primera vez que se mide este impacto</v>
      </c>
      <c r="F4" s="203">
        <f>+'Tablero Eficacia - Eficiencia'!O31</f>
        <v>0</v>
      </c>
    </row>
    <row r="5" spans="3:6" ht="27" customHeight="1" thickBot="1">
      <c r="C5" s="982"/>
      <c r="D5" s="192" t="str">
        <f>+'Tablero Eficacia - Eficiencia'!C32</f>
        <v>Actividades de formación integral</v>
      </c>
      <c r="E5" s="211">
        <f>+'Tablero Eficacia - Eficiencia'!I32</f>
        <v>0.98</v>
      </c>
      <c r="F5" s="202">
        <f>+'Tablero Eficacia - Eficiencia'!O32</f>
        <v>1</v>
      </c>
    </row>
    <row r="6" spans="3:6" ht="38.25" customHeight="1">
      <c r="C6" s="981" t="s">
        <v>370</v>
      </c>
      <c r="D6" s="190" t="str">
        <f>+'Tablero Eficacia - Eficiencia'!C9</f>
        <v xml:space="preserve">Variación de pruebas saber pro </v>
      </c>
      <c r="E6" s="189" t="str">
        <f>+'Tablero Eficacia - Eficiencia'!I9</f>
        <v>9.9925(2016)/9,9204(2015)</v>
      </c>
      <c r="F6" s="207">
        <f>+'Tablero Eficacia - Eficiencia'!O9</f>
        <v>7.2678521027376153E-3</v>
      </c>
    </row>
    <row r="7" spans="3:6">
      <c r="C7" s="983"/>
      <c r="D7" s="187" t="str">
        <f>+'Tablero Eficacia - Eficiencia'!C10</f>
        <v>Índice de empleabilidad</v>
      </c>
      <c r="E7" s="183" t="str">
        <f>+'Tablero Eficacia - Eficiencia'!I10</f>
        <v>95,7% (Medición del 2015, no hay datos 2016)</v>
      </c>
      <c r="F7" s="201" t="str">
        <f>+'Tablero Eficacia - Eficiencia'!O10</f>
        <v>&gt;= 96%</v>
      </c>
    </row>
    <row r="8" spans="3:6">
      <c r="C8" s="983"/>
      <c r="D8" s="187" t="str">
        <f>+'Tablero Eficacia - Eficiencia'!C13</f>
        <v>Satisfacción de los cursos de extensión</v>
      </c>
      <c r="E8" s="184" t="str">
        <f>+'Tablero Eficacia - Eficiencia'!I13</f>
        <v>No tiene, es la primera vez que se mide este impacto</v>
      </c>
      <c r="F8" s="201">
        <f>+'Tablero Eficacia - Eficiencia'!O13</f>
        <v>0</v>
      </c>
    </row>
    <row r="9" spans="3:6">
      <c r="C9" s="983"/>
      <c r="D9" s="187" t="str">
        <f>+'Tablero Eficacia - Eficiencia'!C15</f>
        <v>Permanencia en los cursos de extensión</v>
      </c>
      <c r="E9" s="184" t="str">
        <f>+'Tablero Eficacia - Eficiencia'!I15</f>
        <v>No tiene, es la primera vez que se mide este impacto</v>
      </c>
      <c r="F9" s="201">
        <f>+'Tablero Eficacia - Eficiencia'!O15</f>
        <v>0</v>
      </c>
    </row>
    <row r="10" spans="3:6">
      <c r="C10" s="983"/>
      <c r="D10" s="187" t="str">
        <f>+'Tablero Eficacia - Eficiencia'!C17</f>
        <v xml:space="preserve">Trabajos de grado con reconocimiento </v>
      </c>
      <c r="E10" s="184" t="str">
        <f>+'Tablero Eficacia - Eficiencia'!I17</f>
        <v>No tiene, es la primera vez que se mide este impacto</v>
      </c>
      <c r="F10" s="201">
        <f>+'Tablero Eficacia - Eficiencia'!O17</f>
        <v>1</v>
      </c>
    </row>
    <row r="11" spans="3:6">
      <c r="C11" s="983"/>
      <c r="D11" s="187" t="str">
        <f>+'Tablero Eficacia - Eficiencia'!C20</f>
        <v>Revisión de syllabus</v>
      </c>
      <c r="E11" s="185" t="str">
        <f>+'Tablero Eficacia - Eficiencia'!I20</f>
        <v>75% (11/15)</v>
      </c>
      <c r="F11" s="201">
        <f>+'Tablero Eficacia - Eficiencia'!O20</f>
        <v>0.9</v>
      </c>
    </row>
    <row r="12" spans="3:6">
      <c r="C12" s="983"/>
      <c r="D12" s="193" t="str">
        <f>+'Tablero Eficacia - Eficiencia'!C23</f>
        <v>Rendimiento académico periódico</v>
      </c>
      <c r="E12" s="184" t="str">
        <f>+'Tablero Eficacia - Eficiencia'!I23</f>
        <v>No tiene, es la primera vez que se mide este impacto</v>
      </c>
      <c r="F12" s="201">
        <f>+'Tablero Eficacia - Eficiencia'!O23</f>
        <v>0</v>
      </c>
    </row>
    <row r="13" spans="3:6">
      <c r="C13" s="983"/>
      <c r="D13" s="193" t="str">
        <f>+'Tablero Eficacia - Eficiencia'!C24</f>
        <v xml:space="preserve">Promoción escolar </v>
      </c>
      <c r="E13" s="183">
        <f>+'Tablero Eficacia - Eficiencia'!I24</f>
        <v>0.8571428571428571</v>
      </c>
      <c r="F13" s="201">
        <f>+'Tablero Eficacia - Eficiencia'!O24</f>
        <v>0.87</v>
      </c>
    </row>
    <row r="14" spans="3:6" ht="15" thickBot="1">
      <c r="C14" s="982"/>
      <c r="D14" s="194" t="str">
        <f>+'Tablero Eficacia - Eficiencia'!C25</f>
        <v xml:space="preserve">Desempeño pruebas saber </v>
      </c>
      <c r="E14" s="208">
        <f>+'Tablero Eficacia - Eficiencia'!I25</f>
        <v>-0.23424570337364736</v>
      </c>
      <c r="F14" s="202">
        <f>+'Tablero Eficacia - Eficiencia'!O25</f>
        <v>9</v>
      </c>
    </row>
    <row r="15" spans="3:6">
      <c r="C15" s="978" t="s">
        <v>371</v>
      </c>
      <c r="D15" s="196" t="str">
        <f>+'Tablero Eficacia - Eficiencia'!C26</f>
        <v>Proyectos de formación en actividades</v>
      </c>
      <c r="E15" s="209">
        <f>+'Tablero Eficacia - Eficiencia'!I26</f>
        <v>1</v>
      </c>
      <c r="F15" s="203">
        <f>+'Tablero Eficacia - Eficiencia'!O26</f>
        <v>1</v>
      </c>
    </row>
    <row r="16" spans="3:6">
      <c r="C16" s="979"/>
      <c r="D16" s="193" t="str">
        <f>+'Tablero Eficacia - Eficiencia'!C27</f>
        <v>Proyectos  de  apoyo a las actividades</v>
      </c>
      <c r="E16" s="212">
        <f>+'Tablero Eficacia - Eficiencia'!I27</f>
        <v>0.9</v>
      </c>
      <c r="F16" s="201">
        <f>+'Tablero Eficacia - Eficiencia'!O27</f>
        <v>1</v>
      </c>
    </row>
    <row r="17" spans="3:6" ht="15" thickBot="1">
      <c r="C17" s="980"/>
      <c r="D17" s="194" t="str">
        <f>+'Tablero Eficacia - Eficiencia'!C28</f>
        <v>Programa  de transferencia de conocimiento</v>
      </c>
      <c r="E17" s="195" t="str">
        <f>+'Tablero Eficacia - Eficiencia'!I28</f>
        <v>No tiene, es la primera vez que se mide este impacto</v>
      </c>
      <c r="F17" s="202">
        <f>+'Tablero Eficacia - Eficiencia'!O28</f>
        <v>0</v>
      </c>
    </row>
    <row r="18" spans="3:6" ht="15" thickBot="1">
      <c r="C18" s="200" t="s">
        <v>372</v>
      </c>
      <c r="D18" s="198" t="str">
        <f>+'Tablero Eficacia - Eficiencia'!C8</f>
        <v>Programas acreditados</v>
      </c>
      <c r="E18" s="199">
        <f>+'Tablero Eficacia - Eficiencia'!I8</f>
        <v>0.1111111111111111</v>
      </c>
      <c r="F18" s="204">
        <f>+'Tablero Eficacia - Eficiencia'!O8</f>
        <v>0.1111111111111111</v>
      </c>
    </row>
    <row r="19" spans="3:6" ht="30.75" customHeight="1">
      <c r="C19" s="978" t="s">
        <v>373</v>
      </c>
      <c r="D19" s="190" t="str">
        <f>+'Tablero Eficacia - Eficiencia'!C11</f>
        <v>Cumplimiento de actividades de movilidad</v>
      </c>
      <c r="E19" s="213">
        <f>+'Tablero Eficacia - Eficiencia'!I11</f>
        <v>0.94169999999999998</v>
      </c>
      <c r="F19" s="203">
        <f>+'Tablero Eficacia - Eficiencia'!O11</f>
        <v>1</v>
      </c>
    </row>
    <row r="20" spans="3:6" ht="15" thickBot="1">
      <c r="C20" s="980"/>
      <c r="D20" s="194" t="str">
        <f>+'Tablero Eficacia - Eficiencia'!C18</f>
        <v>Participación en comunidades académicas</v>
      </c>
      <c r="E20" s="195" t="str">
        <f>+'Tablero Eficacia - Eficiencia'!I18</f>
        <v>No tiene, es la primera vez que se mide este impacto</v>
      </c>
      <c r="F20" s="202">
        <f>+'Tablero Eficacia - Eficiencia'!O18</f>
        <v>1</v>
      </c>
    </row>
    <row r="21" spans="3:6">
      <c r="C21" s="978" t="s">
        <v>374</v>
      </c>
      <c r="D21" s="196" t="str">
        <f>+'Tablero Eficacia - Eficiencia'!C12</f>
        <v>Cumplimiento del Plan de Desarrollo Institucional</v>
      </c>
      <c r="E21" s="209">
        <f>+'Tablero Eficacia - Eficiencia'!I12</f>
        <v>0.97</v>
      </c>
      <c r="F21" s="203">
        <f>+'Tablero Eficacia - Eficiencia'!O12</f>
        <v>0.98</v>
      </c>
    </row>
    <row r="22" spans="3:6">
      <c r="C22" s="979"/>
      <c r="D22" s="193" t="str">
        <f>+'Tablero Eficacia - Eficiencia'!C38</f>
        <v>Seguimiento a las hojas de vida de los funcionarios</v>
      </c>
      <c r="E22" s="185">
        <f>+'Tablero Eficacia - Eficiencia'!I38</f>
        <v>0</v>
      </c>
      <c r="F22" s="201">
        <f>+'Tablero Eficacia - Eficiencia'!O38</f>
        <v>1</v>
      </c>
    </row>
    <row r="23" spans="3:6">
      <c r="C23" s="979"/>
      <c r="D23" s="193" t="str">
        <f>+'Tablero Eficacia - Eficiencia'!C39</f>
        <v xml:space="preserve">Seguimiento al servicio permanente </v>
      </c>
      <c r="E23" s="212">
        <f>+'Tablero Eficacia - Eficiencia'!I39</f>
        <v>0.85</v>
      </c>
      <c r="F23" s="201">
        <f>+'Tablero Eficacia - Eficiencia'!O39</f>
        <v>0.92</v>
      </c>
    </row>
    <row r="24" spans="3:6">
      <c r="C24" s="979"/>
      <c r="D24" s="193" t="str">
        <f>+'Tablero Eficacia - Eficiencia'!C40</f>
        <v xml:space="preserve">Clima laboral </v>
      </c>
      <c r="E24" s="227">
        <f>+'Tablero Eficacia - Eficiencia'!I40</f>
        <v>0.41299999999999998</v>
      </c>
      <c r="F24" s="205">
        <f>+'Tablero Eficacia - Eficiencia'!O40</f>
        <v>0.85</v>
      </c>
    </row>
    <row r="25" spans="3:6" ht="36.75" customHeight="1">
      <c r="C25" s="979"/>
      <c r="D25" s="187" t="str">
        <f>+'Tablero Eficacia - Eficiencia'!C43</f>
        <v xml:space="preserve">Cumplimiento del programa de bienestar laboral </v>
      </c>
      <c r="E25" s="210">
        <f>+'Tablero Eficacia - Eficiencia'!I43</f>
        <v>1</v>
      </c>
      <c r="F25" s="206">
        <f>+'Tablero Eficacia - Eficiencia'!O43</f>
        <v>1</v>
      </c>
    </row>
    <row r="26" spans="3:6" ht="15" thickBot="1">
      <c r="C26" s="980"/>
      <c r="D26" s="194" t="str">
        <f>+'Tablero Eficacia - Eficiencia'!C45</f>
        <v>Cumplimiento del plan de capacitación</v>
      </c>
      <c r="E26" s="211">
        <f>+'Tablero Eficacia - Eficiencia'!I45</f>
        <v>1</v>
      </c>
      <c r="F26" s="202">
        <f>+'Tablero Eficacia - Eficiencia'!O45</f>
        <v>1</v>
      </c>
    </row>
    <row r="27" spans="3:6">
      <c r="C27" s="978" t="s">
        <v>375</v>
      </c>
      <c r="D27" s="196" t="str">
        <f>+'Tablero Eficacia - Eficiencia'!C19</f>
        <v>Uso de talleres y laboratorios</v>
      </c>
      <c r="E27" s="197" t="str">
        <f>+'Tablero Eficacia - Eficiencia'!I19</f>
        <v>No tiene, es la primera vez que se mide este impacto</v>
      </c>
      <c r="F27" s="203">
        <f>+'Tablero Eficacia - Eficiencia'!O19</f>
        <v>1</v>
      </c>
    </row>
    <row r="28" spans="3:6">
      <c r="C28" s="979"/>
      <c r="D28" s="193" t="str">
        <f>+'Tablero Eficacia - Eficiencia'!C31</f>
        <v xml:space="preserve">Beneficiados de actividad </v>
      </c>
      <c r="E28" s="186" t="str">
        <f>+'Tablero Eficacia - Eficiencia'!I31</f>
        <v>No tiene, es la primera vez que se mide este impacto</v>
      </c>
      <c r="F28" s="201">
        <f>+'Tablero Eficacia - Eficiencia'!O31</f>
        <v>0</v>
      </c>
    </row>
    <row r="29" spans="3:6" ht="15" thickBot="1">
      <c r="C29" s="980"/>
      <c r="D29" s="194" t="str">
        <f>+'Tablero Eficacia - Eficiencia'!C32</f>
        <v>Actividades de formación integral</v>
      </c>
      <c r="E29" s="211">
        <f>+'Tablero Eficacia - Eficiencia'!I32</f>
        <v>0.98</v>
      </c>
      <c r="F29" s="202">
        <f>+'Tablero Eficacia - Eficiencia'!O32</f>
        <v>1</v>
      </c>
    </row>
    <row r="37" spans="11:14">
      <c r="N37" s="180"/>
    </row>
    <row r="38" spans="11:14">
      <c r="K38" s="181"/>
      <c r="N38" s="181"/>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
  <dimension ref="D6:M14"/>
  <sheetViews>
    <sheetView workbookViewId="0">
      <selection activeCell="E9" sqref="E9"/>
    </sheetView>
  </sheetViews>
  <sheetFormatPr baseColWidth="10" defaultColWidth="11.44140625" defaultRowHeight="14.4"/>
  <sheetData>
    <row r="6" spans="4:13">
      <c r="L6" s="984" t="s">
        <v>376</v>
      </c>
      <c r="M6" s="984"/>
    </row>
    <row r="7" spans="4:13">
      <c r="E7" t="s">
        <v>136</v>
      </c>
      <c r="F7" t="s">
        <v>377</v>
      </c>
      <c r="L7" t="s">
        <v>378</v>
      </c>
      <c r="M7" t="s">
        <v>379</v>
      </c>
    </row>
    <row r="8" spans="4:13">
      <c r="D8" t="s">
        <v>380</v>
      </c>
      <c r="E8" s="181">
        <f>+'[2]ARTES-MUSICA '!$AC$30</f>
        <v>0.98</v>
      </c>
      <c r="F8">
        <f>+'[2]ARTES-MUSICA '!$AE$30</f>
        <v>14677</v>
      </c>
      <c r="H8">
        <v>98</v>
      </c>
      <c r="I8">
        <f>+'[2]ARTES-MUSICA '!$AE$30</f>
        <v>14677</v>
      </c>
      <c r="L8">
        <v>22</v>
      </c>
      <c r="M8">
        <v>23</v>
      </c>
    </row>
    <row r="9" spans="4:13">
      <c r="D9" t="s">
        <v>381</v>
      </c>
      <c r="E9" s="181">
        <f>+'[2]SALUD '!$AC$15</f>
        <v>1</v>
      </c>
      <c r="F9">
        <f>+'[2]SALUD '!$AE$15</f>
        <v>74</v>
      </c>
      <c r="H9">
        <v>100</v>
      </c>
      <c r="I9">
        <f>+'[2]SALUD '!$AE$15</f>
        <v>74</v>
      </c>
      <c r="L9">
        <v>2</v>
      </c>
      <c r="M9">
        <v>8</v>
      </c>
    </row>
    <row r="10" spans="4:13">
      <c r="D10" t="s">
        <v>382</v>
      </c>
      <c r="E10" s="231">
        <f>+'[2]TRABAJO SOCIAL'!$AC$20</f>
        <v>97.6</v>
      </c>
      <c r="F10">
        <f>+'[2]TRABAJO SOCIAL'!$AE$20</f>
        <v>1741</v>
      </c>
      <c r="H10">
        <v>98</v>
      </c>
      <c r="I10">
        <f>+'[2]TRABAJO SOCIAL'!$AE$20</f>
        <v>1741</v>
      </c>
      <c r="L10">
        <v>9</v>
      </c>
      <c r="M10">
        <v>9</v>
      </c>
    </row>
    <row r="11" spans="4:13">
      <c r="D11" t="s">
        <v>383</v>
      </c>
      <c r="E11">
        <f>+'[2]PSICOLOGIA '!$AC$22</f>
        <v>92.142857142857139</v>
      </c>
      <c r="F11">
        <f>+'[2]PSICOLOGIA '!$AE$22</f>
        <v>1056</v>
      </c>
      <c r="H11">
        <v>92.14</v>
      </c>
      <c r="I11">
        <f>+'[2]PSICOLOGIA '!$AE$22</f>
        <v>1056</v>
      </c>
      <c r="L11">
        <v>13</v>
      </c>
      <c r="M11">
        <v>13</v>
      </c>
    </row>
    <row r="12" spans="4:13">
      <c r="D12" t="s">
        <v>384</v>
      </c>
      <c r="E12">
        <f>+'[2]REC. DEPORTES '!$AC$18</f>
        <v>99</v>
      </c>
      <c r="F12">
        <f>+'[2]REC. DEPORTES '!$AE$18</f>
        <v>154</v>
      </c>
      <c r="H12">
        <v>99</v>
      </c>
      <c r="I12">
        <f>+'[2]REC. DEPORTES '!$AE$18</f>
        <v>154</v>
      </c>
      <c r="L12">
        <v>6</v>
      </c>
      <c r="M12">
        <v>11</v>
      </c>
    </row>
    <row r="13" spans="4:13">
      <c r="D13" t="s">
        <v>385</v>
      </c>
      <c r="H13" s="165">
        <f>+(H12+H11+H9+H8+H10)/500</f>
        <v>0.97427999999999992</v>
      </c>
      <c r="I13">
        <f>SUM(I8:I12)</f>
        <v>17702</v>
      </c>
      <c r="L13">
        <f>SUM(L8:L12)</f>
        <v>52</v>
      </c>
      <c r="M13">
        <f>SUM(M8:M12)</f>
        <v>64</v>
      </c>
    </row>
    <row r="14" spans="4:13">
      <c r="D14" t="s">
        <v>386</v>
      </c>
      <c r="M14" s="165">
        <f>+L13/M13</f>
        <v>0.8125</v>
      </c>
    </row>
  </sheetData>
  <mergeCells count="1">
    <mergeCell ref="L6:M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
  <dimension ref="E8:G10"/>
  <sheetViews>
    <sheetView workbookViewId="0">
      <selection activeCell="H9" sqref="H9"/>
    </sheetView>
  </sheetViews>
  <sheetFormatPr baseColWidth="10" defaultColWidth="11.44140625" defaultRowHeight="14.4"/>
  <sheetData>
    <row r="8" spans="5:7" ht="15" thickBot="1"/>
    <row r="9" spans="5:7" ht="250.2" thickBot="1">
      <c r="E9" s="167">
        <v>1</v>
      </c>
      <c r="F9" s="168">
        <v>0.9</v>
      </c>
      <c r="G9" s="166" t="s">
        <v>387</v>
      </c>
    </row>
    <row r="10" spans="5:7" ht="250.2" thickBot="1">
      <c r="E10" s="167">
        <v>1</v>
      </c>
      <c r="F10" s="168">
        <v>0.9</v>
      </c>
      <c r="G10" s="166" t="s">
        <v>387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dimension ref="A1:BF23"/>
  <sheetViews>
    <sheetView topLeftCell="A4" workbookViewId="0">
      <pane xSplit="4" ySplit="4" topLeftCell="G8" activePane="bottomRight" state="frozen"/>
      <selection pane="topRight" activeCell="D4" sqref="D4"/>
      <selection pane="bottomLeft" activeCell="A8" sqref="A8"/>
      <selection pane="bottomRight" activeCell="G10" sqref="G10"/>
    </sheetView>
  </sheetViews>
  <sheetFormatPr baseColWidth="10" defaultColWidth="11.44140625" defaultRowHeight="14.4" outlineLevelCol="1"/>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88671875" customWidth="1" outlineLevel="1"/>
    <col min="24" max="25" width="7.88671875" hidden="1" customWidth="1" outlineLevel="1"/>
    <col min="26" max="26" width="11.44140625" style="67" customWidth="1" collapsed="1"/>
    <col min="27" max="27" width="31.44140625" customWidth="1"/>
    <col min="28" max="28" width="11.44140625" hidden="1" customWidth="1"/>
    <col min="29" max="29" width="8.88671875" customWidth="1"/>
    <col min="30" max="30" width="9.88671875" customWidth="1"/>
    <col min="31" max="31" width="14.109375" customWidth="1"/>
    <col min="32" max="32" width="16.109375" customWidth="1"/>
    <col min="33" max="33" width="14.44140625" customWidth="1"/>
    <col min="34" max="34" width="13.109375" customWidth="1"/>
    <col min="35" max="35" width="14.88671875" customWidth="1"/>
    <col min="44" max="44" width="7" bestFit="1" customWidth="1"/>
    <col min="45" max="45" width="8.88671875" bestFit="1" customWidth="1"/>
    <col min="46" max="46" width="7.44140625" bestFit="1" customWidth="1"/>
    <col min="47" max="47" width="6" bestFit="1" customWidth="1"/>
    <col min="48" max="49" width="6.44140625" bestFit="1" customWidth="1"/>
    <col min="50" max="50" width="5.88671875" bestFit="1" customWidth="1"/>
    <col min="51" max="51" width="8.44140625" bestFit="1" customWidth="1"/>
    <col min="52" max="52" width="11.88671875" customWidth="1"/>
    <col min="53" max="53" width="9.109375" bestFit="1" customWidth="1"/>
    <col min="54" max="54" width="11.88671875" customWidth="1"/>
    <col min="55" max="55" width="10.44140625" bestFit="1" customWidth="1"/>
    <col min="69" max="74" width="9.44140625" customWidth="1"/>
  </cols>
  <sheetData>
    <row r="1" spans="1:58" ht="15" customHeight="1">
      <c r="A1" s="965" t="s">
        <v>179</v>
      </c>
      <c r="B1" s="965"/>
      <c r="C1" s="966"/>
      <c r="D1" s="967" t="s">
        <v>180</v>
      </c>
      <c r="E1" s="968"/>
      <c r="F1" s="968"/>
      <c r="G1" s="968"/>
      <c r="H1" s="968"/>
      <c r="I1" s="968"/>
      <c r="J1" s="968"/>
      <c r="K1" s="968"/>
      <c r="L1" s="968"/>
      <c r="M1" s="968"/>
      <c r="N1" s="968"/>
      <c r="O1" s="968"/>
      <c r="P1" s="968"/>
      <c r="Q1" s="968"/>
      <c r="R1" s="968"/>
      <c r="S1" s="968"/>
      <c r="T1" s="968"/>
      <c r="U1" s="968"/>
      <c r="V1" s="968"/>
      <c r="W1" s="968"/>
      <c r="X1" s="968"/>
      <c r="Y1" s="968"/>
      <c r="Z1" s="968"/>
      <c r="AA1" s="968"/>
      <c r="AB1" s="968"/>
      <c r="AC1" s="969"/>
      <c r="AD1" s="944" t="s">
        <v>181</v>
      </c>
      <c r="AE1" s="944"/>
    </row>
    <row r="2" spans="1:58" ht="15" customHeight="1">
      <c r="A2" s="966"/>
      <c r="B2" s="966"/>
      <c r="C2" s="966"/>
      <c r="D2" s="970"/>
      <c r="E2" s="971"/>
      <c r="F2" s="971"/>
      <c r="G2" s="971"/>
      <c r="H2" s="971"/>
      <c r="I2" s="971"/>
      <c r="J2" s="971"/>
      <c r="K2" s="971"/>
      <c r="L2" s="971"/>
      <c r="M2" s="971"/>
      <c r="N2" s="971"/>
      <c r="O2" s="971"/>
      <c r="P2" s="971"/>
      <c r="Q2" s="971"/>
      <c r="R2" s="971"/>
      <c r="S2" s="971"/>
      <c r="T2" s="971"/>
      <c r="U2" s="971"/>
      <c r="V2" s="971"/>
      <c r="W2" s="971"/>
      <c r="X2" s="971"/>
      <c r="Y2" s="971"/>
      <c r="Z2" s="971"/>
      <c r="AA2" s="971"/>
      <c r="AB2" s="971"/>
      <c r="AC2" s="972"/>
      <c r="AD2" s="944"/>
      <c r="AE2" s="944"/>
    </row>
    <row r="3" spans="1:58" ht="15" customHeight="1">
      <c r="A3" s="966"/>
      <c r="B3" s="966"/>
      <c r="C3" s="966"/>
      <c r="D3" s="973"/>
      <c r="E3" s="974"/>
      <c r="F3" s="974"/>
      <c r="G3" s="974"/>
      <c r="H3" s="974"/>
      <c r="I3" s="974"/>
      <c r="J3" s="974"/>
      <c r="K3" s="974"/>
      <c r="L3" s="974"/>
      <c r="M3" s="974"/>
      <c r="N3" s="974"/>
      <c r="O3" s="974"/>
      <c r="P3" s="974"/>
      <c r="Q3" s="974"/>
      <c r="R3" s="974"/>
      <c r="S3" s="974"/>
      <c r="T3" s="974"/>
      <c r="U3" s="974"/>
      <c r="V3" s="974"/>
      <c r="W3" s="974"/>
      <c r="X3" s="974"/>
      <c r="Y3" s="974"/>
      <c r="Z3" s="974"/>
      <c r="AA3" s="974"/>
      <c r="AB3" s="974"/>
      <c r="AC3" s="975"/>
      <c r="AD3" s="944"/>
      <c r="AE3" s="944"/>
    </row>
    <row r="4" spans="1:58" ht="15" customHeight="1">
      <c r="A4" s="966"/>
      <c r="B4" s="966"/>
      <c r="C4" s="966"/>
      <c r="D4" s="945" t="s">
        <v>182</v>
      </c>
      <c r="E4" s="946"/>
      <c r="F4" s="946"/>
      <c r="G4" s="946"/>
      <c r="H4" s="946"/>
      <c r="I4" s="946"/>
      <c r="J4" s="946"/>
      <c r="K4" s="946"/>
      <c r="L4" s="946"/>
      <c r="M4" s="946"/>
      <c r="N4" s="946"/>
      <c r="O4" s="946"/>
      <c r="P4" s="946"/>
      <c r="Q4" s="946"/>
      <c r="R4" s="946"/>
      <c r="S4" s="946"/>
      <c r="T4" s="946"/>
      <c r="U4" s="946"/>
      <c r="V4" s="946"/>
      <c r="W4" s="946"/>
      <c r="X4" s="946"/>
      <c r="Y4" s="946"/>
      <c r="Z4" s="946"/>
      <c r="AA4" s="946"/>
      <c r="AB4" s="946"/>
      <c r="AC4" s="947"/>
      <c r="AD4" s="951" t="s">
        <v>183</v>
      </c>
      <c r="AE4" s="951"/>
      <c r="AQ4" s="64"/>
      <c r="AR4" s="64"/>
      <c r="AS4" s="64"/>
      <c r="AT4" s="64"/>
      <c r="AU4" s="64"/>
      <c r="AV4" s="64"/>
      <c r="AW4" s="64"/>
      <c r="AX4" s="64"/>
      <c r="AY4" s="64"/>
      <c r="AZ4" s="64"/>
      <c r="BA4" s="64"/>
      <c r="BB4" s="64"/>
      <c r="BC4" s="64"/>
      <c r="BD4" s="64"/>
      <c r="BE4" s="64"/>
      <c r="BF4" s="64"/>
    </row>
    <row r="5" spans="1:58" ht="15" customHeight="1">
      <c r="A5" s="966"/>
      <c r="B5" s="966"/>
      <c r="C5" s="966"/>
      <c r="D5" s="948"/>
      <c r="E5" s="949"/>
      <c r="F5" s="949"/>
      <c r="G5" s="949"/>
      <c r="H5" s="949"/>
      <c r="I5" s="949"/>
      <c r="J5" s="949"/>
      <c r="K5" s="949"/>
      <c r="L5" s="949"/>
      <c r="M5" s="949"/>
      <c r="N5" s="949"/>
      <c r="O5" s="949"/>
      <c r="P5" s="949"/>
      <c r="Q5" s="949"/>
      <c r="R5" s="949"/>
      <c r="S5" s="949"/>
      <c r="T5" s="949"/>
      <c r="U5" s="949"/>
      <c r="V5" s="949"/>
      <c r="W5" s="949"/>
      <c r="X5" s="949"/>
      <c r="Y5" s="949"/>
      <c r="Z5" s="949"/>
      <c r="AA5" s="949"/>
      <c r="AB5" s="949"/>
      <c r="AC5" s="950"/>
      <c r="AD5" s="952">
        <v>42731</v>
      </c>
      <c r="AE5" s="952"/>
      <c r="AQ5" s="64"/>
      <c r="AR5" s="64"/>
      <c r="AS5" s="64"/>
      <c r="AT5" s="64"/>
      <c r="AU5" s="64"/>
      <c r="AV5" s="64"/>
      <c r="AW5" s="64"/>
      <c r="AX5" s="64"/>
      <c r="AY5" s="64"/>
      <c r="AZ5" s="64"/>
      <c r="BA5" s="64"/>
      <c r="BB5" s="64"/>
      <c r="BC5" s="64"/>
      <c r="BD5" s="64"/>
      <c r="BE5" s="64"/>
      <c r="BF5" s="64"/>
    </row>
    <row r="6" spans="1:58">
      <c r="D6" s="707"/>
      <c r="AQ6" s="64"/>
      <c r="AR6" s="64"/>
      <c r="AS6" s="64"/>
      <c r="AT6" s="64"/>
      <c r="AU6" s="64"/>
      <c r="AV6" s="64"/>
      <c r="AW6" s="64"/>
      <c r="AX6" s="64"/>
      <c r="AY6" s="64"/>
      <c r="AZ6" s="64"/>
      <c r="BA6" s="64"/>
      <c r="BB6" s="64"/>
      <c r="BC6" s="64"/>
      <c r="BD6" s="64"/>
      <c r="BE6" s="64"/>
      <c r="BF6" s="64"/>
    </row>
    <row r="7" spans="1:58" ht="93.75" customHeight="1" thickBot="1">
      <c r="A7" s="111" t="s">
        <v>184</v>
      </c>
      <c r="B7" s="111"/>
      <c r="C7" s="111" t="s">
        <v>185</v>
      </c>
      <c r="D7" s="111" t="s">
        <v>186</v>
      </c>
      <c r="E7" s="111" t="s">
        <v>187</v>
      </c>
      <c r="F7" s="111" t="s">
        <v>188</v>
      </c>
      <c r="G7" s="111" t="s">
        <v>189</v>
      </c>
      <c r="H7" s="111" t="s">
        <v>190</v>
      </c>
      <c r="I7" s="111" t="s">
        <v>192</v>
      </c>
      <c r="J7" s="111" t="s">
        <v>193</v>
      </c>
      <c r="K7" s="111" t="s">
        <v>197</v>
      </c>
      <c r="L7" s="162">
        <v>42736</v>
      </c>
      <c r="M7" s="162">
        <v>42767</v>
      </c>
      <c r="N7" s="162">
        <v>42795</v>
      </c>
      <c r="O7" s="162">
        <v>42826</v>
      </c>
      <c r="P7" s="162">
        <v>42856</v>
      </c>
      <c r="Q7" s="162">
        <v>42887</v>
      </c>
      <c r="R7" s="162">
        <v>42917</v>
      </c>
      <c r="S7" s="162">
        <v>42948</v>
      </c>
      <c r="T7" s="162">
        <v>42979</v>
      </c>
      <c r="U7" s="162">
        <v>43009</v>
      </c>
      <c r="V7" s="162">
        <v>43040</v>
      </c>
      <c r="W7" s="162">
        <v>43070</v>
      </c>
      <c r="X7" s="162"/>
      <c r="Y7" s="162"/>
      <c r="Z7" s="111" t="s">
        <v>198</v>
      </c>
      <c r="AA7" s="111" t="s">
        <v>199</v>
      </c>
      <c r="AB7" s="111" t="s">
        <v>200</v>
      </c>
      <c r="AC7" s="111" t="s">
        <v>201</v>
      </c>
      <c r="AD7" s="163" t="s">
        <v>202</v>
      </c>
      <c r="AE7" s="163" t="s">
        <v>203</v>
      </c>
      <c r="AF7" s="163" t="s">
        <v>204</v>
      </c>
      <c r="AG7" s="163" t="s">
        <v>205</v>
      </c>
      <c r="AH7" s="163" t="s">
        <v>206</v>
      </c>
      <c r="AP7" s="64"/>
      <c r="AQ7" s="65"/>
      <c r="AR7" s="65"/>
      <c r="AS7" s="65"/>
      <c r="AT7" s="65"/>
      <c r="AU7" s="65"/>
      <c r="AV7" s="65"/>
      <c r="AW7" s="65"/>
      <c r="AX7" s="65"/>
      <c r="AY7" s="65"/>
      <c r="AZ7" s="65"/>
      <c r="BA7" s="65"/>
      <c r="BB7" s="65"/>
      <c r="BC7" s="65"/>
      <c r="BD7" s="64"/>
      <c r="BE7" s="64"/>
    </row>
    <row r="8" spans="1:58" ht="26.4">
      <c r="A8" s="986" t="s">
        <v>10</v>
      </c>
      <c r="B8" s="160" t="e">
        <f>+#REF!+1</f>
        <v>#REF!</v>
      </c>
      <c r="C8" s="149" t="s">
        <v>278</v>
      </c>
      <c r="D8" s="123" t="s">
        <v>56</v>
      </c>
      <c r="E8" s="124"/>
      <c r="F8" s="124"/>
      <c r="G8" s="125" t="s">
        <v>388</v>
      </c>
      <c r="H8" s="125" t="s">
        <v>389</v>
      </c>
      <c r="I8" s="126" t="s">
        <v>59</v>
      </c>
      <c r="J8" s="127" t="s">
        <v>58</v>
      </c>
      <c r="K8" s="128">
        <v>0.8</v>
      </c>
      <c r="L8" s="129"/>
      <c r="M8" s="129"/>
      <c r="N8" s="129"/>
      <c r="O8" s="129"/>
      <c r="P8" s="129"/>
      <c r="Q8" s="129"/>
      <c r="R8" s="129"/>
      <c r="S8" s="129"/>
      <c r="T8" s="129"/>
      <c r="U8" s="129"/>
      <c r="V8" s="129"/>
      <c r="W8" s="129"/>
      <c r="X8" s="130">
        <v>0</v>
      </c>
      <c r="Y8" s="130">
        <v>1</v>
      </c>
      <c r="Z8" s="130" t="e">
        <f t="shared" ref="Z8:Z16" si="0">LOOKUP(1000000000,L8:W8)</f>
        <v>#N/A</v>
      </c>
      <c r="AA8" s="125"/>
      <c r="AB8" s="129" t="e">
        <f t="shared" ref="AB8:AB16" si="1">+IF(SLOPE(L8:W8,$L$7:$W$7)&gt;0,"Al alza",IF(SLOPE(L8:W8,$L$7:$W$7)&lt;0,"A la baja","Sin cambio"))</f>
        <v>#DIV/0!</v>
      </c>
      <c r="AC8" s="708" t="s">
        <v>210</v>
      </c>
      <c r="AD8" s="131">
        <v>9.6100000000000005E-3</v>
      </c>
      <c r="AE8" s="132" t="str">
        <f>IF($J$8="Sube",IF(ISERROR(Z8/$K$8)=TRUE,"",IF(Z8&gt;$K$8,AD8,Z8/$K$8*AD8)),IF(ISERROR($K$8/Z8)=TRUE,"",IF($K$8&lt;Z8,$K$8/Z8*AD8,AD8)))</f>
        <v/>
      </c>
      <c r="AF8" s="133" t="str">
        <f>IF($J$8="Sube",IF(ISERROR(Z8/$K$8)=TRUE,"",IF(Z8&gt;=$K$8,1,0)),IF(ISERROR($K$8/Z8)=TRUE,"",IF($K$8&lt;Z8,0,1)))</f>
        <v/>
      </c>
      <c r="AG8" s="124"/>
      <c r="AH8" s="134"/>
      <c r="AP8" s="64"/>
      <c r="AQ8" s="63"/>
      <c r="AR8" s="63"/>
      <c r="AS8" s="63"/>
      <c r="AT8" s="63"/>
      <c r="AU8" s="63"/>
      <c r="AV8" s="63"/>
      <c r="AW8" s="63"/>
      <c r="AX8" s="63"/>
      <c r="AY8" s="63"/>
      <c r="AZ8" s="63"/>
      <c r="BA8" s="63"/>
      <c r="BB8" s="63"/>
      <c r="BC8" s="64"/>
      <c r="BD8" s="64"/>
      <c r="BE8" s="64"/>
    </row>
    <row r="9" spans="1:58" ht="26.4">
      <c r="A9" s="987"/>
      <c r="B9" s="107" t="e">
        <f t="shared" ref="B9:B16" si="2">+B8+1</f>
        <v>#REF!</v>
      </c>
      <c r="C9" s="104" t="s">
        <v>282</v>
      </c>
      <c r="D9" s="105" t="s">
        <v>61</v>
      </c>
      <c r="E9" s="61"/>
      <c r="F9" s="61"/>
      <c r="G9" s="16" t="s">
        <v>390</v>
      </c>
      <c r="H9" s="16" t="s">
        <v>391</v>
      </c>
      <c r="I9" s="18" t="s">
        <v>59</v>
      </c>
      <c r="J9" s="103" t="s">
        <v>58</v>
      </c>
      <c r="K9" s="73">
        <v>0.05</v>
      </c>
      <c r="L9" s="17"/>
      <c r="M9" s="17"/>
      <c r="N9" s="17"/>
      <c r="O9" s="17"/>
      <c r="P9" s="17"/>
      <c r="Q9" s="17"/>
      <c r="R9" s="17"/>
      <c r="S9" s="17"/>
      <c r="T9" s="17"/>
      <c r="U9" s="17"/>
      <c r="V9" s="17"/>
      <c r="W9" s="17"/>
      <c r="X9" s="66">
        <v>0</v>
      </c>
      <c r="Y9" s="66">
        <v>1</v>
      </c>
      <c r="Z9" s="66" t="e">
        <f t="shared" si="0"/>
        <v>#N/A</v>
      </c>
      <c r="AA9" s="16"/>
      <c r="AB9" s="17" t="e">
        <f t="shared" si="1"/>
        <v>#DIV/0!</v>
      </c>
      <c r="AC9" s="709" t="s">
        <v>210</v>
      </c>
      <c r="AD9" s="81">
        <v>9.6100000000000005E-3</v>
      </c>
      <c r="AE9" s="20" t="str">
        <f>IF($J$9="Sube",IF(ISERROR(Z9/$K$9)=TRUE,"",IF(Z9&gt;$K$9,AD9,Z9/$K$9*AD9)),IF(ISERROR($K$9/Z9)=TRUE,"",IF($K$9&lt;Z9,$K$9/Z9*AD9,AD9)))</f>
        <v/>
      </c>
      <c r="AF9" s="21" t="str">
        <f>IF($J$9="Sube",IF(ISERROR(Z9/$K$9)=TRUE,"",IF(Z9&gt;=$K$9,1,0)),IF(ISERROR($K$9/Z9)=TRUE,"",IF($K$9&lt;Z9,0,1)))</f>
        <v/>
      </c>
      <c r="AG9" s="61"/>
      <c r="AH9" s="135"/>
      <c r="AP9" s="64"/>
      <c r="AQ9" s="63"/>
      <c r="AR9" s="63"/>
      <c r="AS9" s="63"/>
      <c r="AT9" s="63"/>
      <c r="AU9" s="63"/>
      <c r="AV9" s="63"/>
      <c r="AW9" s="63"/>
      <c r="AX9" s="63"/>
      <c r="AY9" s="63"/>
      <c r="AZ9" s="63"/>
      <c r="BA9" s="63"/>
      <c r="BB9" s="63"/>
      <c r="BC9" s="64"/>
      <c r="BD9" s="64"/>
      <c r="BE9" s="64"/>
    </row>
    <row r="10" spans="1:58" ht="27" thickBot="1">
      <c r="A10" s="988"/>
      <c r="B10" s="161" t="e">
        <f t="shared" si="2"/>
        <v>#REF!</v>
      </c>
      <c r="C10" s="150" t="s">
        <v>286</v>
      </c>
      <c r="D10" s="137" t="s">
        <v>112</v>
      </c>
      <c r="E10" s="147"/>
      <c r="F10" s="147"/>
      <c r="G10" s="138" t="s">
        <v>392</v>
      </c>
      <c r="H10" s="138" t="s">
        <v>393</v>
      </c>
      <c r="I10" s="139" t="s">
        <v>62</v>
      </c>
      <c r="J10" s="140" t="s">
        <v>58</v>
      </c>
      <c r="K10" s="141">
        <v>0.95</v>
      </c>
      <c r="L10" s="142"/>
      <c r="M10" s="142"/>
      <c r="N10" s="142"/>
      <c r="O10" s="142"/>
      <c r="P10" s="142"/>
      <c r="Q10" s="142"/>
      <c r="R10" s="142"/>
      <c r="S10" s="142"/>
      <c r="T10" s="142"/>
      <c r="U10" s="142"/>
      <c r="V10" s="142"/>
      <c r="W10" s="142"/>
      <c r="X10" s="143">
        <v>0</v>
      </c>
      <c r="Y10" s="143">
        <v>1</v>
      </c>
      <c r="Z10" s="143" t="e">
        <f t="shared" si="0"/>
        <v>#N/A</v>
      </c>
      <c r="AA10" s="138"/>
      <c r="AB10" s="142" t="e">
        <f t="shared" si="1"/>
        <v>#DIV/0!</v>
      </c>
      <c r="AC10" s="136" t="s">
        <v>210</v>
      </c>
      <c r="AD10" s="144">
        <v>9.6100000000000005E-3</v>
      </c>
      <c r="AE10" s="145" t="str">
        <f>IF($J$10="Sube",IF(ISERROR(Z10/$K$10)=TRUE,"",IF(Z10&gt;$K$10,AD10,Z10/$K$10*AD10)),IF(ISERROR($K$10/Z10)=TRUE,"",IF($K$10&lt;Z10,$K$10/Z10*AD10,AD10)))</f>
        <v/>
      </c>
      <c r="AF10" s="146" t="str">
        <f>IF($J$10="Sube",IF(ISERROR(Z10/$K$10)=TRUE,"",IF(Z10&gt;=$K$10,1,0)),IF(ISERROR($K$10/Z10)=TRUE,"",IF($K$10&lt;Z10,0,1)))</f>
        <v/>
      </c>
      <c r="AG10" s="147"/>
      <c r="AH10" s="148"/>
      <c r="AP10" s="64"/>
      <c r="AQ10" s="63"/>
      <c r="AR10" s="63"/>
      <c r="AS10" s="63"/>
      <c r="AT10" s="63"/>
      <c r="AU10" s="63"/>
      <c r="AV10" s="63"/>
      <c r="AW10" s="63"/>
      <c r="AX10" s="63"/>
      <c r="AY10" s="63"/>
      <c r="AZ10" s="63"/>
      <c r="BA10" s="63"/>
      <c r="BB10" s="63"/>
      <c r="BC10" s="64"/>
      <c r="BD10" s="64"/>
      <c r="BE10" s="64"/>
    </row>
    <row r="11" spans="1:58" hidden="1">
      <c r="A11" s="985" t="s">
        <v>394</v>
      </c>
      <c r="B11" s="106" t="e">
        <f t="shared" si="2"/>
        <v>#REF!</v>
      </c>
      <c r="C11" s="109"/>
      <c r="D11" s="112"/>
      <c r="E11" s="113"/>
      <c r="F11" s="113"/>
      <c r="G11" s="114"/>
      <c r="H11" s="114"/>
      <c r="I11" s="115"/>
      <c r="J11" s="116"/>
      <c r="K11" s="117"/>
      <c r="L11" s="118"/>
      <c r="M11" s="118"/>
      <c r="N11" s="118"/>
      <c r="O11" s="118"/>
      <c r="P11" s="118"/>
      <c r="Q11" s="118"/>
      <c r="R11" s="118"/>
      <c r="S11" s="118"/>
      <c r="T11" s="118"/>
      <c r="U11" s="118"/>
      <c r="V11" s="118"/>
      <c r="W11" s="118"/>
      <c r="X11" s="118"/>
      <c r="Y11" s="118"/>
      <c r="Z11" s="119" t="e">
        <f t="shared" si="0"/>
        <v>#N/A</v>
      </c>
      <c r="AA11" s="114"/>
      <c r="AB11" s="118" t="e">
        <f t="shared" si="1"/>
        <v>#DIV/0!</v>
      </c>
      <c r="AC11" s="109" t="s">
        <v>210</v>
      </c>
      <c r="AD11" s="120">
        <v>9.6100000000000005E-3</v>
      </c>
      <c r="AE11" s="121" t="str">
        <f>IF($J$11="Sube",IF(ISERROR(Z11/$K$11)=TRUE,"",IF(Z11&gt;$K$11,AD11,Z11/$K$11*AD11)),IF(ISERROR($K$11/Z11)=TRUE,"",IF($K$11&lt;Z11,$K$11/Z11*AD11,AD11)))</f>
        <v/>
      </c>
      <c r="AF11" s="122" t="str">
        <f>IF($J$11="Sube",IF(ISERROR(Z11/$K$11)=TRUE,"",IF(Z11&gt;=$K$11,1,0)),IF(ISERROR($K$11/Z11)=TRUE,"",IF($K$11&lt;Z11,0,1)))</f>
        <v/>
      </c>
      <c r="AG11" s="113"/>
      <c r="AH11" s="113"/>
      <c r="AP11" s="64"/>
      <c r="AQ11" s="63"/>
      <c r="AR11" s="63"/>
      <c r="AS11" s="63"/>
      <c r="AT11" s="63"/>
      <c r="AU11" s="63"/>
      <c r="AV11" s="63"/>
      <c r="AW11" s="63"/>
      <c r="AX11" s="63"/>
      <c r="AY11" s="63"/>
      <c r="AZ11" s="63"/>
      <c r="BA11" s="63"/>
      <c r="BB11" s="63"/>
      <c r="BC11" s="64"/>
      <c r="BD11" s="64"/>
      <c r="BE11" s="64"/>
    </row>
    <row r="12" spans="1:58" hidden="1">
      <c r="A12" s="985"/>
      <c r="B12" s="106" t="e">
        <f t="shared" si="2"/>
        <v>#REF!</v>
      </c>
      <c r="C12" s="709"/>
      <c r="D12" s="105"/>
      <c r="E12" s="61"/>
      <c r="F12" s="61"/>
      <c r="G12" s="16"/>
      <c r="H12" s="16"/>
      <c r="I12" s="18"/>
      <c r="J12" s="103"/>
      <c r="K12" s="73"/>
      <c r="L12" s="17"/>
      <c r="M12" s="17"/>
      <c r="N12" s="17"/>
      <c r="O12" s="17"/>
      <c r="P12" s="17"/>
      <c r="Q12" s="17"/>
      <c r="R12" s="17"/>
      <c r="S12" s="17"/>
      <c r="T12" s="17"/>
      <c r="U12" s="17"/>
      <c r="V12" s="17"/>
      <c r="W12" s="17"/>
      <c r="X12" s="17"/>
      <c r="Y12" s="17"/>
      <c r="Z12" s="66" t="e">
        <f t="shared" si="0"/>
        <v>#N/A</v>
      </c>
      <c r="AA12" s="16"/>
      <c r="AB12" s="17" t="e">
        <f t="shared" si="1"/>
        <v>#DIV/0!</v>
      </c>
      <c r="AC12" s="709" t="s">
        <v>210</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985"/>
      <c r="B13" s="106" t="e">
        <f t="shared" si="2"/>
        <v>#REF!</v>
      </c>
      <c r="C13" s="709"/>
      <c r="D13" s="105"/>
      <c r="E13" s="61"/>
      <c r="F13" s="61"/>
      <c r="G13" s="16"/>
      <c r="H13" s="16"/>
      <c r="I13" s="18"/>
      <c r="J13" s="103"/>
      <c r="K13" s="73"/>
      <c r="L13" s="17"/>
      <c r="M13" s="17"/>
      <c r="N13" s="17"/>
      <c r="O13" s="17"/>
      <c r="P13" s="17"/>
      <c r="Q13" s="17"/>
      <c r="R13" s="17"/>
      <c r="S13" s="17"/>
      <c r="T13" s="17"/>
      <c r="U13" s="17"/>
      <c r="V13" s="17"/>
      <c r="W13" s="17"/>
      <c r="X13" s="17"/>
      <c r="Y13" s="17"/>
      <c r="Z13" s="66" t="e">
        <f t="shared" si="0"/>
        <v>#N/A</v>
      </c>
      <c r="AA13" s="16"/>
      <c r="AB13" s="17" t="e">
        <f t="shared" si="1"/>
        <v>#DIV/0!</v>
      </c>
      <c r="AC13" s="709" t="s">
        <v>210</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985"/>
      <c r="B14" s="106" t="e">
        <f t="shared" si="2"/>
        <v>#REF!</v>
      </c>
      <c r="C14" s="709"/>
      <c r="D14" s="105"/>
      <c r="E14" s="61"/>
      <c r="F14" s="61"/>
      <c r="G14" s="16"/>
      <c r="H14" s="16"/>
      <c r="I14" s="18"/>
      <c r="J14" s="103"/>
      <c r="K14" s="73"/>
      <c r="L14" s="17"/>
      <c r="M14" s="17"/>
      <c r="N14" s="17"/>
      <c r="O14" s="17"/>
      <c r="P14" s="17"/>
      <c r="Q14" s="17"/>
      <c r="R14" s="17"/>
      <c r="S14" s="17"/>
      <c r="T14" s="17"/>
      <c r="U14" s="17"/>
      <c r="V14" s="17"/>
      <c r="W14" s="17"/>
      <c r="X14" s="17"/>
      <c r="Y14" s="17"/>
      <c r="Z14" s="66" t="e">
        <f t="shared" si="0"/>
        <v>#N/A</v>
      </c>
      <c r="AA14" s="16"/>
      <c r="AB14" s="17" t="e">
        <f t="shared" si="1"/>
        <v>#DIV/0!</v>
      </c>
      <c r="AC14" s="709" t="s">
        <v>210</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985"/>
      <c r="B15" s="106" t="e">
        <f t="shared" si="2"/>
        <v>#REF!</v>
      </c>
      <c r="C15" s="709"/>
      <c r="D15" s="105"/>
      <c r="E15" s="61"/>
      <c r="F15" s="61"/>
      <c r="G15" s="16"/>
      <c r="H15" s="16"/>
      <c r="I15" s="18"/>
      <c r="J15" s="103"/>
      <c r="K15" s="73"/>
      <c r="L15" s="17"/>
      <c r="M15" s="17"/>
      <c r="N15" s="17"/>
      <c r="O15" s="17"/>
      <c r="P15" s="17"/>
      <c r="Q15" s="17"/>
      <c r="R15" s="17"/>
      <c r="S15" s="17"/>
      <c r="T15" s="17"/>
      <c r="U15" s="17"/>
      <c r="V15" s="17"/>
      <c r="W15" s="17"/>
      <c r="X15" s="17"/>
      <c r="Y15" s="17"/>
      <c r="Z15" s="66" t="e">
        <f t="shared" si="0"/>
        <v>#N/A</v>
      </c>
      <c r="AA15" s="16"/>
      <c r="AB15" s="17" t="e">
        <f t="shared" si="1"/>
        <v>#DIV/0!</v>
      </c>
      <c r="AC15" s="709" t="s">
        <v>210</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985"/>
      <c r="B16" s="106" t="e">
        <f t="shared" si="2"/>
        <v>#REF!</v>
      </c>
      <c r="C16" s="108"/>
      <c r="D16" s="110"/>
      <c r="E16" s="151"/>
      <c r="F16" s="151"/>
      <c r="G16" s="78"/>
      <c r="H16" s="78"/>
      <c r="I16" s="152"/>
      <c r="J16" s="153"/>
      <c r="K16" s="154"/>
      <c r="L16" s="155"/>
      <c r="M16" s="155"/>
      <c r="N16" s="155"/>
      <c r="O16" s="155"/>
      <c r="P16" s="155"/>
      <c r="Q16" s="155"/>
      <c r="R16" s="155"/>
      <c r="S16" s="155"/>
      <c r="T16" s="155"/>
      <c r="U16" s="155"/>
      <c r="V16" s="155"/>
      <c r="W16" s="155"/>
      <c r="X16" s="155"/>
      <c r="Y16" s="155"/>
      <c r="Z16" s="156" t="e">
        <f t="shared" si="0"/>
        <v>#N/A</v>
      </c>
      <c r="AA16" s="78"/>
      <c r="AB16" s="155" t="e">
        <f t="shared" si="1"/>
        <v>#DIV/0!</v>
      </c>
      <c r="AC16" s="108" t="s">
        <v>210</v>
      </c>
      <c r="AD16" s="157">
        <v>9.6100000000000005E-3</v>
      </c>
      <c r="AE16" s="158" t="str">
        <f>IF($J$16="Sube",IF(ISERROR(Z16/$K$16)=TRUE,"",IF(Z16&gt;$K$16,AD16,Z16/$K$16*AD16)),IF(ISERROR($K$16/Z16)=TRUE,"",IF($K$16&lt;Z16,$K$16/Z16*AD16,AD16)))</f>
        <v/>
      </c>
      <c r="AF16" s="159" t="str">
        <f>IF($J$16="Sube",IF(ISERROR(Z16/$K$16)=TRUE,"",IF(Z16&gt;=$K$16,1,0)),IF(ISERROR($K$16/Z16)=TRUE,"",IF($K$16&lt;Z16,0,1)))</f>
        <v/>
      </c>
      <c r="AG16" s="151"/>
      <c r="AH16" s="151"/>
      <c r="AP16" s="64"/>
      <c r="AQ16" s="63"/>
      <c r="AR16" s="63"/>
      <c r="AS16" s="63"/>
      <c r="AT16" s="63"/>
      <c r="AU16" s="63"/>
      <c r="AV16" s="63"/>
      <c r="AW16" s="63"/>
      <c r="AX16" s="63"/>
      <c r="AY16" s="63"/>
      <c r="AZ16" s="63"/>
      <c r="BA16" s="63"/>
      <c r="BB16" s="63"/>
      <c r="BC16" s="64"/>
      <c r="BD16" s="64"/>
      <c r="BE16" s="64"/>
    </row>
    <row r="17" spans="29:58" ht="15" thickBot="1">
      <c r="AC17" s="70" t="s">
        <v>175</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c r="AC18" s="22" t="s">
        <v>358</v>
      </c>
      <c r="AD18" s="708" t="s">
        <v>359</v>
      </c>
      <c r="AE18" s="23" t="s">
        <v>360</v>
      </c>
      <c r="AG18" s="19"/>
      <c r="AQ18" s="64"/>
      <c r="AR18" s="64"/>
      <c r="AS18" s="64"/>
      <c r="AT18" s="64"/>
      <c r="AU18" s="64"/>
      <c r="AV18" s="64"/>
      <c r="AW18" s="64"/>
      <c r="AX18" s="64"/>
      <c r="AY18" s="64"/>
      <c r="AZ18" s="64"/>
      <c r="BA18" s="64"/>
      <c r="BB18" s="64"/>
      <c r="BC18" s="64"/>
      <c r="BD18" s="64"/>
      <c r="BE18" s="64"/>
      <c r="BF18" s="64"/>
    </row>
    <row r="19" spans="29:58" ht="1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361</v>
      </c>
      <c r="AD21" s="28" t="s">
        <v>362</v>
      </c>
      <c r="AE21" s="2"/>
      <c r="AG21" s="1"/>
      <c r="AQ21" s="64"/>
      <c r="AR21" s="64"/>
      <c r="AS21" s="64"/>
      <c r="AT21" s="64"/>
      <c r="AU21" s="64"/>
      <c r="AV21" s="64"/>
      <c r="AW21" s="64"/>
      <c r="AX21" s="64"/>
      <c r="AY21" s="64"/>
      <c r="AZ21" s="64"/>
      <c r="BA21" s="64"/>
      <c r="BB21" s="64"/>
      <c r="BC21" s="64"/>
      <c r="BD21" s="64"/>
      <c r="BE21" s="64"/>
      <c r="BF21" s="64"/>
    </row>
    <row r="22" spans="29:58">
      <c r="AC22" s="29" t="s">
        <v>363</v>
      </c>
      <c r="AD22" s="30" t="s">
        <v>364</v>
      </c>
      <c r="AE22" s="2"/>
      <c r="AG22" s="1"/>
      <c r="AQ22" s="64"/>
      <c r="AR22" s="64"/>
      <c r="AS22" s="64"/>
      <c r="AT22" s="64"/>
      <c r="AU22" s="64"/>
      <c r="AV22" s="64"/>
      <c r="AW22" s="64"/>
      <c r="AX22" s="64"/>
      <c r="AY22" s="64"/>
      <c r="AZ22" s="64"/>
      <c r="BA22" s="64"/>
      <c r="BB22" s="64"/>
      <c r="BC22" s="64"/>
      <c r="BD22" s="64"/>
      <c r="BE22" s="64"/>
      <c r="BF22" s="64"/>
    </row>
    <row r="23" spans="29:58" ht="26.4">
      <c r="AC23" s="31" t="s">
        <v>365</v>
      </c>
      <c r="AD23" s="32" t="s">
        <v>366</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F00-000000000000}">
      <formula1>"Si,No"</formula1>
    </dataValidation>
    <dataValidation type="list" allowBlank="1" showInputMessage="1" showErrorMessage="1" sqref="J8:J16" xr:uid="{00000000-0002-0000-0F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r2:uid="{00000000-0003-0000-0F00-000005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r2:uid="{00000000-0003-0000-0F00-000006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dimension ref="A1:L80"/>
  <sheetViews>
    <sheetView topLeftCell="A4" workbookViewId="0">
      <selection activeCell="L46" sqref="L46"/>
    </sheetView>
  </sheetViews>
  <sheetFormatPr baseColWidth="10" defaultColWidth="11.44140625" defaultRowHeight="14.4"/>
  <cols>
    <col min="1" max="1" width="3.109375" customWidth="1"/>
    <col min="2" max="2" width="14.88671875" customWidth="1"/>
    <col min="3" max="3" width="20.109375" customWidth="1"/>
    <col min="4" max="4" width="14.109375" customWidth="1"/>
    <col min="5" max="5" width="17.109375" customWidth="1"/>
    <col min="6" max="6" width="14.44140625" customWidth="1"/>
    <col min="7" max="7" width="15" customWidth="1"/>
    <col min="8" max="8" width="15.88671875" customWidth="1"/>
    <col min="9" max="9" width="21.44140625" customWidth="1"/>
    <col min="10" max="10" width="14.44140625" customWidth="1"/>
    <col min="11" max="11" width="20.88671875" customWidth="1"/>
    <col min="12" max="12" width="13.88671875" customWidth="1"/>
  </cols>
  <sheetData>
    <row r="1" spans="2:12" ht="24" customHeight="1">
      <c r="B1" s="1032" t="s">
        <v>179</v>
      </c>
      <c r="C1" s="1033"/>
      <c r="D1" s="1036" t="s">
        <v>395</v>
      </c>
      <c r="E1" s="1037"/>
      <c r="F1" s="1037"/>
      <c r="G1" s="1037"/>
      <c r="H1" s="1037"/>
      <c r="I1" s="1038"/>
      <c r="J1" s="1045" t="s">
        <v>181</v>
      </c>
      <c r="K1" s="1046"/>
    </row>
    <row r="2" spans="2:12" ht="15" customHeight="1">
      <c r="B2" s="1034"/>
      <c r="C2" s="1035"/>
      <c r="D2" s="1039"/>
      <c r="E2" s="1040"/>
      <c r="F2" s="1040"/>
      <c r="G2" s="1040"/>
      <c r="H2" s="1040"/>
      <c r="I2" s="1041"/>
      <c r="J2" s="1047"/>
      <c r="K2" s="1048"/>
    </row>
    <row r="3" spans="2:12" ht="15" customHeight="1">
      <c r="B3" s="1034"/>
      <c r="C3" s="1035"/>
      <c r="D3" s="1042"/>
      <c r="E3" s="1043"/>
      <c r="F3" s="1043"/>
      <c r="G3" s="1043"/>
      <c r="H3" s="1043"/>
      <c r="I3" s="1044"/>
      <c r="J3" s="1047"/>
      <c r="K3" s="1048"/>
    </row>
    <row r="4" spans="2:12" ht="15" customHeight="1">
      <c r="B4" s="1034"/>
      <c r="C4" s="1035"/>
      <c r="D4" s="1049" t="s">
        <v>182</v>
      </c>
      <c r="E4" s="1049"/>
      <c r="F4" s="1049"/>
      <c r="G4" s="1049"/>
      <c r="H4" s="1049"/>
      <c r="I4" s="1049"/>
      <c r="J4" s="1051" t="s">
        <v>183</v>
      </c>
      <c r="K4" s="1052"/>
    </row>
    <row r="5" spans="2:12" ht="15.75" customHeight="1" thickBot="1">
      <c r="B5" s="1034"/>
      <c r="C5" s="1035"/>
      <c r="D5" s="1050"/>
      <c r="E5" s="1050"/>
      <c r="F5" s="1050"/>
      <c r="G5" s="1050"/>
      <c r="H5" s="1050"/>
      <c r="I5" s="1050"/>
      <c r="J5" s="1053">
        <v>42664</v>
      </c>
      <c r="K5" s="1054"/>
    </row>
    <row r="6" spans="2:12" ht="15" thickBot="1">
      <c r="B6" s="989"/>
      <c r="C6" s="990"/>
      <c r="D6" s="990"/>
      <c r="E6" s="990"/>
      <c r="F6" s="990"/>
      <c r="G6" s="990"/>
      <c r="H6" s="990"/>
      <c r="I6" s="991"/>
      <c r="J6" s="1009"/>
      <c r="K6" s="1010"/>
      <c r="L6" s="4"/>
    </row>
    <row r="7" spans="2:12" ht="34.200000000000003">
      <c r="B7" s="1011" t="s">
        <v>27</v>
      </c>
      <c r="C7" s="1014" t="s">
        <v>396</v>
      </c>
      <c r="D7" s="1011" t="s">
        <v>397</v>
      </c>
      <c r="E7" s="82" t="s">
        <v>398</v>
      </c>
      <c r="F7" s="1011" t="s">
        <v>399</v>
      </c>
      <c r="G7" s="1014" t="s">
        <v>400</v>
      </c>
      <c r="H7" s="1011" t="s">
        <v>401</v>
      </c>
      <c r="I7" s="83" t="s">
        <v>402</v>
      </c>
      <c r="J7" s="1011" t="s">
        <v>403</v>
      </c>
      <c r="K7" s="87"/>
      <c r="L7" s="5"/>
    </row>
    <row r="8" spans="2:12" ht="57">
      <c r="B8" s="1012"/>
      <c r="C8" s="1015"/>
      <c r="D8" s="1012"/>
      <c r="E8" s="82" t="s">
        <v>404</v>
      </c>
      <c r="F8" s="1012"/>
      <c r="G8" s="1015"/>
      <c r="H8" s="1012"/>
      <c r="I8" s="83" t="s">
        <v>405</v>
      </c>
      <c r="J8" s="1012"/>
      <c r="K8" s="87"/>
      <c r="L8" s="5"/>
    </row>
    <row r="9" spans="2:12" ht="34.200000000000003">
      <c r="B9" s="1012"/>
      <c r="C9" s="1015"/>
      <c r="D9" s="1012"/>
      <c r="E9" s="82" t="s">
        <v>406</v>
      </c>
      <c r="F9" s="1012"/>
      <c r="G9" s="1015"/>
      <c r="H9" s="1012"/>
      <c r="I9" s="83" t="s">
        <v>407</v>
      </c>
      <c r="J9" s="1012"/>
      <c r="K9" s="87"/>
      <c r="L9" s="5"/>
    </row>
    <row r="10" spans="2:12" ht="45.6">
      <c r="B10" s="1012"/>
      <c r="C10" s="1015"/>
      <c r="D10" s="1012"/>
      <c r="E10" s="82" t="s">
        <v>408</v>
      </c>
      <c r="F10" s="1012"/>
      <c r="G10" s="1015"/>
      <c r="H10" s="1012"/>
      <c r="I10" s="83" t="s">
        <v>409</v>
      </c>
      <c r="J10" s="1012"/>
      <c r="K10" s="87"/>
      <c r="L10" s="5"/>
    </row>
    <row r="11" spans="2:12" ht="34.200000000000003">
      <c r="B11" s="1012"/>
      <c r="C11" s="1015"/>
      <c r="D11" s="1012"/>
      <c r="E11" s="82" t="s">
        <v>410</v>
      </c>
      <c r="F11" s="1012"/>
      <c r="G11" s="1015"/>
      <c r="H11" s="1012"/>
      <c r="I11" s="83" t="s">
        <v>411</v>
      </c>
      <c r="J11" s="1012"/>
      <c r="K11" s="87"/>
      <c r="L11" s="5"/>
    </row>
    <row r="12" spans="2:12" ht="34.799999999999997" thickBot="1">
      <c r="B12" s="1013"/>
      <c r="C12" s="1016"/>
      <c r="D12" s="1012"/>
      <c r="E12" s="82" t="s">
        <v>412</v>
      </c>
      <c r="F12" s="1012"/>
      <c r="G12" s="1015"/>
      <c r="H12" s="1012"/>
      <c r="I12" s="83" t="s">
        <v>413</v>
      </c>
      <c r="J12" s="1012"/>
      <c r="K12" s="87"/>
      <c r="L12" s="6"/>
    </row>
    <row r="13" spans="2:12" ht="23.4" thickBot="1">
      <c r="B13" s="85" t="s">
        <v>414</v>
      </c>
      <c r="C13" s="84"/>
      <c r="D13" s="1012"/>
      <c r="E13" s="82" t="s">
        <v>415</v>
      </c>
      <c r="F13" s="1012"/>
      <c r="G13" s="1015"/>
      <c r="H13" s="1012"/>
      <c r="I13" s="83" t="s">
        <v>416</v>
      </c>
      <c r="J13" s="1012"/>
      <c r="K13" s="87"/>
      <c r="L13" s="6"/>
    </row>
    <row r="14" spans="2:12" ht="48" customHeight="1" thickBot="1">
      <c r="B14" s="85" t="s">
        <v>417</v>
      </c>
      <c r="C14" s="84"/>
      <c r="D14" s="1012"/>
      <c r="E14" s="82" t="s">
        <v>418</v>
      </c>
      <c r="F14" s="1012"/>
      <c r="G14" s="1015"/>
      <c r="H14" s="1012"/>
      <c r="I14" s="83" t="s">
        <v>419</v>
      </c>
      <c r="J14" s="1012"/>
      <c r="K14" s="87"/>
      <c r="L14" s="6"/>
    </row>
    <row r="15" spans="2:12" ht="42.9" customHeight="1" thickBot="1">
      <c r="B15" s="710" t="s">
        <v>420</v>
      </c>
      <c r="C15" s="86">
        <v>42734</v>
      </c>
      <c r="D15" s="1013"/>
      <c r="E15" s="82" t="s">
        <v>421</v>
      </c>
      <c r="F15" s="1013"/>
      <c r="G15" s="1017"/>
      <c r="H15" s="1013"/>
      <c r="I15" s="83" t="s">
        <v>422</v>
      </c>
      <c r="J15" s="1013"/>
      <c r="K15" s="88"/>
      <c r="L15" s="6"/>
    </row>
    <row r="16" spans="2:12" ht="15" thickBot="1">
      <c r="B16" s="1021"/>
      <c r="C16" s="1022"/>
      <c r="D16" s="1022"/>
      <c r="E16" s="1023"/>
      <c r="F16" s="1024"/>
      <c r="G16" s="1023"/>
      <c r="H16" s="1024"/>
      <c r="I16" s="1023"/>
      <c r="J16" s="1024"/>
      <c r="K16" s="1025"/>
    </row>
    <row r="17" spans="2:11">
      <c r="B17" s="1026" t="s">
        <v>36</v>
      </c>
      <c r="C17" s="42" t="s">
        <v>423</v>
      </c>
      <c r="D17" s="33">
        <v>0.1</v>
      </c>
      <c r="E17" s="1026" t="s">
        <v>424</v>
      </c>
      <c r="F17" s="34"/>
      <c r="G17" s="1029" t="s">
        <v>425</v>
      </c>
      <c r="H17" s="35"/>
      <c r="I17" s="1029" t="s">
        <v>426</v>
      </c>
      <c r="J17" s="89"/>
      <c r="K17" s="93" t="s">
        <v>427</v>
      </c>
    </row>
    <row r="18" spans="2:11">
      <c r="B18" s="1027"/>
      <c r="C18" s="43" t="s">
        <v>428</v>
      </c>
      <c r="D18" s="36">
        <v>0.1</v>
      </c>
      <c r="E18" s="1027"/>
      <c r="F18" s="37"/>
      <c r="G18" s="1030"/>
      <c r="H18" s="38"/>
      <c r="I18" s="1030"/>
      <c r="J18" s="90"/>
      <c r="K18" s="94" t="s">
        <v>427</v>
      </c>
    </row>
    <row r="19" spans="2:11">
      <c r="B19" s="1027"/>
      <c r="C19" s="43" t="s">
        <v>429</v>
      </c>
      <c r="D19" s="36">
        <v>0.1</v>
      </c>
      <c r="E19" s="1027"/>
      <c r="F19" s="37"/>
      <c r="G19" s="1030"/>
      <c r="H19" s="38"/>
      <c r="I19" s="1030"/>
      <c r="J19" s="90"/>
      <c r="K19" s="94" t="s">
        <v>427</v>
      </c>
    </row>
    <row r="20" spans="2:11">
      <c r="B20" s="1027"/>
      <c r="C20" s="43" t="s">
        <v>430</v>
      </c>
      <c r="D20" s="36">
        <v>0.1</v>
      </c>
      <c r="E20" s="1027"/>
      <c r="F20" s="37"/>
      <c r="G20" s="1030"/>
      <c r="H20" s="38"/>
      <c r="I20" s="1030"/>
      <c r="J20" s="90"/>
      <c r="K20" s="94" t="s">
        <v>427</v>
      </c>
    </row>
    <row r="21" spans="2:11">
      <c r="B21" s="1027"/>
      <c r="C21" s="43" t="s">
        <v>431</v>
      </c>
      <c r="D21" s="36">
        <v>0.1</v>
      </c>
      <c r="E21" s="1027"/>
      <c r="F21" s="37"/>
      <c r="G21" s="1030"/>
      <c r="H21" s="38"/>
      <c r="I21" s="1030"/>
      <c r="J21" s="90"/>
      <c r="K21" s="94" t="s">
        <v>427</v>
      </c>
    </row>
    <row r="22" spans="2:11">
      <c r="B22" s="1027"/>
      <c r="C22" s="43" t="s">
        <v>432</v>
      </c>
      <c r="D22" s="36">
        <v>0.1</v>
      </c>
      <c r="E22" s="1027"/>
      <c r="F22" s="37"/>
      <c r="G22" s="1030"/>
      <c r="H22" s="38"/>
      <c r="I22" s="1030"/>
      <c r="J22" s="90"/>
      <c r="K22" s="94" t="s">
        <v>427</v>
      </c>
    </row>
    <row r="23" spans="2:11">
      <c r="B23" s="1027"/>
      <c r="C23" s="43" t="s">
        <v>433</v>
      </c>
      <c r="D23" s="36">
        <v>0.1</v>
      </c>
      <c r="E23" s="1027"/>
      <c r="F23" s="37"/>
      <c r="G23" s="1030"/>
      <c r="H23" s="38"/>
      <c r="I23" s="1030"/>
      <c r="J23" s="90"/>
      <c r="K23" s="94" t="s">
        <v>427</v>
      </c>
    </row>
    <row r="24" spans="2:11">
      <c r="B24" s="1027"/>
      <c r="C24" s="43" t="s">
        <v>434</v>
      </c>
      <c r="D24" s="36">
        <v>0.1</v>
      </c>
      <c r="E24" s="1027"/>
      <c r="F24" s="37"/>
      <c r="G24" s="1030"/>
      <c r="H24" s="38"/>
      <c r="I24" s="1030"/>
      <c r="J24" s="90"/>
      <c r="K24" s="94" t="s">
        <v>427</v>
      </c>
    </row>
    <row r="25" spans="2:11" ht="15" thickBot="1">
      <c r="B25" s="1028"/>
      <c r="C25" s="44" t="s">
        <v>435</v>
      </c>
      <c r="D25" s="39">
        <v>0.1</v>
      </c>
      <c r="E25" s="1028"/>
      <c r="F25" s="40"/>
      <c r="G25" s="1031"/>
      <c r="H25" s="41"/>
      <c r="I25" s="1031"/>
      <c r="J25" s="91"/>
      <c r="K25" s="95" t="s">
        <v>427</v>
      </c>
    </row>
    <row r="26" spans="2:11" s="8" customFormat="1">
      <c r="B26" s="96"/>
      <c r="C26" s="97"/>
      <c r="D26" s="98"/>
      <c r="E26" s="96"/>
      <c r="F26" s="99"/>
      <c r="G26" s="96"/>
      <c r="H26" s="99"/>
      <c r="I26" s="96"/>
      <c r="J26" s="99"/>
      <c r="K26" s="92"/>
    </row>
    <row r="27" spans="2:11" ht="39.6">
      <c r="B27" s="75" t="s">
        <v>436</v>
      </c>
      <c r="C27" s="75" t="s">
        <v>437</v>
      </c>
      <c r="D27" s="74" t="s">
        <v>438</v>
      </c>
      <c r="E27" s="75" t="s">
        <v>398</v>
      </c>
      <c r="F27" s="75" t="s">
        <v>197</v>
      </c>
      <c r="G27" s="75" t="s">
        <v>439</v>
      </c>
      <c r="H27" s="14"/>
      <c r="I27" s="14"/>
      <c r="J27" s="13"/>
      <c r="K27" s="13"/>
    </row>
    <row r="28" spans="2:11">
      <c r="B28" s="12">
        <v>42736</v>
      </c>
      <c r="C28" s="11">
        <v>102</v>
      </c>
      <c r="D28" s="10" t="e">
        <f>'Tablero Estratégico'!#REF!</f>
        <v>#REF!</v>
      </c>
      <c r="E28" s="101" t="str">
        <f>IF(ISERROR(C28/D28)=TRUE,"Sin datos",C28/D28)</f>
        <v>Sin datos</v>
      </c>
      <c r="F28" s="3">
        <f>$D$17</f>
        <v>0.1</v>
      </c>
      <c r="G28" s="62" t="s">
        <v>440</v>
      </c>
    </row>
    <row r="29" spans="2:11">
      <c r="B29" s="12">
        <v>42767</v>
      </c>
      <c r="C29" s="11">
        <v>80</v>
      </c>
      <c r="D29" s="10" t="e">
        <f>'Tablero Estratégico'!#REF!</f>
        <v>#REF!</v>
      </c>
      <c r="E29" s="101"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1"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1" t="str">
        <f t="shared" si="0"/>
        <v>Sin datos</v>
      </c>
      <c r="F31" s="3">
        <f t="shared" si="1"/>
        <v>0.1</v>
      </c>
      <c r="G31" s="62" t="e">
        <f t="shared" si="2"/>
        <v>#DIV/0!</v>
      </c>
    </row>
    <row r="32" spans="2:11">
      <c r="B32" s="12">
        <v>42856</v>
      </c>
      <c r="C32" s="11">
        <v>60</v>
      </c>
      <c r="D32" s="10" t="e">
        <f>'Tablero Estratégico'!#REF!</f>
        <v>#REF!</v>
      </c>
      <c r="E32" s="101" t="str">
        <f t="shared" si="0"/>
        <v>Sin datos</v>
      </c>
      <c r="F32" s="3">
        <f t="shared" si="1"/>
        <v>0.1</v>
      </c>
      <c r="G32" s="62" t="e">
        <f t="shared" si="2"/>
        <v>#DIV/0!</v>
      </c>
    </row>
    <row r="33" spans="1:11">
      <c r="B33" s="12">
        <v>42887</v>
      </c>
      <c r="C33" s="11">
        <v>100</v>
      </c>
      <c r="D33" s="10" t="e">
        <f>'Tablero Estratégico'!#REF!</f>
        <v>#REF!</v>
      </c>
      <c r="E33" s="101" t="str">
        <f t="shared" si="0"/>
        <v>Sin datos</v>
      </c>
      <c r="F33" s="3">
        <f t="shared" si="1"/>
        <v>0.1</v>
      </c>
      <c r="G33" s="62" t="e">
        <f t="shared" si="2"/>
        <v>#DIV/0!</v>
      </c>
    </row>
    <row r="34" spans="1:11">
      <c r="B34" s="12">
        <v>42917</v>
      </c>
      <c r="C34" s="11">
        <v>30</v>
      </c>
      <c r="D34" s="10" t="e">
        <f>'Tablero Estratégico'!#REF!</f>
        <v>#REF!</v>
      </c>
      <c r="E34" s="101" t="str">
        <f t="shared" si="0"/>
        <v>Sin datos</v>
      </c>
      <c r="F34" s="3">
        <f t="shared" si="1"/>
        <v>0.1</v>
      </c>
      <c r="G34" s="62" t="e">
        <f t="shared" si="2"/>
        <v>#DIV/0!</v>
      </c>
    </row>
    <row r="35" spans="1:11">
      <c r="B35" s="12">
        <v>42948</v>
      </c>
      <c r="C35" s="11">
        <v>90</v>
      </c>
      <c r="D35" s="10" t="e">
        <f>'Tablero Estratégico'!#REF!</f>
        <v>#REF!</v>
      </c>
      <c r="E35" s="101" t="str">
        <f t="shared" si="0"/>
        <v>Sin datos</v>
      </c>
      <c r="F35" s="3">
        <f t="shared" si="1"/>
        <v>0.1</v>
      </c>
      <c r="G35" s="62" t="e">
        <f t="shared" si="2"/>
        <v>#DIV/0!</v>
      </c>
    </row>
    <row r="36" spans="1:11">
      <c r="B36" s="12">
        <v>42979</v>
      </c>
      <c r="C36" s="11">
        <v>80</v>
      </c>
      <c r="D36" s="10" t="e">
        <f>'Tablero Estratégico'!#REF!</f>
        <v>#REF!</v>
      </c>
      <c r="E36" s="101" t="str">
        <f t="shared" si="0"/>
        <v>Sin datos</v>
      </c>
      <c r="F36" s="3">
        <f t="shared" si="1"/>
        <v>0.1</v>
      </c>
      <c r="G36" s="62" t="e">
        <f t="shared" si="2"/>
        <v>#DIV/0!</v>
      </c>
    </row>
    <row r="37" spans="1:11">
      <c r="B37" s="12">
        <v>43009</v>
      </c>
      <c r="C37" s="11">
        <v>100</v>
      </c>
      <c r="D37" s="10" t="e">
        <f>'Tablero Estratégico'!#REF!</f>
        <v>#REF!</v>
      </c>
      <c r="E37" s="101" t="str">
        <f t="shared" si="0"/>
        <v>Sin datos</v>
      </c>
      <c r="F37" s="3">
        <f t="shared" si="1"/>
        <v>0.1</v>
      </c>
      <c r="G37" s="62" t="e">
        <f t="shared" si="2"/>
        <v>#DIV/0!</v>
      </c>
    </row>
    <row r="38" spans="1:11">
      <c r="B38" s="12">
        <v>43040</v>
      </c>
      <c r="C38" s="11">
        <v>102</v>
      </c>
      <c r="D38" s="10" t="e">
        <f>'Tablero Estratégico'!#REF!</f>
        <v>#REF!</v>
      </c>
      <c r="E38" s="101" t="str">
        <f t="shared" si="0"/>
        <v>Sin datos</v>
      </c>
      <c r="F38" s="3">
        <f t="shared" si="1"/>
        <v>0.1</v>
      </c>
      <c r="G38" s="62" t="e">
        <f t="shared" si="2"/>
        <v>#DIV/0!</v>
      </c>
    </row>
    <row r="39" spans="1:11" ht="15" thickBot="1">
      <c r="B39" s="68">
        <v>43070</v>
      </c>
      <c r="C39" s="11">
        <f>COUNTIF(('Tablero Estratégico'!$U$6:$U$24),1)</f>
        <v>0</v>
      </c>
      <c r="D39" s="10" t="e">
        <f>'Tablero Estratégico'!#REF!</f>
        <v>#REF!</v>
      </c>
      <c r="E39" s="101" t="str">
        <f t="shared" si="0"/>
        <v>Sin datos</v>
      </c>
      <c r="F39" s="3">
        <f t="shared" si="1"/>
        <v>0.1</v>
      </c>
      <c r="G39" s="62" t="e">
        <f t="shared" si="2"/>
        <v>#DIV/0!</v>
      </c>
      <c r="H39" s="15"/>
      <c r="I39" s="15"/>
      <c r="J39" s="15"/>
      <c r="K39" s="15"/>
    </row>
    <row r="40" spans="1:11" ht="15.75" customHeight="1" thickBot="1">
      <c r="B40" s="1018" t="s">
        <v>200</v>
      </c>
      <c r="C40" s="1019"/>
      <c r="D40" s="1020"/>
      <c r="E40" s="69" t="e">
        <f>+IF(SLOPE(E28:E39,B28:B39)&gt;0,"Al alza",IF(SLOPE(E28:E39,B28:B39)&lt;0,"A la baja","Sin cambio"))</f>
        <v>#DIV/0!</v>
      </c>
      <c r="F40" s="102"/>
      <c r="H40" s="15"/>
      <c r="I40" s="15"/>
      <c r="J40" s="15"/>
      <c r="K40" s="15"/>
    </row>
    <row r="41" spans="1:11" s="4" customFormat="1">
      <c r="B41" s="100"/>
      <c r="C41" s="100"/>
      <c r="D41" s="100"/>
      <c r="E41" s="100"/>
      <c r="F41" s="100"/>
      <c r="G41" s="100"/>
      <c r="H41" s="14"/>
      <c r="I41" s="14"/>
      <c r="J41" s="14"/>
      <c r="K41" s="14"/>
    </row>
    <row r="42" spans="1:11" s="4" customFormat="1">
      <c r="A42" s="64"/>
      <c r="B42" s="100"/>
      <c r="C42" s="100"/>
      <c r="D42" s="100"/>
      <c r="E42" s="100"/>
      <c r="F42" s="100"/>
      <c r="G42" s="100"/>
      <c r="H42" s="14"/>
      <c r="I42" s="14"/>
      <c r="J42" s="14"/>
      <c r="K42" s="14"/>
    </row>
    <row r="43" spans="1:11" s="4" customFormat="1" ht="15" thickBot="1">
      <c r="A43" s="64"/>
      <c r="B43" s="100"/>
      <c r="C43" s="100"/>
      <c r="D43" s="100"/>
      <c r="E43" s="100"/>
      <c r="F43" s="100"/>
      <c r="G43" s="100"/>
      <c r="H43" s="14"/>
      <c r="I43" s="14"/>
      <c r="J43" s="14"/>
      <c r="K43" s="14"/>
    </row>
    <row r="44" spans="1:11" ht="15.75" customHeight="1" thickBot="1">
      <c r="A44" s="1007"/>
      <c r="B44" s="989" t="s">
        <v>441</v>
      </c>
      <c r="C44" s="990"/>
      <c r="D44" s="990"/>
      <c r="E44" s="990"/>
      <c r="F44" s="990"/>
      <c r="G44" s="990"/>
      <c r="H44" s="990"/>
      <c r="I44" s="990"/>
      <c r="J44" s="990"/>
      <c r="K44" s="991"/>
    </row>
    <row r="45" spans="1:11" ht="15" thickBot="1">
      <c r="A45" s="1008"/>
      <c r="B45" s="12">
        <v>42736</v>
      </c>
      <c r="C45" s="992"/>
      <c r="D45" s="993"/>
      <c r="E45" s="993"/>
      <c r="F45" s="993"/>
      <c r="G45" s="993"/>
      <c r="H45" s="993"/>
      <c r="I45" s="993"/>
      <c r="J45" s="993"/>
      <c r="K45" s="994"/>
    </row>
    <row r="46" spans="1:11" ht="15" thickBot="1">
      <c r="A46" s="7"/>
      <c r="B46" s="12">
        <v>42767</v>
      </c>
      <c r="C46" s="992"/>
      <c r="D46" s="993"/>
      <c r="E46" s="993"/>
      <c r="F46" s="993"/>
      <c r="G46" s="993"/>
      <c r="H46" s="993"/>
      <c r="I46" s="993"/>
      <c r="J46" s="993"/>
      <c r="K46" s="994"/>
    </row>
    <row r="47" spans="1:11" ht="15" thickBot="1">
      <c r="A47" s="8"/>
      <c r="B47" s="12">
        <v>42795</v>
      </c>
      <c r="C47" s="992"/>
      <c r="D47" s="993"/>
      <c r="E47" s="993"/>
      <c r="F47" s="993"/>
      <c r="G47" s="993"/>
      <c r="H47" s="993"/>
      <c r="I47" s="993"/>
      <c r="J47" s="993"/>
      <c r="K47" s="994"/>
    </row>
    <row r="48" spans="1:11" ht="15" thickBot="1">
      <c r="A48" s="8"/>
      <c r="B48" s="12">
        <v>42826</v>
      </c>
      <c r="C48" s="992"/>
      <c r="D48" s="993"/>
      <c r="E48" s="993"/>
      <c r="F48" s="993"/>
      <c r="G48" s="993"/>
      <c r="H48" s="993"/>
      <c r="I48" s="993"/>
      <c r="J48" s="993"/>
      <c r="K48" s="994"/>
    </row>
    <row r="49" spans="1:11" ht="15" thickBot="1">
      <c r="A49" s="8"/>
      <c r="B49" s="12">
        <v>42856</v>
      </c>
      <c r="C49" s="992"/>
      <c r="D49" s="993"/>
      <c r="E49" s="993"/>
      <c r="F49" s="993"/>
      <c r="G49" s="993"/>
      <c r="H49" s="993"/>
      <c r="I49" s="993"/>
      <c r="J49" s="993"/>
      <c r="K49" s="994"/>
    </row>
    <row r="50" spans="1:11" ht="15" thickBot="1">
      <c r="A50" s="8"/>
      <c r="B50" s="12">
        <v>42887</v>
      </c>
      <c r="C50" s="992"/>
      <c r="D50" s="993"/>
      <c r="E50" s="993"/>
      <c r="F50" s="993"/>
      <c r="G50" s="993"/>
      <c r="H50" s="993"/>
      <c r="I50" s="993"/>
      <c r="J50" s="993"/>
      <c r="K50" s="994"/>
    </row>
    <row r="51" spans="1:11" ht="15" thickBot="1">
      <c r="B51" s="12">
        <v>42917</v>
      </c>
      <c r="C51" s="992"/>
      <c r="D51" s="993"/>
      <c r="E51" s="993"/>
      <c r="F51" s="993"/>
      <c r="G51" s="993"/>
      <c r="H51" s="993"/>
      <c r="I51" s="993"/>
      <c r="J51" s="993"/>
      <c r="K51" s="994"/>
    </row>
    <row r="52" spans="1:11" ht="15" thickBot="1">
      <c r="B52" s="12">
        <v>42948</v>
      </c>
      <c r="C52" s="992"/>
      <c r="D52" s="993"/>
      <c r="E52" s="993"/>
      <c r="F52" s="993"/>
      <c r="G52" s="993"/>
      <c r="H52" s="993"/>
      <c r="I52" s="993"/>
      <c r="J52" s="993"/>
      <c r="K52" s="994"/>
    </row>
    <row r="53" spans="1:11" ht="15" thickBot="1">
      <c r="B53" s="12">
        <v>42979</v>
      </c>
      <c r="C53" s="992"/>
      <c r="D53" s="993"/>
      <c r="E53" s="993"/>
      <c r="F53" s="993"/>
      <c r="G53" s="993"/>
      <c r="H53" s="993"/>
      <c r="I53" s="993"/>
      <c r="J53" s="993"/>
      <c r="K53" s="994"/>
    </row>
    <row r="54" spans="1:11" ht="15" thickBot="1">
      <c r="B54" s="12">
        <v>43009</v>
      </c>
      <c r="C54" s="992"/>
      <c r="D54" s="993"/>
      <c r="E54" s="993"/>
      <c r="F54" s="993"/>
      <c r="G54" s="993"/>
      <c r="H54" s="993"/>
      <c r="I54" s="993"/>
      <c r="J54" s="993"/>
      <c r="K54" s="994"/>
    </row>
    <row r="55" spans="1:11" ht="15" thickBot="1">
      <c r="B55" s="12">
        <v>43040</v>
      </c>
      <c r="C55" s="992"/>
      <c r="D55" s="993"/>
      <c r="E55" s="993"/>
      <c r="F55" s="993"/>
      <c r="G55" s="993"/>
      <c r="H55" s="993"/>
      <c r="I55" s="993"/>
      <c r="J55" s="993"/>
      <c r="K55" s="994"/>
    </row>
    <row r="56" spans="1:11" ht="15" thickBot="1">
      <c r="B56" s="68">
        <v>43070</v>
      </c>
      <c r="C56" s="992"/>
      <c r="D56" s="993"/>
      <c r="E56" s="993"/>
      <c r="F56" s="993"/>
      <c r="G56" s="993"/>
      <c r="H56" s="993"/>
      <c r="I56" s="993"/>
      <c r="J56" s="993"/>
      <c r="K56" s="994"/>
    </row>
    <row r="57" spans="1:11" ht="15" thickBot="1">
      <c r="B57" s="45" t="s">
        <v>442</v>
      </c>
      <c r="C57" s="989" t="s">
        <v>443</v>
      </c>
      <c r="D57" s="990"/>
      <c r="E57" s="990"/>
      <c r="F57" s="990"/>
      <c r="G57" s="991"/>
      <c r="H57" s="45" t="s">
        <v>414</v>
      </c>
      <c r="I57" s="45" t="s">
        <v>444</v>
      </c>
      <c r="J57" s="76" t="s">
        <v>445</v>
      </c>
      <c r="K57" s="45" t="s">
        <v>446</v>
      </c>
    </row>
    <row r="58" spans="1:11">
      <c r="B58" s="46"/>
      <c r="C58" s="998"/>
      <c r="D58" s="999"/>
      <c r="E58" s="999"/>
      <c r="F58" s="999"/>
      <c r="G58" s="1000"/>
      <c r="H58" s="55"/>
      <c r="I58" s="58"/>
      <c r="J58" s="52"/>
      <c r="K58" s="49"/>
    </row>
    <row r="59" spans="1:11">
      <c r="B59" s="47"/>
      <c r="C59" s="1001"/>
      <c r="D59" s="1002"/>
      <c r="E59" s="1002"/>
      <c r="F59" s="1002"/>
      <c r="G59" s="1003"/>
      <c r="H59" s="56"/>
      <c r="I59" s="59"/>
      <c r="J59" s="53"/>
      <c r="K59" s="50"/>
    </row>
    <row r="60" spans="1:11">
      <c r="B60" s="47"/>
      <c r="C60" s="1001"/>
      <c r="D60" s="1002"/>
      <c r="E60" s="1002"/>
      <c r="F60" s="1002"/>
      <c r="G60" s="1003"/>
      <c r="H60" s="56"/>
      <c r="I60" s="59"/>
      <c r="J60" s="53"/>
      <c r="K60" s="50"/>
    </row>
    <row r="61" spans="1:11">
      <c r="B61" s="47"/>
      <c r="C61" s="1001"/>
      <c r="D61" s="1002"/>
      <c r="E61" s="1002"/>
      <c r="F61" s="1002"/>
      <c r="G61" s="1003"/>
      <c r="H61" s="56"/>
      <c r="I61" s="59"/>
      <c r="J61" s="53"/>
      <c r="K61" s="50"/>
    </row>
    <row r="62" spans="1:11">
      <c r="B62" s="47"/>
      <c r="C62" s="1001"/>
      <c r="D62" s="1002"/>
      <c r="E62" s="1002"/>
      <c r="F62" s="1002"/>
      <c r="G62" s="1003"/>
      <c r="H62" s="56"/>
      <c r="I62" s="59"/>
      <c r="J62" s="53"/>
      <c r="K62" s="50"/>
    </row>
    <row r="63" spans="1:11">
      <c r="B63" s="47"/>
      <c r="C63" s="1001"/>
      <c r="D63" s="1002"/>
      <c r="E63" s="1002"/>
      <c r="F63" s="1002"/>
      <c r="G63" s="1003"/>
      <c r="H63" s="56"/>
      <c r="I63" s="59"/>
      <c r="J63" s="53"/>
      <c r="K63" s="50"/>
    </row>
    <row r="64" spans="1:11">
      <c r="B64" s="47"/>
      <c r="C64" s="1001"/>
      <c r="D64" s="1002"/>
      <c r="E64" s="1002"/>
      <c r="F64" s="1002"/>
      <c r="G64" s="1003"/>
      <c r="H64" s="56"/>
      <c r="I64" s="59"/>
      <c r="J64" s="53"/>
      <c r="K64" s="50"/>
    </row>
    <row r="65" spans="2:11">
      <c r="B65" s="47"/>
      <c r="C65" s="1004"/>
      <c r="D65" s="1005"/>
      <c r="E65" s="1005"/>
      <c r="F65" s="1005"/>
      <c r="G65" s="1006"/>
      <c r="H65" s="56"/>
      <c r="I65" s="59"/>
      <c r="J65" s="53"/>
      <c r="K65" s="50"/>
    </row>
    <row r="66" spans="2:11" ht="15" thickBot="1">
      <c r="B66" s="48"/>
      <c r="C66" s="995"/>
      <c r="D66" s="996"/>
      <c r="E66" s="996"/>
      <c r="F66" s="996"/>
      <c r="G66" s="997"/>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Inicio</vt:lpstr>
      <vt:lpstr>Tablero Estratégico</vt:lpstr>
      <vt:lpstr>Hoja10</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2020-07-22T22:47:25Z</dcterms:modified>
  <cp:category/>
  <cp:contentStatus/>
</cp:coreProperties>
</file>