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0490" windowHeight="7650"/>
  </bookViews>
  <sheets>
    <sheet name="Tablero Estratégico" sheetId="8" r:id="rId1"/>
    <sheet name="Hoja2" sheetId="17" state="hidden" r:id="rId2"/>
    <sheet name="Tablero Eficacia - Eficiencia" sheetId="12" r:id="rId3"/>
    <sheet name="Tablero Objeivos de Calidad" sheetId="13" r:id="rId4"/>
    <sheet name="Hoja3" sheetId="16" state="hidden" r:id="rId5"/>
    <sheet name="Hoja4" sheetId="14" state="hidden" r:id="rId6"/>
    <sheet name="Tablero Maestro (2)" sheetId="11" state="hidden" r:id="rId7"/>
    <sheet name="DE" sheetId="9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2" hidden="1">'Tablero Eficacia - Eficiencia'!$A$7:$BH$54</definedName>
    <definedName name="_xlnm._FilterDatabase" localSheetId="0" hidden="1">'Tablero Estratégico'!$A$4:$BM$27</definedName>
    <definedName name="_xlnm.Print_Area" localSheetId="2">'Tablero Eficacia - Eficiencia'!$A$1:$AH$51</definedName>
    <definedName name="_xlnm.Print_Area" localSheetId="0">'Tablero Estratégico'!$A$1:$AP$26</definedName>
    <definedName name="_xlnm.Print_Area" localSheetId="3">'Tablero Objeivos de Calidad'!$C$3:$F$29</definedName>
    <definedName name="CUMPLIMIENTO_METAS" localSheetId="7">#REF!</definedName>
    <definedName name="CUMPLIMIENTO_METAS" localSheetId="6">#REF!</definedName>
    <definedName name="CUMPLIMIENTO_METAS">#REF!</definedName>
    <definedName name="Datos_Nutricional" localSheetId="7">#REF!</definedName>
    <definedName name="Datos_Nutricional" localSheetId="6">#REF!</definedName>
    <definedName name="Datos_Nutricional">#REF!</definedName>
    <definedName name="EFICACIA_DEL_SGC" localSheetId="7">#REF!</definedName>
    <definedName name="EFICACIA_DEL_SGC" localSheetId="6">#REF!</definedName>
    <definedName name="EFICACIA_DEL_SGC">#REF!</definedName>
    <definedName name="Tabla_de_datos" localSheetId="7">'[1]Cubrimiento Cupos'!#REF!</definedName>
    <definedName name="Tabla_de_datos" localSheetId="6">'[1]Cubrimiento Cupos'!#REF!</definedName>
    <definedName name="Tabla_de_datos">'[1]Cubrimiento Cupos'!#REF!</definedName>
    <definedName name="Tabla_Logros" localSheetId="7">'[1]Logros alcanzados'!#REF!</definedName>
    <definedName name="Tabla_Logros" localSheetId="6">'[1]Logros alcanzados'!#REF!</definedName>
    <definedName name="Tabla_Logros">'[1]Logros alcanzados'!#REF!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26" i="8" l="1"/>
  <c r="AO24" i="8"/>
  <c r="AM24" i="8"/>
  <c r="AO23" i="8"/>
  <c r="AO20" i="8"/>
  <c r="AG46" i="12"/>
  <c r="AH48" i="12"/>
  <c r="AG48" i="12"/>
  <c r="AH46" i="12"/>
  <c r="J46" i="12"/>
  <c r="I46" i="12"/>
  <c r="AH33" i="12"/>
  <c r="AG33" i="12"/>
  <c r="L33" i="12"/>
  <c r="AG29" i="12"/>
  <c r="G17" i="17"/>
  <c r="F17" i="17"/>
  <c r="G15" i="17"/>
  <c r="F15" i="17"/>
  <c r="E15" i="17"/>
  <c r="AG30" i="12"/>
  <c r="M14" i="16"/>
  <c r="M13" i="16"/>
  <c r="L13" i="16"/>
  <c r="H13" i="16"/>
  <c r="I12" i="16"/>
  <c r="I11" i="16"/>
  <c r="I10" i="16"/>
  <c r="I9" i="16"/>
  <c r="I8" i="16"/>
  <c r="F12" i="16"/>
  <c r="E12" i="16"/>
  <c r="F11" i="16"/>
  <c r="E11" i="16"/>
  <c r="F10" i="16"/>
  <c r="E10" i="16"/>
  <c r="F9" i="16"/>
  <c r="E9" i="16"/>
  <c r="F8" i="16"/>
  <c r="E8" i="16"/>
  <c r="I13" i="16"/>
  <c r="AG27" i="12"/>
  <c r="AN26" i="8"/>
  <c r="AN23" i="8"/>
  <c r="L25" i="12"/>
  <c r="E5" i="13"/>
  <c r="E4" i="13"/>
  <c r="D5" i="13"/>
  <c r="D4" i="13"/>
  <c r="D19" i="13"/>
  <c r="F29" i="13"/>
  <c r="F28" i="13"/>
  <c r="E29" i="13"/>
  <c r="E28" i="13"/>
  <c r="D29" i="13"/>
  <c r="D28" i="13"/>
  <c r="F27" i="13"/>
  <c r="E27" i="13"/>
  <c r="D27" i="13"/>
  <c r="F26" i="13"/>
  <c r="E26" i="13"/>
  <c r="D26" i="13"/>
  <c r="F25" i="13"/>
  <c r="E25" i="13"/>
  <c r="D25" i="13"/>
  <c r="D24" i="13"/>
  <c r="F23" i="13"/>
  <c r="E23" i="13"/>
  <c r="F22" i="13"/>
  <c r="E22" i="13"/>
  <c r="D23" i="13"/>
  <c r="D22" i="13"/>
  <c r="F21" i="13"/>
  <c r="E21" i="13"/>
  <c r="D21" i="13"/>
  <c r="F20" i="13"/>
  <c r="E20" i="13"/>
  <c r="D20" i="13"/>
  <c r="F19" i="13"/>
  <c r="E19" i="13"/>
  <c r="F18" i="13"/>
  <c r="E18" i="13"/>
  <c r="D18" i="13"/>
  <c r="F17" i="13"/>
  <c r="F16" i="13"/>
  <c r="F15" i="13"/>
  <c r="E17" i="13"/>
  <c r="E16" i="13"/>
  <c r="E15" i="13"/>
  <c r="D17" i="13"/>
  <c r="D16" i="13"/>
  <c r="D15" i="13"/>
  <c r="F5" i="13"/>
  <c r="F4" i="13"/>
  <c r="F14" i="13"/>
  <c r="F13" i="13"/>
  <c r="F12" i="13"/>
  <c r="E14" i="13"/>
  <c r="E13" i="13"/>
  <c r="E12" i="13"/>
  <c r="D14" i="13"/>
  <c r="D13" i="13"/>
  <c r="D12" i="13"/>
  <c r="F11" i="13"/>
  <c r="E11" i="13"/>
  <c r="D11" i="13"/>
  <c r="F9" i="13"/>
  <c r="F8" i="13"/>
  <c r="F10" i="13"/>
  <c r="E10" i="13"/>
  <c r="D10" i="13"/>
  <c r="L49" i="12"/>
  <c r="L40" i="12"/>
  <c r="F24" i="13"/>
  <c r="I40" i="12"/>
  <c r="E24" i="13"/>
  <c r="Y36" i="12"/>
  <c r="AD36" i="12"/>
  <c r="AA36" i="12"/>
  <c r="I33" i="12"/>
  <c r="I25" i="12"/>
  <c r="I24" i="12"/>
  <c r="AE36" i="12"/>
  <c r="Y19" i="12"/>
  <c r="AD19" i="12"/>
  <c r="AA19" i="12"/>
  <c r="E9" i="13"/>
  <c r="D9" i="13"/>
  <c r="E8" i="13"/>
  <c r="D8" i="13"/>
  <c r="F7" i="13"/>
  <c r="E7" i="13"/>
  <c r="D7" i="13"/>
  <c r="E6" i="13"/>
  <c r="D6" i="13"/>
  <c r="AE19" i="12"/>
  <c r="L21" i="12"/>
  <c r="I16" i="12"/>
  <c r="L9" i="12"/>
  <c r="F6" i="13"/>
  <c r="AB54" i="12"/>
  <c r="AC52" i="12"/>
  <c r="B50" i="12"/>
  <c r="AA48" i="12"/>
  <c r="Y48" i="12"/>
  <c r="AE48" i="12"/>
  <c r="AA47" i="12"/>
  <c r="Y47" i="12"/>
  <c r="AD47" i="12"/>
  <c r="B47" i="12"/>
  <c r="B48" i="12"/>
  <c r="B49" i="12"/>
  <c r="AA46" i="12"/>
  <c r="Y46" i="12"/>
  <c r="AE46" i="12"/>
  <c r="B46" i="12"/>
  <c r="AA44" i="12"/>
  <c r="Y44" i="12"/>
  <c r="AD44" i="12"/>
  <c r="AA43" i="12"/>
  <c r="Y43" i="12"/>
  <c r="AE43" i="12"/>
  <c r="AA42" i="12"/>
  <c r="Y42" i="12"/>
  <c r="AE42" i="12"/>
  <c r="AA41" i="12"/>
  <c r="Y41" i="12"/>
  <c r="AE41" i="12"/>
  <c r="AA40" i="12"/>
  <c r="Y40" i="12"/>
  <c r="AE40" i="12"/>
  <c r="AA39" i="12"/>
  <c r="Z39" i="12"/>
  <c r="Y39" i="12"/>
  <c r="AE39" i="12"/>
  <c r="AA38" i="12"/>
  <c r="Y38" i="12"/>
  <c r="AE38" i="12"/>
  <c r="AA37" i="12"/>
  <c r="Y37" i="12"/>
  <c r="AE37" i="12"/>
  <c r="AA35" i="12"/>
  <c r="Y35" i="12"/>
  <c r="AE35" i="12"/>
  <c r="AA33" i="12"/>
  <c r="Y33" i="12"/>
  <c r="AE33" i="12"/>
  <c r="B33" i="12"/>
  <c r="B35" i="12"/>
  <c r="AA32" i="12"/>
  <c r="Y32" i="12"/>
  <c r="AE32" i="12"/>
  <c r="AA31" i="12"/>
  <c r="Y31" i="12"/>
  <c r="AE31" i="12"/>
  <c r="AA30" i="12"/>
  <c r="Y30" i="12"/>
  <c r="AE30" i="12"/>
  <c r="AA29" i="12"/>
  <c r="Y29" i="12"/>
  <c r="AE29" i="12"/>
  <c r="AA27" i="12"/>
  <c r="Y27" i="12"/>
  <c r="AE27" i="12"/>
  <c r="AA26" i="12"/>
  <c r="Y26" i="12"/>
  <c r="AE26" i="12"/>
  <c r="B26" i="12"/>
  <c r="B27" i="12"/>
  <c r="B28" i="12"/>
  <c r="B29" i="12"/>
  <c r="B30" i="12"/>
  <c r="B31" i="12"/>
  <c r="B32" i="12"/>
  <c r="AA25" i="12"/>
  <c r="Y25" i="12"/>
  <c r="AE25" i="12"/>
  <c r="AA24" i="12"/>
  <c r="Y24" i="12"/>
  <c r="AE24" i="12"/>
  <c r="AA23" i="12"/>
  <c r="Y23" i="12"/>
  <c r="AE23" i="12"/>
  <c r="B23" i="12"/>
  <c r="B24" i="12"/>
  <c r="B25" i="12"/>
  <c r="AE22" i="12"/>
  <c r="AD22" i="12"/>
  <c r="AA20" i="12"/>
  <c r="Y20" i="12"/>
  <c r="AA18" i="12"/>
  <c r="Y18" i="12"/>
  <c r="AD18" i="12"/>
  <c r="AA17" i="12"/>
  <c r="Y17" i="12"/>
  <c r="AE17" i="12"/>
  <c r="AA16" i="12"/>
  <c r="Y16" i="12"/>
  <c r="AD16" i="12"/>
  <c r="AA14" i="12"/>
  <c r="Y14" i="12"/>
  <c r="AE14" i="12"/>
  <c r="AA13" i="12"/>
  <c r="Y13" i="12"/>
  <c r="AD13" i="12"/>
  <c r="AA12" i="12"/>
  <c r="Y12" i="12"/>
  <c r="AD12" i="12"/>
  <c r="AA11" i="12"/>
  <c r="Y11" i="12"/>
  <c r="AD11" i="12"/>
  <c r="AA10" i="12"/>
  <c r="Y10" i="12"/>
  <c r="AE10" i="12"/>
  <c r="AA9" i="12"/>
  <c r="Y9" i="12"/>
  <c r="AA8" i="12"/>
  <c r="Y8" i="12"/>
  <c r="B36" i="12"/>
  <c r="B37" i="12"/>
  <c r="B38" i="12"/>
  <c r="B39" i="12"/>
  <c r="B40" i="12"/>
  <c r="B41" i="12"/>
  <c r="B42" i="12"/>
  <c r="B43" i="12"/>
  <c r="B44" i="12"/>
  <c r="AD9" i="12"/>
  <c r="AE16" i="12"/>
  <c r="AE44" i="12"/>
  <c r="AD37" i="12"/>
  <c r="AE18" i="12"/>
  <c r="AE47" i="12"/>
  <c r="AE9" i="12"/>
  <c r="AD29" i="12"/>
  <c r="AD32" i="12"/>
  <c r="AD27" i="12"/>
  <c r="AD25" i="12"/>
  <c r="AD31" i="12"/>
  <c r="AD41" i="12"/>
  <c r="AE12" i="12"/>
  <c r="AC54" i="12"/>
  <c r="AD54" i="12"/>
  <c r="AD24" i="12"/>
  <c r="AD43" i="12"/>
  <c r="AD46" i="12"/>
  <c r="AE11" i="12"/>
  <c r="AE13" i="12"/>
  <c r="AD39" i="12"/>
  <c r="AD33" i="12"/>
  <c r="AD8" i="12"/>
  <c r="AD10" i="12"/>
  <c r="AD14" i="12"/>
  <c r="AD17" i="12"/>
  <c r="AD26" i="12"/>
  <c r="AD30" i="12"/>
  <c r="AD38" i="12"/>
  <c r="AD42" i="12"/>
  <c r="AE8" i="12"/>
  <c r="AD23" i="12"/>
  <c r="AD35" i="12"/>
  <c r="AD40" i="12"/>
  <c r="AD48" i="12"/>
  <c r="AE52" i="12"/>
  <c r="AD52" i="12"/>
  <c r="AL26" i="8"/>
  <c r="AM26" i="8"/>
  <c r="AM23" i="8"/>
  <c r="H33" i="8"/>
  <c r="H34" i="8"/>
  <c r="AE31" i="8"/>
  <c r="AE30" i="8"/>
  <c r="AF30" i="8"/>
  <c r="I33" i="8"/>
  <c r="AI26" i="8"/>
  <c r="Y21" i="8"/>
  <c r="AD21" i="8"/>
  <c r="AA21" i="8"/>
  <c r="AF23" i="8"/>
  <c r="I49" i="12"/>
  <c r="AF8" i="8"/>
  <c r="AF24" i="8"/>
  <c r="AU20" i="8"/>
  <c r="AF6" i="8"/>
  <c r="AF9" i="8"/>
  <c r="AA11" i="8"/>
  <c r="Y11" i="8"/>
  <c r="AC19" i="11"/>
  <c r="AD17" i="11"/>
  <c r="AB16" i="11"/>
  <c r="Z16" i="11"/>
  <c r="AF16" i="11"/>
  <c r="AB15" i="11"/>
  <c r="Z15" i="11"/>
  <c r="AF15" i="11"/>
  <c r="AB14" i="11"/>
  <c r="Z14" i="11"/>
  <c r="AF14" i="11"/>
  <c r="AB13" i="11"/>
  <c r="Z13" i="11"/>
  <c r="AF13" i="11"/>
  <c r="AB12" i="11"/>
  <c r="Z12" i="11"/>
  <c r="AF12" i="11"/>
  <c r="AB11" i="11"/>
  <c r="Z11" i="11"/>
  <c r="AF11" i="11"/>
  <c r="AB10" i="11"/>
  <c r="Z10" i="11"/>
  <c r="AE10" i="11"/>
  <c r="AB9" i="11"/>
  <c r="Z9" i="11"/>
  <c r="AE9" i="11"/>
  <c r="AB8" i="11"/>
  <c r="Z8" i="11"/>
  <c r="AF8" i="11"/>
  <c r="B8" i="11"/>
  <c r="B9" i="11"/>
  <c r="B10" i="11"/>
  <c r="B11" i="11"/>
  <c r="B12" i="11"/>
  <c r="B13" i="11"/>
  <c r="B14" i="11"/>
  <c r="B15" i="11"/>
  <c r="B16" i="11"/>
  <c r="AE8" i="11"/>
  <c r="AE12" i="11"/>
  <c r="AA25" i="8"/>
  <c r="AA20" i="8"/>
  <c r="AA19" i="8"/>
  <c r="AA18" i="8"/>
  <c r="AA26" i="8"/>
  <c r="AA17" i="8"/>
  <c r="AA15" i="8"/>
  <c r="AA12" i="8"/>
  <c r="AA9" i="8"/>
  <c r="AA8" i="8"/>
  <c r="AA24" i="8"/>
  <c r="AA10" i="8"/>
  <c r="AA7" i="8"/>
  <c r="AA6" i="8"/>
  <c r="AA5" i="8"/>
  <c r="Y5" i="8"/>
  <c r="AD5" i="8"/>
  <c r="Y7" i="8"/>
  <c r="AD7" i="8"/>
  <c r="Y10" i="8"/>
  <c r="AD10" i="8"/>
  <c r="Y24" i="8"/>
  <c r="AD24" i="8"/>
  <c r="Y8" i="8"/>
  <c r="AD8" i="8"/>
  <c r="Y9" i="8"/>
  <c r="AD9" i="8"/>
  <c r="Y12" i="8"/>
  <c r="AD12" i="8"/>
  <c r="Y15" i="8"/>
  <c r="AD15" i="8"/>
  <c r="Y17" i="8"/>
  <c r="AD17" i="8"/>
  <c r="Y26" i="8"/>
  <c r="AD26" i="8"/>
  <c r="Y18" i="8"/>
  <c r="AD18" i="8"/>
  <c r="Y19" i="8"/>
  <c r="AD19" i="8"/>
  <c r="Y20" i="8"/>
  <c r="AD20" i="8"/>
  <c r="Y25" i="8"/>
  <c r="AD25" i="8"/>
  <c r="Y6" i="8"/>
  <c r="AD6" i="8"/>
  <c r="AB27" i="8"/>
  <c r="F39" i="9"/>
  <c r="F38" i="9"/>
  <c r="F37" i="9"/>
  <c r="F36" i="9"/>
  <c r="F35" i="9"/>
  <c r="F34" i="9"/>
  <c r="F33" i="9"/>
  <c r="F32" i="9"/>
  <c r="F31" i="9"/>
  <c r="F30" i="9"/>
  <c r="F29" i="9"/>
  <c r="F28" i="9"/>
  <c r="AE14" i="11"/>
  <c r="AE11" i="11"/>
  <c r="AE15" i="11"/>
  <c r="AF9" i="11"/>
  <c r="AF10" i="11"/>
  <c r="AE16" i="11"/>
  <c r="AF17" i="11"/>
  <c r="C39" i="9"/>
  <c r="AE33" i="8"/>
  <c r="AE34" i="8"/>
  <c r="AC27" i="8"/>
  <c r="D32" i="9"/>
  <c r="E32" i="9"/>
  <c r="AE13" i="11"/>
  <c r="AE17" i="11"/>
  <c r="AD19" i="11"/>
  <c r="AE19" i="11"/>
  <c r="AF31" i="8"/>
  <c r="D35" i="9"/>
  <c r="E35" i="9"/>
  <c r="AD27" i="8"/>
  <c r="D31" i="9"/>
  <c r="E31" i="9"/>
  <c r="G32" i="9"/>
  <c r="D37" i="9"/>
  <c r="E37" i="9"/>
  <c r="D38" i="9"/>
  <c r="E38" i="9"/>
  <c r="G38" i="9"/>
  <c r="D39" i="9"/>
  <c r="E39" i="9"/>
  <c r="D34" i="9"/>
  <c r="E34" i="9"/>
  <c r="D36" i="9"/>
  <c r="E36" i="9"/>
  <c r="D29" i="9"/>
  <c r="E29" i="9"/>
  <c r="D30" i="9"/>
  <c r="E30" i="9"/>
  <c r="D28" i="9"/>
  <c r="E28" i="9"/>
  <c r="D33" i="9"/>
  <c r="E33" i="9"/>
  <c r="G33" i="9"/>
  <c r="G31" i="9"/>
  <c r="G35" i="9"/>
  <c r="G36" i="9"/>
  <c r="G39" i="9"/>
  <c r="G37" i="9"/>
  <c r="G29" i="9"/>
  <c r="G34" i="9"/>
  <c r="E40" i="9"/>
  <c r="G30" i="9"/>
</calcChain>
</file>

<file path=xl/sharedStrings.xml><?xml version="1.0" encoding="utf-8"?>
<sst xmlns="http://schemas.openxmlformats.org/spreadsheetml/2006/main" count="785" uniqueCount="396">
  <si>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</si>
  <si>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</si>
  <si>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</si>
  <si>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</si>
  <si>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</si>
  <si>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</si>
  <si>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</si>
  <si>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</si>
  <si>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</si>
  <si>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</si>
  <si>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</si>
  <si>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</si>
  <si>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</si>
  <si>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</si>
  <si>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</si>
  <si>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</si>
  <si>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</si>
  <si>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</si>
  <si>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</si>
  <si>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</si>
  <si>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</si>
  <si>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</si>
  <si>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</si>
  <si>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</si>
  <si>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</si>
  <si>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</si>
  <si>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</si>
  <si>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</si>
  <si>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</si>
  <si>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</si>
  <si>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</si>
  <si>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</si>
  <si>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</si>
  <si>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</si>
  <si>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</si>
  <si>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</si>
  <si>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</si>
  <si>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</si>
  <si>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</si>
  <si>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</si>
  <si>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</si>
  <si>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</si>
  <si>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</si>
  <si>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</si>
  <si>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</si>
  <si>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</si>
  <si>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</si>
  <si>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</si>
  <si>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Investigación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</si>
  <si>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</si>
  <si>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</si>
  <si>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</si>
  <si>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</si>
  <si>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</si>
  <si>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</si>
  <si>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</si>
  <si>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</si>
  <si>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</si>
  <si>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</si>
  <si>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</si>
  <si>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</si>
  <si>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</si>
  <si>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</si>
  <si>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</si>
  <si>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</si>
  <si>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</si>
  <si>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</si>
  <si>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</si>
  <si>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</si>
  <si>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</si>
  <si>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</si>
  <si>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</si>
  <si>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Extensión y proyección social</t>
  </si>
  <si>
    <t>Docencia PES</t>
  </si>
  <si>
    <t>Docencia Bachillerato</t>
  </si>
  <si>
    <t>Bienestar Universitario</t>
  </si>
  <si>
    <t>Gestión Control Disciplinario</t>
  </si>
  <si>
    <t>Gestión de Informática y comunicaciones</t>
  </si>
  <si>
    <t>Gestión de recursos fisicos</t>
  </si>
  <si>
    <t>Gestión del Talento Humano</t>
  </si>
  <si>
    <t>Gestión de Adquisiciones</t>
  </si>
  <si>
    <t>Gestión Financiera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</si>
  <si>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</si>
  <si>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</si>
  <si>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</si>
  <si>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</si>
  <si>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</si>
  <si>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</si>
  <si>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</si>
  <si>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</si>
  <si>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</si>
  <si>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</si>
  <si>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</si>
  <si>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</si>
  <si>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</si>
  <si>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</si>
  <si>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</si>
  <si>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</si>
  <si>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</si>
  <si>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</si>
  <si>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</si>
  <si>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</si>
  <si>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</si>
  <si>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</si>
  <si>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</si>
  <si>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</si>
  <si>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</si>
  <si>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</si>
  <si>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</si>
  <si>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</si>
  <si>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</si>
  <si>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</si>
  <si>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</si>
  <si>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</si>
  <si>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</si>
  <si>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Baja</t>
  </si>
  <si>
    <t>Programas acreditados</t>
  </si>
  <si>
    <t>Índice de empleabilidad</t>
  </si>
  <si>
    <t>Medir desempeño de los estudiantes</t>
  </si>
  <si>
    <t>Medir el número  de egresados laborando</t>
  </si>
  <si>
    <t>Presupuesto de ingresos de extensión</t>
  </si>
  <si>
    <t xml:space="preserve">Eficacia </t>
  </si>
  <si>
    <t>Revisión de syllabus</t>
  </si>
  <si>
    <t># Syllabus revisados / # total de syllabus</t>
  </si>
  <si>
    <t>Medir la pertenecía de los syllabus</t>
  </si>
  <si>
    <t xml:space="preserve">Promoción escolar </t>
  </si>
  <si>
    <t>Proyectos de formación en actividades</t>
  </si>
  <si>
    <t>Proyectos  de  apoyo a las actividades</t>
  </si>
  <si>
    <t>Programa  de transferencia de conocimiento</t>
  </si>
  <si>
    <t>Diseñar un programa de formación investigativa  que prepare  a la comunidad de investigación  para el desarrollo de actividad en el periodo  2017-  2019 a través de vínculos con el SNCTI</t>
  </si>
  <si>
    <t xml:space="preserve">Determinar el impacto de las actividad de bienestar en los estudiantes </t>
  </si>
  <si>
    <t>PQRSD atendidas oportunamente</t>
  </si>
  <si>
    <t xml:space="preserve">PQRSD atendidas oportunamente/ PQRSD recepcionadas </t>
  </si>
  <si>
    <t>atender oportunamente la PQRSD en la ETITC</t>
  </si>
  <si>
    <t xml:space="preserve">Funcionalidad de máquinas, equipos y herramientas </t>
  </si>
  <si>
    <t xml:space="preserve">Eficiencia </t>
  </si>
  <si>
    <t xml:space="preserve">Garantizar la operabilidad de máquinas, equipos, y herramientas </t>
  </si>
  <si>
    <t xml:space="preserve">Clima laboral </t>
  </si>
  <si>
    <t xml:space="preserve">Evaluación del desempeño laboral </t>
  </si>
  <si>
    <t>Tasa de ejecución plan de compras</t>
  </si>
  <si>
    <t>Destinación del ingreso</t>
  </si>
  <si>
    <t>Tendencia Media</t>
  </si>
  <si>
    <t>Gestión de Calidad</t>
  </si>
  <si>
    <t>Semestre</t>
  </si>
  <si>
    <t>Anual</t>
  </si>
  <si>
    <t xml:space="preserve">Bimestral </t>
  </si>
  <si>
    <t xml:space="preserve">Anual </t>
  </si>
  <si>
    <t xml:space="preserve">Mensual </t>
  </si>
  <si>
    <t>Trimestral</t>
  </si>
  <si>
    <t>Variación de pruebas SABER PRO</t>
  </si>
  <si>
    <t xml:space="preserve">Resultados año actual / Resultados año anterior - 1 </t>
  </si>
  <si>
    <t>Línea base</t>
  </si>
  <si>
    <t>Medir el cumplimiento del presupuesto de ingresos de extensión</t>
  </si>
  <si>
    <t>NA</t>
  </si>
  <si>
    <t>Estudiantes que pasaron el año n / Estudiantes matriculados en el año n</t>
  </si>
  <si>
    <t xml:space="preserve">Medir el avance de la promoción escolar </t>
  </si>
  <si>
    <t>Cantidad de equipos en operación / Cantidad de equipos existentes</t>
  </si>
  <si>
    <t xml:space="preserve">Medir el porcentaje de programas acreditados </t>
  </si>
  <si>
    <t># Programas acreditados /  
# Programas acreditables</t>
  </si>
  <si>
    <t>Determinar el clima laboral a partir de mediciones anteriores</t>
  </si>
  <si>
    <t>Evaluar las competencias de los servidores públicos de la ETITC</t>
  </si>
  <si>
    <t>Promedio avance en el plan de mejoramiento</t>
  </si>
  <si>
    <t>Mejoramiento del Sistema de Gestión</t>
  </si>
  <si>
    <t>Medir el avance en los planes de mejoramiento resultado de las auditorías</t>
  </si>
  <si>
    <t xml:space="preserve"># Evaluaciones realizadas /# Total de funciones </t>
  </si>
  <si>
    <t>Observaciones</t>
  </si>
  <si>
    <t>Elaborar un  plan de apoyo a las actividades 2017- 2019  para los grupos de investigación  que responda a las políticas nacionales de ciencia, tecnología e innovación</t>
  </si>
  <si>
    <t>Implementar  en 2018 un programa de  gestión  de transferencia del conocimiento  que provea a la ETITC   de  instrumentos para el uso, distribución y protección  del conocimiento</t>
  </si>
  <si>
    <t>Pagos</t>
  </si>
  <si>
    <t>Ingresos febrero</t>
  </si>
  <si>
    <t>Ingresos 2016</t>
  </si>
  <si>
    <t>Pagos 2016</t>
  </si>
  <si>
    <t>Medir la efectividad en el recaudo para el respaldo de los compromisos</t>
  </si>
  <si>
    <t>X</t>
  </si>
  <si>
    <t>Bimensual</t>
  </si>
  <si>
    <t>Resultado de la medición anterior en clima laboral / Resultado actual del clima laboral - 1</t>
  </si>
  <si>
    <t>Nivel de satisfacción actividades de Bienestar</t>
  </si>
  <si>
    <t>Sumatoria resultado encuestas de satisfacción actividades de bienestar/ Total estudiantes encuestados</t>
  </si>
  <si>
    <t># de programas de transferencia de conocimiento en ejecución/ # de programas de transferencia de conocimiento  planeados</t>
  </si>
  <si>
    <t># Proyectos  de apoyo a las actividad  en ejecución/ # de planes de apoyo a las actividad  programados</t>
  </si>
  <si>
    <t># Proyectos de formación  actividad  en ejecución/ # de proyectos de formación actividad  programados</t>
  </si>
  <si>
    <t>Ingresos ejecutados / Ingresos programados</t>
  </si>
  <si>
    <t>Porcentaje de empleabilidad del año</t>
  </si>
  <si>
    <t>Última medición del observatorio laboral año 2014</t>
  </si>
  <si>
    <t>Línea base: Variación 2014 - 2015 sobre áreas comparables</t>
  </si>
  <si>
    <t>Permitir verificar el avance de las compras programadas al principo de la vigencia para priorizar gastos</t>
  </si>
  <si>
    <t>Valor plan compras ejecutado / Valor compras  programado</t>
  </si>
  <si>
    <t>≥ 90%</t>
  </si>
  <si>
    <t>≥ 90,00%</t>
  </si>
  <si>
    <t>Recaudo / Compromisos</t>
  </si>
  <si>
    <t>≥  1,00</t>
  </si>
  <si>
    <t>Variación en la desviación estándar del examen SABER 11</t>
  </si>
  <si>
    <t>Desviación estándar año 2017 / Desviación estándar año 2016  - 1</t>
  </si>
  <si>
    <t>≥ 88,50%</t>
  </si>
  <si>
    <t>Mejorar la calidad de vida de la comunidad universitaria, mediante la planeación y ejecución de proyectos, programas y actividades que fortalezcan las condiciones de bienestar</t>
  </si>
  <si>
    <t>Objetivo Estratégico</t>
  </si>
  <si>
    <t>Revisar y ajustar los currículos permanentemente de acuerdo con los avances del conocimiento y los requerimientos de la sociedad para darles pertinencia y coherencia con el perfil institucional</t>
  </si>
  <si>
    <t>Modernizar la infraestructura de laboratorios, talleres y aulas especializadas para desarrollar y afirmar las competencias</t>
  </si>
  <si>
    <t>Continuar con el proceso de acreditación de los programas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</si>
  <si>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</si>
  <si>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Formar investigadores en la gestión de grupos, formulación de proyectos de investigación y ACTI para posicionar a la ETITC como centro líder entre sus pares en Ciencia, tecnología e innovación</t>
  </si>
  <si>
    <t>Capacitar a la comunidad ETITC y definir protocolos para la aplicación de normatividad de propiedad intelectual</t>
  </si>
  <si>
    <t>Realizar publicaciones institucionales y ponencias en eventos académicos nacionales e internacionales</t>
  </si>
  <si>
    <t>Incentivar la formulación y realización de proyectos que consoliden los grupos de investigación</t>
  </si>
  <si>
    <t>Fortalecer y consolidar la gestión financiera de la institución</t>
  </si>
  <si>
    <t>Contar con un equipo humano eficiente en un ambiente laboral confortable, capaz de dar soluciones</t>
  </si>
  <si>
    <t>Mejorar el equipamiento tecnológico de la Institución</t>
  </si>
  <si>
    <t>Satisfacer las expectativas de los usuarios asociadas con un servicio educativo de calidad a través del fortalecimiento del Sistema de Gestión de calidad y la evaluación permanente</t>
  </si>
  <si>
    <t>Vincular la institución con el entorno nacional e internacional para acceder a los recursos y generar intercambios</t>
  </si>
  <si>
    <t>Garantizar la participación de los docentes en comunidades académicas para la construcción, transferencia y socialización del conocimiento</t>
  </si>
  <si>
    <t>TABLERO INDICADORES 2017</t>
  </si>
  <si>
    <t>Mejorar el desempeño común de los estudiantes  (a mayor disminución, mejor desempeño)</t>
  </si>
  <si>
    <t>Medición Febrero</t>
  </si>
  <si>
    <t>feb</t>
  </si>
  <si>
    <t>mar</t>
  </si>
  <si>
    <t>Recaudo</t>
  </si>
  <si>
    <t>Compromiso</t>
  </si>
  <si>
    <t>Diferencia</t>
  </si>
  <si>
    <t>La línea base corresponde al valor medido hace dos años. En la presente vigencia debe realizarse la medición</t>
  </si>
  <si>
    <t>.</t>
  </si>
  <si>
    <t>Movilidad internacional (1) 
Cantidad: 1 Docente, Destino: México
Movilidad nacional (2)
Cantidad: 1 Decano, 1 estudiante, Destino: Medellín</t>
  </si>
  <si>
    <t>Febrero</t>
  </si>
  <si>
    <t>Marzo</t>
  </si>
  <si>
    <t>Abril</t>
  </si>
  <si>
    <t>Línea Base</t>
  </si>
  <si>
    <t>Direccionamiento Institucional</t>
  </si>
  <si>
    <t>( # Programas acreditados /  # programas acreditables )</t>
  </si>
  <si>
    <t xml:space="preserve">Medir el % de programas acreditados </t>
  </si>
  <si>
    <t xml:space="preserve">Variación de pruebas saber pro </t>
  </si>
  <si>
    <t xml:space="preserve">según fuente -MEN </t>
  </si>
  <si>
    <t>Fuente observatorio laboral</t>
  </si>
  <si>
    <t>95,7% (Medición del 2015, no hay datos 2016)</t>
  </si>
  <si>
    <t>Actividades ejecutadas / actividades programadas</t>
  </si>
  <si>
    <t>Medir el cumplimiento de las actividades de movilidad.</t>
  </si>
  <si>
    <t xml:space="preserve">mensual </t>
  </si>
  <si>
    <t>Cumplimiento del Plan de Desarrollo Institucional</t>
  </si>
  <si>
    <t>% avance de cumplimiento del plan estratégico de desarrollo</t>
  </si>
  <si>
    <t>Medir el cumplimiento del plan estratégico de desarrollo a partir del informe presentado por los responsables de cada uno de los ejes estratégicos</t>
  </si>
  <si>
    <t>anual</t>
  </si>
  <si>
    <t xml:space="preserve">Egresados </t>
  </si>
  <si>
    <t>Conocer la participación de los egresados en actividades de la ETITC.</t>
  </si>
  <si>
    <t>Presupuesto ejecutado del plan de acción/ presupuesto aprobado en el plan de acción *100</t>
  </si>
  <si>
    <t xml:space="preserve">Trabajos de grado con reconocimiento </t>
  </si>
  <si>
    <t xml:space="preserve"># trabajos de grado con distinciones  / # total, trabajos de grado  </t>
  </si>
  <si>
    <t>Medir la pertinencia de los trabajos de grado</t>
  </si>
  <si>
    <t>Participación en comunidades académicas</t>
  </si>
  <si>
    <t xml:space="preserve">Medir la visibilidad de la institución en comunidades académicas </t>
  </si>
  <si>
    <t>Uso de talleres y laboratorios</t>
  </si>
  <si>
    <t>Variación pruebas saber PRO</t>
  </si>
  <si>
    <t xml:space="preserve">Pruebas saber pro vigencia actual  respecto Pruebas saber pro vigencia anterior </t>
  </si>
  <si>
    <t xml:space="preserve">Medir desempeño de los estudiantes </t>
  </si>
  <si>
    <t>Indice de empleabilidad</t>
  </si>
  <si>
    <t>Fuente MEN</t>
  </si>
  <si>
    <t>Medir la pertenencia de los programas con la industria</t>
  </si>
  <si>
    <t>Rendimiento académico periódico</t>
  </si>
  <si>
    <t>Nivel de desempeño de aprobación del bimestre actual vs. Nivel de desempeño de aprobación del bimestre anterior.</t>
  </si>
  <si>
    <t>Mejorar el desempeño académico de los estudiantes periódico</t>
  </si>
  <si>
    <t xml:space="preserve">Desempeño pruebas saber </t>
  </si>
  <si>
    <t># Proyectos de formación  actividad  en ejecución/ # de proyectos de formación actividad  programados*100</t>
  </si>
  <si>
    <t>Elaborar un  plan de apoyo a las actividades 2017- 2019  para los grupos de investigación  que responda a las políticas nacionales de ciencia, tecnología e innovación.</t>
  </si>
  <si>
    <t># de programas de transferencia de conocimiento en ejecución/ # de programas de transferencia de conocimiento  planeados*100</t>
  </si>
  <si>
    <t>Implementar  en 2018 un programa de  gestión  de transferencia del conocimiento  que provea a la ETITC   de  instrumentos para el uso, distribución y protección  del conocimiento.</t>
  </si>
  <si>
    <t>Ejecución presupuestal investigaciones</t>
  </si>
  <si>
    <t>Conocer la ejecución del plan de acción</t>
  </si>
  <si>
    <t>Determinar el % de ejecución de actividades con base en plan de acción</t>
  </si>
  <si>
    <t>TRD validadas</t>
  </si>
  <si>
    <t xml:space="preserve">Mantener las TRD de la ETITC validadas y actualizadas </t>
  </si>
  <si>
    <t xml:space="preserve">cantidad de equipos en operación / cantidad de equipos existentes </t>
  </si>
  <si>
    <t xml:space="preserve">Cuatrimestral </t>
  </si>
  <si>
    <t>Gestión de Control Interno</t>
  </si>
  <si>
    <t>Seguimiento a las hojas de vida de los funcionarios</t>
  </si>
  <si>
    <t xml:space="preserve"> # Hojas de vida actualizadas * 100/  # de funcionarios </t>
  </si>
  <si>
    <t>Realizar el seguimiento a las hojas de vida registradas en el Sigep</t>
  </si>
  <si>
    <t xml:space="preserve">Semestral </t>
  </si>
  <si>
    <t xml:space="preserve">Seguimiento al servicio permanente </t>
  </si>
  <si>
    <t># Seguimientos realizados * 100/ # Seguimientos establecidaos</t>
  </si>
  <si>
    <t>Satisfacer expectativas de usuarios asociados al servicio educativo</t>
  </si>
  <si>
    <t>Se evidencia este índicador a través de las actas realizadas a los seguimientos realizados de las PQRDS por el área</t>
  </si>
  <si>
    <t>Programas de seguridad y salud en el trabajo</t>
  </si>
  <si>
    <t xml:space="preserve"># actividades proyectados/ # actividades ejecutados </t>
  </si>
  <si>
    <t>medir el avance de los programas de SST</t>
  </si>
  <si>
    <t xml:space="preserve">Cumplimiento del programa de bienestar laboral </t>
  </si>
  <si>
    <t># actividades ejecutadas en el año/ # actividades programadas</t>
  </si>
  <si>
    <t xml:space="preserve">medir el cumplimiento de las actividades programadas </t>
  </si>
  <si>
    <t xml:space="preserve">Reinducción de funcionarios </t>
  </si>
  <si>
    <t># funcionarios que recibieron reinducción en el año  / # total de funcionarios vinculados a la entidad</t>
  </si>
  <si>
    <t>medir el número de personas capacitadas</t>
  </si>
  <si>
    <t>Cumplimiento del plan de capacitación</t>
  </si>
  <si>
    <t># servidores publicos capacitados  / # de servidores de la entidad * 100</t>
  </si>
  <si>
    <t>medir la participación de los servidores publicos en los PI-C</t>
  </si>
  <si>
    <t>Plan de compras ejecutado / Valor total de compras</t>
  </si>
  <si>
    <t>Priorizar el gasto</t>
  </si>
  <si>
    <t>Traslado cuenta única nacional -CUN</t>
  </si>
  <si>
    <t>Valor ingresos recibido cuenta bancaria / valor traslados CUN</t>
  </si>
  <si>
    <t>Medir la eficiencia en la identificación y traslado de recursos a la CUN</t>
  </si>
  <si>
    <t xml:space="preserve">Uso de recursos </t>
  </si>
  <si>
    <t>Pagos / Recaudo total * 100</t>
  </si>
  <si>
    <t xml:space="preserve">Verificar el ingreso recibido vs, pagos ejecutados </t>
  </si>
  <si>
    <t>Gestión de autoevaluación</t>
  </si>
  <si>
    <t>(ACTIVIDADES DESARROLLADAS EN PERIODO / TOTAL DE ACTIVIDADES PLANEADAS *100 )</t>
  </si>
  <si>
    <t xml:space="preserve">MEDIR COMO AVANZA EL PLAN DE AUTOEVALUACIÓN </t>
  </si>
  <si>
    <t>Avance de las actividades de la autoevaluación</t>
  </si>
  <si>
    <t>(Actividades desarrolladas en periodo / actividades programadas en el periodo *100 )</t>
  </si>
  <si>
    <t xml:space="preserve">Medir el avance del procesos de autoevaluación </t>
  </si>
  <si>
    <t>&lt;= 96%</t>
  </si>
  <si>
    <t>9.9925(2016)/9,9204(2015)</t>
  </si>
  <si>
    <t>No tiene, es la primera vez que se mide este impacto</t>
  </si>
  <si>
    <t>Satisfacción de los cursos de extensión</t>
  </si>
  <si>
    <t>Promedio de las evaluaciones de los cursos</t>
  </si>
  <si>
    <t>Medir la satisfacción de los estudiantes frente a los programas ofertados en el área</t>
  </si>
  <si>
    <t>Permanencia en los cursos de extensión</t>
  </si>
  <si>
    <t>#Total de estudiantes que culminan / # de estudiantes que se matriculan *100</t>
  </si>
  <si>
    <t>Conocer la permanencia académica</t>
  </si>
  <si>
    <t>Incrementar las actividades de formación en valores, vivenciando la práctica de los derechos humanos y deberes para lograr formación integral de calidad.</t>
  </si>
  <si>
    <t>Incrementar el mejoramiento académico y comportamental de los estudiantes con el fin de afianzar competencias necesarias para ser más productivos y competitivos.</t>
  </si>
  <si>
    <t>Desarrollar capacidades científicas, técnicas y tecnológicas que garanticen la formación de excelentes profesionales.</t>
  </si>
  <si>
    <t>Lograr la acreditación de los programas académicos e institucional en alta calidad.</t>
  </si>
  <si>
    <t>Incrementar las relaciones con el sector productivo, comunidades académicas y la sociedad, como soporte de una educación de calidad por ciclos propedéuticos.</t>
  </si>
  <si>
    <t>Promover el cambio en los integrantes de la comunidad educativa para lograr la eficacia en los procesos de gestión de calidad.</t>
  </si>
  <si>
    <t>Garantizar espacios de crecimiento personal y profesional que ayuden a mejorar la calidad de vida de los estudiantes</t>
  </si>
  <si>
    <t>INDICADOR</t>
  </si>
  <si>
    <t>LÍNEA BASE</t>
  </si>
  <si>
    <t>Ejecición de convenios y redes nacionales e internacionales</t>
  </si>
  <si>
    <t>Promedio porcentaje de avance del seguimiento de convenios</t>
  </si>
  <si>
    <t>Medir el porcentaje de ejecución de convenios y redes ejecutados por la ETITC</t>
  </si>
  <si>
    <t>#de horas de uso de talleres y laboratorios/ #total de horas dispuestas por el taller</t>
  </si>
  <si>
    <t>Un trabajo por cada facultad</t>
  </si>
  <si>
    <t xml:space="preserve">Promoción y participación de esas redes para la acreditación (Todas las facultades pertenezcan en cada una de la sredes), componente de redes </t>
  </si>
  <si>
    <t>Medir el uso de los talleres y laboratorios</t>
  </si>
  <si>
    <t>Uso de talleres al 100%</t>
  </si>
  <si>
    <t>Facultades con al menos 1 participación/ total de facultades</t>
  </si>
  <si>
    <t>&lt;=97,6</t>
  </si>
  <si>
    <t xml:space="preserve">( # formato de asistencia o  actividades semestre vigente/asistente actividad semestre anterior) - 1 </t>
  </si>
  <si>
    <t>Identificar las participaciones de # de beneficiados en la actividad de bienestar</t>
  </si>
  <si>
    <t>Promedio de las encuestas de satisfacción</t>
  </si>
  <si>
    <t xml:space="preserve"> # actividad formación integral ejecutadas/ + actividades formación integral planeadas</t>
  </si>
  <si>
    <t>Entre 15 y 15 de cada periodo</t>
  </si>
  <si>
    <t>TRD validadas / total TRD</t>
  </si>
  <si>
    <t>Nivel de satisfacciób a las solicitudes de planta física</t>
  </si>
  <si>
    <t>Promedio % de satisfacción</t>
  </si>
  <si>
    <t>Garantizar la calidad del servicio prestado</t>
  </si>
  <si>
    <t>Avace del plan de trabajo de la coordinación</t>
  </si>
  <si>
    <t>Cumplimiento de actividades de movilidad</t>
  </si>
  <si>
    <t>75% (11/15)</t>
  </si>
  <si>
    <t>&gt;= 96%</t>
  </si>
  <si>
    <t>OBJETIVO DE CALIDAD</t>
  </si>
  <si>
    <t># Evaluaciones realizadas /# Total de funcionarios</t>
  </si>
  <si>
    <t>ORII</t>
  </si>
  <si>
    <t>Mayo</t>
  </si>
  <si>
    <t>Direcc. Estratégico</t>
  </si>
  <si>
    <t>Junio</t>
  </si>
  <si>
    <t># Proyectos  de apoyo a las ACTI  en ejecución/ # de proyectos de apoyo a las actividad programados*100</t>
  </si>
  <si>
    <t>En este índicador se da cumplimiento al 100%</t>
  </si>
  <si>
    <t>Por ser la primera medición, el rendimiento de 3,64 (Desempeño básico) es nuestra línea base para la siguiente evaluación</t>
  </si>
  <si>
    <t>Satisfaccion</t>
  </si>
  <si>
    <t>Beneficiados</t>
  </si>
  <si>
    <t>Artes</t>
  </si>
  <si>
    <t>Salud</t>
  </si>
  <si>
    <t>T Social</t>
  </si>
  <si>
    <t>Psicología</t>
  </si>
  <si>
    <t>Rec Deportes</t>
  </si>
  <si>
    <t>Pastoral PES</t>
  </si>
  <si>
    <t>Pastoral IBTI</t>
  </si>
  <si>
    <t>Realizadas</t>
  </si>
  <si>
    <t>Propuestas</t>
  </si>
  <si>
    <t>Actividades</t>
  </si>
  <si>
    <t>Dato más reciente medición: Junio  2017</t>
  </si>
  <si>
    <t>Última medición, Junio del 2017</t>
  </si>
  <si>
    <t>Medición del mes de Junio del 2017, se toma este dato como línea base para la próxima medición</t>
  </si>
  <si>
    <t>De las 64 actividades programadas se cumplen 52</t>
  </si>
  <si>
    <t>hay</t>
  </si>
  <si>
    <t>reparar</t>
  </si>
  <si>
    <t>uso</t>
  </si>
  <si>
    <t>Mejorar la Seguridad en los sistemas de información y comunicacioés</t>
  </si>
  <si>
    <t xml:space="preserve">Sistemas de información y comunicación administrados vs Estandáres de seguridad </t>
  </si>
  <si>
    <t>Mantener los sistemas de información y comunicación con estándares de seguridad</t>
  </si>
  <si>
    <t>&lt;=80</t>
  </si>
  <si>
    <t>Se lleva ejecutado 24% del presupuesto.</t>
  </si>
  <si>
    <t>De auerdo al lider del proceso, este indicador se medira en el mes de Julio.</t>
  </si>
  <si>
    <t>Se recibieron 5 solicitudes de movilidad Internacional, se ven pocas solicitudes debido al receso académico de la entidad</t>
  </si>
  <si>
    <t>#de egresados vinculados / # de egresados totales *100</t>
  </si>
  <si>
    <t>Levantamiento de información física para los programas, identificación de % de deserción usando  como base la metodología SPADIES, calsificación de recursos bibliográficos por facultad.</t>
  </si>
  <si>
    <t>Cargue de de condiciones iniciales en un 80%  de la informaciómn</t>
  </si>
  <si>
    <t>&lt;=85</t>
  </si>
  <si>
    <t>Medición se realiza a Junio 30 del 2017</t>
  </si>
  <si>
    <t>Se aprobaron y validaron las tablas de retencipon documental al 100% en el consejo</t>
  </si>
  <si>
    <t>Se ha realizado el tema de la implementación del marco de seguridad de información y análisis de riesgo.</t>
  </si>
  <si>
    <t>Se han revisado todos los syllabus</t>
  </si>
  <si>
    <t>Por cronograma de trabajo del Lider del Proceso, este indicador se medira en el mes Julio</t>
  </si>
  <si>
    <t>Dato más reciente medición: Junio 2017.
Este procentaje se debe a las áreas que deben hacer seguimiento no han dado gestión a las solicitudes. Sin embargo para el próximmo corte se hará el debido segumiento.</t>
  </si>
  <si>
    <t>Se da el debido cumplimiento a los planes de mejoramiento anteriores, y se dará procesos de cumplimiento a los nuevos planes de acuerdo con  auditorias internas  y visita del icontec</t>
  </si>
  <si>
    <t>Se recaudaron $160.000.000 millones de convenio con la UAESP, cursos de lenguas $67.764.000 y por cursos de preingeniero $71.558.549</t>
  </si>
  <si>
    <t xml:space="preserve">Se recauda en el mes de Junio $11.136.729.605,95 y se compromete $12.078.720.547,55. </t>
  </si>
  <si>
    <t xml:space="preserve">Se tiene un 76% de avance en el semestre, se encuentra por debjao de la línea base. Se afecta bastante este índicador debido a la contratación para compra, actualización y reparación de equipos.  Actualmente hay  98 equipos, de estos hay 24 en proceso de repotenciación, mantenimiento y/o actualización  y 74 que están en uso </t>
  </si>
  <si>
    <t>Ejecución del plan de compras: $5.648.325.168 Programado: $ 9.195.800.961  
Dato más reciente: Junio 2017</t>
  </si>
  <si>
    <t>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</si>
</sst>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_-* #,##0_-;\-* #,##0_-;_-* &quot;-&quot;??_-;_-@_-"/>
    <numFmt numFmtId="168" formatCode="0.0"/>
    <numFmt numFmtId="169" formatCode="_-* #,##0.00_-;\-* #,##0.00_-;_-* &quot;-&quot;_-;_-@_-"/>
    <numFmt numFmtId="170" formatCode="0.00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.9"/>
      <color theme="1"/>
      <name val="RobotoLight"/>
    </font>
    <font>
      <sz val="14"/>
      <color theme="1"/>
      <name val="Calibri"/>
      <family val="2"/>
      <scheme val="minor"/>
    </font>
    <font>
      <sz val="15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name val="Calibri"/>
      <family val="2"/>
      <scheme val="minor"/>
    </font>
    <font>
      <sz val="16"/>
      <color rgb="FF000000"/>
      <name val="Lucida Sans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sz val="2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71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0" fillId="0" borderId="0" xfId="0" applyFont="1"/>
    <xf numFmtId="165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1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65" fontId="0" fillId="2" borderId="0" xfId="0" applyNumberFormat="1" applyFont="1" applyFill="1" applyAlignment="1">
      <alignment vertical="center" wrapText="1"/>
    </xf>
    <xf numFmtId="0" fontId="0" fillId="3" borderId="0" xfId="0" applyFont="1" applyFill="1" applyAlignment="1">
      <alignment horizontal="center" vertical="center" wrapText="1"/>
    </xf>
    <xf numFmtId="165" fontId="0" fillId="3" borderId="0" xfId="0" applyNumberFormat="1" applyFont="1" applyFill="1" applyAlignment="1">
      <alignment vertical="center" wrapText="1"/>
    </xf>
    <xf numFmtId="0" fontId="0" fillId="4" borderId="0" xfId="0" applyFont="1" applyFill="1" applyAlignment="1">
      <alignment horizontal="center" vertical="center" wrapText="1"/>
    </xf>
    <xf numFmtId="165" fontId="0" fillId="4" borderId="0" xfId="0" applyNumberFormat="1" applyFont="1" applyFill="1" applyAlignment="1">
      <alignment vertical="center" wrapText="1"/>
    </xf>
    <xf numFmtId="0" fontId="0" fillId="0" borderId="0" xfId="0" applyFont="1" applyAlignment="1">
      <alignment wrapText="1"/>
    </xf>
    <xf numFmtId="0" fontId="3" fillId="5" borderId="59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1" fontId="0" fillId="0" borderId="70" xfId="1" applyNumberFormat="1" applyFont="1" applyBorder="1" applyAlignment="1">
      <alignment horizontal="center" vertical="center" wrapText="1"/>
    </xf>
    <xf numFmtId="9" fontId="0" fillId="0" borderId="46" xfId="1" applyFont="1" applyBorder="1" applyAlignment="1">
      <alignment horizontal="center" vertical="center" wrapText="1"/>
    </xf>
    <xf numFmtId="164" fontId="0" fillId="0" borderId="0" xfId="41" applyFont="1"/>
    <xf numFmtId="164" fontId="0" fillId="0" borderId="0" xfId="41" applyFont="1" applyAlignment="1">
      <alignment vertical="center" wrapText="1"/>
    </xf>
    <xf numFmtId="164" fontId="0" fillId="0" borderId="0" xfId="0" applyNumberFormat="1" applyFont="1"/>
    <xf numFmtId="164" fontId="0" fillId="0" borderId="0" xfId="1" applyNumberFormat="1" applyFont="1"/>
    <xf numFmtId="9" fontId="0" fillId="0" borderId="0" xfId="1" applyFont="1"/>
    <xf numFmtId="0" fontId="24" fillId="0" borderId="33" xfId="0" applyFont="1" applyBorder="1" applyAlignment="1">
      <alignment vertical="center" wrapText="1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22" fillId="0" borderId="52" xfId="0" applyFont="1" applyBorder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52" xfId="0" applyBorder="1"/>
    <xf numFmtId="0" fontId="0" fillId="0" borderId="72" xfId="0" applyBorder="1"/>
    <xf numFmtId="0" fontId="0" fillId="0" borderId="54" xfId="0" applyBorder="1"/>
    <xf numFmtId="0" fontId="0" fillId="0" borderId="0" xfId="0" applyAlignment="1">
      <alignment wrapText="1"/>
    </xf>
    <xf numFmtId="0" fontId="0" fillId="0" borderId="61" xfId="0" applyBorder="1"/>
    <xf numFmtId="165" fontId="14" fillId="0" borderId="0" xfId="0" applyNumberFormat="1" applyFont="1" applyBorder="1" applyAlignment="1">
      <alignment horizontal="center" vertical="center" wrapText="1"/>
    </xf>
    <xf numFmtId="12" fontId="0" fillId="0" borderId="0" xfId="0" applyNumberFormat="1"/>
    <xf numFmtId="9" fontId="0" fillId="0" borderId="0" xfId="0" applyNumberFormat="1"/>
    <xf numFmtId="0" fontId="3" fillId="5" borderId="61" xfId="0" applyFon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left" wrapText="1"/>
    </xf>
    <xf numFmtId="13" fontId="0" fillId="0" borderId="7" xfId="0" applyNumberFormat="1" applyBorder="1" applyAlignment="1">
      <alignment horizontal="left" wrapText="1"/>
    </xf>
    <xf numFmtId="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3" fillId="5" borderId="73" xfId="0" applyFont="1" applyFill="1" applyBorder="1" applyAlignment="1">
      <alignment horizontal="center" vertical="center" wrapText="1"/>
    </xf>
    <xf numFmtId="13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3" fontId="0" fillId="0" borderId="10" xfId="0" applyNumberForma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61" xfId="0" applyBorder="1" applyAlignment="1">
      <alignment horizontal="left" vertical="center"/>
    </xf>
    <xf numFmtId="13" fontId="0" fillId="0" borderId="61" xfId="0" applyNumberForma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9" fontId="0" fillId="0" borderId="26" xfId="0" applyNumberFormat="1" applyBorder="1" applyAlignment="1">
      <alignment horizontal="left"/>
    </xf>
    <xf numFmtId="9" fontId="0" fillId="0" borderId="14" xfId="0" applyNumberFormat="1" applyBorder="1" applyAlignment="1">
      <alignment horizontal="left"/>
    </xf>
    <xf numFmtId="9" fontId="0" fillId="0" borderId="11" xfId="0" applyNumberFormat="1" applyBorder="1" applyAlignment="1">
      <alignment horizontal="left"/>
    </xf>
    <xf numFmtId="9" fontId="0" fillId="0" borderId="73" xfId="0" applyNumberFormat="1" applyBorder="1" applyAlignment="1">
      <alignment horizontal="left" vertical="center"/>
    </xf>
    <xf numFmtId="0" fontId="0" fillId="0" borderId="26" xfId="0" applyBorder="1" applyAlignment="1">
      <alignment horizontal="left"/>
    </xf>
    <xf numFmtId="9" fontId="0" fillId="0" borderId="26" xfId="0" applyNumberFormat="1" applyBorder="1" applyAlignment="1">
      <alignment horizontal="left" vertical="center"/>
    </xf>
    <xf numFmtId="10" fontId="0" fillId="0" borderId="11" xfId="0" applyNumberFormat="1" applyBorder="1" applyAlignment="1">
      <alignment horizontal="left" vertical="center"/>
    </xf>
    <xf numFmtId="10" fontId="0" fillId="0" borderId="13" xfId="0" applyNumberFormat="1" applyBorder="1" applyAlignment="1">
      <alignment horizontal="left" wrapText="1"/>
    </xf>
    <xf numFmtId="9" fontId="0" fillId="0" borderId="10" xfId="1" applyFont="1" applyBorder="1" applyAlignment="1">
      <alignment horizontal="left" wrapText="1"/>
    </xf>
    <xf numFmtId="9" fontId="0" fillId="0" borderId="7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wrapText="1"/>
    </xf>
    <xf numFmtId="9" fontId="0" fillId="0" borderId="7" xfId="1" applyFont="1" applyBorder="1" applyAlignment="1">
      <alignment horizontal="left" wrapText="1"/>
    </xf>
    <xf numFmtId="9" fontId="0" fillId="0" borderId="10" xfId="0" applyNumberFormat="1" applyBorder="1" applyAlignment="1">
      <alignment horizontal="left" vertical="center" wrapText="1"/>
    </xf>
    <xf numFmtId="0" fontId="22" fillId="0" borderId="11" xfId="0" applyFont="1" applyBorder="1"/>
    <xf numFmtId="0" fontId="22" fillId="0" borderId="0" xfId="0" applyFont="1"/>
    <xf numFmtId="0" fontId="2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0" xfId="0" applyFont="1"/>
    <xf numFmtId="0" fontId="0" fillId="0" borderId="19" xfId="0" applyBorder="1"/>
    <xf numFmtId="165" fontId="3" fillId="5" borderId="2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54" xfId="0" applyFont="1" applyBorder="1" applyAlignment="1">
      <alignment horizontal="left"/>
    </xf>
    <xf numFmtId="0" fontId="0" fillId="0" borderId="21" xfId="0" applyBorder="1"/>
    <xf numFmtId="0" fontId="22" fillId="0" borderId="54" xfId="0" applyFont="1" applyBorder="1"/>
    <xf numFmtId="0" fontId="0" fillId="0" borderId="60" xfId="0" applyBorder="1"/>
    <xf numFmtId="169" fontId="0" fillId="0" borderId="7" xfId="42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47" xfId="0" applyBorder="1"/>
    <xf numFmtId="0" fontId="0" fillId="0" borderId="25" xfId="0" applyBorder="1"/>
    <xf numFmtId="0" fontId="26" fillId="0" borderId="0" xfId="0" applyFont="1"/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Fill="1" applyBorder="1"/>
    <xf numFmtId="0" fontId="27" fillId="0" borderId="0" xfId="0" applyFont="1" applyFill="1" applyBorder="1" applyAlignment="1">
      <alignment vertical="center" wrapText="1"/>
    </xf>
    <xf numFmtId="0" fontId="27" fillId="8" borderId="0" xfId="0" applyFont="1" applyFill="1"/>
    <xf numFmtId="0" fontId="27" fillId="8" borderId="0" xfId="0" applyFont="1" applyFill="1" applyAlignment="1">
      <alignment vertical="center" wrapText="1"/>
    </xf>
    <xf numFmtId="0" fontId="27" fillId="8" borderId="0" xfId="0" applyFont="1" applyFill="1" applyBorder="1"/>
    <xf numFmtId="0" fontId="27" fillId="8" borderId="0" xfId="0" applyFont="1" applyFill="1" applyBorder="1" applyAlignment="1">
      <alignment vertical="center" wrapText="1"/>
    </xf>
    <xf numFmtId="0" fontId="27" fillId="0" borderId="19" xfId="0" applyFont="1" applyBorder="1" applyAlignment="1">
      <alignment horizontal="left" vertical="center" wrapText="1"/>
    </xf>
    <xf numFmtId="4" fontId="27" fillId="0" borderId="0" xfId="0" applyNumberFormat="1" applyFont="1"/>
    <xf numFmtId="167" fontId="27" fillId="0" borderId="0" xfId="39" applyNumberFormat="1" applyFont="1"/>
    <xf numFmtId="167" fontId="27" fillId="0" borderId="0" xfId="0" applyNumberFormat="1" applyFont="1"/>
    <xf numFmtId="3" fontId="27" fillId="0" borderId="0" xfId="0" applyNumberFormat="1" applyFont="1"/>
    <xf numFmtId="3" fontId="27" fillId="0" borderId="0" xfId="0" applyNumberFormat="1" applyFont="1" applyFill="1" applyBorder="1"/>
    <xf numFmtId="1" fontId="0" fillId="0" borderId="0" xfId="0" applyNumberFormat="1"/>
    <xf numFmtId="0" fontId="28" fillId="5" borderId="59" xfId="0" applyFont="1" applyFill="1" applyBorder="1" applyAlignment="1">
      <alignment horizontal="center" vertical="center" wrapText="1"/>
    </xf>
    <xf numFmtId="0" fontId="28" fillId="5" borderId="61" xfId="0" applyFont="1" applyFill="1" applyBorder="1" applyAlignment="1">
      <alignment horizontal="center" vertical="center" wrapText="1"/>
    </xf>
    <xf numFmtId="17" fontId="29" fillId="5" borderId="61" xfId="2" applyNumberFormat="1" applyFont="1" applyFill="1" applyBorder="1" applyAlignment="1">
      <alignment horizontal="center" vertical="center" wrapText="1"/>
    </xf>
    <xf numFmtId="165" fontId="28" fillId="5" borderId="61" xfId="0" applyNumberFormat="1" applyFont="1" applyFill="1" applyBorder="1" applyAlignment="1">
      <alignment horizontal="center" vertical="center" wrapText="1"/>
    </xf>
    <xf numFmtId="165" fontId="28" fillId="5" borderId="73" xfId="0" applyNumberFormat="1" applyFont="1" applyFill="1" applyBorder="1" applyAlignment="1">
      <alignment horizontal="center" vertical="center" wrapText="1"/>
    </xf>
    <xf numFmtId="165" fontId="28" fillId="5" borderId="33" xfId="0" applyNumberFormat="1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4" fillId="0" borderId="52" xfId="0" applyFont="1" applyBorder="1"/>
    <xf numFmtId="0" fontId="34" fillId="0" borderId="56" xfId="0" applyFont="1" applyBorder="1"/>
    <xf numFmtId="13" fontId="32" fillId="0" borderId="52" xfId="0" applyNumberFormat="1" applyFont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9" fontId="29" fillId="0" borderId="10" xfId="0" applyNumberFormat="1" applyFont="1" applyFill="1" applyBorder="1" applyAlignment="1">
      <alignment horizontal="center" vertical="center" wrapText="1"/>
    </xf>
    <xf numFmtId="9" fontId="32" fillId="0" borderId="10" xfId="0" applyNumberFormat="1" applyFont="1" applyFill="1" applyBorder="1" applyAlignment="1">
      <alignment horizontal="center" vertical="center" wrapText="1"/>
    </xf>
    <xf numFmtId="9" fontId="32" fillId="0" borderId="10" xfId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166" fontId="32" fillId="0" borderId="10" xfId="0" applyNumberFormat="1" applyFont="1" applyFill="1" applyBorder="1" applyAlignment="1">
      <alignment horizontal="center" vertical="center" wrapText="1"/>
    </xf>
    <xf numFmtId="165" fontId="32" fillId="0" borderId="10" xfId="0" applyNumberFormat="1" applyFont="1" applyBorder="1" applyAlignment="1">
      <alignment vertical="center" wrapText="1"/>
    </xf>
    <xf numFmtId="1" fontId="32" fillId="0" borderId="10" xfId="0" applyNumberFormat="1" applyFont="1" applyBorder="1" applyAlignment="1">
      <alignment horizontal="center" vertical="center" wrapText="1"/>
    </xf>
    <xf numFmtId="1" fontId="32" fillId="0" borderId="56" xfId="0" applyNumberFormat="1" applyFont="1" applyBorder="1" applyAlignment="1">
      <alignment horizontal="center" vertical="center" wrapText="1"/>
    </xf>
    <xf numFmtId="1" fontId="31" fillId="0" borderId="11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7" xfId="0" applyFont="1" applyBorder="1" applyAlignment="1">
      <alignment vertical="center" wrapText="1"/>
    </xf>
    <xf numFmtId="0" fontId="33" fillId="0" borderId="7" xfId="0" applyFont="1" applyBorder="1" applyAlignment="1">
      <alignment vertical="center" wrapText="1"/>
    </xf>
    <xf numFmtId="0" fontId="34" fillId="0" borderId="18" xfId="0" applyFont="1" applyBorder="1"/>
    <xf numFmtId="0" fontId="34" fillId="0" borderId="16" xfId="0" applyFont="1" applyBorder="1"/>
    <xf numFmtId="0" fontId="32" fillId="0" borderId="18" xfId="0" applyFont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10" fontId="29" fillId="0" borderId="7" xfId="0" applyNumberFormat="1" applyFont="1" applyFill="1" applyBorder="1" applyAlignment="1">
      <alignment horizontal="center" vertical="center" wrapText="1"/>
    </xf>
    <xf numFmtId="9" fontId="32" fillId="0" borderId="7" xfId="0" applyNumberFormat="1" applyFont="1" applyFill="1" applyBorder="1" applyAlignment="1">
      <alignment horizontal="center" vertical="center" wrapText="1"/>
    </xf>
    <xf numFmtId="9" fontId="32" fillId="0" borderId="7" xfId="1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vertical="center" wrapText="1"/>
    </xf>
    <xf numFmtId="0" fontId="32" fillId="0" borderId="7" xfId="0" applyFont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horizontal="center" vertical="center" wrapText="1"/>
    </xf>
    <xf numFmtId="165" fontId="32" fillId="0" borderId="7" xfId="0" applyNumberFormat="1" applyFont="1" applyBorder="1" applyAlignment="1">
      <alignment vertical="center" wrapText="1"/>
    </xf>
    <xf numFmtId="1" fontId="32" fillId="0" borderId="7" xfId="0" applyNumberFormat="1" applyFont="1" applyBorder="1" applyAlignment="1">
      <alignment horizontal="center" vertical="center" wrapText="1"/>
    </xf>
    <xf numFmtId="1" fontId="32" fillId="0" borderId="16" xfId="0" applyNumberFormat="1" applyFont="1" applyBorder="1" applyAlignment="1">
      <alignment horizontal="center" vertical="center" wrapText="1"/>
    </xf>
    <xf numFmtId="1" fontId="31" fillId="0" borderId="26" xfId="0" applyNumberFormat="1" applyFont="1" applyBorder="1" applyAlignment="1">
      <alignment horizontal="center" vertical="center" wrapText="1"/>
    </xf>
    <xf numFmtId="10" fontId="35" fillId="0" borderId="0" xfId="0" applyNumberFormat="1" applyFont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9" fontId="29" fillId="0" borderId="7" xfId="0" applyNumberFormat="1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9" fontId="32" fillId="0" borderId="7" xfId="1" applyFont="1" applyBorder="1" applyAlignment="1">
      <alignment horizontal="center" vertical="center" wrapText="1"/>
    </xf>
    <xf numFmtId="9" fontId="31" fillId="0" borderId="26" xfId="1" applyFont="1" applyBorder="1" applyAlignment="1">
      <alignment horizontal="center" vertical="center" wrapText="1"/>
    </xf>
    <xf numFmtId="0" fontId="31" fillId="0" borderId="55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vertical="center" wrapText="1"/>
    </xf>
    <xf numFmtId="0" fontId="31" fillId="0" borderId="13" xfId="0" applyFont="1" applyFill="1" applyBorder="1" applyAlignment="1">
      <alignment horizontal="left" vertical="center" wrapText="1"/>
    </xf>
    <xf numFmtId="9" fontId="31" fillId="0" borderId="13" xfId="0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9" fontId="29" fillId="0" borderId="13" xfId="0" applyNumberFormat="1" applyFont="1" applyFill="1" applyBorder="1" applyAlignment="1">
      <alignment horizontal="center" vertical="center" wrapText="1"/>
    </xf>
    <xf numFmtId="9" fontId="32" fillId="0" borderId="13" xfId="0" applyNumberFormat="1" applyFont="1" applyFill="1" applyBorder="1" applyAlignment="1">
      <alignment horizontal="left" vertical="center" wrapText="1"/>
    </xf>
    <xf numFmtId="9" fontId="32" fillId="0" borderId="13" xfId="1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center" vertical="center" wrapText="1"/>
    </xf>
    <xf numFmtId="166" fontId="32" fillId="0" borderId="13" xfId="0" applyNumberFormat="1" applyFont="1" applyFill="1" applyBorder="1" applyAlignment="1">
      <alignment horizontal="center" vertical="center" wrapText="1"/>
    </xf>
    <xf numFmtId="165" fontId="32" fillId="0" borderId="13" xfId="0" applyNumberFormat="1" applyFont="1" applyBorder="1" applyAlignment="1">
      <alignment horizontal="left" vertical="center" wrapText="1"/>
    </xf>
    <xf numFmtId="1" fontId="32" fillId="0" borderId="13" xfId="0" applyNumberFormat="1" applyFont="1" applyBorder="1" applyAlignment="1">
      <alignment horizontal="left" vertical="center" wrapText="1"/>
    </xf>
    <xf numFmtId="1" fontId="32" fillId="0" borderId="64" xfId="0" applyNumberFormat="1" applyFont="1" applyBorder="1" applyAlignment="1">
      <alignment horizontal="left" vertical="center" wrapText="1"/>
    </xf>
    <xf numFmtId="1" fontId="31" fillId="0" borderId="14" xfId="0" applyNumberFormat="1" applyFont="1" applyBorder="1" applyAlignment="1">
      <alignment horizontal="left" vertical="center" wrapText="1"/>
    </xf>
    <xf numFmtId="0" fontId="36" fillId="0" borderId="7" xfId="0" applyFont="1" applyBorder="1"/>
    <xf numFmtId="0" fontId="31" fillId="0" borderId="13" xfId="0" applyFont="1" applyFill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6" fillId="0" borderId="15" xfId="0" applyFont="1" applyBorder="1"/>
    <xf numFmtId="0" fontId="32" fillId="7" borderId="15" xfId="0" applyFont="1" applyFill="1" applyBorder="1" applyAlignment="1">
      <alignment horizontal="center" vertical="center" wrapText="1"/>
    </xf>
    <xf numFmtId="9" fontId="29" fillId="0" borderId="15" xfId="0" applyNumberFormat="1" applyFont="1" applyFill="1" applyBorder="1" applyAlignment="1">
      <alignment horizontal="center" vertical="center" wrapText="1"/>
    </xf>
    <xf numFmtId="9" fontId="32" fillId="0" borderId="15" xfId="0" applyNumberFormat="1" applyFont="1" applyFill="1" applyBorder="1" applyAlignment="1">
      <alignment horizontal="center" vertical="center" wrapText="1"/>
    </xf>
    <xf numFmtId="9" fontId="32" fillId="0" borderId="15" xfId="1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15" xfId="0" applyFont="1" applyBorder="1" applyAlignment="1">
      <alignment horizontal="center" vertical="center" wrapText="1"/>
    </xf>
    <xf numFmtId="166" fontId="32" fillId="0" borderId="15" xfId="0" applyNumberFormat="1" applyFont="1" applyFill="1" applyBorder="1" applyAlignment="1">
      <alignment vertical="center" wrapText="1"/>
    </xf>
    <xf numFmtId="165" fontId="32" fillId="0" borderId="15" xfId="0" applyNumberFormat="1" applyFont="1" applyBorder="1" applyAlignment="1">
      <alignment vertical="center" wrapText="1"/>
    </xf>
    <xf numFmtId="1" fontId="32" fillId="0" borderId="15" xfId="0" applyNumberFormat="1" applyFont="1" applyBorder="1" applyAlignment="1">
      <alignment horizontal="center" vertical="center" wrapText="1"/>
    </xf>
    <xf numFmtId="1" fontId="32" fillId="0" borderId="20" xfId="0" applyNumberFormat="1" applyFont="1" applyBorder="1" applyAlignment="1">
      <alignment horizontal="center" vertical="center" wrapText="1"/>
    </xf>
    <xf numFmtId="1" fontId="31" fillId="0" borderId="72" xfId="0" applyNumberFormat="1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6" fillId="0" borderId="13" xfId="0" applyFont="1" applyBorder="1"/>
    <xf numFmtId="165" fontId="30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9" fontId="32" fillId="0" borderId="13" xfId="0" applyNumberFormat="1" applyFont="1" applyFill="1" applyBorder="1" applyAlignment="1">
      <alignment horizontal="center" vertical="center" wrapText="1"/>
    </xf>
    <xf numFmtId="9" fontId="32" fillId="0" borderId="13" xfId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vertical="center" wrapText="1"/>
    </xf>
    <xf numFmtId="166" fontId="32" fillId="0" borderId="13" xfId="0" applyNumberFormat="1" applyFont="1" applyFill="1" applyBorder="1" applyAlignment="1">
      <alignment vertical="center" wrapText="1"/>
    </xf>
    <xf numFmtId="165" fontId="32" fillId="0" borderId="13" xfId="0" applyNumberFormat="1" applyFont="1" applyBorder="1" applyAlignment="1">
      <alignment vertical="center" wrapText="1"/>
    </xf>
    <xf numFmtId="1" fontId="32" fillId="0" borderId="13" xfId="0" applyNumberFormat="1" applyFont="1" applyBorder="1" applyAlignment="1">
      <alignment horizontal="center" vertical="center" wrapText="1"/>
    </xf>
    <xf numFmtId="1" fontId="32" fillId="0" borderId="64" xfId="0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0" fontId="36" fillId="0" borderId="52" xfId="0" applyFont="1" applyBorder="1"/>
    <xf numFmtId="0" fontId="36" fillId="0" borderId="56" xfId="0" applyFont="1" applyBorder="1"/>
    <xf numFmtId="0" fontId="33" fillId="0" borderId="52" xfId="0" applyFont="1" applyBorder="1" applyAlignment="1">
      <alignment horizontal="center" vertical="center" wrapText="1"/>
    </xf>
    <xf numFmtId="166" fontId="32" fillId="0" borderId="10" xfId="0" applyNumberFormat="1" applyFont="1" applyFill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32" fillId="8" borderId="7" xfId="0" applyFont="1" applyFill="1" applyBorder="1" applyAlignment="1">
      <alignment vertical="center" wrapText="1"/>
    </xf>
    <xf numFmtId="0" fontId="36" fillId="0" borderId="16" xfId="0" applyFont="1" applyBorder="1"/>
    <xf numFmtId="0" fontId="33" fillId="0" borderId="7" xfId="0" applyFont="1" applyBorder="1" applyAlignment="1">
      <alignment horizontal="center" vertical="center" wrapText="1"/>
    </xf>
    <xf numFmtId="0" fontId="33" fillId="8" borderId="7" xfId="0" applyFont="1" applyFill="1" applyBorder="1" applyAlignment="1">
      <alignment vertical="center" wrapText="1"/>
    </xf>
    <xf numFmtId="0" fontId="36" fillId="0" borderId="20" xfId="0" applyFont="1" applyBorder="1"/>
    <xf numFmtId="9" fontId="33" fillId="0" borderId="7" xfId="0" applyNumberFormat="1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0" fontId="36" fillId="0" borderId="64" xfId="0" applyFont="1" applyBorder="1"/>
    <xf numFmtId="0" fontId="36" fillId="0" borderId="10" xfId="0" applyFont="1" applyBorder="1"/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168" fontId="31" fillId="0" borderId="11" xfId="0" applyNumberFormat="1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3" fillId="0" borderId="48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10" fontId="36" fillId="0" borderId="8" xfId="1" applyNumberFormat="1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3" fillId="0" borderId="70" xfId="0" applyFont="1" applyBorder="1" applyAlignment="1">
      <alignment vertical="center" wrapText="1"/>
    </xf>
    <xf numFmtId="0" fontId="37" fillId="0" borderId="7" xfId="0" applyFont="1" applyFill="1" applyBorder="1" applyAlignment="1">
      <alignment vertical="center" wrapText="1"/>
    </xf>
    <xf numFmtId="10" fontId="36" fillId="0" borderId="36" xfId="1" applyNumberFormat="1" applyFont="1" applyFill="1" applyBorder="1" applyAlignment="1">
      <alignment horizontal="center" vertical="center" wrapText="1"/>
    </xf>
    <xf numFmtId="0" fontId="34" fillId="0" borderId="10" xfId="0" applyFont="1" applyBorder="1"/>
    <xf numFmtId="9" fontId="32" fillId="0" borderId="10" xfId="0" applyNumberFormat="1" applyFont="1" applyBorder="1" applyAlignment="1">
      <alignment horizontal="center" vertical="center" wrapText="1"/>
    </xf>
    <xf numFmtId="0" fontId="34" fillId="0" borderId="7" xfId="0" applyFont="1" applyBorder="1"/>
    <xf numFmtId="9" fontId="32" fillId="0" borderId="7" xfId="0" applyNumberFormat="1" applyFont="1" applyBorder="1" applyAlignment="1">
      <alignment horizontal="center" vertical="center" wrapText="1"/>
    </xf>
    <xf numFmtId="165" fontId="31" fillId="0" borderId="26" xfId="1" applyNumberFormat="1" applyFont="1" applyBorder="1" applyAlignment="1">
      <alignment horizontal="center" vertical="center" wrapText="1"/>
    </xf>
    <xf numFmtId="0" fontId="32" fillId="8" borderId="13" xfId="0" applyFont="1" applyFill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4" fillId="0" borderId="13" xfId="0" applyFont="1" applyBorder="1"/>
    <xf numFmtId="165" fontId="33" fillId="0" borderId="13" xfId="0" applyNumberFormat="1" applyFont="1" applyBorder="1" applyAlignment="1">
      <alignment horizontal="center" vertical="center" wrapText="1"/>
    </xf>
    <xf numFmtId="9" fontId="31" fillId="0" borderId="14" xfId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3" fillId="0" borderId="56" xfId="0" applyFont="1" applyBorder="1" applyAlignment="1">
      <alignment vertical="center" wrapText="1"/>
    </xf>
    <xf numFmtId="10" fontId="33" fillId="0" borderId="52" xfId="0" applyNumberFormat="1" applyFont="1" applyBorder="1" applyAlignment="1">
      <alignment horizontal="center" vertical="center" wrapText="1"/>
    </xf>
    <xf numFmtId="9" fontId="31" fillId="0" borderId="11" xfId="1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9" fontId="33" fillId="0" borderId="21" xfId="0" applyNumberFormat="1" applyFont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9" fontId="31" fillId="0" borderId="72" xfId="1" applyFont="1" applyBorder="1" applyAlignment="1">
      <alignment horizontal="center" vertical="center" wrapText="1"/>
    </xf>
    <xf numFmtId="10" fontId="31" fillId="0" borderId="78" xfId="1" applyNumberFormat="1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3" fillId="0" borderId="47" xfId="0" applyFont="1" applyBorder="1" applyAlignment="1">
      <alignment vertical="center" wrapText="1"/>
    </xf>
    <xf numFmtId="0" fontId="36" fillId="0" borderId="47" xfId="0" applyFont="1" applyBorder="1"/>
    <xf numFmtId="0" fontId="33" fillId="0" borderId="19" xfId="0" applyFont="1" applyBorder="1" applyAlignment="1">
      <alignment vertical="center" wrapText="1"/>
    </xf>
    <xf numFmtId="10" fontId="33" fillId="0" borderId="25" xfId="0" applyNumberFormat="1" applyFont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7" borderId="47" xfId="0" applyFont="1" applyFill="1" applyBorder="1" applyAlignment="1">
      <alignment horizontal="center" vertical="center" wrapText="1"/>
    </xf>
    <xf numFmtId="9" fontId="32" fillId="0" borderId="47" xfId="0" applyNumberFormat="1" applyFont="1" applyFill="1" applyBorder="1" applyAlignment="1">
      <alignment horizontal="center" vertical="center" wrapText="1"/>
    </xf>
    <xf numFmtId="9" fontId="32" fillId="0" borderId="47" xfId="1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vertical="center" wrapText="1"/>
    </xf>
    <xf numFmtId="0" fontId="32" fillId="0" borderId="47" xfId="0" applyFont="1" applyBorder="1" applyAlignment="1">
      <alignment horizontal="center" vertical="center" wrapText="1"/>
    </xf>
    <xf numFmtId="166" fontId="32" fillId="0" borderId="47" xfId="0" applyNumberFormat="1" applyFont="1" applyFill="1" applyBorder="1" applyAlignment="1">
      <alignment vertical="center" wrapText="1"/>
    </xf>
    <xf numFmtId="165" fontId="32" fillId="0" borderId="47" xfId="0" applyNumberFormat="1" applyFont="1" applyBorder="1" applyAlignment="1">
      <alignment vertical="center" wrapText="1"/>
    </xf>
    <xf numFmtId="1" fontId="32" fillId="0" borderId="47" xfId="0" applyNumberFormat="1" applyFont="1" applyBorder="1" applyAlignment="1">
      <alignment horizontal="center" vertical="center" wrapText="1"/>
    </xf>
    <xf numFmtId="1" fontId="32" fillId="0" borderId="19" xfId="0" applyNumberFormat="1" applyFont="1" applyBorder="1" applyAlignment="1">
      <alignment horizontal="center" vertical="center" wrapText="1"/>
    </xf>
    <xf numFmtId="9" fontId="31" fillId="0" borderId="78" xfId="1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3" fillId="0" borderId="64" xfId="0" applyFont="1" applyBorder="1" applyAlignment="1">
      <alignment vertical="center" wrapText="1"/>
    </xf>
    <xf numFmtId="0" fontId="33" fillId="0" borderId="54" xfId="0" applyFont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9" fontId="32" fillId="0" borderId="52" xfId="0" applyNumberFormat="1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2" fillId="0" borderId="56" xfId="0" applyFont="1" applyBorder="1" applyAlignment="1">
      <alignment vertical="center" wrapText="1"/>
    </xf>
    <xf numFmtId="0" fontId="36" fillId="0" borderId="54" xfId="0" applyFont="1" applyBorder="1"/>
    <xf numFmtId="0" fontId="31" fillId="0" borderId="64" xfId="0" applyFont="1" applyFill="1" applyBorder="1" applyAlignment="1">
      <alignment vertical="center" wrapText="1"/>
    </xf>
    <xf numFmtId="9" fontId="33" fillId="0" borderId="54" xfId="0" applyNumberFormat="1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2" fillId="8" borderId="10" xfId="0" applyFont="1" applyFill="1" applyBorder="1" applyAlignment="1">
      <alignment vertical="center" wrapText="1"/>
    </xf>
    <xf numFmtId="0" fontId="34" fillId="8" borderId="52" xfId="0" applyFont="1" applyFill="1" applyBorder="1" applyAlignment="1">
      <alignment horizontal="left"/>
    </xf>
    <xf numFmtId="0" fontId="34" fillId="8" borderId="10" xfId="0" applyFont="1" applyFill="1" applyBorder="1" applyAlignment="1">
      <alignment horizontal="left"/>
    </xf>
    <xf numFmtId="0" fontId="34" fillId="8" borderId="10" xfId="0" applyFont="1" applyFill="1" applyBorder="1" applyAlignment="1">
      <alignment vertical="center" wrapText="1"/>
    </xf>
    <xf numFmtId="0" fontId="32" fillId="8" borderId="52" xfId="0" applyFont="1" applyFill="1" applyBorder="1" applyAlignment="1">
      <alignment horizontal="center" vertical="center" wrapText="1"/>
    </xf>
    <xf numFmtId="0" fontId="29" fillId="0" borderId="10" xfId="1" applyNumberFormat="1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4" fillId="8" borderId="18" xfId="0" applyFont="1" applyFill="1" applyBorder="1"/>
    <xf numFmtId="0" fontId="34" fillId="8" borderId="7" xfId="0" applyFont="1" applyFill="1" applyBorder="1"/>
    <xf numFmtId="0" fontId="34" fillId="8" borderId="7" xfId="0" applyFont="1" applyFill="1" applyBorder="1" applyAlignment="1">
      <alignment vertical="center" wrapText="1"/>
    </xf>
    <xf numFmtId="0" fontId="32" fillId="8" borderId="18" xfId="0" applyFont="1" applyFill="1" applyBorder="1" applyAlignment="1">
      <alignment horizontal="center" vertical="center" wrapText="1"/>
    </xf>
    <xf numFmtId="9" fontId="32" fillId="8" borderId="18" xfId="0" applyNumberFormat="1" applyFont="1" applyFill="1" applyBorder="1" applyAlignment="1">
      <alignment horizontal="center" vertical="center" wrapText="1"/>
    </xf>
    <xf numFmtId="0" fontId="32" fillId="8" borderId="15" xfId="0" applyFont="1" applyFill="1" applyBorder="1" applyAlignment="1">
      <alignment vertical="center" wrapText="1"/>
    </xf>
    <xf numFmtId="0" fontId="34" fillId="0" borderId="15" xfId="0" applyFont="1" applyBorder="1"/>
    <xf numFmtId="0" fontId="32" fillId="0" borderId="15" xfId="0" applyFont="1" applyBorder="1" applyAlignment="1">
      <alignment vertical="center" wrapText="1"/>
    </xf>
    <xf numFmtId="9" fontId="32" fillId="0" borderId="21" xfId="0" applyNumberFormat="1" applyFont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0" fillId="0" borderId="59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33" fillId="0" borderId="61" xfId="0" applyFont="1" applyBorder="1" applyAlignment="1">
      <alignment vertical="center" wrapText="1"/>
    </xf>
    <xf numFmtId="0" fontId="36" fillId="0" borderId="61" xfId="0" applyFont="1" applyBorder="1"/>
    <xf numFmtId="10" fontId="33" fillId="0" borderId="60" xfId="0" applyNumberFormat="1" applyFont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7" borderId="61" xfId="0" applyFont="1" applyFill="1" applyBorder="1" applyAlignment="1">
      <alignment horizontal="center" vertical="center" wrapText="1"/>
    </xf>
    <xf numFmtId="9" fontId="29" fillId="0" borderId="61" xfId="0" applyNumberFormat="1" applyFont="1" applyFill="1" applyBorder="1" applyAlignment="1">
      <alignment horizontal="center" vertical="center" wrapText="1"/>
    </xf>
    <xf numFmtId="9" fontId="32" fillId="0" borderId="61" xfId="0" applyNumberFormat="1" applyFont="1" applyFill="1" applyBorder="1" applyAlignment="1">
      <alignment horizontal="center" vertical="center" wrapText="1"/>
    </xf>
    <xf numFmtId="9" fontId="32" fillId="0" borderId="61" xfId="1" applyFont="1" applyFill="1" applyBorder="1" applyAlignment="1">
      <alignment horizontal="center" vertical="center" wrapText="1"/>
    </xf>
    <xf numFmtId="0" fontId="32" fillId="0" borderId="61" xfId="0" applyFont="1" applyFill="1" applyBorder="1" applyAlignment="1">
      <alignment vertical="center" wrapText="1"/>
    </xf>
    <xf numFmtId="0" fontId="32" fillId="0" borderId="61" xfId="0" applyFont="1" applyBorder="1" applyAlignment="1">
      <alignment horizontal="center" vertical="center" wrapText="1"/>
    </xf>
    <xf numFmtId="166" fontId="32" fillId="0" borderId="61" xfId="0" applyNumberFormat="1" applyFont="1" applyFill="1" applyBorder="1" applyAlignment="1">
      <alignment vertical="center" wrapText="1"/>
    </xf>
    <xf numFmtId="165" fontId="32" fillId="0" borderId="61" xfId="0" applyNumberFormat="1" applyFont="1" applyBorder="1" applyAlignment="1">
      <alignment vertical="center" wrapText="1"/>
    </xf>
    <xf numFmtId="1" fontId="32" fillId="0" borderId="61" xfId="0" applyNumberFormat="1" applyFont="1" applyBorder="1" applyAlignment="1">
      <alignment horizontal="center" vertical="center" wrapText="1"/>
    </xf>
    <xf numFmtId="1" fontId="32" fillId="0" borderId="62" xfId="0" applyNumberFormat="1" applyFont="1" applyBorder="1" applyAlignment="1">
      <alignment horizontal="center" vertical="center" wrapText="1"/>
    </xf>
    <xf numFmtId="1" fontId="31" fillId="0" borderId="73" xfId="0" applyNumberFormat="1" applyFont="1" applyBorder="1" applyAlignment="1">
      <alignment horizontal="center" vertical="center" wrapText="1"/>
    </xf>
    <xf numFmtId="170" fontId="31" fillId="0" borderId="26" xfId="0" applyNumberFormat="1" applyFont="1" applyBorder="1" applyAlignment="1">
      <alignment horizontal="center" vertical="center" wrapText="1"/>
    </xf>
    <xf numFmtId="2" fontId="33" fillId="0" borderId="54" xfId="0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left" vertical="center" wrapText="1"/>
    </xf>
    <xf numFmtId="0" fontId="31" fillId="0" borderId="48" xfId="0" applyFont="1" applyBorder="1" applyAlignment="1">
      <alignment vertical="center" wrapText="1"/>
    </xf>
    <xf numFmtId="0" fontId="36" fillId="0" borderId="48" xfId="0" applyFont="1" applyBorder="1"/>
    <xf numFmtId="0" fontId="31" fillId="0" borderId="48" xfId="0" applyFont="1" applyFill="1" applyBorder="1" applyAlignment="1">
      <alignment vertical="center" wrapText="1"/>
    </xf>
    <xf numFmtId="9" fontId="31" fillId="0" borderId="48" xfId="0" applyNumberFormat="1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7" borderId="48" xfId="0" applyFont="1" applyFill="1" applyBorder="1" applyAlignment="1">
      <alignment horizontal="center" vertical="center" wrapText="1"/>
    </xf>
    <xf numFmtId="9" fontId="29" fillId="0" borderId="47" xfId="0" applyNumberFormat="1" applyFont="1" applyFill="1" applyBorder="1" applyAlignment="1">
      <alignment horizontal="center" vertical="center" wrapText="1"/>
    </xf>
    <xf numFmtId="9" fontId="32" fillId="0" borderId="48" xfId="0" applyNumberFormat="1" applyFont="1" applyFill="1" applyBorder="1" applyAlignment="1">
      <alignment horizontal="center" vertical="center" wrapText="1"/>
    </xf>
    <xf numFmtId="9" fontId="32" fillId="0" borderId="48" xfId="1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vertical="center" wrapText="1"/>
    </xf>
    <xf numFmtId="0" fontId="32" fillId="0" borderId="48" xfId="0" applyFont="1" applyBorder="1" applyAlignment="1">
      <alignment horizontal="center" vertical="center" wrapText="1"/>
    </xf>
    <xf numFmtId="166" fontId="32" fillId="0" borderId="48" xfId="0" applyNumberFormat="1" applyFont="1" applyFill="1" applyBorder="1" applyAlignment="1">
      <alignment vertical="center" wrapText="1"/>
    </xf>
    <xf numFmtId="165" fontId="32" fillId="0" borderId="48" xfId="0" applyNumberFormat="1" applyFont="1" applyBorder="1" applyAlignment="1">
      <alignment vertical="center" wrapText="1"/>
    </xf>
    <xf numFmtId="1" fontId="32" fillId="0" borderId="48" xfId="0" applyNumberFormat="1" applyFont="1" applyBorder="1" applyAlignment="1">
      <alignment horizontal="center" vertical="center" wrapText="1"/>
    </xf>
    <xf numFmtId="1" fontId="32" fillId="0" borderId="4" xfId="0" applyNumberFormat="1" applyFont="1" applyBorder="1" applyAlignment="1">
      <alignment horizontal="center" vertical="center" wrapText="1"/>
    </xf>
    <xf numFmtId="9" fontId="31" fillId="0" borderId="74" xfId="1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1" fillId="0" borderId="13" xfId="0" applyFont="1" applyFill="1" applyBorder="1" applyAlignment="1">
      <alignment vertical="center" wrapText="1"/>
    </xf>
    <xf numFmtId="9" fontId="31" fillId="0" borderId="54" xfId="0" applyNumberFormat="1" applyFont="1" applyFill="1" applyBorder="1" applyAlignment="1">
      <alignment horizontal="center" vertical="center" wrapText="1"/>
    </xf>
    <xf numFmtId="0" fontId="32" fillId="8" borderId="54" xfId="0" applyFont="1" applyFill="1" applyBorder="1" applyAlignment="1">
      <alignment horizontal="center" vertical="center" wrapText="1"/>
    </xf>
    <xf numFmtId="0" fontId="32" fillId="7" borderId="64" xfId="0" applyFont="1" applyFill="1" applyBorder="1" applyAlignment="1">
      <alignment horizontal="center" vertical="center" wrapText="1"/>
    </xf>
    <xf numFmtId="9" fontId="32" fillId="0" borderId="54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" fontId="31" fillId="0" borderId="41" xfId="0" applyNumberFormat="1" applyFont="1" applyBorder="1" applyAlignment="1">
      <alignment horizontal="center" vertical="center" wrapText="1"/>
    </xf>
    <xf numFmtId="1" fontId="31" fillId="0" borderId="37" xfId="0" applyNumberFormat="1" applyFont="1" applyBorder="1" applyAlignment="1">
      <alignment horizontal="center" vertical="center" wrapText="1"/>
    </xf>
    <xf numFmtId="1" fontId="31" fillId="0" borderId="37" xfId="0" applyNumberFormat="1" applyFont="1" applyBorder="1" applyAlignment="1">
      <alignment horizontal="left" vertical="center" wrapText="1"/>
    </xf>
    <xf numFmtId="1" fontId="31" fillId="0" borderId="43" xfId="0" applyNumberFormat="1" applyFont="1" applyBorder="1" applyAlignment="1">
      <alignment horizontal="left" vertical="center" wrapText="1"/>
    </xf>
    <xf numFmtId="1" fontId="31" fillId="0" borderId="83" xfId="0" applyNumberFormat="1" applyFont="1" applyBorder="1" applyAlignment="1">
      <alignment horizontal="center" vertical="center" wrapText="1"/>
    </xf>
    <xf numFmtId="1" fontId="31" fillId="0" borderId="43" xfId="0" applyNumberFormat="1" applyFont="1" applyBorder="1" applyAlignment="1">
      <alignment horizontal="center" vertical="center" wrapText="1"/>
    </xf>
    <xf numFmtId="1" fontId="31" fillId="0" borderId="41" xfId="0" applyNumberFormat="1" applyFont="1" applyBorder="1" applyAlignment="1">
      <alignment horizontal="left" vertical="center" wrapText="1"/>
    </xf>
    <xf numFmtId="1" fontId="31" fillId="0" borderId="83" xfId="0" applyNumberFormat="1" applyFont="1" applyBorder="1" applyAlignment="1">
      <alignment horizontal="left" vertical="center" wrapText="1"/>
    </xf>
    <xf numFmtId="1" fontId="31" fillId="0" borderId="81" xfId="0" applyNumberFormat="1" applyFont="1" applyBorder="1" applyAlignment="1">
      <alignment horizontal="left" vertical="center" wrapText="1"/>
    </xf>
    <xf numFmtId="1" fontId="32" fillId="0" borderId="41" xfId="0" applyNumberFormat="1" applyFont="1" applyBorder="1" applyAlignment="1">
      <alignment horizontal="left" vertical="center" wrapText="1"/>
    </xf>
    <xf numFmtId="1" fontId="32" fillId="0" borderId="43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84" xfId="0" applyNumberFormat="1" applyFont="1" applyBorder="1" applyAlignment="1">
      <alignment horizontal="left" vertical="center" wrapText="1"/>
    </xf>
    <xf numFmtId="0" fontId="39" fillId="0" borderId="0" xfId="0" applyFont="1"/>
    <xf numFmtId="0" fontId="39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Fill="1" applyAlignment="1">
      <alignment horizontal="center"/>
    </xf>
    <xf numFmtId="0" fontId="39" fillId="0" borderId="0" xfId="0" applyFont="1" applyAlignment="1">
      <alignment wrapText="1"/>
    </xf>
    <xf numFmtId="0" fontId="40" fillId="5" borderId="59" xfId="0" applyFont="1" applyFill="1" applyBorder="1" applyAlignment="1">
      <alignment horizontal="center" vertical="center" wrapText="1"/>
    </xf>
    <xf numFmtId="0" fontId="40" fillId="5" borderId="61" xfId="0" applyFont="1" applyFill="1" applyBorder="1" applyAlignment="1">
      <alignment horizontal="center" vertical="center" wrapText="1"/>
    </xf>
    <xf numFmtId="17" fontId="41" fillId="5" borderId="61" xfId="2" applyNumberFormat="1" applyFont="1" applyFill="1" applyBorder="1" applyAlignment="1">
      <alignment horizontal="center" vertical="center" wrapText="1"/>
    </xf>
    <xf numFmtId="165" fontId="40" fillId="5" borderId="61" xfId="0" applyNumberFormat="1" applyFont="1" applyFill="1" applyBorder="1" applyAlignment="1">
      <alignment horizontal="center" vertical="center" wrapText="1"/>
    </xf>
    <xf numFmtId="165" fontId="40" fillId="5" borderId="62" xfId="0" applyNumberFormat="1" applyFont="1" applyFill="1" applyBorder="1" applyAlignment="1">
      <alignment horizontal="center" vertical="center" wrapText="1"/>
    </xf>
    <xf numFmtId="165" fontId="40" fillId="5" borderId="33" xfId="0" applyNumberFormat="1" applyFont="1" applyFill="1" applyBorder="1" applyAlignment="1">
      <alignment horizontal="center" vertical="center" wrapText="1"/>
    </xf>
    <xf numFmtId="165" fontId="40" fillId="5" borderId="3" xfId="0" applyNumberFormat="1" applyFont="1" applyFill="1" applyBorder="1" applyAlignment="1">
      <alignment horizontal="center" vertical="center" wrapText="1"/>
    </xf>
    <xf numFmtId="165" fontId="40" fillId="5" borderId="2" xfId="0" applyNumberFormat="1" applyFont="1" applyFill="1" applyBorder="1" applyAlignment="1">
      <alignment vertical="center" wrapText="1"/>
    </xf>
    <xf numFmtId="165" fontId="40" fillId="5" borderId="2" xfId="0" applyNumberFormat="1" applyFont="1" applyFill="1" applyBorder="1" applyAlignment="1">
      <alignment horizontal="center" vertical="center" wrapText="1"/>
    </xf>
    <xf numFmtId="165" fontId="40" fillId="5" borderId="1" xfId="0" applyNumberFormat="1" applyFont="1" applyFill="1" applyBorder="1" applyAlignment="1">
      <alignment vertical="center" wrapText="1"/>
    </xf>
    <xf numFmtId="0" fontId="42" fillId="0" borderId="39" xfId="0" applyFont="1" applyBorder="1" applyAlignment="1">
      <alignment horizontal="left" vertical="center" wrapText="1"/>
    </xf>
    <xf numFmtId="0" fontId="42" fillId="0" borderId="65" xfId="0" applyFont="1" applyBorder="1" applyAlignment="1">
      <alignment horizontal="center" vertical="center" wrapText="1"/>
    </xf>
    <xf numFmtId="0" fontId="43" fillId="0" borderId="52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3" fillId="0" borderId="10" xfId="0" applyFont="1" applyBorder="1"/>
    <xf numFmtId="0" fontId="43" fillId="0" borderId="10" xfId="0" applyFont="1" applyFill="1" applyBorder="1" applyAlignment="1">
      <alignment vertical="center" wrapText="1"/>
    </xf>
    <xf numFmtId="0" fontId="43" fillId="7" borderId="10" xfId="0" applyFont="1" applyFill="1" applyBorder="1" applyAlignment="1">
      <alignment vertical="center" wrapText="1"/>
    </xf>
    <xf numFmtId="9" fontId="44" fillId="0" borderId="10" xfId="0" applyNumberFormat="1" applyFont="1" applyFill="1" applyBorder="1" applyAlignment="1">
      <alignment horizontal="center" vertical="center" wrapText="1"/>
    </xf>
    <xf numFmtId="9" fontId="45" fillId="0" borderId="10" xfId="0" applyNumberFormat="1" applyFont="1" applyFill="1" applyBorder="1" applyAlignment="1">
      <alignment horizontal="center" vertical="center" wrapText="1"/>
    </xf>
    <xf numFmtId="9" fontId="45" fillId="0" borderId="10" xfId="1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vertical="center" wrapText="1"/>
    </xf>
    <xf numFmtId="0" fontId="45" fillId="0" borderId="10" xfId="0" applyFont="1" applyBorder="1" applyAlignment="1">
      <alignment horizontal="center" vertical="center" wrapText="1"/>
    </xf>
    <xf numFmtId="166" fontId="45" fillId="0" borderId="10" xfId="0" applyNumberFormat="1" applyFont="1" applyFill="1" applyBorder="1" applyAlignment="1">
      <alignment vertical="center" wrapText="1"/>
    </xf>
    <xf numFmtId="165" fontId="45" fillId="0" borderId="56" xfId="0" applyNumberFormat="1" applyFont="1" applyBorder="1" applyAlignment="1">
      <alignment vertical="center" wrapText="1"/>
    </xf>
    <xf numFmtId="10" fontId="42" fillId="0" borderId="40" xfId="1" applyNumberFormat="1" applyFont="1" applyBorder="1" applyAlignment="1">
      <alignment horizontal="center" vertical="center" wrapText="1"/>
    </xf>
    <xf numFmtId="10" fontId="42" fillId="0" borderId="41" xfId="0" applyNumberFormat="1" applyFont="1" applyBorder="1" applyAlignment="1">
      <alignment horizontal="center" vertical="center"/>
    </xf>
    <xf numFmtId="10" fontId="42" fillId="0" borderId="9" xfId="0" applyNumberFormat="1" applyFont="1" applyBorder="1" applyAlignment="1">
      <alignment horizontal="center" vertical="center"/>
    </xf>
    <xf numFmtId="10" fontId="42" fillId="0" borderId="49" xfId="0" applyNumberFormat="1" applyFont="1" applyBorder="1" applyAlignment="1">
      <alignment horizontal="center" vertical="center"/>
    </xf>
    <xf numFmtId="10" fontId="42" fillId="0" borderId="39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42" fillId="0" borderId="11" xfId="0" applyNumberFormat="1" applyFont="1" applyBorder="1" applyAlignment="1">
      <alignment horizontal="center" vertical="center"/>
    </xf>
    <xf numFmtId="0" fontId="42" fillId="0" borderId="41" xfId="0" applyFont="1" applyBorder="1" applyAlignment="1">
      <alignment wrapText="1"/>
    </xf>
    <xf numFmtId="0" fontId="42" fillId="0" borderId="66" xfId="0" applyFont="1" applyBorder="1" applyAlignment="1">
      <alignment horizontal="center" vertical="center" wrapText="1"/>
    </xf>
    <xf numFmtId="0" fontId="43" fillId="0" borderId="18" xfId="0" applyFont="1" applyBorder="1" applyAlignment="1">
      <alignment vertical="center" wrapText="1"/>
    </xf>
    <xf numFmtId="0" fontId="43" fillId="0" borderId="7" xfId="0" applyFont="1" applyBorder="1" applyAlignment="1">
      <alignment vertical="center" wrapText="1"/>
    </xf>
    <xf numFmtId="0" fontId="43" fillId="0" borderId="7" xfId="0" applyFont="1" applyBorder="1"/>
    <xf numFmtId="0" fontId="43" fillId="0" borderId="7" xfId="0" applyFont="1" applyFill="1" applyBorder="1" applyAlignment="1">
      <alignment vertical="center" wrapText="1"/>
    </xf>
    <xf numFmtId="0" fontId="43" fillId="7" borderId="7" xfId="0" applyFont="1" applyFill="1" applyBorder="1" applyAlignment="1">
      <alignment vertical="center" wrapText="1"/>
    </xf>
    <xf numFmtId="9" fontId="44" fillId="0" borderId="7" xfId="0" applyNumberFormat="1" applyFont="1" applyFill="1" applyBorder="1" applyAlignment="1">
      <alignment horizontal="center" vertical="center" wrapText="1"/>
    </xf>
    <xf numFmtId="9" fontId="45" fillId="0" borderId="7" xfId="0" applyNumberFormat="1" applyFont="1" applyFill="1" applyBorder="1" applyAlignment="1">
      <alignment horizontal="center" vertical="center" wrapText="1"/>
    </xf>
    <xf numFmtId="9" fontId="45" fillId="0" borderId="7" xfId="1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vertical="center" wrapText="1"/>
    </xf>
    <xf numFmtId="0" fontId="45" fillId="0" borderId="7" xfId="0" applyFont="1" applyBorder="1" applyAlignment="1">
      <alignment horizontal="center" vertical="center" wrapText="1"/>
    </xf>
    <xf numFmtId="166" fontId="45" fillId="0" borderId="7" xfId="0" applyNumberFormat="1" applyFont="1" applyFill="1" applyBorder="1" applyAlignment="1">
      <alignment vertical="center" wrapText="1"/>
    </xf>
    <xf numFmtId="165" fontId="45" fillId="0" borderId="16" xfId="0" applyNumberFormat="1" applyFont="1" applyBorder="1" applyAlignment="1">
      <alignment vertical="center" wrapText="1"/>
    </xf>
    <xf numFmtId="10" fontId="42" fillId="0" borderId="36" xfId="1" applyNumberFormat="1" applyFont="1" applyBorder="1" applyAlignment="1">
      <alignment horizontal="center" vertical="center" wrapText="1"/>
    </xf>
    <xf numFmtId="10" fontId="42" fillId="0" borderId="37" xfId="1" applyNumberFormat="1" applyFont="1" applyBorder="1" applyAlignment="1">
      <alignment horizontal="center" vertical="center"/>
    </xf>
    <xf numFmtId="10" fontId="42" fillId="0" borderId="57" xfId="1" applyNumberFormat="1" applyFont="1" applyBorder="1" applyAlignment="1">
      <alignment horizontal="center" vertical="center"/>
    </xf>
    <xf numFmtId="10" fontId="42" fillId="0" borderId="17" xfId="1" applyNumberFormat="1" applyFont="1" applyBorder="1" applyAlignment="1">
      <alignment horizontal="center" vertical="center"/>
    </xf>
    <xf numFmtId="10" fontId="42" fillId="0" borderId="35" xfId="1" applyNumberFormat="1" applyFont="1" applyBorder="1" applyAlignment="1">
      <alignment horizontal="center" vertical="center"/>
    </xf>
    <xf numFmtId="10" fontId="42" fillId="0" borderId="7" xfId="1" applyNumberFormat="1" applyFont="1" applyBorder="1" applyAlignment="1">
      <alignment horizontal="center" vertical="center"/>
    </xf>
    <xf numFmtId="10" fontId="42" fillId="0" borderId="26" xfId="1" applyNumberFormat="1" applyFont="1" applyBorder="1" applyAlignment="1">
      <alignment horizontal="center" vertical="center"/>
    </xf>
    <xf numFmtId="0" fontId="42" fillId="0" borderId="37" xfId="0" applyFont="1" applyBorder="1" applyAlignment="1">
      <alignment vertical="center" wrapText="1"/>
    </xf>
    <xf numFmtId="0" fontId="42" fillId="0" borderId="37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6" fillId="0" borderId="18" xfId="0" applyFont="1" applyBorder="1" applyAlignment="1">
      <alignment vertical="center" wrapText="1"/>
    </xf>
    <xf numFmtId="0" fontId="46" fillId="0" borderId="7" xfId="0" applyFont="1" applyBorder="1" applyAlignment="1">
      <alignment vertical="center" wrapText="1"/>
    </xf>
    <xf numFmtId="0" fontId="42" fillId="0" borderId="7" xfId="0" applyFont="1" applyBorder="1"/>
    <xf numFmtId="0" fontId="42" fillId="0" borderId="16" xfId="0" applyFont="1" applyBorder="1"/>
    <xf numFmtId="0" fontId="46" fillId="0" borderId="7" xfId="0" applyFont="1" applyFill="1" applyBorder="1" applyAlignment="1">
      <alignment vertical="center" wrapText="1"/>
    </xf>
    <xf numFmtId="0" fontId="42" fillId="0" borderId="7" xfId="0" applyFont="1" applyFill="1" applyBorder="1" applyAlignment="1">
      <alignment vertical="center" wrapText="1"/>
    </xf>
    <xf numFmtId="9" fontId="40" fillId="0" borderId="7" xfId="0" applyNumberFormat="1" applyFont="1" applyFill="1" applyBorder="1" applyAlignment="1">
      <alignment horizontal="center" vertical="center" wrapText="1"/>
    </xf>
    <xf numFmtId="9" fontId="42" fillId="0" borderId="7" xfId="0" applyNumberFormat="1" applyFont="1" applyFill="1" applyBorder="1" applyAlignment="1">
      <alignment horizontal="center" vertical="center" wrapText="1"/>
    </xf>
    <xf numFmtId="9" fontId="42" fillId="0" borderId="7" xfId="1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166" fontId="42" fillId="0" borderId="7" xfId="0" applyNumberFormat="1" applyFont="1" applyFill="1" applyBorder="1" applyAlignment="1">
      <alignment vertical="center" wrapText="1"/>
    </xf>
    <xf numFmtId="165" fontId="42" fillId="0" borderId="16" xfId="0" applyNumberFormat="1" applyFont="1" applyFill="1" applyBorder="1" applyAlignment="1">
      <alignment vertical="center" wrapText="1"/>
    </xf>
    <xf numFmtId="10" fontId="42" fillId="0" borderId="36" xfId="1" applyNumberFormat="1" applyFont="1" applyFill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0" fontId="46" fillId="0" borderId="54" xfId="0" applyFont="1" applyBorder="1" applyAlignment="1">
      <alignment vertical="center" wrapText="1"/>
    </xf>
    <xf numFmtId="0" fontId="46" fillId="0" borderId="13" xfId="0" applyFont="1" applyBorder="1" applyAlignment="1">
      <alignment vertical="center" wrapText="1"/>
    </xf>
    <xf numFmtId="0" fontId="42" fillId="0" borderId="13" xfId="0" applyFont="1" applyBorder="1"/>
    <xf numFmtId="0" fontId="42" fillId="0" borderId="64" xfId="0" applyFont="1" applyBorder="1"/>
    <xf numFmtId="0" fontId="42" fillId="0" borderId="13" xfId="0" applyFont="1" applyFill="1" applyBorder="1" applyAlignment="1">
      <alignment vertical="center" wrapText="1"/>
    </xf>
    <xf numFmtId="0" fontId="42" fillId="7" borderId="13" xfId="0" applyFont="1" applyFill="1" applyBorder="1" applyAlignment="1">
      <alignment vertical="center" wrapText="1"/>
    </xf>
    <xf numFmtId="9" fontId="40" fillId="0" borderId="13" xfId="0" applyNumberFormat="1" applyFont="1" applyFill="1" applyBorder="1" applyAlignment="1">
      <alignment horizontal="center" vertical="center" wrapText="1"/>
    </xf>
    <xf numFmtId="9" fontId="42" fillId="0" borderId="13" xfId="0" applyNumberFormat="1" applyFont="1" applyFill="1" applyBorder="1" applyAlignment="1">
      <alignment horizontal="center" vertical="center" wrapText="1"/>
    </xf>
    <xf numFmtId="9" fontId="42" fillId="0" borderId="13" xfId="1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166" fontId="42" fillId="0" borderId="13" xfId="0" applyNumberFormat="1" applyFont="1" applyFill="1" applyBorder="1" applyAlignment="1">
      <alignment vertical="center" wrapText="1"/>
    </xf>
    <xf numFmtId="165" fontId="42" fillId="0" borderId="64" xfId="0" applyNumberFormat="1" applyFont="1" applyBorder="1" applyAlignment="1">
      <alignment vertical="center" wrapText="1"/>
    </xf>
    <xf numFmtId="10" fontId="42" fillId="0" borderId="8" xfId="1" applyNumberFormat="1" applyFont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43" xfId="0" applyFont="1" applyBorder="1" applyAlignment="1">
      <alignment vertical="center" wrapText="1"/>
    </xf>
    <xf numFmtId="0" fontId="42" fillId="8" borderId="33" xfId="0" applyFont="1" applyFill="1" applyBorder="1" applyAlignment="1">
      <alignment horizontal="left" vertical="center" wrapText="1"/>
    </xf>
    <xf numFmtId="0" fontId="42" fillId="8" borderId="59" xfId="0" applyFont="1" applyFill="1" applyBorder="1" applyAlignment="1">
      <alignment vertical="center" wrapText="1"/>
    </xf>
    <xf numFmtId="0" fontId="42" fillId="8" borderId="68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vertical="center" wrapText="1"/>
    </xf>
    <xf numFmtId="0" fontId="43" fillId="8" borderId="61" xfId="0" applyFont="1" applyFill="1" applyBorder="1" applyAlignment="1">
      <alignment vertical="center" wrapText="1"/>
    </xf>
    <xf numFmtId="0" fontId="43" fillId="8" borderId="61" xfId="0" applyFont="1" applyFill="1" applyBorder="1" applyAlignment="1">
      <alignment horizontal="center" vertical="center" wrapText="1"/>
    </xf>
    <xf numFmtId="9" fontId="44" fillId="8" borderId="61" xfId="0" applyNumberFormat="1" applyFont="1" applyFill="1" applyBorder="1" applyAlignment="1">
      <alignment horizontal="center" vertical="center" wrapText="1"/>
    </xf>
    <xf numFmtId="9" fontId="45" fillId="8" borderId="61" xfId="0" applyNumberFormat="1" applyFont="1" applyFill="1" applyBorder="1" applyAlignment="1">
      <alignment horizontal="center" vertical="center" wrapText="1"/>
    </xf>
    <xf numFmtId="9" fontId="45" fillId="8" borderId="61" xfId="1" applyFont="1" applyFill="1" applyBorder="1" applyAlignment="1">
      <alignment horizontal="center" vertical="center" wrapText="1"/>
    </xf>
    <xf numFmtId="0" fontId="45" fillId="8" borderId="61" xfId="0" applyFont="1" applyFill="1" applyBorder="1" applyAlignment="1">
      <alignment vertical="center" wrapText="1"/>
    </xf>
    <xf numFmtId="0" fontId="45" fillId="8" borderId="61" xfId="0" applyFont="1" applyFill="1" applyBorder="1" applyAlignment="1">
      <alignment horizontal="center" vertical="center" wrapText="1"/>
    </xf>
    <xf numFmtId="166" fontId="45" fillId="8" borderId="61" xfId="0" applyNumberFormat="1" applyFont="1" applyFill="1" applyBorder="1" applyAlignment="1">
      <alignment vertical="center" wrapText="1"/>
    </xf>
    <xf numFmtId="165" fontId="45" fillId="8" borderId="62" xfId="0" applyNumberFormat="1" applyFont="1" applyFill="1" applyBorder="1" applyAlignment="1">
      <alignment vertical="center" wrapText="1"/>
    </xf>
    <xf numFmtId="10" fontId="42" fillId="8" borderId="33" xfId="1" applyNumberFormat="1" applyFont="1" applyFill="1" applyBorder="1" applyAlignment="1">
      <alignment horizontal="center" vertical="center" wrapText="1"/>
    </xf>
    <xf numFmtId="10" fontId="42" fillId="8" borderId="2" xfId="0" applyNumberFormat="1" applyFont="1" applyFill="1" applyBorder="1" applyAlignment="1">
      <alignment horizontal="center" vertical="center"/>
    </xf>
    <xf numFmtId="10" fontId="42" fillId="8" borderId="62" xfId="0" applyNumberFormat="1" applyFont="1" applyFill="1" applyBorder="1" applyAlignment="1">
      <alignment horizontal="center" vertical="center"/>
    </xf>
    <xf numFmtId="10" fontId="42" fillId="8" borderId="1" xfId="0" applyNumberFormat="1" applyFont="1" applyFill="1" applyBorder="1" applyAlignment="1">
      <alignment horizontal="center" vertical="center"/>
    </xf>
    <xf numFmtId="10" fontId="42" fillId="8" borderId="59" xfId="0" applyNumberFormat="1" applyFont="1" applyFill="1" applyBorder="1" applyAlignment="1">
      <alignment horizontal="center" vertical="center"/>
    </xf>
    <xf numFmtId="10" fontId="42" fillId="8" borderId="61" xfId="0" applyNumberFormat="1" applyFont="1" applyFill="1" applyBorder="1" applyAlignment="1">
      <alignment horizontal="center" vertical="center"/>
    </xf>
    <xf numFmtId="10" fontId="42" fillId="8" borderId="73" xfId="0" applyNumberFormat="1" applyFont="1" applyFill="1" applyBorder="1" applyAlignment="1">
      <alignment horizontal="center" vertical="center"/>
    </xf>
    <xf numFmtId="10" fontId="42" fillId="8" borderId="33" xfId="0" applyNumberFormat="1" applyFont="1" applyFill="1" applyBorder="1" applyAlignment="1">
      <alignment horizontal="center" vertical="center"/>
    </xf>
    <xf numFmtId="0" fontId="46" fillId="0" borderId="33" xfId="0" applyFont="1" applyBorder="1" applyAlignment="1">
      <alignment vertical="center" wrapText="1"/>
    </xf>
    <xf numFmtId="0" fontId="42" fillId="0" borderId="33" xfId="0" applyFont="1" applyBorder="1" applyAlignment="1">
      <alignment horizontal="left" vertical="center" wrapText="1"/>
    </xf>
    <xf numFmtId="0" fontId="42" fillId="0" borderId="59" xfId="0" applyFont="1" applyBorder="1" applyAlignment="1">
      <alignment horizontal="left" vertical="center"/>
    </xf>
    <xf numFmtId="0" fontId="42" fillId="0" borderId="68" xfId="0" applyFont="1" applyBorder="1" applyAlignment="1">
      <alignment horizontal="center" vertical="center"/>
    </xf>
    <xf numFmtId="0" fontId="46" fillId="0" borderId="60" xfId="0" applyFont="1" applyBorder="1" applyAlignment="1">
      <alignment vertical="center" wrapText="1"/>
    </xf>
    <xf numFmtId="0" fontId="46" fillId="0" borderId="61" xfId="0" applyFont="1" applyBorder="1" applyAlignment="1">
      <alignment vertical="center" wrapText="1"/>
    </xf>
    <xf numFmtId="0" fontId="42" fillId="0" borderId="61" xfId="0" applyFont="1" applyBorder="1"/>
    <xf numFmtId="0" fontId="42" fillId="0" borderId="62" xfId="0" applyFont="1" applyBorder="1"/>
    <xf numFmtId="0" fontId="42" fillId="0" borderId="61" xfId="0" applyFont="1" applyFill="1" applyBorder="1" applyAlignment="1">
      <alignment vertical="center" wrapText="1"/>
    </xf>
    <xf numFmtId="0" fontId="42" fillId="7" borderId="61" xfId="0" applyFont="1" applyFill="1" applyBorder="1" applyAlignment="1">
      <alignment vertical="center" wrapText="1"/>
    </xf>
    <xf numFmtId="9" fontId="40" fillId="0" borderId="61" xfId="0" applyNumberFormat="1" applyFont="1" applyFill="1" applyBorder="1" applyAlignment="1">
      <alignment horizontal="center" vertical="center" wrapText="1"/>
    </xf>
    <xf numFmtId="9" fontId="42" fillId="0" borderId="61" xfId="0" applyNumberFormat="1" applyFont="1" applyFill="1" applyBorder="1" applyAlignment="1">
      <alignment horizontal="center" vertical="center" wrapText="1"/>
    </xf>
    <xf numFmtId="9" fontId="42" fillId="0" borderId="61" xfId="1" applyFont="1" applyFill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 wrapText="1"/>
    </xf>
    <xf numFmtId="166" fontId="42" fillId="0" borderId="61" xfId="0" applyNumberFormat="1" applyFont="1" applyFill="1" applyBorder="1" applyAlignment="1">
      <alignment vertical="center" wrapText="1"/>
    </xf>
    <xf numFmtId="165" fontId="42" fillId="0" borderId="62" xfId="0" applyNumberFormat="1" applyFont="1" applyBorder="1" applyAlignment="1">
      <alignment vertical="center" wrapText="1"/>
    </xf>
    <xf numFmtId="1" fontId="42" fillId="0" borderId="33" xfId="0" applyNumberFormat="1" applyFont="1" applyBorder="1" applyAlignment="1">
      <alignment horizontal="center" vertical="center" wrapText="1"/>
    </xf>
    <xf numFmtId="10" fontId="42" fillId="0" borderId="60" xfId="0" applyNumberFormat="1" applyFont="1" applyBorder="1" applyAlignment="1">
      <alignment horizontal="center" vertical="center"/>
    </xf>
    <xf numFmtId="10" fontId="42" fillId="0" borderId="2" xfId="0" applyNumberFormat="1" applyFont="1" applyBorder="1" applyAlignment="1">
      <alignment horizontal="center" vertical="center"/>
    </xf>
    <xf numFmtId="10" fontId="42" fillId="0" borderId="1" xfId="0" applyNumberFormat="1" applyFont="1" applyBorder="1" applyAlignment="1">
      <alignment horizontal="center" vertical="center"/>
    </xf>
    <xf numFmtId="10" fontId="42" fillId="0" borderId="59" xfId="0" applyNumberFormat="1" applyFont="1" applyBorder="1" applyAlignment="1">
      <alignment horizontal="center" vertical="center"/>
    </xf>
    <xf numFmtId="10" fontId="42" fillId="0" borderId="61" xfId="0" applyNumberFormat="1" applyFont="1" applyBorder="1" applyAlignment="1">
      <alignment horizontal="center" vertical="center"/>
    </xf>
    <xf numFmtId="10" fontId="42" fillId="0" borderId="73" xfId="0" applyNumberFormat="1" applyFont="1" applyBorder="1" applyAlignment="1">
      <alignment horizontal="center" vertical="center"/>
    </xf>
    <xf numFmtId="10" fontId="42" fillId="0" borderId="33" xfId="0" applyNumberFormat="1" applyFont="1" applyBorder="1" applyAlignment="1">
      <alignment horizontal="center" vertical="center"/>
    </xf>
    <xf numFmtId="9" fontId="42" fillId="0" borderId="33" xfId="1" applyFont="1" applyBorder="1" applyAlignment="1">
      <alignment horizontal="center" vertical="center"/>
    </xf>
    <xf numFmtId="0" fontId="42" fillId="0" borderId="9" xfId="0" applyFont="1" applyBorder="1" applyAlignment="1">
      <alignment horizontal="left" vertical="center" wrapText="1"/>
    </xf>
    <xf numFmtId="0" fontId="42" fillId="7" borderId="10" xfId="0" applyFont="1" applyFill="1" applyBorder="1" applyAlignment="1">
      <alignment vertical="center" wrapText="1"/>
    </xf>
    <xf numFmtId="9" fontId="40" fillId="0" borderId="10" xfId="0" applyNumberFormat="1" applyFont="1" applyFill="1" applyBorder="1" applyAlignment="1">
      <alignment horizontal="center" vertical="center" wrapText="1"/>
    </xf>
    <xf numFmtId="9" fontId="42" fillId="0" borderId="10" xfId="0" applyNumberFormat="1" applyFont="1" applyFill="1" applyBorder="1" applyAlignment="1">
      <alignment horizontal="center" vertical="center" wrapText="1"/>
    </xf>
    <xf numFmtId="9" fontId="42" fillId="0" borderId="10" xfId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vertical="center" wrapText="1"/>
    </xf>
    <xf numFmtId="0" fontId="42" fillId="0" borderId="10" xfId="0" applyFont="1" applyBorder="1" applyAlignment="1">
      <alignment horizontal="center" vertical="center" wrapText="1"/>
    </xf>
    <xf numFmtId="166" fontId="42" fillId="0" borderId="10" xfId="0" applyNumberFormat="1" applyFont="1" applyFill="1" applyBorder="1" applyAlignment="1">
      <alignment vertical="center" wrapText="1"/>
    </xf>
    <xf numFmtId="165" fontId="42" fillId="0" borderId="56" xfId="0" applyNumberFormat="1" applyFont="1" applyBorder="1" applyAlignment="1">
      <alignment vertical="center" wrapText="1"/>
    </xf>
    <xf numFmtId="10" fontId="42" fillId="0" borderId="30" xfId="1" applyNumberFormat="1" applyFont="1" applyBorder="1" applyAlignment="1">
      <alignment horizontal="center" vertical="center"/>
    </xf>
    <xf numFmtId="0" fontId="42" fillId="0" borderId="57" xfId="0" applyFont="1" applyBorder="1" applyAlignment="1">
      <alignment horizontal="left" vertical="center" wrapText="1"/>
    </xf>
    <xf numFmtId="0" fontId="42" fillId="7" borderId="7" xfId="0" applyFont="1" applyFill="1" applyBorder="1" applyAlignment="1">
      <alignment vertical="center" wrapText="1"/>
    </xf>
    <xf numFmtId="0" fontId="42" fillId="0" borderId="7" xfId="0" applyFont="1" applyBorder="1" applyAlignment="1">
      <alignment horizontal="center" vertical="center" wrapText="1"/>
    </xf>
    <xf numFmtId="165" fontId="42" fillId="0" borderId="16" xfId="0" applyNumberFormat="1" applyFont="1" applyBorder="1" applyAlignment="1">
      <alignment vertical="center" wrapText="1"/>
    </xf>
    <xf numFmtId="10" fontId="42" fillId="0" borderId="81" xfId="1" applyNumberFormat="1" applyFont="1" applyBorder="1" applyAlignment="1">
      <alignment horizontal="center" vertical="center"/>
    </xf>
    <xf numFmtId="0" fontId="42" fillId="0" borderId="57" xfId="0" applyFont="1" applyBorder="1" applyAlignment="1">
      <alignment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/>
    </xf>
    <xf numFmtId="0" fontId="42" fillId="0" borderId="12" xfId="0" applyFont="1" applyBorder="1" applyAlignment="1">
      <alignment horizontal="left" vertical="center" wrapText="1"/>
    </xf>
    <xf numFmtId="0" fontId="43" fillId="0" borderId="54" xfId="0" applyFont="1" applyBorder="1" applyAlignment="1">
      <alignment vertical="center" wrapText="1"/>
    </xf>
    <xf numFmtId="0" fontId="43" fillId="0" borderId="13" xfId="0" applyFont="1" applyBorder="1" applyAlignment="1">
      <alignment vertical="center" wrapText="1"/>
    </xf>
    <xf numFmtId="0" fontId="43" fillId="0" borderId="13" xfId="0" applyFont="1" applyBorder="1"/>
    <xf numFmtId="0" fontId="45" fillId="0" borderId="13" xfId="0" applyFont="1" applyFill="1" applyBorder="1" applyAlignment="1">
      <alignment vertical="center" wrapText="1"/>
    </xf>
    <xf numFmtId="1" fontId="42" fillId="0" borderId="8" xfId="0" applyNumberFormat="1" applyFont="1" applyBorder="1" applyAlignment="1">
      <alignment horizontal="center" vertical="center" wrapText="1"/>
    </xf>
    <xf numFmtId="10" fontId="42" fillId="0" borderId="54" xfId="1" applyNumberFormat="1" applyFont="1" applyBorder="1" applyAlignment="1">
      <alignment horizontal="center" vertical="center"/>
    </xf>
    <xf numFmtId="10" fontId="42" fillId="0" borderId="50" xfId="1" applyNumberFormat="1" applyFont="1" applyBorder="1" applyAlignment="1">
      <alignment horizontal="center" vertical="center"/>
    </xf>
    <xf numFmtId="10" fontId="42" fillId="0" borderId="42" xfId="1" applyNumberFormat="1" applyFont="1" applyBorder="1" applyAlignment="1">
      <alignment horizontal="center" vertical="center"/>
    </xf>
    <xf numFmtId="10" fontId="42" fillId="0" borderId="12" xfId="1" applyNumberFormat="1" applyFont="1" applyBorder="1" applyAlignment="1">
      <alignment horizontal="center" vertical="center"/>
    </xf>
    <xf numFmtId="10" fontId="42" fillId="0" borderId="13" xfId="1" applyNumberFormat="1" applyFont="1" applyBorder="1" applyAlignment="1">
      <alignment horizontal="center" vertical="center"/>
    </xf>
    <xf numFmtId="10" fontId="42" fillId="0" borderId="14" xfId="1" applyNumberFormat="1" applyFont="1" applyBorder="1" applyAlignment="1">
      <alignment horizontal="center" vertical="center"/>
    </xf>
    <xf numFmtId="10" fontId="42" fillId="0" borderId="33" xfId="1" applyNumberFormat="1" applyFont="1" applyBorder="1" applyAlignment="1">
      <alignment horizontal="center" vertical="center"/>
    </xf>
    <xf numFmtId="10" fontId="42" fillId="0" borderId="58" xfId="1" applyNumberFormat="1" applyFont="1" applyBorder="1" applyAlignment="1">
      <alignment horizontal="center" vertical="center"/>
    </xf>
    <xf numFmtId="0" fontId="42" fillId="0" borderId="43" xfId="0" applyFont="1" applyBorder="1" applyAlignment="1">
      <alignment wrapText="1"/>
    </xf>
    <xf numFmtId="0" fontId="42" fillId="0" borderId="1" xfId="0" applyFont="1" applyBorder="1" applyAlignment="1">
      <alignment horizontal="left" vertical="center" wrapText="1"/>
    </xf>
    <xf numFmtId="0" fontId="42" fillId="0" borderId="59" xfId="0" applyFont="1" applyBorder="1" applyAlignment="1">
      <alignment horizontal="left" vertical="center" wrapText="1"/>
    </xf>
    <xf numFmtId="0" fontId="42" fillId="0" borderId="68" xfId="0" applyFont="1" applyBorder="1" applyAlignment="1">
      <alignment horizontal="center" vertical="center" wrapText="1"/>
    </xf>
    <xf numFmtId="0" fontId="42" fillId="0" borderId="60" xfId="0" applyFont="1" applyBorder="1"/>
    <xf numFmtId="0" fontId="46" fillId="0" borderId="62" xfId="0" applyFont="1" applyBorder="1" applyAlignment="1">
      <alignment vertical="center" wrapText="1"/>
    </xf>
    <xf numFmtId="0" fontId="42" fillId="0" borderId="60" xfId="0" applyFont="1" applyFill="1" applyBorder="1" applyAlignment="1">
      <alignment vertical="center" wrapText="1"/>
    </xf>
    <xf numFmtId="10" fontId="42" fillId="0" borderId="33" xfId="1" applyNumberFormat="1" applyFont="1" applyBorder="1" applyAlignment="1">
      <alignment horizontal="center" vertical="center" wrapText="1"/>
    </xf>
    <xf numFmtId="0" fontId="42" fillId="0" borderId="60" xfId="0" applyFont="1" applyBorder="1" applyAlignment="1">
      <alignment vertical="center"/>
    </xf>
    <xf numFmtId="10" fontId="42" fillId="0" borderId="2" xfId="0" applyNumberFormat="1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9" fontId="42" fillId="0" borderId="73" xfId="0" applyNumberFormat="1" applyFont="1" applyBorder="1" applyAlignment="1">
      <alignment horizontal="center" vertical="center"/>
    </xf>
    <xf numFmtId="9" fontId="42" fillId="0" borderId="33" xfId="0" applyNumberFormat="1" applyFont="1" applyBorder="1" applyAlignment="1">
      <alignment horizontal="center" vertical="center"/>
    </xf>
    <xf numFmtId="9" fontId="42" fillId="0" borderId="3" xfId="0" applyNumberFormat="1" applyFont="1" applyBorder="1" applyAlignment="1">
      <alignment horizontal="center" vertical="center"/>
    </xf>
    <xf numFmtId="10" fontId="42" fillId="0" borderId="3" xfId="1" applyNumberFormat="1" applyFont="1" applyBorder="1" applyAlignment="1">
      <alignment horizontal="left" vertical="center" wrapText="1"/>
    </xf>
    <xf numFmtId="0" fontId="43" fillId="8" borderId="52" xfId="0" applyFont="1" applyFill="1" applyBorder="1" applyAlignment="1">
      <alignment vertical="center" wrapText="1"/>
    </xf>
    <xf numFmtId="0" fontId="43" fillId="8" borderId="10" xfId="0" applyFont="1" applyFill="1" applyBorder="1" applyAlignment="1">
      <alignment vertical="center" wrapText="1"/>
    </xf>
    <xf numFmtId="0" fontId="43" fillId="8" borderId="52" xfId="0" applyFont="1" applyFill="1" applyBorder="1" applyAlignment="1">
      <alignment horizontal="left"/>
    </xf>
    <xf numFmtId="0" fontId="43" fillId="8" borderId="10" xfId="0" applyFont="1" applyFill="1" applyBorder="1" applyAlignment="1">
      <alignment horizontal="left"/>
    </xf>
    <xf numFmtId="0" fontId="42" fillId="8" borderId="52" xfId="0" applyFont="1" applyFill="1" applyBorder="1" applyAlignment="1">
      <alignment vertical="center" wrapText="1"/>
    </xf>
    <xf numFmtId="168" fontId="42" fillId="0" borderId="40" xfId="0" applyNumberFormat="1" applyFont="1" applyBorder="1" applyAlignment="1">
      <alignment horizontal="center" vertical="center" wrapText="1"/>
    </xf>
    <xf numFmtId="0" fontId="42" fillId="0" borderId="52" xfId="0" applyFont="1" applyBorder="1"/>
    <xf numFmtId="0" fontId="42" fillId="0" borderId="49" xfId="0" applyFont="1" applyBorder="1"/>
    <xf numFmtId="0" fontId="42" fillId="0" borderId="39" xfId="0" applyFont="1" applyBorder="1"/>
    <xf numFmtId="0" fontId="42" fillId="0" borderId="9" xfId="0" applyFont="1" applyBorder="1"/>
    <xf numFmtId="0" fontId="42" fillId="0" borderId="10" xfId="0" applyFont="1" applyBorder="1"/>
    <xf numFmtId="0" fontId="42" fillId="0" borderId="11" xfId="0" applyFont="1" applyBorder="1"/>
    <xf numFmtId="0" fontId="42" fillId="0" borderId="41" xfId="0" applyFont="1" applyBorder="1" applyAlignment="1">
      <alignment vertical="center" wrapText="1"/>
    </xf>
    <xf numFmtId="0" fontId="43" fillId="8" borderId="54" xfId="0" applyFont="1" applyFill="1" applyBorder="1" applyAlignment="1">
      <alignment vertical="center" wrapText="1"/>
    </xf>
    <xf numFmtId="0" fontId="43" fillId="8" borderId="13" xfId="0" applyFont="1" applyFill="1" applyBorder="1" applyAlignment="1">
      <alignment vertical="center" wrapText="1"/>
    </xf>
    <xf numFmtId="0" fontId="43" fillId="8" borderId="54" xfId="0" applyFont="1" applyFill="1" applyBorder="1"/>
    <xf numFmtId="0" fontId="43" fillId="8" borderId="13" xfId="0" applyFont="1" applyFill="1" applyBorder="1"/>
    <xf numFmtId="0" fontId="42" fillId="8" borderId="54" xfId="0" applyFont="1" applyFill="1" applyBorder="1" applyAlignment="1">
      <alignment vertical="center" wrapText="1"/>
    </xf>
    <xf numFmtId="0" fontId="42" fillId="0" borderId="43" xfId="0" applyFont="1" applyBorder="1"/>
    <xf numFmtId="0" fontId="42" fillId="0" borderId="54" xfId="0" applyFont="1" applyBorder="1"/>
    <xf numFmtId="0" fontId="42" fillId="0" borderId="50" xfId="0" applyFont="1" applyBorder="1"/>
    <xf numFmtId="0" fontId="42" fillId="0" borderId="42" xfId="0" applyFont="1" applyBorder="1"/>
    <xf numFmtId="0" fontId="42" fillId="0" borderId="12" xfId="0" applyFont="1" applyBorder="1"/>
    <xf numFmtId="0" fontId="42" fillId="0" borderId="14" xfId="0" applyFont="1" applyBorder="1"/>
    <xf numFmtId="0" fontId="42" fillId="0" borderId="9" xfId="0" applyFont="1" applyBorder="1" applyAlignment="1">
      <alignment vertical="center" wrapText="1"/>
    </xf>
    <xf numFmtId="0" fontId="46" fillId="0" borderId="69" xfId="0" applyFont="1" applyBorder="1" applyAlignment="1">
      <alignment vertical="center" wrapText="1"/>
    </xf>
    <xf numFmtId="0" fontId="46" fillId="0" borderId="10" xfId="0" applyFont="1" applyBorder="1" applyAlignment="1">
      <alignment vertical="center" wrapText="1"/>
    </xf>
    <xf numFmtId="0" fontId="42" fillId="0" borderId="52" xfId="0" applyFont="1" applyFill="1" applyBorder="1" applyAlignment="1">
      <alignment vertical="center" wrapText="1"/>
    </xf>
    <xf numFmtId="10" fontId="42" fillId="0" borderId="52" xfId="0" applyNumberFormat="1" applyFont="1" applyBorder="1" applyAlignment="1">
      <alignment horizontal="center" vertical="center"/>
    </xf>
    <xf numFmtId="9" fontId="42" fillId="0" borderId="11" xfId="0" applyNumberFormat="1" applyFont="1" applyBorder="1" applyAlignment="1">
      <alignment horizontal="center" vertical="center"/>
    </xf>
    <xf numFmtId="10" fontId="42" fillId="0" borderId="40" xfId="0" applyNumberFormat="1" applyFont="1" applyBorder="1" applyAlignment="1">
      <alignment horizontal="center" vertical="center"/>
    </xf>
    <xf numFmtId="165" fontId="42" fillId="0" borderId="41" xfId="1" applyNumberFormat="1" applyFont="1" applyBorder="1" applyAlignment="1">
      <alignment horizontal="center" vertical="center"/>
    </xf>
    <xf numFmtId="0" fontId="42" fillId="0" borderId="18" xfId="0" applyFont="1" applyFill="1" applyBorder="1" applyAlignment="1">
      <alignment vertical="center" wrapText="1"/>
    </xf>
    <xf numFmtId="0" fontId="42" fillId="0" borderId="54" xfId="0" applyFont="1" applyFill="1" applyBorder="1" applyAlignment="1">
      <alignment vertical="center" wrapText="1"/>
    </xf>
    <xf numFmtId="0" fontId="46" fillId="0" borderId="11" xfId="0" applyFont="1" applyBorder="1" applyAlignment="1">
      <alignment vertical="center" wrapText="1"/>
    </xf>
    <xf numFmtId="165" fontId="42" fillId="0" borderId="40" xfId="0" applyNumberFormat="1" applyFont="1" applyBorder="1" applyAlignment="1">
      <alignment horizontal="center" vertical="center" wrapText="1"/>
    </xf>
    <xf numFmtId="2" fontId="42" fillId="0" borderId="40" xfId="0" applyNumberFormat="1" applyFont="1" applyBorder="1" applyAlignment="1">
      <alignment horizontal="center" vertical="center" wrapText="1"/>
    </xf>
    <xf numFmtId="2" fontId="42" fillId="0" borderId="40" xfId="0" applyNumberFormat="1" applyFont="1" applyBorder="1" applyAlignment="1">
      <alignment horizontal="center" vertical="center"/>
    </xf>
    <xf numFmtId="2" fontId="42" fillId="0" borderId="52" xfId="0" applyNumberFormat="1" applyFont="1" applyBorder="1" applyAlignment="1">
      <alignment horizontal="center" vertical="center"/>
    </xf>
    <xf numFmtId="2" fontId="42" fillId="0" borderId="10" xfId="0" applyNumberFormat="1" applyFont="1" applyFill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56" xfId="0" applyNumberFormat="1" applyFont="1" applyFill="1" applyBorder="1" applyAlignment="1">
      <alignment horizontal="center" vertical="center"/>
    </xf>
    <xf numFmtId="2" fontId="42" fillId="0" borderId="40" xfId="0" applyNumberFormat="1" applyFont="1" applyFill="1" applyBorder="1" applyAlignment="1">
      <alignment horizontal="center" vertical="center"/>
    </xf>
    <xf numFmtId="2" fontId="42" fillId="0" borderId="41" xfId="0" applyNumberFormat="1" applyFont="1" applyFill="1" applyBorder="1" applyAlignment="1">
      <alignment horizontal="center" vertical="center"/>
    </xf>
    <xf numFmtId="0" fontId="42" fillId="0" borderId="41" xfId="0" applyFont="1" applyFill="1" applyBorder="1" applyAlignment="1">
      <alignment vertical="center" wrapText="1"/>
    </xf>
    <xf numFmtId="0" fontId="42" fillId="0" borderId="12" xfId="0" applyFont="1" applyBorder="1" applyAlignment="1">
      <alignment vertical="center" wrapText="1"/>
    </xf>
    <xf numFmtId="0" fontId="46" fillId="0" borderId="14" xfId="0" applyFont="1" applyBorder="1" applyAlignment="1">
      <alignment vertical="center" wrapText="1"/>
    </xf>
    <xf numFmtId="165" fontId="42" fillId="0" borderId="8" xfId="0" applyNumberFormat="1" applyFont="1" applyBorder="1" applyAlignment="1">
      <alignment horizontal="center" vertical="center" wrapText="1"/>
    </xf>
    <xf numFmtId="10" fontId="42" fillId="0" borderId="8" xfId="0" applyNumberFormat="1" applyFont="1" applyBorder="1" applyAlignment="1">
      <alignment horizontal="center" vertical="center"/>
    </xf>
    <xf numFmtId="10" fontId="42" fillId="0" borderId="54" xfId="0" applyNumberFormat="1" applyFont="1" applyBorder="1" applyAlignment="1">
      <alignment horizontal="center" vertical="center"/>
    </xf>
    <xf numFmtId="10" fontId="42" fillId="0" borderId="13" xfId="0" applyNumberFormat="1" applyFont="1" applyBorder="1" applyAlignment="1">
      <alignment horizontal="center" vertical="center"/>
    </xf>
    <xf numFmtId="10" fontId="42" fillId="0" borderId="64" xfId="0" applyNumberFormat="1" applyFont="1" applyBorder="1" applyAlignment="1">
      <alignment horizontal="center" vertical="center"/>
    </xf>
    <xf numFmtId="10" fontId="42" fillId="0" borderId="43" xfId="0" applyNumberFormat="1" applyFont="1" applyBorder="1" applyAlignment="1">
      <alignment horizontal="center" vertical="center"/>
    </xf>
    <xf numFmtId="0" fontId="42" fillId="0" borderId="52" xfId="0" applyFont="1" applyFill="1" applyBorder="1" applyAlignment="1">
      <alignment horizontal="left" vertical="center" wrapText="1"/>
    </xf>
    <xf numFmtId="0" fontId="42" fillId="0" borderId="10" xfId="0" applyFont="1" applyBorder="1" applyAlignment="1">
      <alignment vertical="center" wrapText="1"/>
    </xf>
    <xf numFmtId="10" fontId="42" fillId="0" borderId="56" xfId="0" applyNumberFormat="1" applyFont="1" applyBorder="1" applyAlignment="1">
      <alignment horizontal="center" vertical="center"/>
    </xf>
    <xf numFmtId="10" fontId="42" fillId="0" borderId="64" xfId="1" applyNumberFormat="1" applyFont="1" applyBorder="1" applyAlignment="1">
      <alignment horizontal="center" vertical="center"/>
    </xf>
    <xf numFmtId="10" fontId="42" fillId="0" borderId="42" xfId="0" applyNumberFormat="1" applyFont="1" applyBorder="1" applyAlignment="1">
      <alignment horizontal="center" vertical="center"/>
    </xf>
    <xf numFmtId="10" fontId="42" fillId="0" borderId="12" xfId="0" applyNumberFormat="1" applyFont="1" applyBorder="1" applyAlignment="1">
      <alignment horizontal="center" vertical="center"/>
    </xf>
    <xf numFmtId="10" fontId="42" fillId="0" borderId="43" xfId="1" applyNumberFormat="1" applyFont="1" applyBorder="1" applyAlignment="1">
      <alignment horizontal="left" vertical="center" wrapText="1"/>
    </xf>
    <xf numFmtId="0" fontId="42" fillId="8" borderId="43" xfId="0" applyFont="1" applyFill="1" applyBorder="1" applyAlignment="1">
      <alignment vertical="center" wrapText="1"/>
    </xf>
    <xf numFmtId="0" fontId="42" fillId="0" borderId="40" xfId="0" applyFont="1" applyBorder="1"/>
    <xf numFmtId="0" fontId="42" fillId="0" borderId="8" xfId="0" applyFont="1" applyBorder="1"/>
    <xf numFmtId="165" fontId="42" fillId="0" borderId="36" xfId="0" applyNumberFormat="1" applyFont="1" applyBorder="1" applyAlignment="1">
      <alignment horizontal="center" vertical="center" wrapText="1"/>
    </xf>
    <xf numFmtId="10" fontId="42" fillId="0" borderId="36" xfId="1" applyNumberFormat="1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165" fontId="42" fillId="0" borderId="36" xfId="0" applyNumberFormat="1" applyFont="1" applyFill="1" applyBorder="1" applyAlignment="1">
      <alignment horizontal="center" vertical="center" wrapText="1"/>
    </xf>
    <xf numFmtId="10" fontId="42" fillId="0" borderId="36" xfId="1" applyNumberFormat="1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165" fontId="42" fillId="8" borderId="33" xfId="0" applyNumberFormat="1" applyFont="1" applyFill="1" applyBorder="1" applyAlignment="1">
      <alignment horizontal="center" vertical="center" wrapText="1"/>
    </xf>
    <xf numFmtId="165" fontId="42" fillId="0" borderId="33" xfId="0" applyNumberFormat="1" applyFont="1" applyBorder="1" applyAlignment="1">
      <alignment horizontal="center" vertical="center" wrapText="1"/>
    </xf>
    <xf numFmtId="10" fontId="42" fillId="0" borderId="8" xfId="1" applyNumberFormat="1" applyFont="1" applyBorder="1" applyAlignment="1">
      <alignment horizontal="center" vertical="center"/>
    </xf>
    <xf numFmtId="168" fontId="42" fillId="0" borderId="40" xfId="0" applyNumberFormat="1" applyFont="1" applyBorder="1" applyAlignment="1">
      <alignment horizontal="center" vertical="center"/>
    </xf>
    <xf numFmtId="9" fontId="42" fillId="0" borderId="82" xfId="0" applyNumberFormat="1" applyFont="1" applyBorder="1" applyAlignment="1">
      <alignment horizontal="center" vertical="center"/>
    </xf>
    <xf numFmtId="9" fontId="42" fillId="0" borderId="32" xfId="0" applyNumberFormat="1" applyFont="1" applyBorder="1" applyAlignment="1">
      <alignment horizontal="center" vertical="center"/>
    </xf>
    <xf numFmtId="10" fontId="42" fillId="0" borderId="29" xfId="1" applyNumberFormat="1" applyFont="1" applyBorder="1" applyAlignment="1">
      <alignment horizontal="center" vertical="center"/>
    </xf>
    <xf numFmtId="10" fontId="42" fillId="0" borderId="85" xfId="1" applyNumberFormat="1" applyFont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34" xfId="0" applyFont="1" applyFill="1" applyBorder="1" applyAlignment="1">
      <alignment horizontal="center" vertical="center"/>
    </xf>
    <xf numFmtId="0" fontId="38" fillId="9" borderId="30" xfId="0" applyFont="1" applyFill="1" applyBorder="1" applyAlignment="1">
      <alignment horizontal="center" vertical="center"/>
    </xf>
    <xf numFmtId="0" fontId="38" fillId="9" borderId="27" xfId="0" applyFont="1" applyFill="1" applyBorder="1" applyAlignment="1">
      <alignment horizontal="center" vertical="center"/>
    </xf>
    <xf numFmtId="0" fontId="38" fillId="9" borderId="28" xfId="0" applyFont="1" applyFill="1" applyBorder="1" applyAlignment="1">
      <alignment horizontal="center" vertical="center"/>
    </xf>
    <xf numFmtId="0" fontId="38" fillId="9" borderId="58" xfId="0" applyFont="1" applyFill="1" applyBorder="1" applyAlignment="1">
      <alignment horizontal="center" vertical="center"/>
    </xf>
    <xf numFmtId="10" fontId="42" fillId="0" borderId="77" xfId="1" applyNumberFormat="1" applyFont="1" applyBorder="1" applyAlignment="1">
      <alignment horizontal="center" vertical="center"/>
    </xf>
    <xf numFmtId="10" fontId="42" fillId="0" borderId="74" xfId="1" applyNumberFormat="1" applyFont="1" applyBorder="1" applyAlignment="1">
      <alignment horizontal="center" vertical="center"/>
    </xf>
    <xf numFmtId="10" fontId="42" fillId="0" borderId="9" xfId="1" applyNumberFormat="1" applyFont="1" applyBorder="1" applyAlignment="1">
      <alignment horizontal="left" vertical="center"/>
    </xf>
    <xf numFmtId="10" fontId="42" fillId="0" borderId="57" xfId="1" applyNumberFormat="1" applyFont="1" applyBorder="1" applyAlignment="1">
      <alignment horizontal="left" vertical="center"/>
    </xf>
    <xf numFmtId="10" fontId="42" fillId="0" borderId="40" xfId="1" applyNumberFormat="1" applyFont="1" applyBorder="1" applyAlignment="1">
      <alignment horizontal="center" vertical="center"/>
    </xf>
    <xf numFmtId="10" fontId="42" fillId="0" borderId="36" xfId="1" applyNumberFormat="1" applyFont="1" applyBorder="1" applyAlignment="1">
      <alignment horizontal="center" vertical="center"/>
    </xf>
    <xf numFmtId="1" fontId="42" fillId="0" borderId="40" xfId="0" applyNumberFormat="1" applyFont="1" applyBorder="1" applyAlignment="1">
      <alignment horizontal="center" vertical="center" wrapText="1"/>
    </xf>
    <xf numFmtId="1" fontId="42" fillId="0" borderId="36" xfId="0" applyNumberFormat="1" applyFont="1" applyBorder="1" applyAlignment="1">
      <alignment horizontal="center" vertical="center" wrapText="1"/>
    </xf>
    <xf numFmtId="165" fontId="42" fillId="0" borderId="40" xfId="0" applyNumberFormat="1" applyFont="1" applyBorder="1" applyAlignment="1">
      <alignment horizontal="center" vertical="center" wrapText="1"/>
    </xf>
    <xf numFmtId="165" fontId="42" fillId="0" borderId="36" xfId="0" applyNumberFormat="1" applyFont="1" applyBorder="1" applyAlignment="1">
      <alignment horizontal="center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2" fillId="0" borderId="9" xfId="0" applyFont="1" applyBorder="1" applyAlignment="1">
      <alignment horizontal="left" vertical="center" wrapText="1"/>
    </xf>
    <xf numFmtId="0" fontId="42" fillId="0" borderId="57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40" fillId="5" borderId="61" xfId="0" applyFont="1" applyFill="1" applyBorder="1" applyAlignment="1">
      <alignment horizontal="center" vertical="center" wrapText="1"/>
    </xf>
    <xf numFmtId="0" fontId="43" fillId="0" borderId="69" xfId="0" applyFont="1" applyBorder="1" applyAlignment="1">
      <alignment horizontal="left" vertical="center" wrapText="1"/>
    </xf>
    <xf numFmtId="0" fontId="43" fillId="0" borderId="71" xfId="0" applyFont="1" applyBorder="1" applyAlignment="1">
      <alignment horizontal="left" vertical="center" wrapText="1"/>
    </xf>
    <xf numFmtId="9" fontId="42" fillId="0" borderId="29" xfId="1" applyNumberFormat="1" applyFont="1" applyBorder="1" applyAlignment="1">
      <alignment horizontal="center" vertical="center"/>
    </xf>
    <xf numFmtId="9" fontId="42" fillId="0" borderId="32" xfId="1" applyNumberFormat="1" applyFont="1" applyBorder="1" applyAlignment="1">
      <alignment horizontal="center" vertical="center"/>
    </xf>
    <xf numFmtId="10" fontId="42" fillId="0" borderId="38" xfId="1" applyNumberFormat="1" applyFont="1" applyBorder="1" applyAlignment="1">
      <alignment horizontal="center" vertical="center"/>
    </xf>
    <xf numFmtId="10" fontId="42" fillId="0" borderId="4" xfId="1" applyNumberFormat="1" applyFont="1" applyBorder="1" applyAlignment="1">
      <alignment horizontal="center" vertical="center"/>
    </xf>
    <xf numFmtId="10" fontId="42" fillId="0" borderId="20" xfId="1" applyNumberFormat="1" applyFont="1" applyBorder="1" applyAlignment="1">
      <alignment horizontal="center" vertical="center"/>
    </xf>
    <xf numFmtId="10" fontId="42" fillId="0" borderId="39" xfId="1" applyNumberFormat="1" applyFont="1" applyBorder="1" applyAlignment="1">
      <alignment horizontal="left" vertical="center"/>
    </xf>
    <xf numFmtId="10" fontId="42" fillId="0" borderId="35" xfId="1" applyNumberFormat="1" applyFont="1" applyBorder="1" applyAlignment="1">
      <alignment horizontal="left" vertical="center"/>
    </xf>
    <xf numFmtId="10" fontId="42" fillId="0" borderId="35" xfId="1" applyNumberFormat="1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66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2" fillId="0" borderId="57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5" fontId="42" fillId="0" borderId="8" xfId="0" applyNumberFormat="1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10" fontId="42" fillId="0" borderId="26" xfId="1" applyNumberFormat="1" applyFont="1" applyBorder="1" applyAlignment="1">
      <alignment horizontal="center" vertical="center"/>
    </xf>
    <xf numFmtId="10" fontId="42" fillId="0" borderId="57" xfId="1" applyNumberFormat="1" applyFont="1" applyBorder="1" applyAlignment="1">
      <alignment horizontal="center" vertical="center"/>
    </xf>
    <xf numFmtId="0" fontId="42" fillId="0" borderId="39" xfId="0" applyFont="1" applyBorder="1" applyAlignment="1">
      <alignment horizontal="left" vertical="center" wrapText="1"/>
    </xf>
    <xf numFmtId="0" fontId="42" fillId="0" borderId="42" xfId="0" applyFont="1" applyBorder="1" applyAlignment="1">
      <alignment horizontal="left" vertical="center" wrapText="1"/>
    </xf>
    <xf numFmtId="0" fontId="42" fillId="0" borderId="37" xfId="0" applyFont="1" applyBorder="1" applyAlignment="1">
      <alignment horizontal="left" vertical="center" wrapText="1"/>
    </xf>
    <xf numFmtId="0" fontId="42" fillId="0" borderId="43" xfId="0" applyFont="1" applyBorder="1" applyAlignment="1">
      <alignment horizontal="left" vertical="center" wrapText="1"/>
    </xf>
    <xf numFmtId="0" fontId="46" fillId="0" borderId="7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0" fontId="46" fillId="0" borderId="71" xfId="0" applyFont="1" applyBorder="1" applyAlignment="1">
      <alignment horizontal="left" vertical="center" wrapText="1"/>
    </xf>
    <xf numFmtId="0" fontId="46" fillId="0" borderId="79" xfId="0" applyFont="1" applyBorder="1" applyAlignment="1">
      <alignment horizontal="left" vertical="center" wrapText="1"/>
    </xf>
    <xf numFmtId="0" fontId="42" fillId="0" borderId="67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1" fontId="42" fillId="0" borderId="8" xfId="0" applyNumberFormat="1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/>
    </xf>
    <xf numFmtId="0" fontId="42" fillId="0" borderId="80" xfId="0" applyFont="1" applyBorder="1" applyAlignment="1">
      <alignment horizontal="center" vertical="center"/>
    </xf>
    <xf numFmtId="10" fontId="42" fillId="0" borderId="36" xfId="0" applyNumberFormat="1" applyFont="1" applyBorder="1" applyAlignment="1">
      <alignment horizontal="center" vertical="center"/>
    </xf>
    <xf numFmtId="10" fontId="42" fillId="0" borderId="8" xfId="0" applyNumberFormat="1" applyFont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70" xfId="0" applyFont="1" applyBorder="1" applyAlignment="1">
      <alignment horizontal="center" vertical="center"/>
    </xf>
    <xf numFmtId="10" fontId="42" fillId="0" borderId="63" xfId="1" applyNumberFormat="1" applyFont="1" applyBorder="1" applyAlignment="1">
      <alignment horizontal="center" vertical="center"/>
    </xf>
    <xf numFmtId="10" fontId="42" fillId="0" borderId="48" xfId="1" applyNumberFormat="1" applyFont="1" applyBorder="1" applyAlignment="1">
      <alignment horizontal="center" vertical="center"/>
    </xf>
    <xf numFmtId="10" fontId="42" fillId="0" borderId="32" xfId="1" applyNumberFormat="1" applyFont="1" applyBorder="1" applyAlignment="1">
      <alignment horizontal="center" vertical="center"/>
    </xf>
    <xf numFmtId="10" fontId="42" fillId="0" borderId="76" xfId="1" applyNumberFormat="1" applyFont="1" applyBorder="1" applyAlignment="1">
      <alignment horizontal="center" vertical="center"/>
    </xf>
    <xf numFmtId="10" fontId="42" fillId="0" borderId="75" xfId="1" applyNumberFormat="1" applyFont="1" applyBorder="1" applyAlignment="1">
      <alignment horizontal="center" vertical="center"/>
    </xf>
    <xf numFmtId="10" fontId="42" fillId="0" borderId="15" xfId="1" applyNumberFormat="1" applyFont="1" applyBorder="1" applyAlignment="1">
      <alignment horizontal="center" vertical="center"/>
    </xf>
    <xf numFmtId="10" fontId="42" fillId="0" borderId="26" xfId="0" applyNumberFormat="1" applyFont="1" applyBorder="1" applyAlignment="1">
      <alignment horizontal="center" vertical="center"/>
    </xf>
    <xf numFmtId="10" fontId="42" fillId="0" borderId="14" xfId="0" applyNumberFormat="1" applyFont="1" applyBorder="1" applyAlignment="1">
      <alignment horizontal="center" vertical="center"/>
    </xf>
    <xf numFmtId="10" fontId="42" fillId="0" borderId="5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30" fillId="0" borderId="9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51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/>
    </xf>
    <xf numFmtId="0" fontId="30" fillId="0" borderId="57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57" xfId="0" applyFont="1" applyBorder="1" applyAlignment="1">
      <alignment horizontal="left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left" vertical="center" wrapText="1"/>
    </xf>
    <xf numFmtId="0" fontId="29" fillId="0" borderId="45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</cellXfs>
  <cellStyles count="43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39" builtinId="3"/>
    <cellStyle name="Millares [0]" xfId="42" builtinId="6"/>
    <cellStyle name="Millares 2" xfId="40"/>
    <cellStyle name="Moneda" xfId="41" builtinId="4"/>
    <cellStyle name="Normal" xfId="0" builtinId="0"/>
    <cellStyle name="Normal 2" xfId="2"/>
    <cellStyle name="Porcentaje" xfId="1" builtinId="5"/>
    <cellStyle name="Porcentual 2" xfId="3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21936"/>
        <c:axId val="387922496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21936"/>
        <c:axId val="387922496"/>
      </c:lineChart>
      <c:dateAx>
        <c:axId val="387921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7922496"/>
        <c:crosses val="autoZero"/>
        <c:auto val="1"/>
        <c:lblOffset val="100"/>
        <c:baseTimeUnit val="months"/>
      </c:dateAx>
      <c:valAx>
        <c:axId val="3879224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7921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2109107</xdr:colOff>
      <xdr:row>0</xdr:row>
      <xdr:rowOff>81643</xdr:rowOff>
    </xdr:from>
    <xdr:to>
      <xdr:col>0</xdr:col>
      <xdr:colOff>2931597</xdr:colOff>
      <xdr:row>1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7" y="81643"/>
          <a:ext cx="82867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0</xdr:col>
      <xdr:colOff>2145094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onambulo\Documents\ETITC\2017\Presupuesto\D:\C\Registros_Calidad\INDICADORES\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deaccion\Desktop\TRABAJO\INDICADORES\Marzo\Seguimiento%20tablero%20indicadores%20Marzo%20versi&#243;n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deaccion\Downloads\INDICA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ro Estratégico"/>
      <sheetName val="Tablero Maestro (2)"/>
      <sheetName val="Hoja1"/>
      <sheetName val="DE"/>
    </sheetNames>
    <sheetDataSet>
      <sheetData sheetId="0">
        <row r="26">
          <cell r="AK26">
            <v>0.47601476014760147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 "/>
      <sheetName val="ARTES-MUSICA "/>
      <sheetName val="SALUD "/>
      <sheetName val="TRABAJO SOCIAL"/>
      <sheetName val="PSICOLOGIA "/>
      <sheetName val="REC. DEPORTES "/>
      <sheetName val="PASTORAL PES"/>
      <sheetName val="PASTORAL BTO "/>
    </sheetNames>
    <sheetDataSet>
      <sheetData sheetId="0"/>
      <sheetData sheetId="1">
        <row r="30">
          <cell r="AC30">
            <v>0.98</v>
          </cell>
          <cell r="AE30">
            <v>14677</v>
          </cell>
        </row>
      </sheetData>
      <sheetData sheetId="2">
        <row r="15">
          <cell r="AC15">
            <v>1</v>
          </cell>
          <cell r="AE15">
            <v>74</v>
          </cell>
        </row>
      </sheetData>
      <sheetData sheetId="3">
        <row r="20">
          <cell r="AC20">
            <v>97.6</v>
          </cell>
          <cell r="AE20">
            <v>1741</v>
          </cell>
        </row>
      </sheetData>
      <sheetData sheetId="4">
        <row r="22">
          <cell r="AC22">
            <v>92.142857142857139</v>
          </cell>
          <cell r="AE22">
            <v>1056</v>
          </cell>
        </row>
      </sheetData>
      <sheetData sheetId="5">
        <row r="18">
          <cell r="AC18">
            <v>99</v>
          </cell>
          <cell r="AE18">
            <v>154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"/>
  <sheetViews>
    <sheetView tabSelected="1" zoomScale="25" zoomScaleNormal="25" zoomScalePageLayoutView="130" workbookViewId="0">
      <pane xSplit="8" ySplit="4" topLeftCell="I8" activePane="bottomRight" state="frozen"/>
      <selection pane="topRight" activeCell="I1" sqref="I1"/>
      <selection pane="bottomLeft" activeCell="A5" sqref="A5"/>
      <selection pane="bottomRight" activeCell="AM17" sqref="AM17"/>
    </sheetView>
  </sheetViews>
  <sheetFormatPr baseColWidth="10" defaultColWidth="10.85546875" defaultRowHeight="15" outlineLevelCol="1"/>
  <cols>
    <col min="1" max="1" width="109.42578125" style="167" customWidth="1"/>
    <col min="2" max="2" width="22.28515625" style="167" hidden="1" customWidth="1"/>
    <col min="3" max="3" width="8" style="167" bestFit="1" customWidth="1"/>
    <col min="4" max="4" width="78.5703125" style="167" customWidth="1"/>
    <col min="5" max="5" width="17.42578125" style="171" hidden="1" customWidth="1"/>
    <col min="6" max="7" width="4.42578125" style="167" hidden="1" customWidth="1"/>
    <col min="8" max="8" width="92.42578125" style="167" customWidth="1"/>
    <col min="9" max="9" width="92.7109375" style="167" customWidth="1"/>
    <col min="10" max="10" width="16" style="167" hidden="1" customWidth="1"/>
    <col min="11" max="11" width="9.42578125" style="167" hidden="1" customWidth="1"/>
    <col min="12" max="12" width="9" style="72" hidden="1" customWidth="1"/>
    <col min="13" max="24" width="7.7109375" style="167" hidden="1" customWidth="1" outlineLevel="1"/>
    <col min="25" max="25" width="11.42578125" style="172" hidden="1" customWidth="1"/>
    <col min="26" max="26" width="31.42578125" style="167" hidden="1" customWidth="1"/>
    <col min="27" max="27" width="11.42578125" style="167" hidden="1" customWidth="1"/>
    <col min="28" max="28" width="8.85546875" style="167" hidden="1" customWidth="1"/>
    <col min="29" max="29" width="9.7109375" style="167" hidden="1" customWidth="1"/>
    <col min="30" max="30" width="14.140625" style="167" hidden="1" customWidth="1"/>
    <col min="31" max="31" width="61.5703125" style="167" customWidth="1"/>
    <col min="32" max="32" width="41.7109375" style="167" hidden="1" customWidth="1"/>
    <col min="33" max="33" width="31.28515625" style="167" bestFit="1" customWidth="1"/>
    <col min="34" max="34" width="2.140625" style="167" hidden="1" customWidth="1"/>
    <col min="35" max="35" width="15.5703125" style="167" hidden="1" customWidth="1"/>
    <col min="36" max="36" width="2.28515625" style="167" hidden="1" customWidth="1"/>
    <col min="37" max="37" width="11.28515625" style="167" hidden="1" customWidth="1"/>
    <col min="38" max="38" width="14.85546875" style="167" hidden="1" customWidth="1"/>
    <col min="39" max="39" width="28.140625" style="167" customWidth="1"/>
    <col min="40" max="41" width="20.7109375" style="167" bestFit="1" customWidth="1"/>
    <col min="42" max="42" width="141" style="180" customWidth="1"/>
    <col min="43" max="43" width="16.85546875" style="167" hidden="1" customWidth="1"/>
    <col min="44" max="44" width="0" style="167" hidden="1" customWidth="1"/>
    <col min="45" max="45" width="17.85546875" style="167" hidden="1" customWidth="1"/>
    <col min="46" max="47" width="0" style="167" hidden="1" customWidth="1"/>
    <col min="48" max="48" width="12.42578125" style="167" hidden="1" customWidth="1"/>
    <col min="49" max="49" width="1.28515625" style="167" customWidth="1"/>
    <col min="50" max="50" width="18.85546875" style="167" bestFit="1" customWidth="1"/>
    <col min="51" max="51" width="7" style="167" bestFit="1" customWidth="1"/>
    <col min="52" max="52" width="8.85546875" style="167" bestFit="1" customWidth="1"/>
    <col min="53" max="53" width="7.42578125" style="167" bestFit="1" customWidth="1"/>
    <col min="54" max="54" width="6" style="167" bestFit="1" customWidth="1"/>
    <col min="55" max="56" width="6.42578125" style="167" bestFit="1" customWidth="1"/>
    <col min="57" max="57" width="5.85546875" style="167" bestFit="1" customWidth="1"/>
    <col min="58" max="58" width="8.42578125" style="167" bestFit="1" customWidth="1"/>
    <col min="59" max="59" width="11.85546875" style="167" customWidth="1"/>
    <col min="60" max="60" width="9.140625" style="167" bestFit="1" customWidth="1"/>
    <col min="61" max="61" width="11.85546875" style="167" customWidth="1"/>
    <col min="62" max="62" width="10.42578125" style="167" bestFit="1" customWidth="1"/>
    <col min="63" max="75" width="10.85546875" style="167"/>
    <col min="76" max="81" width="9.42578125" style="167" customWidth="1"/>
    <col min="82" max="16384" width="10.85546875" style="167"/>
  </cols>
  <sheetData>
    <row r="1" spans="1:65" ht="29.25" customHeight="1">
      <c r="A1" s="789" t="s">
        <v>210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  <c r="P1" s="790"/>
      <c r="Q1" s="790"/>
      <c r="R1" s="790"/>
      <c r="S1" s="790"/>
      <c r="T1" s="790"/>
      <c r="U1" s="790"/>
      <c r="V1" s="790"/>
      <c r="W1" s="790"/>
      <c r="X1" s="790"/>
      <c r="Y1" s="790"/>
      <c r="Z1" s="790"/>
      <c r="AA1" s="790"/>
      <c r="AB1" s="790"/>
      <c r="AC1" s="790"/>
      <c r="AD1" s="790"/>
      <c r="AE1" s="790"/>
      <c r="AF1" s="790"/>
      <c r="AG1" s="790"/>
      <c r="AH1" s="790"/>
      <c r="AI1" s="790"/>
      <c r="AJ1" s="790"/>
      <c r="AK1" s="790"/>
      <c r="AL1" s="790"/>
      <c r="AM1" s="790"/>
      <c r="AN1" s="790"/>
      <c r="AO1" s="790"/>
      <c r="AP1" s="791"/>
    </row>
    <row r="2" spans="1:65" ht="50.25" customHeight="1" thickBot="1">
      <c r="A2" s="792"/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793"/>
      <c r="Q2" s="793"/>
      <c r="R2" s="793"/>
      <c r="S2" s="793"/>
      <c r="T2" s="793"/>
      <c r="U2" s="793"/>
      <c r="V2" s="793"/>
      <c r="W2" s="793"/>
      <c r="X2" s="793"/>
      <c r="Y2" s="793"/>
      <c r="Z2" s="793"/>
      <c r="AA2" s="793"/>
      <c r="AB2" s="793"/>
      <c r="AC2" s="793"/>
      <c r="AD2" s="793"/>
      <c r="AE2" s="793"/>
      <c r="AF2" s="793"/>
      <c r="AG2" s="793"/>
      <c r="AH2" s="793"/>
      <c r="AI2" s="793"/>
      <c r="AJ2" s="793"/>
      <c r="AK2" s="793"/>
      <c r="AL2" s="793"/>
      <c r="AM2" s="793"/>
      <c r="AN2" s="793"/>
      <c r="AO2" s="793"/>
      <c r="AP2" s="794"/>
    </row>
    <row r="3" spans="1:65" ht="32.25" thickBot="1">
      <c r="A3" s="518"/>
      <c r="B3" s="518"/>
      <c r="C3" s="518"/>
      <c r="D3" s="518"/>
      <c r="E3" s="519"/>
      <c r="F3" s="518"/>
      <c r="G3" s="518"/>
      <c r="H3" s="518"/>
      <c r="I3" s="518"/>
      <c r="J3" s="518"/>
      <c r="K3" s="518"/>
      <c r="L3" s="520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21"/>
      <c r="Z3" s="518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518"/>
      <c r="AL3" s="518"/>
      <c r="AM3" s="518"/>
      <c r="AN3" s="518"/>
      <c r="AO3" s="518"/>
      <c r="AP3" s="522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</row>
    <row r="4" spans="1:65" s="256" customFormat="1" ht="30.95" customHeight="1" thickBot="1">
      <c r="A4" s="523" t="s">
        <v>195</v>
      </c>
      <c r="B4" s="523" t="s">
        <v>1</v>
      </c>
      <c r="C4" s="810" t="s">
        <v>2</v>
      </c>
      <c r="D4" s="810"/>
      <c r="E4" s="524" t="s">
        <v>50</v>
      </c>
      <c r="F4" s="524" t="s">
        <v>57</v>
      </c>
      <c r="G4" s="524" t="s">
        <v>58</v>
      </c>
      <c r="H4" s="524" t="s">
        <v>3</v>
      </c>
      <c r="I4" s="524" t="s">
        <v>62</v>
      </c>
      <c r="J4" s="524" t="s">
        <v>5</v>
      </c>
      <c r="K4" s="524" t="s">
        <v>6</v>
      </c>
      <c r="L4" s="524" t="s">
        <v>4</v>
      </c>
      <c r="M4" s="525">
        <v>42736</v>
      </c>
      <c r="N4" s="525">
        <v>42767</v>
      </c>
      <c r="O4" s="525">
        <v>42795</v>
      </c>
      <c r="P4" s="525">
        <v>42826</v>
      </c>
      <c r="Q4" s="525">
        <v>42856</v>
      </c>
      <c r="R4" s="525">
        <v>42887</v>
      </c>
      <c r="S4" s="525">
        <v>42917</v>
      </c>
      <c r="T4" s="525">
        <v>42948</v>
      </c>
      <c r="U4" s="525">
        <v>42979</v>
      </c>
      <c r="V4" s="525">
        <v>43009</v>
      </c>
      <c r="W4" s="525">
        <v>43040</v>
      </c>
      <c r="X4" s="525">
        <v>43070</v>
      </c>
      <c r="Y4" s="524" t="s">
        <v>10</v>
      </c>
      <c r="Z4" s="524" t="s">
        <v>54</v>
      </c>
      <c r="AA4" s="524" t="s">
        <v>60</v>
      </c>
      <c r="AB4" s="524" t="s">
        <v>9</v>
      </c>
      <c r="AC4" s="526" t="s">
        <v>11</v>
      </c>
      <c r="AD4" s="527" t="s">
        <v>12</v>
      </c>
      <c r="AE4" s="528" t="s">
        <v>395</v>
      </c>
      <c r="AF4" s="528" t="s">
        <v>151</v>
      </c>
      <c r="AG4" s="528" t="s">
        <v>4</v>
      </c>
      <c r="AH4" s="530"/>
      <c r="AI4" s="531" t="s">
        <v>212</v>
      </c>
      <c r="AJ4" s="532"/>
      <c r="AK4" s="526" t="s">
        <v>221</v>
      </c>
      <c r="AL4" s="526" t="s">
        <v>222</v>
      </c>
      <c r="AM4" s="529" t="s">
        <v>223</v>
      </c>
      <c r="AN4" s="529" t="s">
        <v>348</v>
      </c>
      <c r="AO4" s="529" t="s">
        <v>350</v>
      </c>
      <c r="AP4" s="529" t="s">
        <v>165</v>
      </c>
      <c r="AW4" s="257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7"/>
      <c r="BL4" s="257"/>
    </row>
    <row r="5" spans="1:65" s="259" customFormat="1" ht="72">
      <c r="A5" s="533" t="s">
        <v>198</v>
      </c>
      <c r="B5" s="807" t="s">
        <v>73</v>
      </c>
      <c r="C5" s="534">
        <v>1</v>
      </c>
      <c r="D5" s="535" t="s">
        <v>116</v>
      </c>
      <c r="E5" s="536" t="s">
        <v>112</v>
      </c>
      <c r="F5" s="537"/>
      <c r="G5" s="537"/>
      <c r="H5" s="536" t="s">
        <v>158</v>
      </c>
      <c r="I5" s="536" t="s">
        <v>157</v>
      </c>
      <c r="J5" s="538"/>
      <c r="K5" s="539" t="s">
        <v>115</v>
      </c>
      <c r="L5" s="540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2" t="e">
        <f>LOOKUP(1000000000,M5:X5)</f>
        <v>#N/A</v>
      </c>
      <c r="Z5" s="543"/>
      <c r="AA5" s="541" t="e">
        <f t="shared" ref="AA5:AA15" si="0">+IF(SLOPE(M5:X5,$M$4:$X$4)&gt;0,"Al alza",IF(SLOPE(M5:X5,$M$4:$X$4)&lt;0,"A la baja","Sin cambio"))</f>
        <v>#DIV/0!</v>
      </c>
      <c r="AB5" s="544" t="s">
        <v>13</v>
      </c>
      <c r="AC5" s="545">
        <v>9.6100000000000005E-3</v>
      </c>
      <c r="AD5" s="546" t="str">
        <f>IF($K$5="Sube",IF(ISERROR(Y5/$L$5)=TRUE,"",IF(Y5&gt;$L$5,AC5,Y5/$L$5*AC5)),IF(ISERROR($L$5/Y5)=TRUE,"",IF($L$5&lt;Y5,$L$5/Y5*AC5,AC5)))</f>
        <v/>
      </c>
      <c r="AE5" s="747" t="s">
        <v>144</v>
      </c>
      <c r="AF5" s="547" t="s">
        <v>219</v>
      </c>
      <c r="AG5" s="742">
        <v>8.3299999999999999E-2</v>
      </c>
      <c r="AH5" s="549"/>
      <c r="AI5" s="550"/>
      <c r="AJ5" s="551"/>
      <c r="AK5" s="549"/>
      <c r="AL5" s="552"/>
      <c r="AM5" s="553"/>
      <c r="AN5" s="553"/>
      <c r="AO5" s="548"/>
      <c r="AP5" s="554"/>
      <c r="AW5" s="260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0"/>
      <c r="BK5" s="260"/>
      <c r="BL5" s="260"/>
    </row>
    <row r="6" spans="1:65" s="259" customFormat="1" ht="72">
      <c r="A6" s="808" t="s">
        <v>199</v>
      </c>
      <c r="B6" s="808"/>
      <c r="C6" s="555">
        <v>2</v>
      </c>
      <c r="D6" s="556" t="s">
        <v>149</v>
      </c>
      <c r="E6" s="557" t="s">
        <v>112</v>
      </c>
      <c r="F6" s="558"/>
      <c r="G6" s="558"/>
      <c r="H6" s="557" t="s">
        <v>150</v>
      </c>
      <c r="I6" s="557" t="s">
        <v>118</v>
      </c>
      <c r="J6" s="559"/>
      <c r="K6" s="560"/>
      <c r="L6" s="561"/>
      <c r="M6" s="562"/>
      <c r="N6" s="562"/>
      <c r="O6" s="562"/>
      <c r="P6" s="562"/>
      <c r="Q6" s="562"/>
      <c r="R6" s="562"/>
      <c r="S6" s="562"/>
      <c r="T6" s="562"/>
      <c r="U6" s="562"/>
      <c r="V6" s="562"/>
      <c r="W6" s="562"/>
      <c r="X6" s="562"/>
      <c r="Y6" s="563" t="e">
        <f>LOOKUP(1000000000,M6:X6)</f>
        <v>#N/A</v>
      </c>
      <c r="Z6" s="564"/>
      <c r="AA6" s="562" t="e">
        <f t="shared" si="0"/>
        <v>#DIV/0!</v>
      </c>
      <c r="AB6" s="565" t="s">
        <v>13</v>
      </c>
      <c r="AC6" s="566">
        <v>9.6100000000000005E-3</v>
      </c>
      <c r="AD6" s="567" t="str">
        <f>IF($K$6="Sube",IF(ISERROR(Y6/$L$6)=TRUE,"",IF(Y6&gt;$L$6,AC6,Y6/$L$6*AC6)),IF(ISERROR($L$6/Y6)=TRUE,"",IF($L$6&lt;Y6,$L$6/Y6*AC6,AC6)))</f>
        <v/>
      </c>
      <c r="AE6" s="775" t="s">
        <v>144</v>
      </c>
      <c r="AF6" s="568">
        <f>9.9925/9.9204-1</f>
        <v>7.2678521027376153E-3</v>
      </c>
      <c r="AG6" s="776">
        <v>0.01</v>
      </c>
      <c r="AH6" s="570"/>
      <c r="AI6" s="571"/>
      <c r="AJ6" s="572"/>
      <c r="AK6" s="570"/>
      <c r="AL6" s="573"/>
      <c r="AM6" s="574"/>
      <c r="AN6" s="574"/>
      <c r="AO6" s="569"/>
      <c r="AP6" s="575" t="s">
        <v>184</v>
      </c>
      <c r="AW6" s="260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0"/>
      <c r="BK6" s="260"/>
      <c r="BL6" s="260"/>
    </row>
    <row r="7" spans="1:65" s="259" customFormat="1" ht="72">
      <c r="A7" s="808"/>
      <c r="B7" s="808"/>
      <c r="C7" s="555">
        <v>3</v>
      </c>
      <c r="D7" s="556" t="s">
        <v>117</v>
      </c>
      <c r="E7" s="557" t="s">
        <v>112</v>
      </c>
      <c r="F7" s="558"/>
      <c r="G7" s="558"/>
      <c r="H7" s="557" t="s">
        <v>182</v>
      </c>
      <c r="I7" s="557" t="s">
        <v>119</v>
      </c>
      <c r="J7" s="559"/>
      <c r="K7" s="560"/>
      <c r="L7" s="561"/>
      <c r="M7" s="562"/>
      <c r="N7" s="562"/>
      <c r="O7" s="562"/>
      <c r="P7" s="562"/>
      <c r="Q7" s="562"/>
      <c r="R7" s="562"/>
      <c r="S7" s="562"/>
      <c r="T7" s="562"/>
      <c r="U7" s="562"/>
      <c r="V7" s="562"/>
      <c r="W7" s="562"/>
      <c r="X7" s="562"/>
      <c r="Y7" s="563" t="e">
        <f t="shared" ref="Y7:Y15" si="1">LOOKUP(1000000000,M7:X7)</f>
        <v>#N/A</v>
      </c>
      <c r="Z7" s="564"/>
      <c r="AA7" s="562" t="e">
        <f t="shared" si="0"/>
        <v>#DIV/0!</v>
      </c>
      <c r="AB7" s="565" t="s">
        <v>13</v>
      </c>
      <c r="AC7" s="566">
        <v>9.6100000000000005E-3</v>
      </c>
      <c r="AD7" s="567" t="str">
        <f>IF($K$7="Sube",IF(ISERROR(Y7/$L$7)=TRUE,"",IF(Y7&gt;$L$7,AC7,Y7/$L$7*AC7)),IF(ISERROR($L$7/Y7)=TRUE,"",IF($L$7&lt;Y7,$L$7/Y7*AC7,AC7)))</f>
        <v/>
      </c>
      <c r="AE7" s="775" t="s">
        <v>144</v>
      </c>
      <c r="AF7" s="568">
        <v>0.88200000000000001</v>
      </c>
      <c r="AG7" s="777" t="s">
        <v>193</v>
      </c>
      <c r="AH7" s="577"/>
      <c r="AI7" s="578"/>
      <c r="AJ7" s="579"/>
      <c r="AK7" s="577"/>
      <c r="AL7" s="580"/>
      <c r="AM7" s="581"/>
      <c r="AN7" s="581"/>
      <c r="AO7" s="576"/>
      <c r="AP7" s="575" t="s">
        <v>183</v>
      </c>
      <c r="AW7" s="260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0"/>
      <c r="BK7" s="260"/>
      <c r="BL7" s="260"/>
    </row>
    <row r="8" spans="1:65" s="259" customFormat="1" ht="108">
      <c r="A8" s="808"/>
      <c r="B8" s="808" t="s">
        <v>74</v>
      </c>
      <c r="C8" s="555">
        <v>4</v>
      </c>
      <c r="D8" s="582" t="s">
        <v>191</v>
      </c>
      <c r="E8" s="583" t="s">
        <v>114</v>
      </c>
      <c r="F8" s="584"/>
      <c r="G8" s="585"/>
      <c r="H8" s="586" t="s">
        <v>192</v>
      </c>
      <c r="I8" s="586" t="s">
        <v>211</v>
      </c>
      <c r="J8" s="587" t="s">
        <v>145</v>
      </c>
      <c r="K8" s="587" t="s">
        <v>100</v>
      </c>
      <c r="L8" s="588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90" t="e">
        <f>LOOKUP(1000000000,M8:X8)</f>
        <v>#N/A</v>
      </c>
      <c r="Z8" s="587"/>
      <c r="AA8" s="589" t="e">
        <f>+IF(SLOPE(M8:X8,$M$4:$X$4)&gt;0,"Al alza",IF(SLOPE(M8:X8,$M$4:$X$4)&lt;0,"A la baja","Sin cambio"))</f>
        <v>#DIV/0!</v>
      </c>
      <c r="AB8" s="591" t="s">
        <v>13</v>
      </c>
      <c r="AC8" s="592">
        <v>9.6100000000000005E-3</v>
      </c>
      <c r="AD8" s="593" t="str">
        <f>IF($K$8="Sube",IF(ISERROR(Y8/$L$8)=TRUE,"",IF(Y8&gt;$L$8,AC8,Y8/$L$8*AC8)),IF(ISERROR($L$8/Y8)=TRUE,"",IF($L$8&lt;Y8,$L$8/Y8*AC8,AC8)))</f>
        <v/>
      </c>
      <c r="AE8" s="778" t="s">
        <v>144</v>
      </c>
      <c r="AF8" s="594">
        <f>7.218/9.426-1</f>
        <v>-0.23424570337364736</v>
      </c>
      <c r="AG8" s="779">
        <v>-0.2</v>
      </c>
      <c r="AH8" s="570"/>
      <c r="AI8" s="571"/>
      <c r="AJ8" s="572"/>
      <c r="AK8" s="570"/>
      <c r="AL8" s="573"/>
      <c r="AM8" s="574"/>
      <c r="AN8" s="574"/>
      <c r="AO8" s="569"/>
      <c r="AP8" s="575"/>
      <c r="AW8" s="260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0"/>
      <c r="BK8" s="260"/>
      <c r="BL8" s="260"/>
    </row>
    <row r="9" spans="1:65" s="259" customFormat="1" ht="95.25" customHeight="1" thickBot="1">
      <c r="A9" s="809"/>
      <c r="B9" s="809"/>
      <c r="C9" s="595">
        <v>5</v>
      </c>
      <c r="D9" s="596" t="s">
        <v>125</v>
      </c>
      <c r="E9" s="597" t="s">
        <v>112</v>
      </c>
      <c r="F9" s="598"/>
      <c r="G9" s="599"/>
      <c r="H9" s="597" t="s">
        <v>154</v>
      </c>
      <c r="I9" s="597" t="s">
        <v>155</v>
      </c>
      <c r="J9" s="600" t="s">
        <v>144</v>
      </c>
      <c r="K9" s="601" t="s">
        <v>100</v>
      </c>
      <c r="L9" s="602"/>
      <c r="M9" s="603"/>
      <c r="N9" s="603"/>
      <c r="O9" s="603"/>
      <c r="P9" s="603"/>
      <c r="Q9" s="603"/>
      <c r="R9" s="603"/>
      <c r="S9" s="603"/>
      <c r="T9" s="603"/>
      <c r="U9" s="603"/>
      <c r="V9" s="603"/>
      <c r="W9" s="603"/>
      <c r="X9" s="603"/>
      <c r="Y9" s="604" t="e">
        <f>LOOKUP(1000000000,M9:X9)</f>
        <v>#N/A</v>
      </c>
      <c r="Z9" s="600"/>
      <c r="AA9" s="603" t="e">
        <f>+IF(SLOPE(M9:X9,$M$4:$X$4)&gt;0,"Al alza",IF(SLOPE(M9:X9,$M$4:$X$4)&lt;0,"A la baja","Sin cambio"))</f>
        <v>#DIV/0!</v>
      </c>
      <c r="AB9" s="605" t="s">
        <v>13</v>
      </c>
      <c r="AC9" s="606">
        <v>9.6100000000000005E-3</v>
      </c>
      <c r="AD9" s="607" t="str">
        <f>IF($K$9="Sube",IF(ISERROR(Y9/$L$9)=TRUE,"",IF(Y9&gt;$L$9,AC9,Y9/$L$9*AC9)),IF(ISERROR($L$9/Y9)=TRUE,"",IF($L$9&lt;Y9,$L$9/Y9*AC9,AC9)))</f>
        <v/>
      </c>
      <c r="AE9" s="759" t="s">
        <v>144</v>
      </c>
      <c r="AF9" s="608">
        <f>1152/1344</f>
        <v>0.8571428571428571</v>
      </c>
      <c r="AG9" s="780" t="s">
        <v>188</v>
      </c>
      <c r="AH9" s="609"/>
      <c r="AI9" s="610"/>
      <c r="AJ9" s="611"/>
      <c r="AK9" s="612"/>
      <c r="AL9" s="613"/>
      <c r="AM9" s="614"/>
      <c r="AN9" s="614"/>
      <c r="AO9" s="615"/>
      <c r="AP9" s="616"/>
      <c r="AW9" s="260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0"/>
      <c r="BK9" s="260"/>
      <c r="BL9" s="260"/>
    </row>
    <row r="10" spans="1:65" s="262" customFormat="1" ht="108.75" thickBot="1">
      <c r="A10" s="617" t="s">
        <v>208</v>
      </c>
      <c r="B10" s="618" t="s">
        <v>349</v>
      </c>
      <c r="C10" s="619">
        <v>6</v>
      </c>
      <c r="D10" s="620" t="s">
        <v>322</v>
      </c>
      <c r="E10" s="621" t="s">
        <v>113</v>
      </c>
      <c r="F10" s="622"/>
      <c r="G10" s="622"/>
      <c r="H10" s="621" t="s">
        <v>323</v>
      </c>
      <c r="I10" s="621" t="s">
        <v>324</v>
      </c>
      <c r="J10" s="621"/>
      <c r="K10" s="621"/>
      <c r="L10" s="623"/>
      <c r="M10" s="624"/>
      <c r="N10" s="624"/>
      <c r="O10" s="624"/>
      <c r="P10" s="624"/>
      <c r="Q10" s="624"/>
      <c r="R10" s="624"/>
      <c r="S10" s="624"/>
      <c r="T10" s="624"/>
      <c r="U10" s="624"/>
      <c r="V10" s="624"/>
      <c r="W10" s="624"/>
      <c r="X10" s="624"/>
      <c r="Y10" s="625" t="e">
        <f t="shared" si="1"/>
        <v>#N/A</v>
      </c>
      <c r="Z10" s="626"/>
      <c r="AA10" s="624" t="e">
        <f t="shared" si="0"/>
        <v>#DIV/0!</v>
      </c>
      <c r="AB10" s="627" t="s">
        <v>13</v>
      </c>
      <c r="AC10" s="628">
        <v>9.6100000000000005E-3</v>
      </c>
      <c r="AD10" s="629" t="str">
        <f>IF($K$10="Sube",IF(ISERROR(Y10/$L$10)=TRUE,"",IF(Y10&gt;$L$10,AC10,Y10/$L$10*AC10)),IF(ISERROR($L$10/Y10)=TRUE,"",IF($L$10&lt;Y10,$L$10/Y10*AC10,AC10)))</f>
        <v/>
      </c>
      <c r="AE10" s="781" t="s">
        <v>108</v>
      </c>
      <c r="AF10" s="630" t="s">
        <v>153</v>
      </c>
      <c r="AG10" s="637">
        <v>0.5</v>
      </c>
      <c r="AH10" s="631" t="s">
        <v>173</v>
      </c>
      <c r="AI10" s="632">
        <v>0.95</v>
      </c>
      <c r="AJ10" s="633"/>
      <c r="AK10" s="634"/>
      <c r="AL10" s="635"/>
      <c r="AM10" s="636"/>
      <c r="AN10" s="637"/>
      <c r="AO10" s="637"/>
      <c r="AP10" s="638" t="s">
        <v>388</v>
      </c>
      <c r="AV10" s="263"/>
      <c r="AW10" s="264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4"/>
      <c r="BK10" s="264"/>
      <c r="BL10" s="264"/>
    </row>
    <row r="11" spans="1:65" s="259" customFormat="1" ht="180.75" thickBot="1">
      <c r="A11" s="639" t="s">
        <v>196</v>
      </c>
      <c r="B11" s="640" t="s">
        <v>73</v>
      </c>
      <c r="C11" s="641">
        <v>7</v>
      </c>
      <c r="D11" s="642" t="s">
        <v>122</v>
      </c>
      <c r="E11" s="643" t="s">
        <v>121</v>
      </c>
      <c r="F11" s="644"/>
      <c r="G11" s="645"/>
      <c r="H11" s="643" t="s">
        <v>123</v>
      </c>
      <c r="I11" s="643" t="s">
        <v>124</v>
      </c>
      <c r="J11" s="646" t="s">
        <v>108</v>
      </c>
      <c r="K11" s="647" t="s">
        <v>100</v>
      </c>
      <c r="L11" s="648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49"/>
      <c r="X11" s="649"/>
      <c r="Y11" s="650" t="e">
        <f t="shared" ref="Y11" si="2">LOOKUP(1000000000,M11:X11)</f>
        <v>#N/A</v>
      </c>
      <c r="Z11" s="646"/>
      <c r="AA11" s="649" t="e">
        <f t="shared" ref="AA11" si="3">+IF(SLOPE(M11:X11,$M$4:$X$4)&gt;0,"Al alza",IF(SLOPE(M11:X11,$M$4:$X$4)&lt;0,"A la baja","Sin cambio"))</f>
        <v>#DIV/0!</v>
      </c>
      <c r="AB11" s="651" t="s">
        <v>13</v>
      </c>
      <c r="AC11" s="652">
        <v>9.6100000000000005E-3</v>
      </c>
      <c r="AD11" s="653"/>
      <c r="AE11" s="782" t="s">
        <v>108</v>
      </c>
      <c r="AF11" s="654" t="s">
        <v>153</v>
      </c>
      <c r="AG11" s="661">
        <v>1</v>
      </c>
      <c r="AH11" s="655"/>
      <c r="AI11" s="656"/>
      <c r="AJ11" s="657"/>
      <c r="AK11" s="658"/>
      <c r="AL11" s="659"/>
      <c r="AM11" s="660"/>
      <c r="AN11" s="661"/>
      <c r="AO11" s="662">
        <v>1</v>
      </c>
      <c r="AP11" s="638" t="s">
        <v>387</v>
      </c>
      <c r="AV11" s="266"/>
      <c r="AW11" s="260"/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0"/>
      <c r="BK11" s="260"/>
      <c r="BL11" s="260"/>
    </row>
    <row r="12" spans="1:65" s="259" customFormat="1" ht="180">
      <c r="A12" s="663" t="s">
        <v>200</v>
      </c>
      <c r="B12" s="807" t="s">
        <v>48</v>
      </c>
      <c r="C12" s="824">
        <v>8</v>
      </c>
      <c r="D12" s="811" t="s">
        <v>126</v>
      </c>
      <c r="E12" s="536" t="s">
        <v>121</v>
      </c>
      <c r="F12" s="537"/>
      <c r="G12" s="537"/>
      <c r="H12" s="805" t="s">
        <v>180</v>
      </c>
      <c r="I12" s="805" t="s">
        <v>129</v>
      </c>
      <c r="J12" s="543"/>
      <c r="K12" s="664"/>
      <c r="L12" s="665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7" t="e">
        <f t="shared" si="1"/>
        <v>#N/A</v>
      </c>
      <c r="Z12" s="668"/>
      <c r="AA12" s="666" t="e">
        <f t="shared" si="0"/>
        <v>#DIV/0!</v>
      </c>
      <c r="AB12" s="669" t="s">
        <v>13</v>
      </c>
      <c r="AC12" s="670">
        <v>9.6100000000000005E-3</v>
      </c>
      <c r="AD12" s="671" t="str">
        <f>IF($K$12="Sube",IF(ISERROR(Y12/$L$12)=TRUE,"",IF(Y12&gt;$L$12,AC12,Y12/$L$12*AC12)),IF(ISERROR($L$12/Y12)=TRUE,"",IF($L$12&lt;Y12,$L$12/Y12*AC12,AC12)))</f>
        <v/>
      </c>
      <c r="AE12" s="803" t="s">
        <v>144</v>
      </c>
      <c r="AF12" s="801" t="s">
        <v>153</v>
      </c>
      <c r="AG12" s="799">
        <v>1</v>
      </c>
      <c r="AH12" s="797"/>
      <c r="AI12" s="815"/>
      <c r="AJ12" s="818"/>
      <c r="AK12" s="859"/>
      <c r="AL12" s="851"/>
      <c r="AM12" s="795"/>
      <c r="AN12" s="787"/>
      <c r="AO12" s="672"/>
      <c r="AP12" s="787"/>
      <c r="AW12" s="260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0"/>
      <c r="BK12" s="260"/>
      <c r="BL12" s="260"/>
    </row>
    <row r="13" spans="1:65" s="259" customFormat="1" ht="108.75" thickBot="1">
      <c r="A13" s="673" t="s">
        <v>201</v>
      </c>
      <c r="B13" s="808"/>
      <c r="C13" s="823"/>
      <c r="D13" s="812"/>
      <c r="E13" s="557"/>
      <c r="F13" s="558"/>
      <c r="G13" s="558"/>
      <c r="H13" s="806"/>
      <c r="I13" s="806"/>
      <c r="J13" s="564"/>
      <c r="K13" s="674"/>
      <c r="L13" s="588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90"/>
      <c r="Z13" s="587"/>
      <c r="AA13" s="589"/>
      <c r="AB13" s="675"/>
      <c r="AC13" s="592"/>
      <c r="AD13" s="676"/>
      <c r="AE13" s="804"/>
      <c r="AF13" s="802"/>
      <c r="AG13" s="800"/>
      <c r="AH13" s="798"/>
      <c r="AI13" s="816"/>
      <c r="AJ13" s="819"/>
      <c r="AK13" s="855"/>
      <c r="AL13" s="852"/>
      <c r="AM13" s="796"/>
      <c r="AN13" s="853"/>
      <c r="AO13" s="677"/>
      <c r="AP13" s="788"/>
      <c r="AW13" s="260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0"/>
      <c r="BK13" s="260"/>
      <c r="BL13" s="260"/>
    </row>
    <row r="14" spans="1:65" s="259" customFormat="1" ht="108">
      <c r="A14" s="678" t="s">
        <v>202</v>
      </c>
      <c r="B14" s="808"/>
      <c r="C14" s="823">
        <v>9</v>
      </c>
      <c r="D14" s="812" t="s">
        <v>127</v>
      </c>
      <c r="E14" s="679"/>
      <c r="F14" s="680"/>
      <c r="G14" s="680"/>
      <c r="H14" s="806" t="s">
        <v>179</v>
      </c>
      <c r="I14" s="806" t="s">
        <v>166</v>
      </c>
      <c r="J14" s="564"/>
      <c r="K14" s="674"/>
      <c r="L14" s="588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90"/>
      <c r="Z14" s="587"/>
      <c r="AA14" s="589"/>
      <c r="AB14" s="675"/>
      <c r="AC14" s="592"/>
      <c r="AD14" s="676"/>
      <c r="AE14" s="804" t="s">
        <v>144</v>
      </c>
      <c r="AF14" s="802" t="s">
        <v>153</v>
      </c>
      <c r="AG14" s="800">
        <v>1</v>
      </c>
      <c r="AH14" s="830"/>
      <c r="AI14" s="817"/>
      <c r="AJ14" s="820"/>
      <c r="AK14" s="854"/>
      <c r="AL14" s="856"/>
      <c r="AM14" s="829"/>
      <c r="AN14" s="787"/>
      <c r="AO14" s="813"/>
      <c r="AP14" s="828"/>
      <c r="AW14" s="260"/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260"/>
      <c r="BK14" s="260"/>
      <c r="BL14" s="260"/>
    </row>
    <row r="15" spans="1:65" s="259" customFormat="1" ht="108.75" thickBot="1">
      <c r="A15" s="678" t="s">
        <v>203</v>
      </c>
      <c r="B15" s="808"/>
      <c r="C15" s="823"/>
      <c r="D15" s="812"/>
      <c r="E15" s="679" t="s">
        <v>121</v>
      </c>
      <c r="F15" s="680"/>
      <c r="G15" s="680"/>
      <c r="H15" s="806"/>
      <c r="I15" s="806"/>
      <c r="J15" s="564"/>
      <c r="K15" s="674"/>
      <c r="L15" s="588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90" t="e">
        <f t="shared" si="1"/>
        <v>#N/A</v>
      </c>
      <c r="Z15" s="587"/>
      <c r="AA15" s="589" t="e">
        <f t="shared" si="0"/>
        <v>#DIV/0!</v>
      </c>
      <c r="AB15" s="675" t="s">
        <v>13</v>
      </c>
      <c r="AC15" s="592">
        <v>9.6100000000000005E-3</v>
      </c>
      <c r="AD15" s="676" t="str">
        <f>IF($K$15="Sube",IF(ISERROR(Y15/$L$15)=TRUE,"",IF(Y15&gt;$L$15,AC15,Y15/$L$15*AC15)),IF(ISERROR($L$15/Y15)=TRUE,"",IF($L$15&lt;Y15,$L$15/Y15*AC15,AC15)))</f>
        <v/>
      </c>
      <c r="AE15" s="804"/>
      <c r="AF15" s="802"/>
      <c r="AG15" s="800"/>
      <c r="AH15" s="830"/>
      <c r="AI15" s="816"/>
      <c r="AJ15" s="820"/>
      <c r="AK15" s="855"/>
      <c r="AL15" s="852"/>
      <c r="AM15" s="829"/>
      <c r="AN15" s="853"/>
      <c r="AO15" s="814"/>
      <c r="AP15" s="828"/>
      <c r="AW15" s="260"/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260"/>
      <c r="BK15" s="260"/>
      <c r="BL15" s="260"/>
    </row>
    <row r="16" spans="1:65" s="259" customFormat="1" ht="180.75" thickBot="1">
      <c r="A16" s="681" t="s">
        <v>209</v>
      </c>
      <c r="B16" s="809"/>
      <c r="C16" s="595">
        <v>10</v>
      </c>
      <c r="D16" s="682" t="s">
        <v>128</v>
      </c>
      <c r="E16" s="683" t="s">
        <v>121</v>
      </c>
      <c r="F16" s="684"/>
      <c r="G16" s="684"/>
      <c r="H16" s="683" t="s">
        <v>178</v>
      </c>
      <c r="I16" s="683" t="s">
        <v>167</v>
      </c>
      <c r="J16" s="685"/>
      <c r="K16" s="601"/>
      <c r="L16" s="602"/>
      <c r="M16" s="603"/>
      <c r="N16" s="603"/>
      <c r="O16" s="603"/>
      <c r="P16" s="603"/>
      <c r="Q16" s="603"/>
      <c r="R16" s="603"/>
      <c r="S16" s="603"/>
      <c r="T16" s="603"/>
      <c r="U16" s="603"/>
      <c r="V16" s="603"/>
      <c r="W16" s="603"/>
      <c r="X16" s="603"/>
      <c r="Y16" s="604"/>
      <c r="Z16" s="600"/>
      <c r="AA16" s="603"/>
      <c r="AB16" s="605"/>
      <c r="AC16" s="606"/>
      <c r="AD16" s="607"/>
      <c r="AE16" s="759" t="s">
        <v>144</v>
      </c>
      <c r="AF16" s="686" t="s">
        <v>153</v>
      </c>
      <c r="AG16" s="783">
        <v>1</v>
      </c>
      <c r="AH16" s="687"/>
      <c r="AI16" s="688"/>
      <c r="AJ16" s="689"/>
      <c r="AK16" s="690"/>
      <c r="AL16" s="691"/>
      <c r="AM16" s="692"/>
      <c r="AN16" s="693"/>
      <c r="AO16" s="694"/>
      <c r="AP16" s="695"/>
      <c r="AW16" s="260"/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260"/>
      <c r="BK16" s="260"/>
      <c r="BL16" s="260"/>
    </row>
    <row r="17" spans="1:65" s="259" customFormat="1" ht="144.75" thickBot="1">
      <c r="A17" s="696" t="s">
        <v>194</v>
      </c>
      <c r="B17" s="697" t="s">
        <v>75</v>
      </c>
      <c r="C17" s="698">
        <v>11</v>
      </c>
      <c r="D17" s="642" t="s">
        <v>176</v>
      </c>
      <c r="E17" s="643" t="s">
        <v>121</v>
      </c>
      <c r="F17" s="699"/>
      <c r="G17" s="645"/>
      <c r="H17" s="700" t="s">
        <v>177</v>
      </c>
      <c r="I17" s="643" t="s">
        <v>130</v>
      </c>
      <c r="J17" s="701" t="s">
        <v>108</v>
      </c>
      <c r="K17" s="647" t="s">
        <v>100</v>
      </c>
      <c r="L17" s="648"/>
      <c r="M17" s="649"/>
      <c r="N17" s="649"/>
      <c r="O17" s="649"/>
      <c r="P17" s="649"/>
      <c r="Q17" s="649"/>
      <c r="R17" s="649"/>
      <c r="S17" s="649"/>
      <c r="T17" s="649"/>
      <c r="U17" s="649"/>
      <c r="V17" s="649"/>
      <c r="W17" s="649"/>
      <c r="X17" s="649"/>
      <c r="Y17" s="650" t="e">
        <f t="shared" ref="Y17:Y20" si="4">LOOKUP(1000000000,M17:X17)</f>
        <v>#N/A</v>
      </c>
      <c r="Z17" s="646"/>
      <c r="AA17" s="649" t="e">
        <f t="shared" ref="AA17:AA19" si="5">+IF(SLOPE(M17:X17,$M$4:$X$4)&gt;0,"Al alza",IF(SLOPE(M17:X17,$M$4:$X$4)&lt;0,"A la baja","Sin cambio"))</f>
        <v>#DIV/0!</v>
      </c>
      <c r="AB17" s="651" t="s">
        <v>13</v>
      </c>
      <c r="AC17" s="652">
        <v>9.6100000000000005E-3</v>
      </c>
      <c r="AD17" s="653" t="str">
        <f>IF($K$17="Sube",IF(ISERROR(Y17/$L$17)=TRUE,"",IF(Y17&gt;$L$17,AC17,Y17/$L$17*AC17)),IF(ISERROR($L$17/Y17)=TRUE,"",IF($L$17&lt;Y17,$L$17/Y17*AC17,AC17)))</f>
        <v/>
      </c>
      <c r="AE17" s="782" t="s">
        <v>108</v>
      </c>
      <c r="AF17" s="702">
        <v>0.97599999999999998</v>
      </c>
      <c r="AG17" s="709">
        <v>0.98</v>
      </c>
      <c r="AH17" s="703" t="s">
        <v>173</v>
      </c>
      <c r="AI17" s="704">
        <v>0.96299999999999997</v>
      </c>
      <c r="AJ17" s="705" t="s">
        <v>173</v>
      </c>
      <c r="AK17" s="706"/>
      <c r="AL17" s="707"/>
      <c r="AM17" s="708">
        <v>0.98199999999999998</v>
      </c>
      <c r="AN17" s="709"/>
      <c r="AO17" s="710">
        <v>0.97</v>
      </c>
      <c r="AP17" s="711" t="s">
        <v>366</v>
      </c>
      <c r="AW17" s="260"/>
      <c r="AX17" s="261"/>
      <c r="AY17" s="261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0"/>
      <c r="BK17" s="260"/>
      <c r="BL17" s="260"/>
    </row>
    <row r="18" spans="1:65" s="259" customFormat="1" ht="107.25" customHeight="1">
      <c r="A18" s="807" t="s">
        <v>205</v>
      </c>
      <c r="B18" s="807" t="s">
        <v>79</v>
      </c>
      <c r="C18" s="534">
        <v>12</v>
      </c>
      <c r="D18" s="712" t="s">
        <v>137</v>
      </c>
      <c r="E18" s="713" t="s">
        <v>112</v>
      </c>
      <c r="F18" s="714"/>
      <c r="G18" s="715"/>
      <c r="H18" s="713" t="s">
        <v>175</v>
      </c>
      <c r="I18" s="713" t="s">
        <v>159</v>
      </c>
      <c r="J18" s="716" t="s">
        <v>146</v>
      </c>
      <c r="K18" s="664"/>
      <c r="L18" s="665"/>
      <c r="M18" s="666"/>
      <c r="N18" s="666"/>
      <c r="O18" s="666"/>
      <c r="P18" s="666"/>
      <c r="Q18" s="666"/>
      <c r="R18" s="666"/>
      <c r="S18" s="666"/>
      <c r="T18" s="666"/>
      <c r="U18" s="666"/>
      <c r="V18" s="666"/>
      <c r="W18" s="666"/>
      <c r="X18" s="666"/>
      <c r="Y18" s="667" t="e">
        <f t="shared" si="4"/>
        <v>#N/A</v>
      </c>
      <c r="Z18" s="668"/>
      <c r="AA18" s="666" t="e">
        <f t="shared" si="5"/>
        <v>#DIV/0!</v>
      </c>
      <c r="AB18" s="669" t="s">
        <v>13</v>
      </c>
      <c r="AC18" s="670">
        <v>9.6100000000000005E-3</v>
      </c>
      <c r="AD18" s="671" t="str">
        <f>IF($K$18="Sube",IF(ISERROR(Y18/$L$18)=TRUE,"",IF(Y18&gt;$L$18,AC18,Y18/$L$18*AC18)),IF(ISERROR($L$18/Y18)=TRUE,"",IF($L$18&lt;Y18,$L$18/Y18*AC18,AC18)))</f>
        <v/>
      </c>
      <c r="AE18" s="747" t="s">
        <v>144</v>
      </c>
      <c r="AF18" s="717">
        <v>41.3</v>
      </c>
      <c r="AG18" s="784">
        <v>50</v>
      </c>
      <c r="AH18" s="718"/>
      <c r="AI18" s="719"/>
      <c r="AJ18" s="720"/>
      <c r="AK18" s="721"/>
      <c r="AL18" s="722"/>
      <c r="AM18" s="723"/>
      <c r="AN18" s="773"/>
      <c r="AO18" s="773"/>
      <c r="AP18" s="724" t="s">
        <v>218</v>
      </c>
      <c r="AW18" s="260"/>
      <c r="AX18" s="261"/>
      <c r="AY18" s="261"/>
      <c r="AZ18" s="261"/>
      <c r="BA18" s="261"/>
      <c r="BB18" s="261"/>
      <c r="BC18" s="261"/>
      <c r="BD18" s="261"/>
      <c r="BE18" s="261"/>
      <c r="BF18" s="261"/>
      <c r="BG18" s="261"/>
      <c r="BH18" s="261"/>
      <c r="BI18" s="261"/>
      <c r="BJ18" s="260"/>
      <c r="BK18" s="260"/>
      <c r="BL18" s="260"/>
    </row>
    <row r="19" spans="1:65" s="259" customFormat="1" ht="72.75" thickBot="1">
      <c r="A19" s="809"/>
      <c r="B19" s="809"/>
      <c r="C19" s="595">
        <v>13</v>
      </c>
      <c r="D19" s="725" t="s">
        <v>138</v>
      </c>
      <c r="E19" s="726" t="s">
        <v>112</v>
      </c>
      <c r="F19" s="727"/>
      <c r="G19" s="728"/>
      <c r="H19" s="726" t="s">
        <v>346</v>
      </c>
      <c r="I19" s="726" t="s">
        <v>160</v>
      </c>
      <c r="J19" s="729" t="s">
        <v>146</v>
      </c>
      <c r="K19" s="601" t="s">
        <v>100</v>
      </c>
      <c r="L19" s="602"/>
      <c r="M19" s="603"/>
      <c r="N19" s="603"/>
      <c r="O19" s="603"/>
      <c r="P19" s="603"/>
      <c r="Q19" s="603"/>
      <c r="R19" s="603"/>
      <c r="S19" s="603"/>
      <c r="T19" s="603"/>
      <c r="U19" s="603"/>
      <c r="V19" s="603"/>
      <c r="W19" s="603"/>
      <c r="X19" s="603"/>
      <c r="Y19" s="604" t="e">
        <f t="shared" si="4"/>
        <v>#N/A</v>
      </c>
      <c r="Z19" s="600"/>
      <c r="AA19" s="603" t="e">
        <f t="shared" si="5"/>
        <v>#DIV/0!</v>
      </c>
      <c r="AB19" s="605" t="s">
        <v>13</v>
      </c>
      <c r="AC19" s="606">
        <v>9.6100000000000005E-3</v>
      </c>
      <c r="AD19" s="607" t="str">
        <f>IF($K$19="Sube",IF(ISERROR(Y19/$L$19)=TRUE,"",IF(Y19&gt;$L$19,AC19,Y19/$L$19*AC19)),IF(ISERROR($L$19/Y19)=TRUE,"",IF($L$19&lt;Y19,$L$19/Y19*AC19,AC19)))</f>
        <v/>
      </c>
      <c r="AE19" s="759" t="s">
        <v>144</v>
      </c>
      <c r="AF19" s="686"/>
      <c r="AG19" s="774"/>
      <c r="AH19" s="731"/>
      <c r="AI19" s="732"/>
      <c r="AJ19" s="733"/>
      <c r="AK19" s="734"/>
      <c r="AL19" s="598"/>
      <c r="AM19" s="735"/>
      <c r="AN19" s="774"/>
      <c r="AO19" s="730"/>
      <c r="AP19" s="772"/>
      <c r="AW19" s="260"/>
      <c r="AX19" s="261"/>
      <c r="AY19" s="261"/>
      <c r="AZ19" s="261"/>
      <c r="BA19" s="261"/>
      <c r="BB19" s="261"/>
      <c r="BC19" s="261"/>
      <c r="BD19" s="261"/>
      <c r="BE19" s="261"/>
      <c r="BF19" s="261"/>
      <c r="BG19" s="261"/>
      <c r="BH19" s="261"/>
      <c r="BI19" s="261"/>
      <c r="BJ19" s="260"/>
      <c r="BK19" s="260"/>
      <c r="BL19" s="260"/>
    </row>
    <row r="20" spans="1:65" s="259" customFormat="1" ht="69.75" customHeight="1">
      <c r="A20" s="807" t="s">
        <v>197</v>
      </c>
      <c r="B20" s="736" t="s">
        <v>80</v>
      </c>
      <c r="C20" s="534">
        <v>14</v>
      </c>
      <c r="D20" s="737" t="s">
        <v>139</v>
      </c>
      <c r="E20" s="738" t="s">
        <v>121</v>
      </c>
      <c r="F20" s="722"/>
      <c r="G20" s="722"/>
      <c r="H20" s="738" t="s">
        <v>186</v>
      </c>
      <c r="I20" s="738" t="s">
        <v>185</v>
      </c>
      <c r="J20" s="739" t="s">
        <v>145</v>
      </c>
      <c r="K20" s="664" t="s">
        <v>100</v>
      </c>
      <c r="L20" s="665"/>
      <c r="M20" s="666"/>
      <c r="N20" s="666"/>
      <c r="O20" s="666"/>
      <c r="P20" s="666"/>
      <c r="Q20" s="666"/>
      <c r="R20" s="666"/>
      <c r="S20" s="666"/>
      <c r="T20" s="666"/>
      <c r="U20" s="666"/>
      <c r="V20" s="666"/>
      <c r="W20" s="666"/>
      <c r="X20" s="666"/>
      <c r="Y20" s="667" t="e">
        <f t="shared" si="4"/>
        <v>#N/A</v>
      </c>
      <c r="Z20" s="668"/>
      <c r="AA20" s="666" t="e">
        <f>+IF(SLOPE(M20:X20,$M$4:$X$4)&gt;0,"Al alza",IF(SLOPE(M20:X20,$M$4:$X$4)&lt;0,"A la baja","Sin cambio"))</f>
        <v>#DIV/0!</v>
      </c>
      <c r="AB20" s="669" t="s">
        <v>13</v>
      </c>
      <c r="AC20" s="670">
        <v>9.6100000000000005E-3</v>
      </c>
      <c r="AD20" s="671" t="str">
        <f>IF($K$20="Sube",IF(ISERROR(Y20/$L$20)=TRUE,"",IF(Y20&gt;$L$20,AC20,Y20/$L$20*AC20)),IF(ISERROR($L$20/Y20)=TRUE,"",IF($L$20&lt;Y20,$L$20/Y20*AC20,AC20)))</f>
        <v/>
      </c>
      <c r="AE20" s="747" t="s">
        <v>148</v>
      </c>
      <c r="AF20" s="547">
        <v>1</v>
      </c>
      <c r="AG20" s="742">
        <v>1</v>
      </c>
      <c r="AH20" s="740"/>
      <c r="AI20" s="550"/>
      <c r="AJ20" s="551" t="s">
        <v>173</v>
      </c>
      <c r="AK20" s="549"/>
      <c r="AL20" s="552"/>
      <c r="AM20" s="741">
        <v>0.4</v>
      </c>
      <c r="AN20" s="742"/>
      <c r="AO20" s="743">
        <f>5648325168/9195800961</f>
        <v>0.61422873243504517</v>
      </c>
      <c r="AP20" s="724" t="s">
        <v>394</v>
      </c>
      <c r="AQ20" s="267">
        <v>2535256775.75</v>
      </c>
      <c r="AR20" s="259" t="s">
        <v>169</v>
      </c>
      <c r="AS20" s="268">
        <v>24852870354.630001</v>
      </c>
      <c r="AT20" s="259" t="s">
        <v>170</v>
      </c>
      <c r="AU20" s="269">
        <f>+AQ20/AQ23</f>
        <v>1.1527015655031936</v>
      </c>
      <c r="AW20" s="260"/>
      <c r="AX20" s="261"/>
      <c r="AY20" s="261"/>
      <c r="AZ20" s="261"/>
      <c r="BA20" s="261"/>
      <c r="BB20" s="261"/>
      <c r="BC20" s="261"/>
      <c r="BD20" s="261"/>
      <c r="BE20" s="261"/>
      <c r="BF20" s="261"/>
      <c r="BG20" s="261"/>
      <c r="BH20" s="261"/>
      <c r="BI20" s="261"/>
      <c r="BJ20" s="260"/>
      <c r="BK20" s="260"/>
      <c r="BL20" s="260"/>
    </row>
    <row r="21" spans="1:65" s="259" customFormat="1" ht="177.75" customHeight="1">
      <c r="A21" s="808"/>
      <c r="B21" s="808" t="s">
        <v>78</v>
      </c>
      <c r="C21" s="823">
        <v>15</v>
      </c>
      <c r="D21" s="837" t="s">
        <v>134</v>
      </c>
      <c r="E21" s="583" t="s">
        <v>135</v>
      </c>
      <c r="F21" s="584"/>
      <c r="G21" s="584"/>
      <c r="H21" s="835" t="s">
        <v>156</v>
      </c>
      <c r="I21" s="835" t="s">
        <v>136</v>
      </c>
      <c r="J21" s="744" t="s">
        <v>108</v>
      </c>
      <c r="K21" s="674" t="s">
        <v>100</v>
      </c>
      <c r="L21" s="588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90" t="e">
        <f t="shared" ref="Y21" si="6">LOOKUP(1000000000,M21:X21)</f>
        <v>#N/A</v>
      </c>
      <c r="Z21" s="587"/>
      <c r="AA21" s="589" t="e">
        <f t="shared" ref="AA21" si="7">+IF(SLOPE(M21:X21,$M$4:$X$4)&gt;0,"Al alza",IF(SLOPE(M21:X21,$M$4:$X$4)&lt;0,"A la baja","Sin cambio"))</f>
        <v>#DIV/0!</v>
      </c>
      <c r="AB21" s="675" t="s">
        <v>13</v>
      </c>
      <c r="AC21" s="592">
        <v>9.6100000000000005E-3</v>
      </c>
      <c r="AD21" s="676" t="e">
        <f>IF(#REF!="Sube",IF(ISERROR(Y21/#REF!)=TRUE,"",IF(Y21&gt;#REF!,AC21,Y21/#REF!*AC21)),IF(ISERROR(#REF!/Y21)=TRUE,"",IF(#REF!&lt;Y21,#REF!/Y21*AC21,AC21)))</f>
        <v>#REF!</v>
      </c>
      <c r="AE21" s="804" t="s">
        <v>148</v>
      </c>
      <c r="AF21" s="802" t="s">
        <v>153</v>
      </c>
      <c r="AG21" s="840" t="s">
        <v>187</v>
      </c>
      <c r="AH21" s="825"/>
      <c r="AI21" s="843"/>
      <c r="AJ21" s="821" t="s">
        <v>173</v>
      </c>
      <c r="AK21" s="847"/>
      <c r="AL21" s="849"/>
      <c r="AM21" s="857">
        <v>0</v>
      </c>
      <c r="AN21" s="845"/>
      <c r="AO21" s="785">
        <v>0.76</v>
      </c>
      <c r="AP21" s="833" t="s">
        <v>393</v>
      </c>
      <c r="AW21" s="260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0"/>
      <c r="BK21" s="260"/>
      <c r="BL21" s="260"/>
    </row>
    <row r="22" spans="1:65" s="259" customFormat="1" ht="91.5" customHeight="1" thickBot="1">
      <c r="A22" s="681" t="s">
        <v>206</v>
      </c>
      <c r="B22" s="809"/>
      <c r="C22" s="839"/>
      <c r="D22" s="838"/>
      <c r="E22" s="597"/>
      <c r="F22" s="598"/>
      <c r="G22" s="598"/>
      <c r="H22" s="836"/>
      <c r="I22" s="836"/>
      <c r="J22" s="745"/>
      <c r="K22" s="601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03"/>
      <c r="W22" s="603"/>
      <c r="X22" s="603"/>
      <c r="Y22" s="604"/>
      <c r="Z22" s="600"/>
      <c r="AA22" s="603"/>
      <c r="AB22" s="605"/>
      <c r="AC22" s="606"/>
      <c r="AD22" s="607"/>
      <c r="AE22" s="827"/>
      <c r="AF22" s="842"/>
      <c r="AG22" s="841"/>
      <c r="AH22" s="826"/>
      <c r="AI22" s="844"/>
      <c r="AJ22" s="822"/>
      <c r="AK22" s="848"/>
      <c r="AL22" s="850"/>
      <c r="AM22" s="858"/>
      <c r="AN22" s="846"/>
      <c r="AO22" s="786"/>
      <c r="AP22" s="834"/>
      <c r="AW22" s="260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0"/>
      <c r="BK22" s="260"/>
      <c r="BL22" s="260"/>
    </row>
    <row r="23" spans="1:65" s="259" customFormat="1" ht="108">
      <c r="A23" s="831" t="s">
        <v>204</v>
      </c>
      <c r="B23" s="663" t="s">
        <v>81</v>
      </c>
      <c r="C23" s="669">
        <v>16</v>
      </c>
      <c r="D23" s="738" t="s">
        <v>140</v>
      </c>
      <c r="E23" s="738" t="s">
        <v>112</v>
      </c>
      <c r="F23" s="722"/>
      <c r="G23" s="722"/>
      <c r="H23" s="738" t="s">
        <v>189</v>
      </c>
      <c r="I23" s="746" t="s">
        <v>172</v>
      </c>
      <c r="J23" s="739" t="s">
        <v>147</v>
      </c>
      <c r="K23" s="664" t="s">
        <v>100</v>
      </c>
      <c r="L23" s="665"/>
      <c r="M23" s="666"/>
      <c r="N23" s="666"/>
      <c r="O23" s="666"/>
      <c r="P23" s="666"/>
      <c r="Q23" s="666"/>
      <c r="R23" s="666"/>
      <c r="S23" s="666"/>
      <c r="T23" s="666"/>
      <c r="U23" s="666"/>
      <c r="V23" s="666"/>
      <c r="W23" s="666"/>
      <c r="X23" s="666"/>
      <c r="Y23" s="667"/>
      <c r="Z23" s="668"/>
      <c r="AA23" s="666"/>
      <c r="AB23" s="669"/>
      <c r="AC23" s="670"/>
      <c r="AD23" s="671"/>
      <c r="AE23" s="747" t="s">
        <v>107</v>
      </c>
      <c r="AF23" s="748">
        <f>24852870354.63/23954712885.28</f>
        <v>1.0374939776423666</v>
      </c>
      <c r="AG23" s="749" t="s">
        <v>190</v>
      </c>
      <c r="AH23" s="750" t="s">
        <v>173</v>
      </c>
      <c r="AI23" s="751">
        <v>0.86</v>
      </c>
      <c r="AJ23" s="752"/>
      <c r="AK23" s="752">
        <v>0.86</v>
      </c>
      <c r="AL23" s="752">
        <v>0.81</v>
      </c>
      <c r="AM23" s="753">
        <f>8050261391/8128583746</f>
        <v>0.99036457549711021</v>
      </c>
      <c r="AN23" s="754">
        <f>9678883433.75/9548112409.54</f>
        <v>1.0136960080276536</v>
      </c>
      <c r="AO23" s="755">
        <f>11136729605.95/12078720547.55</f>
        <v>0.92201235736089049</v>
      </c>
      <c r="AP23" s="756" t="s">
        <v>392</v>
      </c>
      <c r="AQ23" s="268">
        <v>2199404296.5</v>
      </c>
      <c r="AR23" s="259" t="s">
        <v>168</v>
      </c>
      <c r="AS23" s="259">
        <v>20823779894.189999</v>
      </c>
      <c r="AT23" s="259" t="s">
        <v>171</v>
      </c>
      <c r="AV23" s="270">
        <v>96169048</v>
      </c>
      <c r="AW23" s="271">
        <v>8050261391</v>
      </c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0"/>
      <c r="BK23" s="260"/>
      <c r="BL23" s="260"/>
    </row>
    <row r="24" spans="1:65" s="259" customFormat="1" ht="144.75" thickBot="1">
      <c r="A24" s="832"/>
      <c r="B24" s="757" t="s">
        <v>72</v>
      </c>
      <c r="C24" s="605">
        <v>17</v>
      </c>
      <c r="D24" s="597" t="s">
        <v>120</v>
      </c>
      <c r="E24" s="597" t="s">
        <v>121</v>
      </c>
      <c r="F24" s="598"/>
      <c r="G24" s="598"/>
      <c r="H24" s="597" t="s">
        <v>181</v>
      </c>
      <c r="I24" s="758" t="s">
        <v>152</v>
      </c>
      <c r="J24" s="745" t="s">
        <v>143</v>
      </c>
      <c r="K24" s="601" t="s">
        <v>100</v>
      </c>
      <c r="L24" s="602"/>
      <c r="M24" s="603"/>
      <c r="N24" s="603"/>
      <c r="O24" s="603"/>
      <c r="P24" s="603"/>
      <c r="Q24" s="603"/>
      <c r="R24" s="603"/>
      <c r="S24" s="603"/>
      <c r="T24" s="603"/>
      <c r="U24" s="603"/>
      <c r="V24" s="603"/>
      <c r="W24" s="603"/>
      <c r="X24" s="603"/>
      <c r="Y24" s="604" t="e">
        <f>LOOKUP(1000000000,M24:X24)</f>
        <v>#N/A</v>
      </c>
      <c r="Z24" s="600"/>
      <c r="AA24" s="603" t="e">
        <f>+IF(SLOPE(M24:X24,$M$4:$X$4)&gt;0,"Al alza",IF(SLOPE(M24:X24,$M$4:$X$4)&lt;0,"A la baja","Sin cambio"))</f>
        <v>#DIV/0!</v>
      </c>
      <c r="AB24" s="605" t="s">
        <v>13</v>
      </c>
      <c r="AC24" s="606">
        <v>9.6100000000000005E-3</v>
      </c>
      <c r="AD24" s="607" t="str">
        <f>IF($K$24="Sube",IF(ISERROR(Y24/$L$24)=TRUE,"",IF(Y24&gt;$L$24,AC24,Y24/$L$24*AC24)),IF(ISERROR($L$24/Y24)=TRUE,"",IF($L$24&lt;Y24,$L$24/Y24*AC24,AC24)))</f>
        <v/>
      </c>
      <c r="AE24" s="759" t="s">
        <v>148</v>
      </c>
      <c r="AF24" s="608">
        <f>440994470/600000000</f>
        <v>0.73499078333333334</v>
      </c>
      <c r="AG24" s="760">
        <v>0.8</v>
      </c>
      <c r="AH24" s="761"/>
      <c r="AI24" s="762"/>
      <c r="AJ24" s="762" t="s">
        <v>173</v>
      </c>
      <c r="AK24" s="762"/>
      <c r="AL24" s="762"/>
      <c r="AM24" s="763">
        <f>160000000/700000000</f>
        <v>0.22857142857142856</v>
      </c>
      <c r="AN24" s="760"/>
      <c r="AO24" s="764">
        <f>(139322549+160000000)/700000000</f>
        <v>0.42760364142857143</v>
      </c>
      <c r="AP24" s="616" t="s">
        <v>391</v>
      </c>
      <c r="AW24" s="260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0"/>
      <c r="BK24" s="260"/>
      <c r="BL24" s="260"/>
    </row>
    <row r="25" spans="1:65" s="259" customFormat="1" ht="108.75" thickBot="1">
      <c r="A25" s="807" t="s">
        <v>207</v>
      </c>
      <c r="B25" s="663" t="s">
        <v>142</v>
      </c>
      <c r="C25" s="534">
        <v>18</v>
      </c>
      <c r="D25" s="765" t="s">
        <v>162</v>
      </c>
      <c r="E25" s="766"/>
      <c r="F25" s="722"/>
      <c r="G25" s="722"/>
      <c r="H25" s="668" t="s">
        <v>161</v>
      </c>
      <c r="I25" s="668" t="s">
        <v>163</v>
      </c>
      <c r="J25" s="668"/>
      <c r="K25" s="664"/>
      <c r="L25" s="665"/>
      <c r="M25" s="666"/>
      <c r="N25" s="666"/>
      <c r="O25" s="666"/>
      <c r="P25" s="666"/>
      <c r="Q25" s="666"/>
      <c r="R25" s="666"/>
      <c r="S25" s="666"/>
      <c r="T25" s="666"/>
      <c r="U25" s="666"/>
      <c r="V25" s="666"/>
      <c r="W25" s="666"/>
      <c r="X25" s="666"/>
      <c r="Y25" s="667" t="e">
        <f t="shared" ref="Y25" si="8">LOOKUP(1000000000,M25:X25)</f>
        <v>#N/A</v>
      </c>
      <c r="Z25" s="668"/>
      <c r="AA25" s="666" t="e">
        <f>+IF(SLOPE(M25:X25,$M$4:$X$4)&gt;0,"Al alza",IF(SLOPE(M25:X25,$M$4:$X$4)&lt;0,"A la baja","Sin cambio"))</f>
        <v>#DIV/0!</v>
      </c>
      <c r="AB25" s="669" t="s">
        <v>13</v>
      </c>
      <c r="AC25" s="670">
        <v>9.6100000000000005E-3</v>
      </c>
      <c r="AD25" s="671" t="str">
        <f>IF($K$25="Sube",IF(ISERROR(Y25/$L$25)=TRUE,"",IF(Y25&gt;$L$25,AC25,Y25/$L$25*AC25)),IF(ISERROR($L$25/Y25)=TRUE,"",IF($L$25&lt;Y25,$L$25/Y25*AC25,AC25)))</f>
        <v/>
      </c>
      <c r="AE25" s="747" t="s">
        <v>174</v>
      </c>
      <c r="AF25" s="547">
        <v>0.67</v>
      </c>
      <c r="AG25" s="742">
        <v>1</v>
      </c>
      <c r="AH25" s="740" t="s">
        <v>173</v>
      </c>
      <c r="AI25" s="550">
        <v>0.83330000000000004</v>
      </c>
      <c r="AJ25" s="551" t="s">
        <v>173</v>
      </c>
      <c r="AK25" s="549"/>
      <c r="AL25" s="552">
        <v>0.83330000000000004</v>
      </c>
      <c r="AM25" s="767">
        <v>0.9</v>
      </c>
      <c r="AN25" s="661"/>
      <c r="AO25" s="710">
        <v>1</v>
      </c>
      <c r="AP25" s="711" t="s">
        <v>390</v>
      </c>
      <c r="AQ25" s="259">
        <v>4094</v>
      </c>
      <c r="AR25" s="259">
        <v>453</v>
      </c>
      <c r="AV25" s="270">
        <v>290739021</v>
      </c>
      <c r="AW25" s="271">
        <v>8128583746</v>
      </c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0"/>
      <c r="BK25" s="260"/>
      <c r="BL25" s="260"/>
    </row>
    <row r="26" spans="1:65" s="259" customFormat="1" ht="216.75" thickBot="1">
      <c r="A26" s="809"/>
      <c r="B26" s="681" t="s">
        <v>77</v>
      </c>
      <c r="C26" s="595">
        <v>19</v>
      </c>
      <c r="D26" s="596" t="s">
        <v>131</v>
      </c>
      <c r="E26" s="597" t="s">
        <v>114</v>
      </c>
      <c r="F26" s="598"/>
      <c r="G26" s="598"/>
      <c r="H26" s="597" t="s">
        <v>132</v>
      </c>
      <c r="I26" s="597" t="s">
        <v>133</v>
      </c>
      <c r="J26" s="745" t="s">
        <v>147</v>
      </c>
      <c r="K26" s="601" t="s">
        <v>141</v>
      </c>
      <c r="L26" s="602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X26" s="603"/>
      <c r="Y26" s="604" t="e">
        <f>LOOKUP(1000000000,M26:X26)</f>
        <v>#N/A</v>
      </c>
      <c r="Z26" s="600"/>
      <c r="AA26" s="603" t="e">
        <f>+IF(SLOPE(M26:X26,$M$4:$X$4)&gt;0,"Al alza",IF(SLOPE(M26:X26,$M$4:$X$4)&lt;0,"A la baja","Sin cambio"))</f>
        <v>#DIV/0!</v>
      </c>
      <c r="AB26" s="605" t="s">
        <v>13</v>
      </c>
      <c r="AC26" s="606">
        <v>9.6100000000000005E-3</v>
      </c>
      <c r="AD26" s="607" t="str">
        <f>IF($K$26="Sube",IF(ISERROR(Y26/$L$26)=TRUE,"",IF(Y26&gt;$L$26,AC26,Y26/$L$26*AC26)),IF(ISERROR($L$26/Y26)=TRUE,"",IF($L$26&lt;Y26,$L$26/Y26*AC26,AC26)))</f>
        <v/>
      </c>
      <c r="AE26" s="759" t="s">
        <v>107</v>
      </c>
      <c r="AF26" s="608">
        <v>0.11064973131411822</v>
      </c>
      <c r="AG26" s="760">
        <v>0.95</v>
      </c>
      <c r="AH26" s="761" t="s">
        <v>173</v>
      </c>
      <c r="AI26" s="768">
        <f>43/440</f>
        <v>9.7727272727272732E-2</v>
      </c>
      <c r="AJ26" s="769" t="s">
        <v>173</v>
      </c>
      <c r="AK26" s="770"/>
      <c r="AL26" s="762">
        <f>+'[2]Tablero Estratégico'!$AK$26</f>
        <v>0.47601476014760147</v>
      </c>
      <c r="AM26" s="768">
        <f>1-(170/186)</f>
        <v>8.6021505376344121E-2</v>
      </c>
      <c r="AN26" s="693">
        <f>1-(211/232)</f>
        <v>9.0517241379310387E-2</v>
      </c>
      <c r="AO26" s="693">
        <f>(197/202)</f>
        <v>0.97524752475247523</v>
      </c>
      <c r="AP26" s="771" t="s">
        <v>389</v>
      </c>
      <c r="AW26" s="260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0"/>
      <c r="BK26" s="260"/>
      <c r="BL26" s="260"/>
    </row>
    <row r="27" spans="1:65" ht="15.75" thickBot="1">
      <c r="AB27" s="182">
        <f>COUNTIF(AB5:AB25,"Si")</f>
        <v>16</v>
      </c>
      <c r="AC27" s="183">
        <f>COUNT(Y5:Y25)</f>
        <v>0</v>
      </c>
      <c r="AD27" s="184">
        <f>AC27/AB27</f>
        <v>0</v>
      </c>
      <c r="AE27" s="173"/>
      <c r="AG27" s="169"/>
      <c r="AH27" s="169"/>
      <c r="AI27" s="169"/>
      <c r="AJ27" s="169"/>
      <c r="AK27" s="169"/>
      <c r="AL27" s="169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</row>
    <row r="28" spans="1:65" ht="32.25" customHeight="1">
      <c r="AB28" s="169"/>
      <c r="AC28" s="168"/>
      <c r="AD28" s="168"/>
      <c r="AE28" s="168"/>
      <c r="AG28" s="169"/>
      <c r="AH28" s="169"/>
      <c r="AI28" s="169"/>
      <c r="AJ28" s="169"/>
      <c r="AK28" s="169"/>
      <c r="AL28" s="169"/>
      <c r="AP28" s="167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</row>
    <row r="29" spans="1:65" ht="24.75" hidden="1" customHeight="1">
      <c r="H29" s="167" t="s">
        <v>215</v>
      </c>
      <c r="I29" s="167" t="s">
        <v>216</v>
      </c>
      <c r="AB29" s="174" t="s">
        <v>18</v>
      </c>
      <c r="AC29" s="175" t="s">
        <v>19</v>
      </c>
      <c r="AD29" s="168"/>
      <c r="AE29" s="168"/>
      <c r="AG29" s="169"/>
      <c r="AH29" s="169"/>
      <c r="AM29" s="167" t="s">
        <v>215</v>
      </c>
      <c r="AP29" s="167" t="s">
        <v>216</v>
      </c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</row>
    <row r="30" spans="1:65" hidden="1">
      <c r="D30" s="167" t="s">
        <v>213</v>
      </c>
      <c r="H30" s="185">
        <v>2535256775.75</v>
      </c>
      <c r="I30" s="185">
        <v>4700915130.0900002</v>
      </c>
      <c r="AB30" s="176" t="s">
        <v>20</v>
      </c>
      <c r="AC30" s="177" t="s">
        <v>21</v>
      </c>
      <c r="AD30" s="168"/>
      <c r="AE30" s="186">
        <f>+I30-1151043807-45625308-60043704-2342966-482697505</f>
        <v>2959161840.0900002</v>
      </c>
      <c r="AF30" s="185">
        <f>+H30/AE30</f>
        <v>0.85674826614852961</v>
      </c>
      <c r="AG30" s="169"/>
      <c r="AH30" s="169"/>
      <c r="AI30" s="167" t="s">
        <v>213</v>
      </c>
      <c r="AM30" s="185">
        <v>2535256775.75</v>
      </c>
      <c r="AN30" s="185"/>
      <c r="AO30" s="185"/>
      <c r="AP30" s="185">
        <v>4700915130.0900002</v>
      </c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</row>
    <row r="31" spans="1:65" ht="30" hidden="1">
      <c r="D31" s="170" t="s">
        <v>214</v>
      </c>
      <c r="H31" s="185">
        <v>2631425823.75</v>
      </c>
      <c r="I31" s="185">
        <v>3249900862</v>
      </c>
      <c r="AB31" s="178" t="s">
        <v>22</v>
      </c>
      <c r="AC31" s="179" t="s">
        <v>23</v>
      </c>
      <c r="AD31" s="168"/>
      <c r="AE31" s="186">
        <f>+I31</f>
        <v>3249900862</v>
      </c>
      <c r="AF31" s="185">
        <f>+H31/AE31</f>
        <v>0.80969418314213182</v>
      </c>
      <c r="AG31" s="169"/>
      <c r="AH31" s="169"/>
      <c r="AI31" s="170" t="s">
        <v>214</v>
      </c>
      <c r="AJ31" s="170"/>
      <c r="AK31" s="170"/>
      <c r="AL31" s="170"/>
      <c r="AM31" s="185">
        <v>2631425823.75</v>
      </c>
      <c r="AN31" s="185"/>
      <c r="AO31" s="185"/>
      <c r="AP31" s="185">
        <v>3249900862</v>
      </c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</row>
    <row r="32" spans="1:65" hidden="1">
      <c r="AP32" s="167"/>
    </row>
    <row r="33" spans="4:42" hidden="1">
      <c r="D33" s="167" t="s">
        <v>217</v>
      </c>
      <c r="H33" s="185">
        <f>+H31-H30</f>
        <v>96169048</v>
      </c>
      <c r="I33" s="187">
        <f>+I30-I31</f>
        <v>1451014268.0900002</v>
      </c>
      <c r="AE33" s="185">
        <f>+AE31-AE30</f>
        <v>290739021.90999985</v>
      </c>
      <c r="AI33" s="167" t="s">
        <v>217</v>
      </c>
      <c r="AM33" s="185">
        <v>-96169048</v>
      </c>
      <c r="AN33" s="185"/>
      <c r="AO33" s="185"/>
      <c r="AP33" s="187">
        <v>1451014268.0900002</v>
      </c>
    </row>
    <row r="34" spans="4:42" hidden="1">
      <c r="H34" s="189">
        <f>+H33/H30</f>
        <v>3.7932665803269768E-2</v>
      </c>
      <c r="I34" s="187"/>
      <c r="AE34" s="189">
        <f>+AE33/AE30</f>
        <v>9.8250463347809763E-2</v>
      </c>
      <c r="AM34" s="187"/>
      <c r="AN34" s="187"/>
      <c r="AO34" s="187"/>
      <c r="AP34" s="187"/>
    </row>
    <row r="35" spans="4:42">
      <c r="H35" s="187"/>
      <c r="I35" s="187"/>
      <c r="AP35" s="167"/>
    </row>
    <row r="36" spans="4:42">
      <c r="H36" s="188"/>
      <c r="I36" s="188"/>
      <c r="AM36" s="188"/>
      <c r="AN36" s="188"/>
      <c r="AO36" s="188"/>
      <c r="AP36" s="188"/>
    </row>
    <row r="37" spans="4:42" ht="38.25" customHeight="1">
      <c r="H37" s="187"/>
      <c r="I37" s="187"/>
    </row>
  </sheetData>
  <mergeCells count="59">
    <mergeCell ref="AI21:AI22"/>
    <mergeCell ref="AN21:AN22"/>
    <mergeCell ref="AK21:AK22"/>
    <mergeCell ref="AL21:AL22"/>
    <mergeCell ref="AL12:AL13"/>
    <mergeCell ref="AN12:AN13"/>
    <mergeCell ref="AK14:AK15"/>
    <mergeCell ref="AL14:AL15"/>
    <mergeCell ref="AN14:AN15"/>
    <mergeCell ref="AM21:AM22"/>
    <mergeCell ref="AK12:AK13"/>
    <mergeCell ref="AE14:AE15"/>
    <mergeCell ref="A25:A26"/>
    <mergeCell ref="AP14:AP15"/>
    <mergeCell ref="AM14:AM15"/>
    <mergeCell ref="AH14:AH15"/>
    <mergeCell ref="A20:A21"/>
    <mergeCell ref="A23:A24"/>
    <mergeCell ref="A18:A19"/>
    <mergeCell ref="AP21:AP22"/>
    <mergeCell ref="H21:H22"/>
    <mergeCell ref="D21:D22"/>
    <mergeCell ref="C21:C22"/>
    <mergeCell ref="I21:I22"/>
    <mergeCell ref="AG21:AG22"/>
    <mergeCell ref="AF21:AF22"/>
    <mergeCell ref="B18:B19"/>
    <mergeCell ref="AO14:AO15"/>
    <mergeCell ref="B21:B22"/>
    <mergeCell ref="AI12:AI13"/>
    <mergeCell ref="AI14:AI15"/>
    <mergeCell ref="AJ12:AJ13"/>
    <mergeCell ref="AJ14:AJ15"/>
    <mergeCell ref="AJ21:AJ22"/>
    <mergeCell ref="C14:C15"/>
    <mergeCell ref="AG14:AG15"/>
    <mergeCell ref="C12:C13"/>
    <mergeCell ref="AH21:AH22"/>
    <mergeCell ref="I14:I15"/>
    <mergeCell ref="H14:H15"/>
    <mergeCell ref="D14:D15"/>
    <mergeCell ref="AE21:AE22"/>
    <mergeCell ref="AF14:AF15"/>
    <mergeCell ref="AO21:AO22"/>
    <mergeCell ref="AP12:AP13"/>
    <mergeCell ref="A1:AP2"/>
    <mergeCell ref="AM12:AM13"/>
    <mergeCell ref="AH12:AH13"/>
    <mergeCell ref="AG12:AG13"/>
    <mergeCell ref="AF12:AF13"/>
    <mergeCell ref="AE12:AE13"/>
    <mergeCell ref="I12:I13"/>
    <mergeCell ref="H12:H13"/>
    <mergeCell ref="B12:B16"/>
    <mergeCell ref="C4:D4"/>
    <mergeCell ref="B8:B9"/>
    <mergeCell ref="B5:B7"/>
    <mergeCell ref="D12:D13"/>
    <mergeCell ref="A6:A9"/>
  </mergeCells>
  <dataValidations disablePrompts="1" count="2">
    <dataValidation type="list" allowBlank="1" showInputMessage="1" showErrorMessage="1" sqref="K5:K26">
      <formula1>"Sube,Baja,Tendencia Media"</formula1>
    </dataValidation>
    <dataValidation type="list" allowBlank="1" showInputMessage="1" showErrorMessage="1" sqref="AB5:AB26">
      <formula1>"Si,No"</formula1>
    </dataValidation>
  </dataValidations>
  <pageMargins left="0.19685039370078741" right="0" top="0.19685039370078741" bottom="0" header="0.31496062992125984" footer="0.31496062992125984"/>
  <pageSetup paperSize="9" scale="20" orientation="landscape" verticalDpi="4294967292" r:id="rId1"/>
  <ignoredErrors>
    <ignoredError sqref="Y15 Y12" evalError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Estratégico'!M21:X21</xm:f>
              <xm:sqref>Z21</xm:sqref>
            </x14:sparkline>
            <x14:sparkline>
              <xm:f>'Tablero Estratégico'!M22:X22</xm:f>
              <xm:sqref>Z22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Estratégico'!M11:X11</xm:f>
              <xm:sqref>Z11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Estratégico'!M6:X6</xm:f>
              <xm:sqref>Z6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Estratégico'!M5:X5</xm:f>
              <xm:sqref>Z5</xm:sqref>
            </x14:sparkline>
            <x14:sparkline>
              <xm:f>'Tablero Estratégico'!M7:X7</xm:f>
              <xm:sqref>Z7</xm:sqref>
            </x14:sparkline>
            <x14:sparkline>
              <xm:f>'Tablero Estratégico'!M10:X10</xm:f>
              <xm:sqref>Z10</xm:sqref>
            </x14:sparkline>
            <x14:sparkline>
              <xm:f>'Tablero Estratégico'!M24:X24</xm:f>
              <xm:sqref>Z24</xm:sqref>
            </x14:sparkline>
            <x14:sparkline>
              <xm:f>'Tablero Estratégico'!M8:X8</xm:f>
              <xm:sqref>Z8</xm:sqref>
            </x14:sparkline>
            <x14:sparkline>
              <xm:f>'Tablero Estratégico'!M9:X9</xm:f>
              <xm:sqref>Z9</xm:sqref>
            </x14:sparkline>
            <x14:sparkline>
              <xm:f>'Tablero Estratégico'!M12:X12</xm:f>
              <xm:sqref>Z12</xm:sqref>
            </x14:sparkline>
            <x14:sparkline>
              <xm:f>'Tablero Estratégico'!M13:X13</xm:f>
              <xm:sqref>Z13</xm:sqref>
            </x14:sparkline>
            <x14:sparkline>
              <xm:f>'Tablero Estratégico'!M14:X14</xm:f>
              <xm:sqref>Z14</xm:sqref>
            </x14:sparkline>
            <x14:sparkline>
              <xm:f>'Tablero Estratégico'!M15:X15</xm:f>
              <xm:sqref>Z15</xm:sqref>
            </x14:sparkline>
            <x14:sparkline>
              <xm:f>'Tablero Estratégico'!M16:X16</xm:f>
              <xm:sqref>Z16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Estratégico'!M17:X17</xm:f>
              <xm:sqref>Z17</xm:sqref>
            </x14:sparkline>
            <x14:sparkline>
              <xm:f>'Tablero Estratégico'!M26:X26</xm:f>
              <xm:sqref>Z26</xm:sqref>
            </x14:sparkline>
            <x14:sparkline>
              <xm:f>'Tablero Estratégico'!M18:X18</xm:f>
              <xm:sqref>Z18</xm:sqref>
            </x14:sparkline>
            <x14:sparkline>
              <xm:f>'Tablero Estratégico'!M19:X19</xm:f>
              <xm:sqref>Z19</xm:sqref>
            </x14:sparkline>
            <x14:sparkline>
              <xm:f>'Tablero Estratégico'!M20:X20</xm:f>
              <xm:sqref>Z20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Estratégico'!M25:X25</xm:f>
              <xm:sqref>Z25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Estratégico'!M23:X23</xm:f>
              <xm:sqref>Z23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17"/>
  <sheetViews>
    <sheetView workbookViewId="0">
      <selection activeCell="J9" sqref="J9"/>
    </sheetView>
  </sheetViews>
  <sheetFormatPr baseColWidth="10" defaultRowHeight="15"/>
  <sheetData>
    <row r="6" spans="5:7">
      <c r="E6" t="s">
        <v>370</v>
      </c>
      <c r="F6" t="s">
        <v>371</v>
      </c>
      <c r="G6" t="s">
        <v>372</v>
      </c>
    </row>
    <row r="7" spans="5:7">
      <c r="E7">
        <v>20</v>
      </c>
      <c r="F7">
        <v>8</v>
      </c>
      <c r="G7">
        <v>12</v>
      </c>
    </row>
    <row r="8" spans="5:7">
      <c r="E8">
        <v>8</v>
      </c>
      <c r="F8">
        <v>5</v>
      </c>
      <c r="G8">
        <v>3</v>
      </c>
    </row>
    <row r="9" spans="5:7">
      <c r="E9">
        <v>20</v>
      </c>
      <c r="F9">
        <v>8</v>
      </c>
      <c r="G9">
        <v>12</v>
      </c>
    </row>
    <row r="10" spans="5:7">
      <c r="E10">
        <v>6</v>
      </c>
      <c r="F10">
        <v>3</v>
      </c>
      <c r="G10">
        <v>3</v>
      </c>
    </row>
    <row r="11" spans="5:7">
      <c r="E11">
        <v>20</v>
      </c>
      <c r="F11">
        <v>0</v>
      </c>
      <c r="G11">
        <v>20</v>
      </c>
    </row>
    <row r="12" spans="5:7">
      <c r="E12">
        <v>11</v>
      </c>
      <c r="F12">
        <v>0</v>
      </c>
      <c r="G12">
        <v>11</v>
      </c>
    </row>
    <row r="13" spans="5:7">
      <c r="E13">
        <v>12</v>
      </c>
      <c r="F13">
        <v>0</v>
      </c>
      <c r="G13">
        <v>12</v>
      </c>
    </row>
    <row r="14" spans="5:7">
      <c r="E14">
        <v>1</v>
      </c>
      <c r="F14">
        <v>0</v>
      </c>
      <c r="G14">
        <v>1</v>
      </c>
    </row>
    <row r="15" spans="5:7">
      <c r="E15">
        <f>SUM(E7:E14)</f>
        <v>98</v>
      </c>
      <c r="F15">
        <f>SUM(F7:F14)</f>
        <v>24</v>
      </c>
      <c r="G15">
        <f>SUM(G7:G14)</f>
        <v>74</v>
      </c>
    </row>
    <row r="17" spans="6:7">
      <c r="F17" s="189">
        <f>+F15/E15</f>
        <v>0.24489795918367346</v>
      </c>
      <c r="G17" s="189">
        <f>+G15/E15</f>
        <v>0.75510204081632648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0"/>
  <sheetViews>
    <sheetView zoomScale="70" zoomScaleNormal="70" workbookViewId="0">
      <pane xSplit="2" ySplit="7" topLeftCell="C38" activePane="bottomRight" state="frozen"/>
      <selection activeCell="H17" sqref="H17"/>
      <selection pane="topRight" activeCell="H17" sqref="H17"/>
      <selection pane="bottomLeft" activeCell="H17" sqref="H17"/>
      <selection pane="bottomRight" activeCell="AH12" sqref="AH12"/>
    </sheetView>
  </sheetViews>
  <sheetFormatPr baseColWidth="10" defaultColWidth="11.42578125" defaultRowHeight="15" outlineLevelCol="1"/>
  <cols>
    <col min="1" max="1" width="34.5703125" customWidth="1"/>
    <col min="2" max="2" width="16.42578125" hidden="1" customWidth="1"/>
    <col min="3" max="3" width="56.140625" customWidth="1"/>
    <col min="4" max="4" width="40.28515625" style="77" customWidth="1"/>
    <col min="5" max="6" width="4.42578125" hidden="1" customWidth="1"/>
    <col min="7" max="7" width="51" customWidth="1"/>
    <col min="8" max="8" width="48.42578125" customWidth="1"/>
    <col min="9" max="9" width="35.140625" customWidth="1"/>
    <col min="10" max="10" width="16" customWidth="1"/>
    <col min="11" max="11" width="9.42578125" hidden="1" customWidth="1"/>
    <col min="12" max="12" width="16.5703125" style="72" customWidth="1"/>
    <col min="13" max="24" width="7.7109375" hidden="1" customWidth="1" outlineLevel="1"/>
    <col min="25" max="25" width="11.42578125" style="67" hidden="1" customWidth="1"/>
    <col min="26" max="26" width="31.42578125" hidden="1" customWidth="1"/>
    <col min="27" max="27" width="11.42578125" hidden="1" customWidth="1"/>
    <col min="28" max="28" width="16.42578125" customWidth="1"/>
    <col min="29" max="29" width="19.140625" customWidth="1"/>
    <col min="30" max="30" width="14.140625" hidden="1" customWidth="1"/>
    <col min="31" max="31" width="16.28515625" hidden="1" customWidth="1"/>
    <col min="32" max="32" width="16.28515625" customWidth="1"/>
    <col min="33" max="33" width="13.85546875" customWidth="1"/>
    <col min="34" max="34" width="88.140625" customWidth="1"/>
    <col min="35" max="35" width="34.85546875" customWidth="1"/>
    <col min="36" max="36" width="13.140625" hidden="1" customWidth="1"/>
    <col min="37" max="37" width="27.140625" bestFit="1" customWidth="1"/>
    <col min="46" max="46" width="7" bestFit="1" customWidth="1"/>
    <col min="47" max="47" width="8.85546875" bestFit="1" customWidth="1"/>
    <col min="48" max="48" width="7.42578125" bestFit="1" customWidth="1"/>
    <col min="49" max="49" width="6" bestFit="1" customWidth="1"/>
    <col min="50" max="51" width="6.42578125" bestFit="1" customWidth="1"/>
    <col min="52" max="52" width="5.85546875" bestFit="1" customWidth="1"/>
    <col min="53" max="53" width="8.42578125" bestFit="1" customWidth="1"/>
    <col min="54" max="54" width="11.85546875" customWidth="1"/>
    <col min="55" max="55" width="9.140625" bestFit="1" customWidth="1"/>
    <col min="56" max="56" width="11.85546875" customWidth="1"/>
    <col min="57" max="57" width="10.42578125" bestFit="1" customWidth="1"/>
    <col min="71" max="76" width="9.42578125" customWidth="1"/>
  </cols>
  <sheetData>
    <row r="1" spans="1:60" ht="15" customHeight="1">
      <c r="A1" s="881" t="s">
        <v>47</v>
      </c>
      <c r="B1" s="881"/>
      <c r="C1" s="882"/>
      <c r="D1" s="883" t="s">
        <v>56</v>
      </c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884"/>
      <c r="T1" s="884"/>
      <c r="U1" s="884"/>
      <c r="V1" s="884"/>
      <c r="W1" s="884"/>
      <c r="X1" s="884"/>
      <c r="Y1" s="884"/>
      <c r="Z1" s="884"/>
      <c r="AA1" s="884"/>
      <c r="AB1" s="885"/>
      <c r="AC1" s="860" t="s">
        <v>31</v>
      </c>
      <c r="AD1" s="860"/>
    </row>
    <row r="2" spans="1:60" ht="15" customHeight="1">
      <c r="A2" s="882"/>
      <c r="B2" s="882"/>
      <c r="C2" s="882"/>
      <c r="D2" s="886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887"/>
      <c r="P2" s="887"/>
      <c r="Q2" s="887"/>
      <c r="R2" s="887"/>
      <c r="S2" s="887"/>
      <c r="T2" s="887"/>
      <c r="U2" s="887"/>
      <c r="V2" s="887"/>
      <c r="W2" s="887"/>
      <c r="X2" s="887"/>
      <c r="Y2" s="887"/>
      <c r="Z2" s="887"/>
      <c r="AA2" s="887"/>
      <c r="AB2" s="888"/>
      <c r="AC2" s="860"/>
      <c r="AD2" s="860"/>
    </row>
    <row r="3" spans="1:60" ht="15" customHeight="1">
      <c r="A3" s="882"/>
      <c r="B3" s="882"/>
      <c r="C3" s="882"/>
      <c r="D3" s="889"/>
      <c r="E3" s="890"/>
      <c r="F3" s="890"/>
      <c r="G3" s="890"/>
      <c r="H3" s="890"/>
      <c r="I3" s="890"/>
      <c r="J3" s="890"/>
      <c r="K3" s="890"/>
      <c r="L3" s="890"/>
      <c r="M3" s="890"/>
      <c r="N3" s="890"/>
      <c r="O3" s="890"/>
      <c r="P3" s="890"/>
      <c r="Q3" s="890"/>
      <c r="R3" s="890"/>
      <c r="S3" s="890"/>
      <c r="T3" s="890"/>
      <c r="U3" s="890"/>
      <c r="V3" s="890"/>
      <c r="W3" s="890"/>
      <c r="X3" s="890"/>
      <c r="Y3" s="890"/>
      <c r="Z3" s="890"/>
      <c r="AA3" s="890"/>
      <c r="AB3" s="891"/>
      <c r="AC3" s="860"/>
      <c r="AD3" s="860"/>
    </row>
    <row r="4" spans="1:60" ht="15" customHeight="1">
      <c r="A4" s="882"/>
      <c r="B4" s="882"/>
      <c r="C4" s="882"/>
      <c r="D4" s="861" t="s">
        <v>44</v>
      </c>
      <c r="E4" s="862"/>
      <c r="F4" s="862"/>
      <c r="G4" s="862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2"/>
      <c r="X4" s="862"/>
      <c r="Y4" s="862"/>
      <c r="Z4" s="862"/>
      <c r="AA4" s="862"/>
      <c r="AB4" s="863"/>
      <c r="AC4" s="867" t="s">
        <v>32</v>
      </c>
      <c r="AD4" s="867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</row>
    <row r="5" spans="1:60" ht="15" customHeight="1">
      <c r="A5" s="882"/>
      <c r="B5" s="882"/>
      <c r="C5" s="882"/>
      <c r="D5" s="864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  <c r="P5" s="865"/>
      <c r="Q5" s="865"/>
      <c r="R5" s="865"/>
      <c r="S5" s="865"/>
      <c r="T5" s="865"/>
      <c r="U5" s="865"/>
      <c r="V5" s="865"/>
      <c r="W5" s="865"/>
      <c r="X5" s="865"/>
      <c r="Y5" s="865"/>
      <c r="Z5" s="865"/>
      <c r="AA5" s="865"/>
      <c r="AB5" s="866"/>
      <c r="AC5" s="868">
        <v>42731</v>
      </c>
      <c r="AD5" s="868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</row>
    <row r="6" spans="1:60" ht="15.75" thickBot="1"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</row>
    <row r="7" spans="1:60" ht="105.75" thickBot="1">
      <c r="A7" s="273" t="s">
        <v>1</v>
      </c>
      <c r="B7" s="274"/>
      <c r="C7" s="274" t="s">
        <v>2</v>
      </c>
      <c r="D7" s="274" t="s">
        <v>50</v>
      </c>
      <c r="E7" s="274" t="s">
        <v>57</v>
      </c>
      <c r="F7" s="274" t="s">
        <v>58</v>
      </c>
      <c r="G7" s="274" t="s">
        <v>3</v>
      </c>
      <c r="H7" s="274" t="s">
        <v>62</v>
      </c>
      <c r="I7" s="274" t="s">
        <v>224</v>
      </c>
      <c r="J7" s="274" t="s">
        <v>5</v>
      </c>
      <c r="K7" s="274" t="s">
        <v>6</v>
      </c>
      <c r="L7" s="274" t="s">
        <v>4</v>
      </c>
      <c r="M7" s="275">
        <v>42736</v>
      </c>
      <c r="N7" s="275">
        <v>42767</v>
      </c>
      <c r="O7" s="275">
        <v>42795</v>
      </c>
      <c r="P7" s="275">
        <v>42826</v>
      </c>
      <c r="Q7" s="275">
        <v>42856</v>
      </c>
      <c r="R7" s="275">
        <v>42887</v>
      </c>
      <c r="S7" s="275">
        <v>42917</v>
      </c>
      <c r="T7" s="275">
        <v>42948</v>
      </c>
      <c r="U7" s="275">
        <v>42979</v>
      </c>
      <c r="V7" s="275">
        <v>43009</v>
      </c>
      <c r="W7" s="275">
        <v>43040</v>
      </c>
      <c r="X7" s="275">
        <v>43070</v>
      </c>
      <c r="Y7" s="274" t="s">
        <v>10</v>
      </c>
      <c r="Z7" s="274" t="s">
        <v>54</v>
      </c>
      <c r="AA7" s="274" t="s">
        <v>60</v>
      </c>
      <c r="AB7" s="274" t="s">
        <v>9</v>
      </c>
      <c r="AC7" s="276" t="s">
        <v>11</v>
      </c>
      <c r="AD7" s="276" t="s">
        <v>12</v>
      </c>
      <c r="AE7" s="276" t="s">
        <v>55</v>
      </c>
      <c r="AF7" s="277" t="s">
        <v>348</v>
      </c>
      <c r="AG7" s="277" t="s">
        <v>350</v>
      </c>
      <c r="AH7" s="278" t="s">
        <v>165</v>
      </c>
      <c r="AI7" s="504" t="s">
        <v>7</v>
      </c>
      <c r="AJ7" s="246" t="s">
        <v>8</v>
      </c>
      <c r="AR7" s="64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4"/>
      <c r="BG7" s="64"/>
    </row>
    <row r="8" spans="1:60" ht="36.75" customHeight="1">
      <c r="A8" s="872" t="s">
        <v>225</v>
      </c>
      <c r="B8" s="279">
        <v>1</v>
      </c>
      <c r="C8" s="280" t="s">
        <v>116</v>
      </c>
      <c r="D8" s="281" t="s">
        <v>112</v>
      </c>
      <c r="E8" s="282"/>
      <c r="F8" s="283"/>
      <c r="G8" s="280" t="s">
        <v>226</v>
      </c>
      <c r="H8" s="280" t="s">
        <v>227</v>
      </c>
      <c r="I8" s="284">
        <v>0.1111111111111111</v>
      </c>
      <c r="J8" s="285" t="s">
        <v>144</v>
      </c>
      <c r="K8" s="286" t="s">
        <v>115</v>
      </c>
      <c r="L8" s="287">
        <v>0.1111111111111111</v>
      </c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9" t="e">
        <f>LOOKUP(1000000000,M8:X8)</f>
        <v>#N/A</v>
      </c>
      <c r="Z8" s="290"/>
      <c r="AA8" s="288" t="e">
        <f t="shared" ref="AA8:AA27" si="0">+IF(SLOPE(M8:X8,$M$7:$X$7)&gt;0,"Al alza",IF(SLOPE(M8:X8,$M$7:$X$7)&lt;0,"A la baja","Sin cambio"))</f>
        <v>#DIV/0!</v>
      </c>
      <c r="AB8" s="291" t="s">
        <v>13</v>
      </c>
      <c r="AC8" s="292">
        <v>9.6100000000000005E-3</v>
      </c>
      <c r="AD8" s="293" t="str">
        <f>IF($K$8="Sube",IF(ISERROR(Y8/$L$8)=TRUE,"",IF(Y8&gt;$L$8,AC8,Y8/$L$8*AC8)),IF(ISERROR($L$8/Y8)=TRUE,"",IF($L$8&lt;Y8,$L$8/Y8*AC8,AC8)))</f>
        <v/>
      </c>
      <c r="AE8" s="294" t="str">
        <f>IF($K$8="Sube",IF(ISERROR(Y8/$L$8)=TRUE,"",IF(Y8&gt;=$L$8,1,0)),IF(ISERROR($L$8/Y8)=TRUE,"",IF($L$8&lt;Y8,0,1)))</f>
        <v/>
      </c>
      <c r="AF8" s="295"/>
      <c r="AG8" s="296"/>
      <c r="AH8" s="505"/>
      <c r="AI8" s="199"/>
      <c r="AJ8" s="137"/>
      <c r="AR8" s="64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4"/>
      <c r="BF8" s="64"/>
      <c r="BG8" s="64"/>
    </row>
    <row r="9" spans="1:60" ht="40.5">
      <c r="A9" s="870"/>
      <c r="B9" s="297">
        <v>2</v>
      </c>
      <c r="C9" s="298" t="s">
        <v>228</v>
      </c>
      <c r="D9" s="299" t="s">
        <v>112</v>
      </c>
      <c r="E9" s="300"/>
      <c r="F9" s="301"/>
      <c r="G9" s="298" t="s">
        <v>229</v>
      </c>
      <c r="H9" s="298" t="s">
        <v>118</v>
      </c>
      <c r="I9" s="302" t="s">
        <v>305</v>
      </c>
      <c r="J9" s="303" t="s">
        <v>144</v>
      </c>
      <c r="K9" s="304"/>
      <c r="L9" s="305">
        <f>+(9.9925/9.9204)-1</f>
        <v>7.2678521027376153E-3</v>
      </c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7" t="e">
        <f>LOOKUP(1000000000,M9:X9)</f>
        <v>#N/A</v>
      </c>
      <c r="Z9" s="308"/>
      <c r="AA9" s="306" t="e">
        <f t="shared" si="0"/>
        <v>#DIV/0!</v>
      </c>
      <c r="AB9" s="309" t="s">
        <v>13</v>
      </c>
      <c r="AC9" s="310">
        <v>9.6100000000000005E-3</v>
      </c>
      <c r="AD9" s="311" t="str">
        <f>IF($K$9="Sube",IF(ISERROR(Y9/$L$9)=TRUE,"",IF(Y9&gt;$L$9,AC9,Y9/$L$9*AC9)),IF(ISERROR($L$9/Y9)=TRUE,"",IF($L$9&lt;Y9,$L$9/Y9*AC9,AC9)))</f>
        <v/>
      </c>
      <c r="AE9" s="312" t="str">
        <f>IF($K$9="Sube",IF(ISERROR(Y9/$L$9)=TRUE,"",IF(Y9&gt;=$L$9,1,0)),IF(ISERROR($L$9/Y9)=TRUE,"",IF($L$9&lt;Y9,0,1)))</f>
        <v/>
      </c>
      <c r="AF9" s="313"/>
      <c r="AG9" s="314"/>
      <c r="AH9" s="506"/>
      <c r="AI9" s="247"/>
      <c r="AJ9" s="138"/>
      <c r="AR9" s="64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4"/>
      <c r="BF9" s="64"/>
      <c r="BG9" s="64"/>
    </row>
    <row r="10" spans="1:60" ht="60.75">
      <c r="A10" s="870"/>
      <c r="B10" s="297">
        <v>3</v>
      </c>
      <c r="C10" s="298" t="s">
        <v>117</v>
      </c>
      <c r="D10" s="299" t="s">
        <v>112</v>
      </c>
      <c r="E10" s="300"/>
      <c r="F10" s="301"/>
      <c r="G10" s="298" t="s">
        <v>230</v>
      </c>
      <c r="H10" s="298" t="s">
        <v>119</v>
      </c>
      <c r="I10" s="315" t="s">
        <v>231</v>
      </c>
      <c r="J10" s="316" t="s">
        <v>108</v>
      </c>
      <c r="K10" s="304"/>
      <c r="L10" s="317" t="s">
        <v>344</v>
      </c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7" t="e">
        <f t="shared" ref="Y10:Y48" si="1">LOOKUP(1000000000,M10:X10)</f>
        <v>#N/A</v>
      </c>
      <c r="Z10" s="308"/>
      <c r="AA10" s="306" t="e">
        <f t="shared" si="0"/>
        <v>#DIV/0!</v>
      </c>
      <c r="AB10" s="309" t="s">
        <v>13</v>
      </c>
      <c r="AC10" s="310">
        <v>9.6100000000000005E-3</v>
      </c>
      <c r="AD10" s="311" t="str">
        <f>IF($K$10="Sube",IF(ISERROR(Y10/$L$10)=TRUE,"",IF(Y10&gt;$L$10,AC10,Y10/$L$10*AC10)),IF(ISERROR($L$10/Y10)=TRUE,"",IF($L$10&lt;Y10,$L$10/Y10*AC10,AC10)))</f>
        <v/>
      </c>
      <c r="AE10" s="312" t="str">
        <f>IF($K$10="Sube",IF(ISERROR(Y10/$L$10)=TRUE,"",IF(Y10&gt;=$L$10,1,0)),IF(ISERROR($L$10/Y10)=TRUE,"",IF($L$10&lt;Y10,0,1)))</f>
        <v/>
      </c>
      <c r="AF10" s="313"/>
      <c r="AG10" s="314"/>
      <c r="AH10" s="506"/>
      <c r="AI10" s="247"/>
      <c r="AJ10" s="138"/>
      <c r="AR10" s="64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4"/>
      <c r="BG10" s="64"/>
    </row>
    <row r="11" spans="1:60" ht="40.5">
      <c r="A11" s="870"/>
      <c r="B11" s="297"/>
      <c r="C11" s="298" t="s">
        <v>342</v>
      </c>
      <c r="D11" s="299" t="s">
        <v>121</v>
      </c>
      <c r="E11" s="302"/>
      <c r="F11" s="318"/>
      <c r="G11" s="298" t="s">
        <v>232</v>
      </c>
      <c r="H11" s="298" t="s">
        <v>233</v>
      </c>
      <c r="I11" s="319">
        <v>0.94169999999999998</v>
      </c>
      <c r="J11" s="316" t="s">
        <v>234</v>
      </c>
      <c r="K11" s="304"/>
      <c r="L11" s="317">
        <v>1</v>
      </c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7" t="e">
        <f t="shared" si="1"/>
        <v>#N/A</v>
      </c>
      <c r="Z11" s="308"/>
      <c r="AA11" s="306" t="e">
        <f t="shared" si="0"/>
        <v>#DIV/0!</v>
      </c>
      <c r="AB11" s="309" t="s">
        <v>13</v>
      </c>
      <c r="AC11" s="310">
        <v>9.6100000000000005E-3</v>
      </c>
      <c r="AD11" s="311" t="str">
        <f>IF($K$11="Sube",IF(ISERROR(Y11/$L$11)=TRUE,"",IF(Y11&gt;$L$11,AC11,Y11/$L$11*AC11)),IF(ISERROR($L$11/Y11)=TRUE,"",IF($L$11&lt;Y11,$L$11/Y11*AC11,AC11)))</f>
        <v/>
      </c>
      <c r="AE11" s="312" t="str">
        <f>IF($K$11="Sube",IF(ISERROR(Y11/$L$11)=TRUE,"",IF(Y11&gt;=$L$11,1,0)),IF(ISERROR($L$11/Y11)=TRUE,"",IF($L$11&lt;Y11,0,1)))</f>
        <v/>
      </c>
      <c r="AF11" s="313"/>
      <c r="AG11" s="320">
        <v>0.96</v>
      </c>
      <c r="AH11" s="507" t="s">
        <v>379</v>
      </c>
      <c r="AI11" s="253" t="s">
        <v>347</v>
      </c>
      <c r="AJ11" s="138"/>
      <c r="AR11" s="64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4"/>
      <c r="BG11" s="64"/>
    </row>
    <row r="12" spans="1:60" s="195" customFormat="1" ht="102" thickBot="1">
      <c r="A12" s="873"/>
      <c r="B12" s="321"/>
      <c r="C12" s="322" t="s">
        <v>235</v>
      </c>
      <c r="D12" s="323" t="s">
        <v>121</v>
      </c>
      <c r="E12" s="322"/>
      <c r="F12" s="322"/>
      <c r="G12" s="324" t="s">
        <v>236</v>
      </c>
      <c r="H12" s="324" t="s">
        <v>237</v>
      </c>
      <c r="I12" s="325">
        <v>0.97</v>
      </c>
      <c r="J12" s="326" t="s">
        <v>238</v>
      </c>
      <c r="K12" s="327"/>
      <c r="L12" s="328">
        <v>0.98</v>
      </c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30" t="e">
        <f t="shared" si="1"/>
        <v>#N/A</v>
      </c>
      <c r="Z12" s="331"/>
      <c r="AA12" s="329" t="e">
        <f t="shared" si="0"/>
        <v>#DIV/0!</v>
      </c>
      <c r="AB12" s="332" t="s">
        <v>13</v>
      </c>
      <c r="AC12" s="333">
        <v>9.6100000000000005E-3</v>
      </c>
      <c r="AD12" s="334" t="str">
        <f>IF($K$12="Sube",IF(ISERROR(Y12/$L$12)=TRUE,"",IF(Y12&gt;$L$12,AC12,Y12/$L$12*AC12)),IF(ISERROR($L$12/Y12)=TRUE,"",IF($L$12&lt;Y12,$L$12/Y12*AC12,AC12)))</f>
        <v/>
      </c>
      <c r="AE12" s="335" t="str">
        <f>IF($K$12="Sube",IF(ISERROR(Y12/$L$12)=TRUE,"",IF(Y12&gt;=$L$12,1,0)),IF(ISERROR($L$12/Y12)=TRUE,"",IF($L$12&lt;Y12,0,1)))</f>
        <v/>
      </c>
      <c r="AF12" s="336"/>
      <c r="AG12" s="337"/>
      <c r="AH12" s="508"/>
      <c r="AI12" s="248"/>
      <c r="AJ12" s="198"/>
      <c r="AR12" s="196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6"/>
      <c r="BF12" s="196"/>
      <c r="BG12" s="196"/>
    </row>
    <row r="13" spans="1:60" ht="61.5" thickBot="1">
      <c r="A13" s="878" t="s">
        <v>72</v>
      </c>
      <c r="B13" s="297">
        <v>5</v>
      </c>
      <c r="C13" s="299" t="s">
        <v>307</v>
      </c>
      <c r="D13" s="299" t="s">
        <v>113</v>
      </c>
      <c r="E13" s="338"/>
      <c r="F13" s="338"/>
      <c r="G13" s="299" t="s">
        <v>308</v>
      </c>
      <c r="H13" s="299" t="s">
        <v>309</v>
      </c>
      <c r="I13" s="339" t="s">
        <v>306</v>
      </c>
      <c r="J13" s="316" t="s">
        <v>143</v>
      </c>
      <c r="K13" s="304" t="s">
        <v>100</v>
      </c>
      <c r="L13" s="317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7" t="e">
        <f t="shared" si="1"/>
        <v>#N/A</v>
      </c>
      <c r="Z13" s="308"/>
      <c r="AA13" s="306" t="e">
        <f t="shared" si="0"/>
        <v>#DIV/0!</v>
      </c>
      <c r="AB13" s="309" t="s">
        <v>13</v>
      </c>
      <c r="AC13" s="340">
        <v>9.6100000000000005E-3</v>
      </c>
      <c r="AD13" s="311" t="str">
        <f>IF($K$13="Sube",IF(ISERROR(Y13/$L$13)=TRUE,"",IF(Y13&gt;$L$13,AC13,Y13/$L$13*AC13)),IF(ISERROR($L$13/Y13)=TRUE,"",IF($L$13&lt;Y13,$L$13/Y13*AC13,AC13)))</f>
        <v/>
      </c>
      <c r="AE13" s="312" t="str">
        <f>IF($K$13="Sube",IF(ISERROR(Y13/$L$13)=TRUE,"",IF(Y13&gt;=$L$13,1,0)),IF(ISERROR($L$13/Y13)=TRUE,"",IF($L$13&lt;Y13,0,1)))</f>
        <v/>
      </c>
      <c r="AF13" s="313"/>
      <c r="AG13" s="314"/>
      <c r="AH13" s="506"/>
      <c r="AI13" s="247"/>
      <c r="AJ13" s="138"/>
      <c r="AR13" s="64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64"/>
      <c r="BG13" s="64"/>
    </row>
    <row r="14" spans="1:60" ht="66.75" customHeight="1" thickBot="1">
      <c r="A14" s="879"/>
      <c r="B14" s="297">
        <v>6</v>
      </c>
      <c r="C14" s="299" t="s">
        <v>239</v>
      </c>
      <c r="D14" s="299" t="s">
        <v>121</v>
      </c>
      <c r="E14" s="338"/>
      <c r="F14" s="338"/>
      <c r="G14" s="299" t="s">
        <v>380</v>
      </c>
      <c r="H14" s="299" t="s">
        <v>240</v>
      </c>
      <c r="I14" s="339" t="s">
        <v>306</v>
      </c>
      <c r="J14" s="316" t="s">
        <v>143</v>
      </c>
      <c r="K14" s="304" t="s">
        <v>100</v>
      </c>
      <c r="L14" s="317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7" t="e">
        <f t="shared" si="1"/>
        <v>#N/A</v>
      </c>
      <c r="Z14" s="308"/>
      <c r="AA14" s="306" t="e">
        <f t="shared" si="0"/>
        <v>#DIV/0!</v>
      </c>
      <c r="AB14" s="309" t="s">
        <v>13</v>
      </c>
      <c r="AC14" s="340">
        <v>9.6100000000000005E-3</v>
      </c>
      <c r="AD14" s="311" t="str">
        <f>IF($K$14="Sube",IF(ISERROR(Y14/$L$14)=TRUE,"",IF(Y14&gt;$L$14,AC14,Y14/$L$14*AC14)),IF(ISERROR($L$14/Y14)=TRUE,"",IF($L$14&lt;Y14,$L$14/Y14*AC14,AC14)))</f>
        <v/>
      </c>
      <c r="AE14" s="312" t="str">
        <f>IF($K$14="Sube",IF(ISERROR(Y14/$L$14)=TRUE,"",IF(Y14&gt;=$L$14,1,0)),IF(ISERROR($L$14/Y14)=TRUE,"",IF($L$14&lt;Y14,0,1)))</f>
        <v/>
      </c>
      <c r="AF14" s="313"/>
      <c r="AG14" s="314"/>
      <c r="AH14" s="506"/>
      <c r="AI14" s="247"/>
      <c r="AJ14" s="138"/>
      <c r="AR14" s="64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4"/>
      <c r="BF14" s="64"/>
      <c r="BG14" s="64"/>
    </row>
    <row r="15" spans="1:60" ht="66.75" customHeight="1" thickBot="1">
      <c r="A15" s="879"/>
      <c r="B15" s="297"/>
      <c r="C15" s="341" t="s">
        <v>310</v>
      </c>
      <c r="D15" s="341" t="s">
        <v>113</v>
      </c>
      <c r="E15" s="342"/>
      <c r="F15" s="342"/>
      <c r="G15" s="341" t="s">
        <v>311</v>
      </c>
      <c r="H15" s="341" t="s">
        <v>312</v>
      </c>
      <c r="I15" s="339" t="s">
        <v>306</v>
      </c>
      <c r="J15" s="316" t="s">
        <v>143</v>
      </c>
      <c r="K15" s="343"/>
      <c r="L15" s="344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6"/>
      <c r="Z15" s="347"/>
      <c r="AA15" s="345"/>
      <c r="AB15" s="348"/>
      <c r="AC15" s="349"/>
      <c r="AD15" s="350"/>
      <c r="AE15" s="351"/>
      <c r="AF15" s="352"/>
      <c r="AG15" s="353"/>
      <c r="AH15" s="509"/>
      <c r="AI15" s="249"/>
      <c r="AJ15" s="200"/>
      <c r="AR15" s="64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4"/>
      <c r="BF15" s="64"/>
      <c r="BG15" s="64"/>
    </row>
    <row r="16" spans="1:60" ht="61.5" thickBot="1">
      <c r="A16" s="880"/>
      <c r="B16" s="354">
        <v>7</v>
      </c>
      <c r="C16" s="323" t="s">
        <v>120</v>
      </c>
      <c r="D16" s="323" t="s">
        <v>112</v>
      </c>
      <c r="E16" s="355"/>
      <c r="F16" s="355"/>
      <c r="G16" s="323" t="s">
        <v>181</v>
      </c>
      <c r="H16" s="323" t="s">
        <v>152</v>
      </c>
      <c r="I16" s="356">
        <f>44099470/60000000</f>
        <v>0.73499116666666664</v>
      </c>
      <c r="J16" s="326" t="s">
        <v>146</v>
      </c>
      <c r="K16" s="327" t="s">
        <v>100</v>
      </c>
      <c r="L16" s="357">
        <v>0.8</v>
      </c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9" t="e">
        <f t="shared" si="1"/>
        <v>#N/A</v>
      </c>
      <c r="Z16" s="360"/>
      <c r="AA16" s="358" t="e">
        <f t="shared" si="0"/>
        <v>#DIV/0!</v>
      </c>
      <c r="AB16" s="332" t="s">
        <v>13</v>
      </c>
      <c r="AC16" s="361">
        <v>9.6100000000000005E-3</v>
      </c>
      <c r="AD16" s="362" t="str">
        <f>IF($K$16="Sube",IF(ISERROR(Y16/$L$16)=TRUE,"",IF(Y16&gt;$L$16,AC16,Y16/$L$16*AC16)),IF(ISERROR($L$16/Y16)=TRUE,"",IF($L$16&lt;Y16,$L$16/Y16*AC16,AC16)))</f>
        <v/>
      </c>
      <c r="AE16" s="363" t="str">
        <f>IF($K$16="Sube",IF(ISERROR(Y16/$L$16)=TRUE,"",IF(Y16&gt;=$L$16,1,0)),IF(ISERROR($L$16/Y16)=TRUE,"",IF($L$16&lt;Y16,0,1)))</f>
        <v/>
      </c>
      <c r="AF16" s="364"/>
      <c r="AG16" s="365"/>
      <c r="AH16" s="510"/>
      <c r="AI16" s="201"/>
      <c r="AJ16" s="151"/>
      <c r="AR16" s="64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4"/>
      <c r="BF16" s="64"/>
      <c r="BG16" s="64"/>
    </row>
    <row r="17" spans="1:59" ht="60.75">
      <c r="A17" s="874" t="s">
        <v>73</v>
      </c>
      <c r="B17" s="366">
        <v>8</v>
      </c>
      <c r="C17" s="281" t="s">
        <v>242</v>
      </c>
      <c r="D17" s="281" t="s">
        <v>121</v>
      </c>
      <c r="E17" s="367"/>
      <c r="F17" s="368"/>
      <c r="G17" s="281" t="s">
        <v>243</v>
      </c>
      <c r="H17" s="281" t="s">
        <v>244</v>
      </c>
      <c r="I17" s="369" t="s">
        <v>306</v>
      </c>
      <c r="J17" s="285" t="s">
        <v>144</v>
      </c>
      <c r="K17" s="286" t="s">
        <v>100</v>
      </c>
      <c r="L17" s="287">
        <v>1</v>
      </c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9" t="e">
        <f t="shared" si="1"/>
        <v>#N/A</v>
      </c>
      <c r="Z17" s="290"/>
      <c r="AA17" s="288" t="e">
        <f t="shared" si="0"/>
        <v>#DIV/0!</v>
      </c>
      <c r="AB17" s="291" t="s">
        <v>13</v>
      </c>
      <c r="AC17" s="370">
        <v>9.6100000000000005E-3</v>
      </c>
      <c r="AD17" s="293" t="str">
        <f>IF($K$17="Sube",IF(ISERROR(Y17/$L$17)=TRUE,"",IF(Y17&gt;$L$17,AC17,Y17/$L$17*AC17)),IF(ISERROR($L$17/Y17)=TRUE,"",IF($L$17&lt;Y17,$L$17/Y17*AC17,AC17)))</f>
        <v/>
      </c>
      <c r="AE17" s="294" t="str">
        <f>IF($K$17="Sube",IF(ISERROR(Y17/$L$17)=TRUE,"",IF(Y17&gt;=$L$17,1,0)),IF(ISERROR($L$17/Y17)=TRUE,"",IF($L$17&lt;Y17,0,1)))</f>
        <v/>
      </c>
      <c r="AF17" s="295"/>
      <c r="AG17" s="296"/>
      <c r="AH17" s="505"/>
      <c r="AI17" s="199"/>
      <c r="AJ17" s="137"/>
      <c r="AK17" t="s">
        <v>326</v>
      </c>
      <c r="AR17" s="64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4"/>
      <c r="BF17" s="64"/>
      <c r="BG17" s="64"/>
    </row>
    <row r="18" spans="1:59" ht="91.5">
      <c r="A18" s="875"/>
      <c r="B18" s="371">
        <v>10</v>
      </c>
      <c r="C18" s="372" t="s">
        <v>245</v>
      </c>
      <c r="D18" s="299" t="s">
        <v>121</v>
      </c>
      <c r="E18" s="338"/>
      <c r="F18" s="373"/>
      <c r="G18" s="299" t="s">
        <v>330</v>
      </c>
      <c r="H18" s="299" t="s">
        <v>246</v>
      </c>
      <c r="I18" s="374" t="s">
        <v>306</v>
      </c>
      <c r="J18" s="316" t="s">
        <v>144</v>
      </c>
      <c r="K18" s="304" t="s">
        <v>100</v>
      </c>
      <c r="L18" s="317">
        <v>1</v>
      </c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7" t="e">
        <f t="shared" si="1"/>
        <v>#N/A</v>
      </c>
      <c r="Z18" s="308"/>
      <c r="AA18" s="306" t="e">
        <f t="shared" si="0"/>
        <v>#DIV/0!</v>
      </c>
      <c r="AB18" s="309" t="s">
        <v>13</v>
      </c>
      <c r="AC18" s="340">
        <v>9.6100000000000005E-3</v>
      </c>
      <c r="AD18" s="311" t="str">
        <f>IF($K$18="Sube",IF(ISERROR(Y18/$L$18)=TRUE,"",IF(Y18&gt;$L$18,AC18,Y18/$L$18*AC18)),IF(ISERROR($L$18/Y18)=TRUE,"",IF($L$18&lt;Y18,$L$18/Y18*AC18,AC18)))</f>
        <v/>
      </c>
      <c r="AE18" s="312" t="str">
        <f>IF($K$18="Sube",IF(ISERROR(Y18/$L$18)=TRUE,"",IF(Y18&gt;=$L$18,1,0)),IF(ISERROR($L$18/Y18)=TRUE,"",IF($L$18&lt;Y18,0,1)))</f>
        <v/>
      </c>
      <c r="AF18" s="313"/>
      <c r="AG18" s="314"/>
      <c r="AH18" s="506"/>
      <c r="AI18" s="247"/>
      <c r="AJ18" s="138"/>
      <c r="AK18" s="202" t="s">
        <v>327</v>
      </c>
      <c r="AR18" s="64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4"/>
      <c r="BF18" s="64"/>
      <c r="BG18" s="64"/>
    </row>
    <row r="19" spans="1:59" ht="60.75">
      <c r="A19" s="875"/>
      <c r="B19" s="371">
        <v>11</v>
      </c>
      <c r="C19" s="375" t="s">
        <v>247</v>
      </c>
      <c r="D19" s="299" t="s">
        <v>113</v>
      </c>
      <c r="E19" s="338"/>
      <c r="F19" s="373"/>
      <c r="G19" s="299" t="s">
        <v>325</v>
      </c>
      <c r="H19" s="299" t="s">
        <v>328</v>
      </c>
      <c r="I19" s="374" t="s">
        <v>306</v>
      </c>
      <c r="J19" s="316" t="s">
        <v>108</v>
      </c>
      <c r="K19" s="304" t="s">
        <v>100</v>
      </c>
      <c r="L19" s="317">
        <v>1</v>
      </c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7" t="e">
        <f t="shared" si="1"/>
        <v>#N/A</v>
      </c>
      <c r="Z19" s="308"/>
      <c r="AA19" s="306" t="e">
        <f t="shared" si="0"/>
        <v>#DIV/0!</v>
      </c>
      <c r="AB19" s="309" t="s">
        <v>13</v>
      </c>
      <c r="AC19" s="340">
        <v>9.6100000000000005E-3</v>
      </c>
      <c r="AD19" s="311" t="str">
        <f>IF($K$19="Sube",IF(ISERROR(Y19/$L$19)=TRUE,"",IF(Y19&gt;$L$19,AC19,Y19/$L$19*AC19)),IF(ISERROR($L$19/Y19)=TRUE,"",IF($L$19&lt;Y19,$L$19/Y19*AC19,AC19)))</f>
        <v/>
      </c>
      <c r="AE19" s="312" t="str">
        <f>IF($K$19="Sube",IF(ISERROR(Y19/$L$19)=TRUE,"",IF(Y19&gt;=$L$19,1,0)),IF(ISERROR($L$19/Y19)=TRUE,"",IF($L$19&lt;Y19,0,1)))</f>
        <v/>
      </c>
      <c r="AF19" s="313"/>
      <c r="AG19" s="314"/>
      <c r="AH19" s="506"/>
      <c r="AI19" s="247"/>
      <c r="AJ19" s="138"/>
      <c r="AK19" t="s">
        <v>329</v>
      </c>
      <c r="AR19" s="64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4"/>
      <c r="BF19" s="64"/>
      <c r="BG19" s="64"/>
    </row>
    <row r="20" spans="1:59" ht="40.5">
      <c r="A20" s="875"/>
      <c r="B20" s="371"/>
      <c r="C20" s="299" t="s">
        <v>122</v>
      </c>
      <c r="D20" s="341" t="s">
        <v>121</v>
      </c>
      <c r="E20" s="342"/>
      <c r="F20" s="376"/>
      <c r="G20" s="299" t="s">
        <v>123</v>
      </c>
      <c r="H20" s="299" t="s">
        <v>124</v>
      </c>
      <c r="I20" s="377" t="s">
        <v>343</v>
      </c>
      <c r="J20" s="316" t="s">
        <v>108</v>
      </c>
      <c r="K20" s="304" t="s">
        <v>100</v>
      </c>
      <c r="L20" s="317">
        <v>0.9</v>
      </c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7" t="e">
        <f t="shared" ref="Y20" si="2">LOOKUP(1000000000,M20:X20)</f>
        <v>#N/A</v>
      </c>
      <c r="Z20" s="308"/>
      <c r="AA20" s="306" t="e">
        <f t="shared" ref="AA20" si="3">+IF(SLOPE(M20:X20,$M$7:$X$7)&gt;0,"Al alza",IF(SLOPE(M20:X20,$M$7:$X$7)&lt;0,"A la baja","Sin cambio"))</f>
        <v>#DIV/0!</v>
      </c>
      <c r="AB20" s="309" t="s">
        <v>13</v>
      </c>
      <c r="AC20" s="340">
        <v>9.6100000000000005E-3</v>
      </c>
      <c r="AD20" s="311"/>
      <c r="AE20" s="312"/>
      <c r="AF20" s="313"/>
      <c r="AG20" s="314"/>
      <c r="AH20" s="506"/>
      <c r="AI20" s="247"/>
      <c r="AJ20" s="138"/>
      <c r="AR20" s="64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4"/>
      <c r="BF20" s="64"/>
      <c r="BG20" s="64"/>
    </row>
    <row r="21" spans="1:59" ht="60.75">
      <c r="A21" s="875"/>
      <c r="B21" s="371"/>
      <c r="C21" s="299" t="s">
        <v>248</v>
      </c>
      <c r="D21" s="341" t="s">
        <v>112</v>
      </c>
      <c r="E21" s="342"/>
      <c r="F21" s="376"/>
      <c r="G21" s="299" t="s">
        <v>249</v>
      </c>
      <c r="H21" s="299" t="s">
        <v>250</v>
      </c>
      <c r="I21" s="302" t="s">
        <v>305</v>
      </c>
      <c r="J21" s="316" t="s">
        <v>144</v>
      </c>
      <c r="K21" s="304" t="s">
        <v>100</v>
      </c>
      <c r="L21" s="305">
        <f>+(9.9925/9.9204)-1</f>
        <v>7.2678521027376153E-3</v>
      </c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7"/>
      <c r="Z21" s="308"/>
      <c r="AA21" s="306"/>
      <c r="AB21" s="309"/>
      <c r="AC21" s="340"/>
      <c r="AD21" s="311"/>
      <c r="AE21" s="312"/>
      <c r="AF21" s="313"/>
      <c r="AG21" s="314"/>
      <c r="AH21" s="506"/>
      <c r="AI21" s="247"/>
      <c r="AJ21" s="138"/>
      <c r="AR21" s="64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4"/>
      <c r="BF21" s="64"/>
      <c r="BG21" s="64"/>
    </row>
    <row r="22" spans="1:59" ht="61.5" thickBot="1">
      <c r="A22" s="876"/>
      <c r="B22" s="378">
        <v>12</v>
      </c>
      <c r="C22" s="323" t="s">
        <v>251</v>
      </c>
      <c r="D22" s="323" t="s">
        <v>112</v>
      </c>
      <c r="E22" s="355"/>
      <c r="F22" s="379"/>
      <c r="G22" s="323" t="s">
        <v>252</v>
      </c>
      <c r="H22" s="323" t="s">
        <v>253</v>
      </c>
      <c r="I22" s="315" t="s">
        <v>231</v>
      </c>
      <c r="J22" s="316" t="s">
        <v>108</v>
      </c>
      <c r="K22" s="304"/>
      <c r="L22" s="317" t="s">
        <v>304</v>
      </c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9"/>
      <c r="Z22" s="360"/>
      <c r="AA22" s="358"/>
      <c r="AB22" s="332"/>
      <c r="AC22" s="361"/>
      <c r="AD22" s="362" t="str">
        <f>IF($K$22="Sube",IF(ISERROR(Y22/$L$22)=TRUE,"",IF(Y22&gt;$L$22,AC22,Y22/$L$22*AC22)),IF(ISERROR($L$22/Y22)=TRUE,"",IF($L$22&lt;Y22,$L$22/Y22*AC22,AC22)))</f>
        <v/>
      </c>
      <c r="AE22" s="363" t="str">
        <f>IF($K$22="Sube",IF(ISERROR(Y22/$L$22)=TRUE,"",IF(Y22&gt;=$L$22,1,0)),IF(ISERROR($L$22/Y22)=TRUE,"",IF($L$22&lt;Y22,0,1)))</f>
        <v/>
      </c>
      <c r="AF22" s="364"/>
      <c r="AG22" s="365"/>
      <c r="AH22" s="510"/>
      <c r="AI22" s="201"/>
      <c r="AJ22" s="151"/>
      <c r="AR22" s="64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4"/>
      <c r="BF22" s="64"/>
      <c r="BG22" s="64"/>
    </row>
    <row r="23" spans="1:59" ht="45" customHeight="1">
      <c r="A23" s="869" t="s">
        <v>74</v>
      </c>
      <c r="B23" s="279">
        <f>+B22+1</f>
        <v>13</v>
      </c>
      <c r="C23" s="281" t="s">
        <v>254</v>
      </c>
      <c r="D23" s="281" t="s">
        <v>114</v>
      </c>
      <c r="E23" s="380"/>
      <c r="F23" s="368"/>
      <c r="G23" s="281" t="s">
        <v>255</v>
      </c>
      <c r="H23" s="281" t="s">
        <v>256</v>
      </c>
      <c r="I23" s="381" t="s">
        <v>306</v>
      </c>
      <c r="J23" s="382" t="s">
        <v>145</v>
      </c>
      <c r="K23" s="286" t="s">
        <v>100</v>
      </c>
      <c r="L23" s="287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9" t="e">
        <f t="shared" si="1"/>
        <v>#N/A</v>
      </c>
      <c r="Z23" s="290"/>
      <c r="AA23" s="288" t="e">
        <f t="shared" si="0"/>
        <v>#DIV/0!</v>
      </c>
      <c r="AB23" s="291" t="s">
        <v>13</v>
      </c>
      <c r="AC23" s="370">
        <v>9.6100000000000005E-3</v>
      </c>
      <c r="AD23" s="293" t="str">
        <f>IF($K$23="Sube",IF(ISERROR(Y23/$L$23)=TRUE,"",IF(Y23&gt;$L$23,AC23,Y23/$L$23*AC23)),IF(ISERROR($L$23/Y23)=TRUE,"",IF($L$23&lt;Y23,$L$23/Y23*AC23,AC23)))</f>
        <v/>
      </c>
      <c r="AE23" s="294" t="str">
        <f>IF($K$23="Sube",IF(ISERROR(Y23/$L$23)=TRUE,"",IF(Y23&gt;=$L$23,1,0)),IF(ISERROR($L$23/Y23)=TRUE,"",IF($L$23&lt;Y23,0,1)))</f>
        <v/>
      </c>
      <c r="AF23" s="295"/>
      <c r="AG23" s="383">
        <v>3.64</v>
      </c>
      <c r="AH23" s="511" t="s">
        <v>353</v>
      </c>
      <c r="AI23" s="199"/>
      <c r="AJ23" s="137"/>
      <c r="AR23" s="64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4"/>
      <c r="BF23" s="64"/>
      <c r="BG23" s="64"/>
    </row>
    <row r="24" spans="1:59" ht="49.5" customHeight="1" thickBot="1">
      <c r="A24" s="877"/>
      <c r="B24" s="384">
        <f t="shared" ref="B24:B49" si="4">+B23+1</f>
        <v>14</v>
      </c>
      <c r="C24" s="299" t="s">
        <v>125</v>
      </c>
      <c r="D24" s="385" t="s">
        <v>112</v>
      </c>
      <c r="E24" s="338"/>
      <c r="F24" s="373"/>
      <c r="G24" s="386" t="s">
        <v>154</v>
      </c>
      <c r="H24" s="386" t="s">
        <v>155</v>
      </c>
      <c r="I24" s="387">
        <f>1152/1344</f>
        <v>0.8571428571428571</v>
      </c>
      <c r="J24" s="316" t="s">
        <v>144</v>
      </c>
      <c r="K24" s="304" t="s">
        <v>100</v>
      </c>
      <c r="L24" s="317">
        <v>0.87</v>
      </c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7" t="e">
        <f t="shared" si="1"/>
        <v>#N/A</v>
      </c>
      <c r="Z24" s="308"/>
      <c r="AA24" s="306" t="e">
        <f t="shared" si="0"/>
        <v>#DIV/0!</v>
      </c>
      <c r="AB24" s="309" t="s">
        <v>13</v>
      </c>
      <c r="AC24" s="340">
        <v>9.6100000000000005E-3</v>
      </c>
      <c r="AD24" s="311" t="str">
        <f>IF($K$24="Sube",IF(ISERROR(Y24/$L$24)=TRUE,"",IF(Y24&gt;$L$24,AC24,Y24/$L$24*AC24)),IF(ISERROR($L$24/Y24)=TRUE,"",IF($L$24&lt;Y24,$L$24/Y24*AC24,AC24)))</f>
        <v/>
      </c>
      <c r="AE24" s="312" t="str">
        <f>IF($K$24="Sube",IF(ISERROR(Y24/$L$24)=TRUE,"",IF(Y24&gt;=$L$24,1,0)),IF(ISERROR($L$24/Y24)=TRUE,"",IF($L$24&lt;Y24,0,1)))</f>
        <v/>
      </c>
      <c r="AF24" s="313"/>
      <c r="AG24" s="314"/>
      <c r="AH24" s="506"/>
      <c r="AI24" s="247"/>
      <c r="AJ24" s="138"/>
      <c r="AR24" s="64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4"/>
      <c r="BF24" s="64"/>
      <c r="BG24" s="64"/>
    </row>
    <row r="25" spans="1:59" ht="56.25" customHeight="1" thickBot="1">
      <c r="A25" s="871"/>
      <c r="B25" s="388">
        <f t="shared" si="4"/>
        <v>15</v>
      </c>
      <c r="C25" s="323" t="s">
        <v>257</v>
      </c>
      <c r="D25" s="389" t="s">
        <v>112</v>
      </c>
      <c r="E25" s="355"/>
      <c r="F25" s="379"/>
      <c r="G25" s="390" t="s">
        <v>192</v>
      </c>
      <c r="H25" s="390" t="s">
        <v>211</v>
      </c>
      <c r="I25" s="391">
        <f>7.218/9.426-1</f>
        <v>-0.23424570337364736</v>
      </c>
      <c r="J25" s="326" t="s">
        <v>146</v>
      </c>
      <c r="K25" s="327" t="s">
        <v>100</v>
      </c>
      <c r="L25" s="328">
        <f>+'Tablero Estratégico'!AG8</f>
        <v>-0.2</v>
      </c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9" t="e">
        <f t="shared" si="1"/>
        <v>#N/A</v>
      </c>
      <c r="Z25" s="360"/>
      <c r="AA25" s="358" t="e">
        <f t="shared" si="0"/>
        <v>#DIV/0!</v>
      </c>
      <c r="AB25" s="332" t="s">
        <v>13</v>
      </c>
      <c r="AC25" s="361">
        <v>9.6100000000000005E-3</v>
      </c>
      <c r="AD25" s="362" t="str">
        <f>IF($K$25="Sube",IF(ISERROR(Y25/$L$25)=TRUE,"",IF(Y25&gt;$L$25,AC25,Y25/$L$25*AC25)),IF(ISERROR($L$25/Y25)=TRUE,"",IF($L$25&lt;Y25,$L$25/Y25*AC25,AC25)))</f>
        <v/>
      </c>
      <c r="AE25" s="363" t="str">
        <f>IF($K$25="Sube",IF(ISERROR(Y25/$L$25)=TRUE,"",IF(Y25&gt;=$L$25,1,0)),IF(ISERROR($L$25/Y25)=TRUE,"",IF($L$25&lt;Y25,0,1)))</f>
        <v/>
      </c>
      <c r="AF25" s="364"/>
      <c r="AG25" s="365"/>
      <c r="AH25" s="510"/>
      <c r="AI25" s="201"/>
      <c r="AJ25" s="151"/>
      <c r="AR25" s="64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4"/>
      <c r="BF25" s="64"/>
      <c r="BG25" s="64"/>
    </row>
    <row r="26" spans="1:59" ht="121.5">
      <c r="A26" s="869" t="s">
        <v>48</v>
      </c>
      <c r="B26" s="279" t="e">
        <f>+#REF!+1</f>
        <v>#REF!</v>
      </c>
      <c r="C26" s="280" t="s">
        <v>126</v>
      </c>
      <c r="D26" s="280" t="s">
        <v>121</v>
      </c>
      <c r="E26" s="392"/>
      <c r="F26" s="392"/>
      <c r="G26" s="280" t="s">
        <v>258</v>
      </c>
      <c r="H26" s="280" t="s">
        <v>129</v>
      </c>
      <c r="I26" s="393">
        <v>1</v>
      </c>
      <c r="J26" s="382" t="s">
        <v>144</v>
      </c>
      <c r="K26" s="286"/>
      <c r="L26" s="287">
        <v>1</v>
      </c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9" t="e">
        <f t="shared" si="1"/>
        <v>#N/A</v>
      </c>
      <c r="Z26" s="290"/>
      <c r="AA26" s="288" t="e">
        <f t="shared" si="0"/>
        <v>#DIV/0!</v>
      </c>
      <c r="AB26" s="291" t="s">
        <v>13</v>
      </c>
      <c r="AC26" s="370">
        <v>9.6100000000000005E-3</v>
      </c>
      <c r="AD26" s="293" t="str">
        <f>IF($K$26="Sube",IF(ISERROR(Y26/$L$26)=TRUE,"",IF(Y26&gt;$L$26,AC26,Y26/$L$26*AC26)),IF(ISERROR($L$26/Y26)=TRUE,"",IF($L$26&lt;Y26,$L$26/Y26*AC26,AC26)))</f>
        <v/>
      </c>
      <c r="AE26" s="294" t="str">
        <f>IF($K$26="Sube",IF(ISERROR(Y26/$L$26)=TRUE,"",IF(Y26&gt;=$L$26,1,0)),IF(ISERROR($L$26/Y26)=TRUE,"",IF($L$26&lt;Y26,0,1)))</f>
        <v/>
      </c>
      <c r="AF26" s="295"/>
      <c r="AG26" s="296"/>
      <c r="AH26" s="505"/>
      <c r="AI26" s="199"/>
      <c r="AJ26" s="137"/>
      <c r="AR26" s="64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4"/>
      <c r="BF26" s="64"/>
      <c r="BG26" s="64"/>
    </row>
    <row r="27" spans="1:59" ht="121.5">
      <c r="A27" s="877"/>
      <c r="B27" s="297" t="e">
        <f t="shared" si="4"/>
        <v>#REF!</v>
      </c>
      <c r="C27" s="298" t="s">
        <v>127</v>
      </c>
      <c r="D27" s="298" t="s">
        <v>121</v>
      </c>
      <c r="E27" s="394"/>
      <c r="F27" s="394"/>
      <c r="G27" s="372" t="s">
        <v>351</v>
      </c>
      <c r="H27" s="298" t="s">
        <v>259</v>
      </c>
      <c r="I27" s="395">
        <v>0.9</v>
      </c>
      <c r="J27" s="316" t="s">
        <v>108</v>
      </c>
      <c r="K27" s="304"/>
      <c r="L27" s="317">
        <v>1</v>
      </c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7" t="e">
        <f t="shared" si="1"/>
        <v>#N/A</v>
      </c>
      <c r="Z27" s="308"/>
      <c r="AA27" s="306" t="e">
        <f t="shared" si="0"/>
        <v>#DIV/0!</v>
      </c>
      <c r="AB27" s="309" t="s">
        <v>13</v>
      </c>
      <c r="AC27" s="340">
        <v>9.6100000000000005E-3</v>
      </c>
      <c r="AD27" s="311" t="str">
        <f>IF($K$27="Sube",IF(ISERROR(Y27/$L$27)=TRUE,"",IF(Y27&gt;$L$27,AC27,Y27/$L$27*AC27)),IF(ISERROR($L$27/Y27)=TRUE,"",IF($L$27&lt;Y27,$L$27/Y27*AC27,AC27)))</f>
        <v/>
      </c>
      <c r="AE27" s="312" t="str">
        <f>IF($K$27="Sube",IF(ISERROR(Y27/$L$27)=TRUE,"",IF(Y27&gt;=$L$27,1,0)),IF(ISERROR($L$27/Y27)=TRUE,"",IF($L$27&lt;Y27,0,1)))</f>
        <v/>
      </c>
      <c r="AF27" s="313"/>
      <c r="AG27" s="396">
        <f>+'Tablero Estratégico'!AO14</f>
        <v>0</v>
      </c>
      <c r="AH27" s="507" t="s">
        <v>352</v>
      </c>
      <c r="AI27" s="247"/>
      <c r="AJ27" s="138"/>
      <c r="AR27" s="64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4"/>
      <c r="BF27" s="64"/>
      <c r="BG27" s="64"/>
    </row>
    <row r="28" spans="1:59" ht="141.75">
      <c r="A28" s="877"/>
      <c r="B28" s="297" t="e">
        <f t="shared" si="4"/>
        <v>#REF!</v>
      </c>
      <c r="C28" s="298" t="s">
        <v>128</v>
      </c>
      <c r="D28" s="298" t="s">
        <v>121</v>
      </c>
      <c r="E28" s="394"/>
      <c r="F28" s="394"/>
      <c r="G28" s="298" t="s">
        <v>260</v>
      </c>
      <c r="H28" s="298" t="s">
        <v>261</v>
      </c>
      <c r="I28" s="309" t="s">
        <v>306</v>
      </c>
      <c r="J28" s="316"/>
      <c r="K28" s="304"/>
      <c r="L28" s="317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7"/>
      <c r="Z28" s="308"/>
      <c r="AA28" s="306"/>
      <c r="AB28" s="309"/>
      <c r="AC28" s="340"/>
      <c r="AD28" s="311"/>
      <c r="AE28" s="312"/>
      <c r="AF28" s="313"/>
      <c r="AG28" s="314"/>
      <c r="AH28" s="506"/>
      <c r="AI28" s="247"/>
      <c r="AJ28" s="138"/>
      <c r="AR28" s="64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4"/>
      <c r="BF28" s="64"/>
      <c r="BG28" s="64"/>
    </row>
    <row r="29" spans="1:59" ht="61.5" thickBot="1">
      <c r="A29" s="871"/>
      <c r="B29" s="354" t="e">
        <f t="shared" si="4"/>
        <v>#REF!</v>
      </c>
      <c r="C29" s="397" t="s">
        <v>262</v>
      </c>
      <c r="D29" s="398" t="s">
        <v>114</v>
      </c>
      <c r="E29" s="399"/>
      <c r="F29" s="399"/>
      <c r="G29" s="398" t="s">
        <v>241</v>
      </c>
      <c r="H29" s="323" t="s">
        <v>263</v>
      </c>
      <c r="I29" s="400">
        <v>0.878</v>
      </c>
      <c r="J29" s="326" t="s">
        <v>108</v>
      </c>
      <c r="K29" s="327" t="s">
        <v>100</v>
      </c>
      <c r="L29" s="328">
        <v>0.93</v>
      </c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9" t="e">
        <f t="shared" si="1"/>
        <v>#N/A</v>
      </c>
      <c r="Z29" s="360"/>
      <c r="AA29" s="358" t="e">
        <f t="shared" ref="AA29:AA48" si="5">+IF(SLOPE(M29:X29,$M$7:$X$7)&gt;0,"Al alza",IF(SLOPE(M29:X29,$M$7:$X$7)&lt;0,"A la baja","Sin cambio"))</f>
        <v>#DIV/0!</v>
      </c>
      <c r="AB29" s="332" t="s">
        <v>13</v>
      </c>
      <c r="AC29" s="361">
        <v>9.6100000000000005E-3</v>
      </c>
      <c r="AD29" s="362" t="str">
        <f t="shared" ref="AD29" si="6">IF(K29="Sube",IF(ISERROR(Y29/L29)=TRUE,"",IF(Y29&gt;L29,AC29,Y29/L29*AC29)),IF(ISERROR(L29/Y29)=TRUE,"",IF(L29&lt;Y29,L29/Y29*AC29,AC29)))</f>
        <v/>
      </c>
      <c r="AE29" s="363" t="str">
        <f>IF($K$29="Sube",IF(ISERROR(Y29/$L$29)=TRUE,"",IF(Y29&gt;=$L$29,1,0)),IF(ISERROR($L$29/Y29)=TRUE,"",IF($L$29&lt;Y29,0,1)))</f>
        <v/>
      </c>
      <c r="AF29" s="364"/>
      <c r="AG29" s="401">
        <f>236943151/1000000000</f>
        <v>0.23694315099999999</v>
      </c>
      <c r="AH29" s="508" t="s">
        <v>377</v>
      </c>
      <c r="AI29" s="201"/>
      <c r="AJ29" s="151"/>
      <c r="AR29" s="64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4"/>
      <c r="BF29" s="64"/>
      <c r="BG29" s="64"/>
    </row>
    <row r="30" spans="1:59" ht="60.75">
      <c r="A30" s="869" t="s">
        <v>75</v>
      </c>
      <c r="B30" s="402" t="e">
        <f t="shared" si="4"/>
        <v>#REF!</v>
      </c>
      <c r="C30" s="281" t="s">
        <v>109</v>
      </c>
      <c r="D30" s="281" t="s">
        <v>121</v>
      </c>
      <c r="E30" s="367"/>
      <c r="F30" s="368"/>
      <c r="G30" s="403" t="s">
        <v>334</v>
      </c>
      <c r="H30" s="281" t="s">
        <v>130</v>
      </c>
      <c r="I30" s="404">
        <v>0.97599999999999998</v>
      </c>
      <c r="J30" s="285" t="s">
        <v>108</v>
      </c>
      <c r="K30" s="286" t="s">
        <v>100</v>
      </c>
      <c r="L30" s="287" t="s">
        <v>331</v>
      </c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9" t="e">
        <f t="shared" si="1"/>
        <v>#N/A</v>
      </c>
      <c r="Z30" s="290"/>
      <c r="AA30" s="288" t="e">
        <f t="shared" si="5"/>
        <v>#DIV/0!</v>
      </c>
      <c r="AB30" s="291" t="s">
        <v>13</v>
      </c>
      <c r="AC30" s="370">
        <v>9.6100000000000005E-3</v>
      </c>
      <c r="AD30" s="293" t="str">
        <f>IF($K$30="Sube",IF(ISERROR(Y30/$L$30)=TRUE,"",IF(Y30&gt;$L$30,AC30,Y30/$L$30*AC30)),IF(ISERROR($L$30/Y30)=TRUE,"",IF($L$30&lt;Y30,$L$30/Y30*AC30,AC30)))</f>
        <v/>
      </c>
      <c r="AE30" s="294" t="str">
        <f>IF($K$30="Sube",IF(ISERROR(Y30/$L$30)=TRUE,"",IF(Y30&gt;=$L$30,1,0)),IF(ISERROR($L$30/Y30)=TRUE,"",IF($L$30&lt;Y30,0,1)))</f>
        <v/>
      </c>
      <c r="AF30" s="295"/>
      <c r="AG30" s="405">
        <f>+'Tablero Estratégico'!AO17</f>
        <v>0.97</v>
      </c>
      <c r="AH30" s="511" t="s">
        <v>367</v>
      </c>
      <c r="AI30" s="199"/>
      <c r="AJ30" s="137"/>
      <c r="AR30" s="64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4"/>
      <c r="BF30" s="64"/>
      <c r="BG30" s="64"/>
    </row>
    <row r="31" spans="1:59" ht="81">
      <c r="A31" s="877"/>
      <c r="B31" s="406" t="e">
        <f t="shared" si="4"/>
        <v>#REF!</v>
      </c>
      <c r="C31" s="299" t="s">
        <v>110</v>
      </c>
      <c r="D31" s="299" t="s">
        <v>112</v>
      </c>
      <c r="E31" s="338"/>
      <c r="F31" s="338"/>
      <c r="G31" s="299" t="s">
        <v>332</v>
      </c>
      <c r="H31" s="299" t="s">
        <v>333</v>
      </c>
      <c r="I31" s="407" t="s">
        <v>306</v>
      </c>
      <c r="J31" s="303" t="s">
        <v>108</v>
      </c>
      <c r="K31" s="304" t="s">
        <v>100</v>
      </c>
      <c r="L31" s="317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7" t="e">
        <f t="shared" si="1"/>
        <v>#N/A</v>
      </c>
      <c r="Z31" s="308"/>
      <c r="AA31" s="306" t="e">
        <f t="shared" si="5"/>
        <v>#DIV/0!</v>
      </c>
      <c r="AB31" s="309" t="s">
        <v>13</v>
      </c>
      <c r="AC31" s="340">
        <v>9.6100000000000005E-3</v>
      </c>
      <c r="AD31" s="311" t="str">
        <f>IF($K$31="Sube",IF(ISERROR(Y31/$L$31)=TRUE,"",IF(Y31&gt;$L$31,AC31,Y31/$L$31*AC31)),IF(ISERROR($L$31/Y31)=TRUE,"",IF($L$31&lt;Y31,$L$31/Y31*AC31,AC31)))</f>
        <v/>
      </c>
      <c r="AE31" s="312" t="str">
        <f>IF($K$31="Sube",IF(ISERROR(Y31/$L$31)=TRUE,"",IF(Y31&gt;=$L$31,1,0)),IF(ISERROR($L$31/Y31)=TRUE,"",IF($L$31&lt;Y31,0,1)))</f>
        <v/>
      </c>
      <c r="AF31" s="313"/>
      <c r="AG31" s="314">
        <v>17702</v>
      </c>
      <c r="AH31" s="507" t="s">
        <v>368</v>
      </c>
      <c r="AI31" s="247"/>
      <c r="AJ31" s="138"/>
      <c r="AR31" s="64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4"/>
      <c r="BF31" s="64"/>
      <c r="BG31" s="64"/>
    </row>
    <row r="32" spans="1:59" ht="61.5" thickBot="1">
      <c r="A32" s="871"/>
      <c r="B32" s="408" t="e">
        <f t="shared" si="4"/>
        <v>#REF!</v>
      </c>
      <c r="C32" s="341" t="s">
        <v>111</v>
      </c>
      <c r="D32" s="341" t="s">
        <v>121</v>
      </c>
      <c r="E32" s="342"/>
      <c r="F32" s="342"/>
      <c r="G32" s="341" t="s">
        <v>335</v>
      </c>
      <c r="H32" s="341" t="s">
        <v>264</v>
      </c>
      <c r="I32" s="409">
        <v>0.98</v>
      </c>
      <c r="J32" s="410" t="s">
        <v>108</v>
      </c>
      <c r="K32" s="343" t="s">
        <v>100</v>
      </c>
      <c r="L32" s="344">
        <v>1</v>
      </c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6" t="e">
        <f t="shared" si="1"/>
        <v>#N/A</v>
      </c>
      <c r="Z32" s="347"/>
      <c r="AA32" s="345" t="e">
        <f t="shared" si="5"/>
        <v>#DIV/0!</v>
      </c>
      <c r="AB32" s="348" t="s">
        <v>13</v>
      </c>
      <c r="AC32" s="349">
        <v>9.6100000000000005E-3</v>
      </c>
      <c r="AD32" s="350" t="str">
        <f>IF($K$32="Sube",IF(ISERROR(Y32/$L$32)=TRUE,"",IF(Y32&gt;$L$32,AC32,Y32/$L$32*AC32)),IF(ISERROR($L$32/Y32)=TRUE,"",IF($L$32&lt;Y32,$L$32/Y32*AC32,AC32)))</f>
        <v/>
      </c>
      <c r="AE32" s="351" t="str">
        <f>IF($K$32="Sube",IF(ISERROR(Y32/$L$32)=TRUE,"",IF(Y32&gt;=$L$32,1,0)),IF(ISERROR($L$32/Y32)=TRUE,"",IF($L$32&lt;Y32,0,1)))</f>
        <v/>
      </c>
      <c r="AF32" s="352"/>
      <c r="AG32" s="411">
        <v>0.81</v>
      </c>
      <c r="AH32" s="512" t="s">
        <v>369</v>
      </c>
      <c r="AI32" s="249"/>
      <c r="AJ32" s="200"/>
      <c r="AR32" s="64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4"/>
      <c r="BF32" s="64"/>
      <c r="BG32" s="64"/>
    </row>
    <row r="33" spans="1:59" s="4" customFormat="1" ht="81.75" thickBot="1">
      <c r="A33" s="869" t="s">
        <v>77</v>
      </c>
      <c r="B33" s="402" t="e">
        <f>+#REF!+1</f>
        <v>#REF!</v>
      </c>
      <c r="C33" s="281" t="s">
        <v>131</v>
      </c>
      <c r="D33" s="281" t="s">
        <v>114</v>
      </c>
      <c r="E33" s="380"/>
      <c r="F33" s="380"/>
      <c r="G33" s="281" t="s">
        <v>132</v>
      </c>
      <c r="H33" s="281" t="s">
        <v>133</v>
      </c>
      <c r="I33" s="404">
        <f>+'Tablero Estratégico'!AF26</f>
        <v>0.11064973131411822</v>
      </c>
      <c r="J33" s="285" t="s">
        <v>147</v>
      </c>
      <c r="K33" s="286" t="s">
        <v>141</v>
      </c>
      <c r="L33" s="287">
        <f>+'Tablero Estratégico'!AG26</f>
        <v>0.95</v>
      </c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9" t="e">
        <f t="shared" si="1"/>
        <v>#N/A</v>
      </c>
      <c r="Z33" s="290"/>
      <c r="AA33" s="288" t="e">
        <f t="shared" si="5"/>
        <v>#DIV/0!</v>
      </c>
      <c r="AB33" s="291" t="s">
        <v>13</v>
      </c>
      <c r="AC33" s="370">
        <v>9.6100000000000005E-3</v>
      </c>
      <c r="AD33" s="293" t="str">
        <f>IF($K$33="Sube",IF(ISERROR(Y33/$L$33)=TRUE,"",IF(Y33&gt;$L$33,AC33,Y33/$L$33*AC33)),IF(ISERROR($L$33/Y33)=TRUE,"",IF($L$33&lt;Y33,$L$33/Y33*AC33,AC33)))</f>
        <v/>
      </c>
      <c r="AE33" s="294" t="str">
        <f>IF($K$33="Sube",IF(ISERROR(Y33/$L$33)=TRUE,"",IF(Y33&gt;=$L$33,1,0)),IF(ISERROR($L$33/Y33)=TRUE,"",IF($L$33&lt;Y33,0,1)))</f>
        <v/>
      </c>
      <c r="AF33" s="295"/>
      <c r="AG33" s="412">
        <f>+'Tablero Estratégico'!AO26</f>
        <v>0.97524752475247523</v>
      </c>
      <c r="AH33" s="513" t="str">
        <f>+'Tablero Estratégico'!AP26</f>
        <v>Dato más reciente medición: Junio 2017.
Este procentaje se debe a las áreas que deben hacer seguimiento no han dado gestión a las solicitudes. Sin embargo para el próximmo corte se hará el debido segumiento.</v>
      </c>
      <c r="AI33" s="199"/>
      <c r="AJ33" s="127"/>
      <c r="AK33" s="245" t="s">
        <v>336</v>
      </c>
      <c r="AR33" s="64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4"/>
      <c r="BF33" s="64"/>
      <c r="BG33" s="64"/>
    </row>
    <row r="34" spans="1:59" s="4" customFormat="1" ht="57" customHeight="1">
      <c r="A34" s="870"/>
      <c r="B34" s="413"/>
      <c r="C34" s="414" t="s">
        <v>373</v>
      </c>
      <c r="D34" s="414" t="s">
        <v>114</v>
      </c>
      <c r="E34" s="415"/>
      <c r="F34" s="415"/>
      <c r="G34" s="416" t="s">
        <v>374</v>
      </c>
      <c r="H34" s="414" t="s">
        <v>375</v>
      </c>
      <c r="I34" s="417" t="s">
        <v>306</v>
      </c>
      <c r="J34" s="418" t="s">
        <v>108</v>
      </c>
      <c r="K34" s="419"/>
      <c r="L34" s="287" t="s">
        <v>376</v>
      </c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1"/>
      <c r="Z34" s="422"/>
      <c r="AA34" s="420"/>
      <c r="AB34" s="423"/>
      <c r="AC34" s="424"/>
      <c r="AD34" s="425"/>
      <c r="AE34" s="426"/>
      <c r="AF34" s="427"/>
      <c r="AG34" s="428">
        <v>0.9</v>
      </c>
      <c r="AH34" s="513" t="s">
        <v>386</v>
      </c>
      <c r="AI34" s="255"/>
      <c r="AJ34" s="254"/>
      <c r="AK34" s="245"/>
      <c r="AR34" s="64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4"/>
      <c r="BF34" s="64"/>
      <c r="BG34" s="64"/>
    </row>
    <row r="35" spans="1:59" s="4" customFormat="1" ht="61.5" thickBot="1">
      <c r="A35" s="871"/>
      <c r="B35" s="429" t="e">
        <f>+#REF!+1</f>
        <v>#REF!</v>
      </c>
      <c r="C35" s="323" t="s">
        <v>265</v>
      </c>
      <c r="D35" s="323" t="s">
        <v>114</v>
      </c>
      <c r="E35" s="355"/>
      <c r="F35" s="355"/>
      <c r="G35" s="430" t="s">
        <v>337</v>
      </c>
      <c r="H35" s="323" t="s">
        <v>266</v>
      </c>
      <c r="I35" s="431" t="s">
        <v>306</v>
      </c>
      <c r="J35" s="432" t="s">
        <v>108</v>
      </c>
      <c r="K35" s="327" t="s">
        <v>100</v>
      </c>
      <c r="L35" s="32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9" t="e">
        <f t="shared" si="1"/>
        <v>#N/A</v>
      </c>
      <c r="Z35" s="360"/>
      <c r="AA35" s="358" t="e">
        <f t="shared" si="5"/>
        <v>#DIV/0!</v>
      </c>
      <c r="AB35" s="332" t="s">
        <v>13</v>
      </c>
      <c r="AC35" s="361">
        <v>9.6100000000000005E-3</v>
      </c>
      <c r="AD35" s="362" t="str">
        <f>IF($K$35="Sube",IF(ISERROR(Y35/$L$35)=TRUE,"",IF(Y35&gt;$L$35,AC35,Y35/$L$35*AC35)),IF(ISERROR($L$35/Y35)=TRUE,"",IF($L$35&lt;Y35,$L$35/Y35*AC35,AC35)))</f>
        <v/>
      </c>
      <c r="AE35" s="363" t="str">
        <f>IF($K$35="Sube",IF(ISERROR(Y35/$L$35)=TRUE,"",IF(Y35&gt;=$L$35,1,0)),IF(ISERROR($L$35/Y35)=TRUE,"",IF($L$35&lt;Y35,0,1)))</f>
        <v/>
      </c>
      <c r="AF35" s="364"/>
      <c r="AG35" s="401">
        <v>1</v>
      </c>
      <c r="AH35" s="508" t="s">
        <v>385</v>
      </c>
      <c r="AI35" s="201"/>
      <c r="AJ35" s="150"/>
      <c r="AK35" s="245"/>
      <c r="AR35" s="64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4"/>
      <c r="BF35" s="64"/>
      <c r="BG35" s="64"/>
    </row>
    <row r="36" spans="1:59" s="240" customFormat="1" ht="63.75" customHeight="1">
      <c r="A36" s="892" t="s">
        <v>78</v>
      </c>
      <c r="B36" s="433" t="e">
        <f t="shared" si="4"/>
        <v>#REF!</v>
      </c>
      <c r="C36" s="280" t="s">
        <v>338</v>
      </c>
      <c r="D36" s="280" t="s">
        <v>121</v>
      </c>
      <c r="E36" s="392"/>
      <c r="F36" s="392"/>
      <c r="G36" s="280" t="s">
        <v>339</v>
      </c>
      <c r="H36" s="280" t="s">
        <v>340</v>
      </c>
      <c r="I36" s="434">
        <v>0.75</v>
      </c>
      <c r="J36" s="285" t="s">
        <v>108</v>
      </c>
      <c r="K36" s="286" t="s">
        <v>100</v>
      </c>
      <c r="L36" s="287" t="s">
        <v>383</v>
      </c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9" t="e">
        <f t="shared" si="1"/>
        <v>#N/A</v>
      </c>
      <c r="Z36" s="290"/>
      <c r="AA36" s="288" t="e">
        <f t="shared" si="5"/>
        <v>#DIV/0!</v>
      </c>
      <c r="AB36" s="291" t="s">
        <v>13</v>
      </c>
      <c r="AC36" s="370">
        <v>9.6100000000000005E-3</v>
      </c>
      <c r="AD36" s="293" t="str">
        <f>IF($K$36="Sube",IF(ISERROR(Y36/$L$36)=TRUE,"",IF(Y36&gt;$L$36,AC36,Y36/$L$36*AC36)),IF(ISERROR($L$36/Y36)=TRUE,"",IF($L$36&lt;Y36,$L$36/Y36*AC36,AC36)))</f>
        <v/>
      </c>
      <c r="AE36" s="294" t="str">
        <f>IF($K$36="Sube",IF(ISERROR(Y36/$L$36)=TRUE,"",IF(Y36&gt;=$L$36,1,0)),IF(ISERROR($L$36/Y36)=TRUE,"",IF($L$36&lt;Y36,0,1)))</f>
        <v/>
      </c>
      <c r="AF36" s="295"/>
      <c r="AG36" s="428">
        <v>0.75</v>
      </c>
      <c r="AH36" s="514" t="s">
        <v>384</v>
      </c>
      <c r="AI36" s="194"/>
      <c r="AJ36" s="239"/>
      <c r="AR36" s="241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1"/>
      <c r="BF36" s="241"/>
      <c r="BG36" s="241"/>
    </row>
    <row r="37" spans="1:59" s="240" customFormat="1" ht="36.75" customHeight="1" thickBot="1">
      <c r="A37" s="893"/>
      <c r="B37" s="435" t="e">
        <f>+B36+1</f>
        <v>#REF!</v>
      </c>
      <c r="C37" s="398" t="s">
        <v>134</v>
      </c>
      <c r="D37" s="398" t="s">
        <v>135</v>
      </c>
      <c r="E37" s="399"/>
      <c r="F37" s="399"/>
      <c r="G37" s="398" t="s">
        <v>267</v>
      </c>
      <c r="H37" s="398" t="s">
        <v>136</v>
      </c>
      <c r="I37" s="436" t="s">
        <v>306</v>
      </c>
      <c r="J37" s="432" t="s">
        <v>268</v>
      </c>
      <c r="K37" s="327" t="s">
        <v>100</v>
      </c>
      <c r="L37" s="32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9" t="e">
        <f t="shared" si="1"/>
        <v>#N/A</v>
      </c>
      <c r="Z37" s="360"/>
      <c r="AA37" s="358" t="e">
        <f t="shared" si="5"/>
        <v>#DIV/0!</v>
      </c>
      <c r="AB37" s="332" t="s">
        <v>13</v>
      </c>
      <c r="AC37" s="361">
        <v>9.6100000000000005E-3</v>
      </c>
      <c r="AD37" s="362" t="str">
        <f>IF($K$37="Sube",IF(ISERROR(Y37/$L$37)=TRUE,"",IF(Y37&gt;$L$37,AC37,Y37/$L$37*AC37)),IF(ISERROR($L$37/Y37)=TRUE,"",IF($L$37&lt;Y37,$L$37/Y37*AC37,AC37)))</f>
        <v/>
      </c>
      <c r="AE37" s="363" t="str">
        <f>IF($K$37="Sube",IF(ISERROR(Y37/$L$37)=TRUE,"",IF(Y37&gt;=$L$37,1,0)),IF(ISERROR($L$37/Y37)=TRUE,"",IF($L$37&lt;Y37,0,1)))</f>
        <v/>
      </c>
      <c r="AF37" s="364"/>
      <c r="AG37" s="437"/>
      <c r="AH37" s="515"/>
      <c r="AI37" s="250"/>
      <c r="AJ37" s="243"/>
      <c r="AR37" s="241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1"/>
      <c r="BF37" s="241"/>
      <c r="BG37" s="241"/>
    </row>
    <row r="38" spans="1:59" ht="40.5">
      <c r="A38" s="869" t="s">
        <v>269</v>
      </c>
      <c r="B38" s="279" t="e">
        <f t="shared" si="4"/>
        <v>#REF!</v>
      </c>
      <c r="C38" s="438" t="s">
        <v>270</v>
      </c>
      <c r="D38" s="280" t="s">
        <v>121</v>
      </c>
      <c r="E38" s="282"/>
      <c r="F38" s="392"/>
      <c r="G38" s="280" t="s">
        <v>271</v>
      </c>
      <c r="H38" s="280" t="s">
        <v>272</v>
      </c>
      <c r="I38" s="434">
        <v>0</v>
      </c>
      <c r="J38" s="285" t="s">
        <v>273</v>
      </c>
      <c r="K38" s="286" t="s">
        <v>100</v>
      </c>
      <c r="L38" s="287">
        <v>1</v>
      </c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9" t="e">
        <f t="shared" si="1"/>
        <v>#N/A</v>
      </c>
      <c r="Z38" s="290"/>
      <c r="AA38" s="288" t="e">
        <f t="shared" si="5"/>
        <v>#DIV/0!</v>
      </c>
      <c r="AB38" s="291" t="s">
        <v>13</v>
      </c>
      <c r="AC38" s="370">
        <v>9.6100000000000005E-3</v>
      </c>
      <c r="AD38" s="293" t="str">
        <f>IF($K$38="Sube",IF(ISERROR(Y38/$L$38)=TRUE,"",IF(Y38&gt;$L$38,AC38,Y38/$L$38*AC38)),IF(ISERROR($L$38/Y38)=TRUE,"",IF($L$38&lt;Y38,$L$38/Y38*AC38,AC38)))</f>
        <v/>
      </c>
      <c r="AE38" s="294" t="str">
        <f>IF($K$38="Sube",IF(ISERROR(Y38/$L$38)=TRUE,"",IF(Y38&gt;=$L$38,1,0)),IF(ISERROR($L$38/Y38)=TRUE,"",IF($L$38&lt;Y38,0,1)))</f>
        <v/>
      </c>
      <c r="AF38" s="295"/>
      <c r="AG38" s="296"/>
      <c r="AH38" s="511" t="s">
        <v>378</v>
      </c>
      <c r="AI38" s="199"/>
      <c r="AJ38" s="137"/>
      <c r="AR38" s="64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4"/>
      <c r="BF38" s="64"/>
      <c r="BG38" s="64"/>
    </row>
    <row r="39" spans="1:59" ht="77.25" thickBot="1">
      <c r="A39" s="871"/>
      <c r="B39" s="354" t="e">
        <f>+#REF!+1</f>
        <v>#REF!</v>
      </c>
      <c r="C39" s="430" t="s">
        <v>274</v>
      </c>
      <c r="D39" s="323" t="s">
        <v>113</v>
      </c>
      <c r="E39" s="439"/>
      <c r="F39" s="355"/>
      <c r="G39" s="440" t="s">
        <v>275</v>
      </c>
      <c r="H39" s="323" t="s">
        <v>276</v>
      </c>
      <c r="I39" s="441">
        <v>0.85</v>
      </c>
      <c r="J39" s="432" t="s">
        <v>268</v>
      </c>
      <c r="K39" s="327" t="s">
        <v>100</v>
      </c>
      <c r="L39" s="328">
        <v>0.92</v>
      </c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59" t="e">
        <f t="shared" si="1"/>
        <v>#N/A</v>
      </c>
      <c r="Z39" s="360">
        <f>+(4*100)/4</f>
        <v>100</v>
      </c>
      <c r="AA39" s="358" t="e">
        <f t="shared" si="5"/>
        <v>#DIV/0!</v>
      </c>
      <c r="AB39" s="332" t="s">
        <v>13</v>
      </c>
      <c r="AC39" s="361">
        <v>9.6100000000000005E-3</v>
      </c>
      <c r="AD39" s="362" t="str">
        <f>IF($K$39="Sube",IF(ISERROR(Y39/$L$39)=TRUE,"",IF(Y39&gt;$L$39,AC39,Y39/$L$39*AC39)),IF(ISERROR($L$39/Y39)=TRUE,"",IF($L$39&lt;Y39,$L$39/Y39*AC39,AC39)))</f>
        <v/>
      </c>
      <c r="AE39" s="363" t="str">
        <f>IF($K$39="Sube",IF(ISERROR(Y39/$L$39)=TRUE,"",IF(Y39&gt;=$L$39,1,0)),IF(ISERROR($L$39/Y39)=TRUE,"",IF($L$39&lt;Y39,0,1)))</f>
        <v/>
      </c>
      <c r="AF39" s="364"/>
      <c r="AG39" s="365"/>
      <c r="AH39" s="510"/>
      <c r="AI39" s="201"/>
      <c r="AJ39" s="151"/>
      <c r="AK39" s="202" t="s">
        <v>277</v>
      </c>
      <c r="AR39" s="64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4"/>
      <c r="BF39" s="64"/>
      <c r="BG39" s="64"/>
    </row>
    <row r="40" spans="1:59" ht="63">
      <c r="A40" s="869" t="s">
        <v>79</v>
      </c>
      <c r="B40" s="442" t="e">
        <f t="shared" si="4"/>
        <v>#REF!</v>
      </c>
      <c r="C40" s="443" t="s">
        <v>137</v>
      </c>
      <c r="D40" s="443" t="s">
        <v>112</v>
      </c>
      <c r="E40" s="444"/>
      <c r="F40" s="445"/>
      <c r="G40" s="446" t="s">
        <v>175</v>
      </c>
      <c r="H40" s="446" t="s">
        <v>159</v>
      </c>
      <c r="I40" s="447">
        <f>+'Tablero Estratégico'!AF18</f>
        <v>41.3</v>
      </c>
      <c r="J40" s="447" t="s">
        <v>146</v>
      </c>
      <c r="K40" s="286" t="s">
        <v>100</v>
      </c>
      <c r="L40" s="448">
        <f>+'Tablero Estratégico'!AG18</f>
        <v>50</v>
      </c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9" t="e">
        <f t="shared" si="1"/>
        <v>#N/A</v>
      </c>
      <c r="Z40" s="290"/>
      <c r="AA40" s="288" t="e">
        <f t="shared" si="5"/>
        <v>#DIV/0!</v>
      </c>
      <c r="AB40" s="291" t="s">
        <v>13</v>
      </c>
      <c r="AC40" s="370">
        <v>9.6100000000000005E-3</v>
      </c>
      <c r="AD40" s="293" t="str">
        <f>IF($K$40="Sube",IF(ISERROR(Y40/$L$40)=TRUE,"",IF(Y40&gt;$L$40,AC40,Y40/$L$40*AC40)),IF(ISERROR($L$40/Y40)=TRUE,"",IF($L$40&lt;Y40,$L$40/Y40*AC40,AC40)))</f>
        <v/>
      </c>
      <c r="AE40" s="294" t="str">
        <f>IF($K$40="Sube",IF(ISERROR(Y40/$L$40)=TRUE,"",IF(Y40&gt;=$L$40,1,0)),IF(ISERROR($L$40/Y40)=TRUE,"",IF($L$40&lt;Y40,0,1)))</f>
        <v/>
      </c>
      <c r="AF40" s="295"/>
      <c r="AG40" s="296"/>
      <c r="AH40" s="505"/>
      <c r="AI40" s="199"/>
      <c r="AJ40" s="137"/>
      <c r="AR40" s="64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4"/>
      <c r="BF40" s="64"/>
      <c r="BG40" s="64"/>
    </row>
    <row r="41" spans="1:59" ht="42">
      <c r="A41" s="877"/>
      <c r="B41" s="449" t="e">
        <f t="shared" si="4"/>
        <v>#REF!</v>
      </c>
      <c r="C41" s="372" t="s">
        <v>138</v>
      </c>
      <c r="D41" s="372" t="s">
        <v>112</v>
      </c>
      <c r="E41" s="450"/>
      <c r="F41" s="451"/>
      <c r="G41" s="452" t="s">
        <v>164</v>
      </c>
      <c r="H41" s="452" t="s">
        <v>160</v>
      </c>
      <c r="I41" s="453"/>
      <c r="J41" s="453" t="s">
        <v>146</v>
      </c>
      <c r="K41" s="304" t="s">
        <v>100</v>
      </c>
      <c r="L41" s="317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7" t="e">
        <f t="shared" si="1"/>
        <v>#N/A</v>
      </c>
      <c r="Z41" s="308"/>
      <c r="AA41" s="306" t="e">
        <f t="shared" si="5"/>
        <v>#DIV/0!</v>
      </c>
      <c r="AB41" s="309" t="s">
        <v>13</v>
      </c>
      <c r="AC41" s="340">
        <v>9.6100000000000005E-3</v>
      </c>
      <c r="AD41" s="311" t="str">
        <f>IF($K$41="Sube",IF(ISERROR(Y41/$L$41)=TRUE,"",IF(Y41&gt;$L$41,AC41,Y41/$L$41*AC41)),IF(ISERROR($L$41/Y41)=TRUE,"",IF($L$41&lt;Y41,$L$41/Y41*AC41,AC41)))</f>
        <v/>
      </c>
      <c r="AE41" s="312" t="str">
        <f>IF($K$41="Sube",IF(ISERROR(Y41/$L$41)=TRUE,"",IF(Y41&gt;=$L$41,1,0)),IF(ISERROR($L$41/Y41)=TRUE,"",IF($L$41&lt;Y41,0,1)))</f>
        <v/>
      </c>
      <c r="AF41" s="313"/>
      <c r="AG41" s="314"/>
      <c r="AH41" s="506"/>
      <c r="AI41" s="247"/>
      <c r="AJ41" s="138"/>
      <c r="AR41" s="64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4"/>
      <c r="BF41" s="64"/>
      <c r="BG41" s="64"/>
    </row>
    <row r="42" spans="1:59" ht="60.75">
      <c r="A42" s="877"/>
      <c r="B42" s="449" t="e">
        <f>+#REF!+1</f>
        <v>#REF!</v>
      </c>
      <c r="C42" s="372" t="s">
        <v>278</v>
      </c>
      <c r="D42" s="372" t="s">
        <v>112</v>
      </c>
      <c r="E42" s="450"/>
      <c r="F42" s="451"/>
      <c r="G42" s="372" t="s">
        <v>279</v>
      </c>
      <c r="H42" s="372" t="s">
        <v>280</v>
      </c>
      <c r="I42" s="453" t="s">
        <v>306</v>
      </c>
      <c r="J42" s="303" t="s">
        <v>273</v>
      </c>
      <c r="K42" s="304" t="s">
        <v>100</v>
      </c>
      <c r="L42" s="317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7" t="e">
        <f t="shared" si="1"/>
        <v>#N/A</v>
      </c>
      <c r="Z42" s="308"/>
      <c r="AA42" s="306" t="e">
        <f t="shared" si="5"/>
        <v>#DIV/0!</v>
      </c>
      <c r="AB42" s="309" t="s">
        <v>13</v>
      </c>
      <c r="AC42" s="340">
        <v>9.6100000000000005E-3</v>
      </c>
      <c r="AD42" s="311" t="str">
        <f>IF($K$42="Sube",IF(ISERROR(Y42/$L$42)=TRUE,"",IF(Y42&gt;$L$42,AC42,Y42/$L$42*AC42)),IF(ISERROR($L$42/Y42)=TRUE,"",IF($L$42&lt;Y42,$L$42/Y42*AC42,AC42)))</f>
        <v/>
      </c>
      <c r="AE42" s="312" t="str">
        <f>IF($K$42="Sube",IF(ISERROR(Y42/$L$42)=TRUE,"",IF(Y42&gt;=$L$42,1,0)),IF(ISERROR($L$42/Y42)=TRUE,"",IF($L$42&lt;Y42,0,1)))</f>
        <v/>
      </c>
      <c r="AF42" s="313"/>
      <c r="AG42" s="314"/>
      <c r="AH42" s="506"/>
      <c r="AI42" s="247"/>
      <c r="AJ42" s="138"/>
      <c r="AR42" s="64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4"/>
      <c r="BF42" s="64"/>
      <c r="BG42" s="64"/>
    </row>
    <row r="43" spans="1:59" ht="33.75" customHeight="1">
      <c r="A43" s="877"/>
      <c r="B43" s="449" t="e">
        <f t="shared" si="4"/>
        <v>#REF!</v>
      </c>
      <c r="C43" s="372" t="s">
        <v>281</v>
      </c>
      <c r="D43" s="372" t="s">
        <v>121</v>
      </c>
      <c r="E43" s="450"/>
      <c r="F43" s="451"/>
      <c r="G43" s="372" t="s">
        <v>282</v>
      </c>
      <c r="H43" s="372" t="s">
        <v>283</v>
      </c>
      <c r="I43" s="454">
        <v>1</v>
      </c>
      <c r="J43" s="453" t="s">
        <v>108</v>
      </c>
      <c r="K43" s="304" t="s">
        <v>100</v>
      </c>
      <c r="L43" s="317">
        <v>1</v>
      </c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7" t="e">
        <f t="shared" si="1"/>
        <v>#N/A</v>
      </c>
      <c r="Z43" s="308"/>
      <c r="AA43" s="306" t="e">
        <f t="shared" si="5"/>
        <v>#DIV/0!</v>
      </c>
      <c r="AB43" s="309" t="s">
        <v>13</v>
      </c>
      <c r="AC43" s="340">
        <v>9.6100000000000005E-3</v>
      </c>
      <c r="AD43" s="311" t="str">
        <f>IF($K$43="Sube",IF(ISERROR(Y43/$L$43)=TRUE,"",IF(Y43&gt;$L$43,AC43,Y43/$L$43*AC43)),IF(ISERROR($L$43/Y43)=TRUE,"",IF($L$43&lt;Y43,$L$43/Y43*AC43,AC43)))</f>
        <v/>
      </c>
      <c r="AE43" s="312" t="str">
        <f>IF($K$43="Sube",IF(ISERROR(Y43/$L$43)=TRUE,"",IF(Y43&gt;=$L$43,1,0)),IF(ISERROR($L$43/Y43)=TRUE,"",IF($L$43&lt;Y43,0,1)))</f>
        <v/>
      </c>
      <c r="AF43" s="313"/>
      <c r="AG43" s="314"/>
      <c r="AH43" s="506"/>
      <c r="AI43" s="247"/>
      <c r="AJ43" s="138"/>
      <c r="AR43" s="64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4"/>
      <c r="BF43" s="64"/>
      <c r="BG43" s="64"/>
    </row>
    <row r="44" spans="1:59" ht="60.75">
      <c r="A44" s="877"/>
      <c r="B44" s="449" t="e">
        <f t="shared" si="4"/>
        <v>#REF!</v>
      </c>
      <c r="C44" s="372" t="s">
        <v>284</v>
      </c>
      <c r="D44" s="372" t="s">
        <v>121</v>
      </c>
      <c r="E44" s="451"/>
      <c r="F44" s="451"/>
      <c r="G44" s="372" t="s">
        <v>285</v>
      </c>
      <c r="H44" s="372" t="s">
        <v>286</v>
      </c>
      <c r="I44" s="453" t="s">
        <v>306</v>
      </c>
      <c r="J44" s="303" t="s">
        <v>146</v>
      </c>
      <c r="K44" s="304" t="s">
        <v>100</v>
      </c>
      <c r="L44" s="317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7" t="e">
        <f t="shared" si="1"/>
        <v>#N/A</v>
      </c>
      <c r="Z44" s="308"/>
      <c r="AA44" s="306" t="e">
        <f t="shared" si="5"/>
        <v>#DIV/0!</v>
      </c>
      <c r="AB44" s="309" t="s">
        <v>13</v>
      </c>
      <c r="AC44" s="340">
        <v>9.6100000000000005E-3</v>
      </c>
      <c r="AD44" s="311" t="str">
        <f>IF($K$44="Sube",IF(ISERROR(Y44/$L$44)=TRUE,"",IF(Y44&gt;$L$44,AC44,Y44/$L$44*AC44)),IF(ISERROR($L$44/Y44)=TRUE,"",IF($L$44&lt;Y44,$L$44/Y44*AC44,AC44)))</f>
        <v/>
      </c>
      <c r="AE44" s="312" t="str">
        <f>IF($K$44="Sube",IF(ISERROR(Y44/$L$44)=TRUE,"",IF(Y44&gt;=$L$44,1,0)),IF(ISERROR($L$44/Y44)=TRUE,"",IF($L$44&lt;Y44,0,1)))</f>
        <v/>
      </c>
      <c r="AF44" s="313"/>
      <c r="AG44" s="314"/>
      <c r="AH44" s="506"/>
      <c r="AI44" s="247"/>
      <c r="AJ44" s="138"/>
      <c r="AR44" s="64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4"/>
      <c r="BF44" s="64"/>
      <c r="BG44" s="64"/>
    </row>
    <row r="45" spans="1:59" ht="61.5" thickBot="1">
      <c r="A45" s="871"/>
      <c r="B45" s="384"/>
      <c r="C45" s="455" t="s">
        <v>287</v>
      </c>
      <c r="D45" s="455" t="s">
        <v>121</v>
      </c>
      <c r="E45" s="456"/>
      <c r="F45" s="456"/>
      <c r="G45" s="457" t="s">
        <v>288</v>
      </c>
      <c r="H45" s="457" t="s">
        <v>289</v>
      </c>
      <c r="I45" s="458">
        <v>1</v>
      </c>
      <c r="J45" s="459" t="s">
        <v>146</v>
      </c>
      <c r="K45" s="343" t="s">
        <v>141</v>
      </c>
      <c r="L45" s="344">
        <v>1</v>
      </c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6"/>
      <c r="Z45" s="347"/>
      <c r="AA45" s="345"/>
      <c r="AB45" s="348"/>
      <c r="AC45" s="349"/>
      <c r="AD45" s="350"/>
      <c r="AE45" s="351"/>
      <c r="AF45" s="352"/>
      <c r="AG45" s="353"/>
      <c r="AH45" s="509"/>
      <c r="AI45" s="249"/>
      <c r="AJ45" s="200"/>
      <c r="AR45" s="64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4"/>
      <c r="BF45" s="64"/>
      <c r="BG45" s="64"/>
    </row>
    <row r="46" spans="1:59" s="4" customFormat="1" ht="61.5" thickBot="1">
      <c r="A46" s="460" t="s">
        <v>80</v>
      </c>
      <c r="B46" s="461" t="e">
        <f>+#REF!+1</f>
        <v>#REF!</v>
      </c>
      <c r="C46" s="462" t="s">
        <v>139</v>
      </c>
      <c r="D46" s="462" t="s">
        <v>121</v>
      </c>
      <c r="E46" s="463"/>
      <c r="F46" s="463"/>
      <c r="G46" s="462" t="s">
        <v>290</v>
      </c>
      <c r="H46" s="462" t="s">
        <v>291</v>
      </c>
      <c r="I46" s="464">
        <f>+'Tablero Estratégico'!AF20</f>
        <v>1</v>
      </c>
      <c r="J46" s="465" t="str">
        <f>+'Tablero Estratégico'!AE20</f>
        <v>Trimestral</v>
      </c>
      <c r="K46" s="466" t="s">
        <v>100</v>
      </c>
      <c r="L46" s="467">
        <v>1</v>
      </c>
      <c r="M46" s="468"/>
      <c r="N46" s="468"/>
      <c r="O46" s="468"/>
      <c r="P46" s="468"/>
      <c r="Q46" s="468"/>
      <c r="R46" s="468"/>
      <c r="S46" s="468"/>
      <c r="T46" s="468"/>
      <c r="U46" s="468"/>
      <c r="V46" s="468"/>
      <c r="W46" s="468"/>
      <c r="X46" s="468"/>
      <c r="Y46" s="469" t="e">
        <f t="shared" si="1"/>
        <v>#N/A</v>
      </c>
      <c r="Z46" s="470"/>
      <c r="AA46" s="468" t="e">
        <f t="shared" si="5"/>
        <v>#DIV/0!</v>
      </c>
      <c r="AB46" s="471" t="s">
        <v>13</v>
      </c>
      <c r="AC46" s="472">
        <v>9.6100000000000005E-3</v>
      </c>
      <c r="AD46" s="473" t="str">
        <f>IF($K$46="Sube",IF(ISERROR(Y46/$L$46)=TRUE,"",IF(Y46&gt;$L$46,AC46,Y46/$L$46*AC46)),IF(ISERROR($L$46/Y46)=TRUE,"",IF($L$46&lt;Y46,$L$46/Y46*AC46,AC46)))</f>
        <v/>
      </c>
      <c r="AE46" s="474" t="str">
        <f>IF($K$46="Sube",IF(ISERROR(Y46/$L$46)=TRUE,"",IF(Y46&gt;=$L$46,1,0)),IF(ISERROR($L$46/Y46)=TRUE,"",IF($L$46&lt;Y46,0,1)))</f>
        <v/>
      </c>
      <c r="AF46" s="475"/>
      <c r="AG46" s="476">
        <f>+'Tablero Estratégico'!AO20</f>
        <v>0.61422873243504517</v>
      </c>
      <c r="AH46" s="516" t="str">
        <f>+'Tablero Estratégico'!AP20</f>
        <v>Ejecución del plan de compras: $5.648.325.168 Programado: $ 9.195.800.961  
Dato más reciente: Junio 2017</v>
      </c>
      <c r="AI46" s="251"/>
      <c r="AJ46" s="203"/>
      <c r="AK46" s="245"/>
      <c r="AR46" s="64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4"/>
      <c r="BF46" s="64"/>
      <c r="BG46" s="64"/>
    </row>
    <row r="47" spans="1:59" ht="60.75">
      <c r="A47" s="869" t="s">
        <v>81</v>
      </c>
      <c r="B47" s="402" t="e">
        <f>+#REF!+1</f>
        <v>#REF!</v>
      </c>
      <c r="C47" s="280" t="s">
        <v>292</v>
      </c>
      <c r="D47" s="281" t="s">
        <v>114</v>
      </c>
      <c r="E47" s="380"/>
      <c r="F47" s="380"/>
      <c r="G47" s="281" t="s">
        <v>293</v>
      </c>
      <c r="H47" s="281" t="s">
        <v>294</v>
      </c>
      <c r="I47" s="369"/>
      <c r="J47" s="285" t="s">
        <v>147</v>
      </c>
      <c r="K47" s="286" t="s">
        <v>141</v>
      </c>
      <c r="L47" s="287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9" t="e">
        <f t="shared" si="1"/>
        <v>#N/A</v>
      </c>
      <c r="Z47" s="290"/>
      <c r="AA47" s="288" t="e">
        <f t="shared" si="5"/>
        <v>#DIV/0!</v>
      </c>
      <c r="AB47" s="291" t="s">
        <v>13</v>
      </c>
      <c r="AC47" s="370">
        <v>9.6100000000000005E-3</v>
      </c>
      <c r="AD47" s="293" t="str">
        <f>IF($K$47="Sube",IF(ISERROR(Y47/$L$47)=TRUE,"",IF(Y47&gt;$L$47,AC47,Y47/$L$47*AC47)),IF(ISERROR($L$47/Y47)=TRUE,"",IF($L$47&lt;Y47,$L$47/Y47*AC47,AC47)))</f>
        <v/>
      </c>
      <c r="AE47" s="294" t="str">
        <f>IF($K$47="Sube",IF(ISERROR(Y47/$L$47)=TRUE,"",IF(Y47&gt;=$L$47,1,0)),IF(ISERROR($L$47/Y47)=TRUE,"",IF($L$47&lt;Y47,0,1)))</f>
        <v/>
      </c>
      <c r="AF47" s="295"/>
      <c r="AG47" s="296"/>
      <c r="AH47" s="505"/>
      <c r="AI47" s="199"/>
      <c r="AJ47" s="137"/>
      <c r="AR47" s="64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4"/>
      <c r="BF47" s="64"/>
      <c r="BG47" s="64"/>
    </row>
    <row r="48" spans="1:59" ht="40.5">
      <c r="A48" s="877"/>
      <c r="B48" s="406" t="e">
        <f t="shared" si="4"/>
        <v>#REF!</v>
      </c>
      <c r="C48" s="299" t="s">
        <v>295</v>
      </c>
      <c r="D48" s="299" t="s">
        <v>121</v>
      </c>
      <c r="E48" s="338"/>
      <c r="F48" s="338"/>
      <c r="G48" s="299" t="s">
        <v>296</v>
      </c>
      <c r="H48" s="299" t="s">
        <v>297</v>
      </c>
      <c r="I48" s="407"/>
      <c r="J48" s="303" t="s">
        <v>147</v>
      </c>
      <c r="K48" s="304" t="s">
        <v>100</v>
      </c>
      <c r="L48" s="317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7" t="e">
        <f t="shared" si="1"/>
        <v>#N/A</v>
      </c>
      <c r="Z48" s="308"/>
      <c r="AA48" s="306" t="e">
        <f t="shared" si="5"/>
        <v>#DIV/0!</v>
      </c>
      <c r="AB48" s="309" t="s">
        <v>13</v>
      </c>
      <c r="AC48" s="340">
        <v>9.6100000000000005E-3</v>
      </c>
      <c r="AD48" s="311" t="str">
        <f>IF($K$48="Sube",IF(ISERROR(Y48/$L$48)=TRUE,"",IF(Y48&gt;$L$48,AC48,Y48/$L$48*AC48)),IF(ISERROR($L$48/Y48)=TRUE,"",IF($L$48&lt;Y48,$L$48/Y48*AC48,AC48)))</f>
        <v/>
      </c>
      <c r="AE48" s="312" t="str">
        <f>IF($K$48="Sube",IF(ISERROR(Y48/$L$48)=TRUE,"",IF(Y48&gt;=$L$48,1,0)),IF(ISERROR($L$48/Y48)=TRUE,"",IF($L$48&lt;Y48,0,1)))</f>
        <v/>
      </c>
      <c r="AF48" s="313"/>
      <c r="AG48" s="477">
        <f>+'Tablero Estratégico'!AO23</f>
        <v>0.92201235736089049</v>
      </c>
      <c r="AH48" s="507" t="str">
        <f>+'Tablero Estratégico'!AP23</f>
        <v xml:space="preserve">Se recauda en el mes de Junio $11.136.729.605,95 y se compromete $12.078.720.547,55. </v>
      </c>
      <c r="AI48" s="247"/>
      <c r="AJ48" s="138"/>
      <c r="AR48" s="64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4"/>
      <c r="BF48" s="64"/>
      <c r="BG48" s="64"/>
    </row>
    <row r="49" spans="1:60" ht="42.75" thickBot="1">
      <c r="A49" s="871"/>
      <c r="B49" s="429" t="e">
        <f t="shared" si="4"/>
        <v>#REF!</v>
      </c>
      <c r="C49" s="323" t="s">
        <v>140</v>
      </c>
      <c r="D49" s="323" t="s">
        <v>112</v>
      </c>
      <c r="E49" s="355"/>
      <c r="F49" s="355"/>
      <c r="G49" s="386" t="s">
        <v>189</v>
      </c>
      <c r="H49" s="386" t="s">
        <v>172</v>
      </c>
      <c r="I49" s="478">
        <f>+'Tablero Estratégico'!AF23</f>
        <v>1.0374939776423666</v>
      </c>
      <c r="J49" s="432" t="s">
        <v>147</v>
      </c>
      <c r="K49" s="327" t="s">
        <v>100</v>
      </c>
      <c r="L49" s="328" t="str">
        <f>+'Tablero Estratégico'!AG23</f>
        <v>≥  1,00</v>
      </c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9"/>
      <c r="Z49" s="360"/>
      <c r="AA49" s="358"/>
      <c r="AB49" s="332"/>
      <c r="AC49" s="361"/>
      <c r="AD49" s="362"/>
      <c r="AE49" s="363"/>
      <c r="AF49" s="364"/>
      <c r="AG49" s="365"/>
      <c r="AH49" s="510"/>
      <c r="AI49" s="201"/>
      <c r="AJ49" s="151"/>
      <c r="AR49" s="64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4"/>
      <c r="BF49" s="64"/>
      <c r="BG49" s="64"/>
    </row>
    <row r="50" spans="1:60" ht="81">
      <c r="A50" s="870" t="s">
        <v>298</v>
      </c>
      <c r="B50" s="479" t="e">
        <f>+#REF!+1</f>
        <v>#REF!</v>
      </c>
      <c r="C50" s="480" t="s">
        <v>341</v>
      </c>
      <c r="D50" s="481" t="s">
        <v>113</v>
      </c>
      <c r="E50" s="482"/>
      <c r="F50" s="482"/>
      <c r="G50" s="483" t="s">
        <v>299</v>
      </c>
      <c r="H50" s="483" t="s">
        <v>300</v>
      </c>
      <c r="I50" s="484">
        <v>0.4</v>
      </c>
      <c r="J50" s="485" t="s">
        <v>108</v>
      </c>
      <c r="K50" s="486" t="s">
        <v>100</v>
      </c>
      <c r="L50" s="487">
        <v>0.85</v>
      </c>
      <c r="M50" s="488"/>
      <c r="N50" s="488"/>
      <c r="O50" s="488"/>
      <c r="P50" s="488"/>
      <c r="Q50" s="488"/>
      <c r="R50" s="488"/>
      <c r="S50" s="488"/>
      <c r="T50" s="488"/>
      <c r="U50" s="488"/>
      <c r="V50" s="488"/>
      <c r="W50" s="488"/>
      <c r="X50" s="488"/>
      <c r="Y50" s="489"/>
      <c r="Z50" s="490"/>
      <c r="AA50" s="488"/>
      <c r="AB50" s="491"/>
      <c r="AC50" s="492"/>
      <c r="AD50" s="493"/>
      <c r="AE50" s="494"/>
      <c r="AF50" s="495"/>
      <c r="AG50" s="496">
        <v>0.4</v>
      </c>
      <c r="AH50" s="517" t="s">
        <v>381</v>
      </c>
      <c r="AI50" s="247"/>
      <c r="AJ50" s="138"/>
      <c r="AR50" s="64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4"/>
      <c r="BF50" s="64"/>
      <c r="BG50" s="64"/>
    </row>
    <row r="51" spans="1:60" ht="61.5" thickBot="1">
      <c r="A51" s="873"/>
      <c r="B51" s="497"/>
      <c r="C51" s="324" t="s">
        <v>301</v>
      </c>
      <c r="D51" s="498" t="s">
        <v>113</v>
      </c>
      <c r="E51" s="355"/>
      <c r="F51" s="355"/>
      <c r="G51" s="499" t="s">
        <v>302</v>
      </c>
      <c r="H51" s="499" t="s">
        <v>303</v>
      </c>
      <c r="I51" s="500">
        <v>0.4</v>
      </c>
      <c r="J51" s="501" t="s">
        <v>108</v>
      </c>
      <c r="K51" s="502" t="s">
        <v>100</v>
      </c>
      <c r="L51" s="328">
        <v>0.85</v>
      </c>
      <c r="M51" s="503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9"/>
      <c r="Z51" s="360"/>
      <c r="AA51" s="358"/>
      <c r="AB51" s="332"/>
      <c r="AC51" s="361"/>
      <c r="AD51" s="362"/>
      <c r="AE51" s="363"/>
      <c r="AF51" s="364"/>
      <c r="AG51" s="401">
        <v>0.4</v>
      </c>
      <c r="AH51" s="508" t="s">
        <v>382</v>
      </c>
      <c r="AI51" s="201"/>
      <c r="AJ51" s="151"/>
      <c r="AR51" s="64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4"/>
      <c r="BF51" s="64"/>
      <c r="BG51" s="64"/>
    </row>
    <row r="52" spans="1:60" ht="15.75" thickBot="1">
      <c r="L52" s="244"/>
      <c r="AB52" s="70" t="s">
        <v>14</v>
      </c>
      <c r="AC52" s="80">
        <f>SUM(AC8:AC51)</f>
        <v>0.3363500000000002</v>
      </c>
      <c r="AD52" s="79">
        <f>SUMIFS(AD8:AD51,AB8:AB51,"Si")/SUMIFS(AC8:AC51,AB8:AB51,"Si")</f>
        <v>0</v>
      </c>
      <c r="AE52" s="71">
        <f>SUMIFS(AE8:AE51,AB8:AB51,"Si")/AB54</f>
        <v>0</v>
      </c>
      <c r="AF52" s="204"/>
      <c r="AG52" s="204"/>
      <c r="AH52" s="204"/>
      <c r="AS52" s="64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4"/>
      <c r="BG52" s="64"/>
      <c r="BH52" s="64"/>
    </row>
    <row r="53" spans="1:60" ht="38.25">
      <c r="L53" s="244"/>
      <c r="AB53" s="22" t="s">
        <v>15</v>
      </c>
      <c r="AC53" s="193" t="s">
        <v>16</v>
      </c>
      <c r="AD53" s="23" t="s">
        <v>17</v>
      </c>
      <c r="AI53" s="19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</row>
    <row r="54" spans="1:60" ht="15.75" thickBot="1">
      <c r="G54" s="63"/>
      <c r="L54" s="244"/>
      <c r="AB54" s="24">
        <f>COUNTIF(AB8:AB51,"Si")</f>
        <v>35</v>
      </c>
      <c r="AC54" s="25">
        <f>COUNT(Y8:Y51)</f>
        <v>0</v>
      </c>
      <c r="AD54" s="26">
        <f>AC54/AB54</f>
        <v>0</v>
      </c>
      <c r="AI54" s="19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</row>
    <row r="55" spans="1:60">
      <c r="L55" s="244"/>
      <c r="AB55" s="1"/>
      <c r="AC55" s="2"/>
      <c r="AD55" s="2"/>
      <c r="AI55" s="1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</row>
    <row r="56" spans="1:60">
      <c r="L56" s="244"/>
      <c r="AB56" s="27" t="s">
        <v>18</v>
      </c>
      <c r="AC56" s="28" t="s">
        <v>19</v>
      </c>
      <c r="AD56" s="2"/>
      <c r="AI56" s="1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</row>
    <row r="57" spans="1:60">
      <c r="L57" s="244"/>
      <c r="AB57" s="29" t="s">
        <v>20</v>
      </c>
      <c r="AC57" s="30" t="s">
        <v>21</v>
      </c>
      <c r="AD57" s="2"/>
      <c r="AI57" s="1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</row>
    <row r="58" spans="1:60">
      <c r="L58" s="244"/>
      <c r="AB58" s="31" t="s">
        <v>22</v>
      </c>
      <c r="AC58" s="32" t="s">
        <v>23</v>
      </c>
      <c r="AD58" s="2"/>
      <c r="AI58" s="1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</row>
    <row r="59" spans="1:60">
      <c r="L59" s="244"/>
    </row>
    <row r="60" spans="1:60">
      <c r="L60" s="244"/>
    </row>
  </sheetData>
  <mergeCells count="18">
    <mergeCell ref="A50:A51"/>
    <mergeCell ref="A1:C5"/>
    <mergeCell ref="D1:AB3"/>
    <mergeCell ref="A36:A37"/>
    <mergeCell ref="A38:A39"/>
    <mergeCell ref="A40:A45"/>
    <mergeCell ref="A47:A49"/>
    <mergeCell ref="AC1:AD3"/>
    <mergeCell ref="D4:AB5"/>
    <mergeCell ref="AC4:AD4"/>
    <mergeCell ref="AC5:AD5"/>
    <mergeCell ref="A33:A35"/>
    <mergeCell ref="A8:A12"/>
    <mergeCell ref="A17:A22"/>
    <mergeCell ref="A23:A25"/>
    <mergeCell ref="A26:A29"/>
    <mergeCell ref="A30:A32"/>
    <mergeCell ref="A13:A16"/>
  </mergeCells>
  <conditionalFormatting sqref="AD52">
    <cfRule type="cellIs" dxfId="15" priority="5" operator="greaterThanOrEqual">
      <formula>0.85</formula>
    </cfRule>
    <cfRule type="cellIs" dxfId="14" priority="6" operator="between">
      <formula>0.65</formula>
      <formula>0.84</formula>
    </cfRule>
    <cfRule type="cellIs" dxfId="13" priority="7" operator="equal">
      <formula>"0.65"</formula>
    </cfRule>
    <cfRule type="cellIs" dxfId="12" priority="8" operator="lessThan">
      <formula>0.64</formula>
    </cfRule>
  </conditionalFormatting>
  <conditionalFormatting sqref="AE52:AH52">
    <cfRule type="cellIs" dxfId="11" priority="1" operator="greaterThanOrEqual">
      <formula>0.85</formula>
    </cfRule>
    <cfRule type="cellIs" dxfId="10" priority="2" operator="between">
      <formula>0.65</formula>
      <formula>"0.84"</formula>
    </cfRule>
    <cfRule type="cellIs" dxfId="9" priority="3" operator="equal">
      <formula>"0.65"</formula>
    </cfRule>
    <cfRule type="cellIs" dxfId="8" priority="4" operator="lessThan">
      <formula>0.65</formula>
    </cfRule>
  </conditionalFormatting>
  <dataValidations count="2">
    <dataValidation type="list" allowBlank="1" showInputMessage="1" showErrorMessage="1" sqref="AB8:AB51">
      <formula1>"Si,No"</formula1>
    </dataValidation>
    <dataValidation type="list" allowBlank="1" showInputMessage="1" showErrorMessage="1" sqref="K8:K51">
      <formula1>"Sube,Baja,Tendencia Media"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300" scale="17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Eficiencia'!M20:X20</xm:f>
              <xm:sqref>Z20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Eficiencia'!M9:X9</xm:f>
              <xm:sqref>Z9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Eficiencia'!M8:X8</xm:f>
              <xm:sqref>Z8</xm:sqref>
            </x14:sparkline>
            <x14:sparkline>
              <xm:f>'Tablero Eficacia - Eficiencia'!M10:X10</xm:f>
              <xm:sqref>Z10</xm:sqref>
            </x14:sparkline>
            <x14:sparkline>
              <xm:f>'Tablero Eficacia - Eficiencia'!M11:X11</xm:f>
              <xm:sqref>Z11</xm:sqref>
            </x14:sparkline>
            <x14:sparkline>
              <xm:f>'Tablero Eficacia - Eficiencia'!M12:X12</xm:f>
              <xm:sqref>Z12</xm:sqref>
            </x14:sparkline>
            <x14:sparkline>
              <xm:f>'Tablero Eficacia - Eficiencia'!M13:X13</xm:f>
              <xm:sqref>Z13</xm:sqref>
            </x14:sparkline>
            <x14:sparkline>
              <xm:f>'Tablero Eficacia - Eficiencia'!M14:X14</xm:f>
              <xm:sqref>Z14</xm:sqref>
            </x14:sparkline>
            <x14:sparkline>
              <xm:f>'Tablero Eficacia - Eficiencia'!M15:X15</xm:f>
              <xm:sqref>Z15</xm:sqref>
            </x14:sparkline>
            <x14:sparkline>
              <xm:f>'Tablero Eficacia - Eficiencia'!M16:X16</xm:f>
              <xm:sqref>Z16</xm:sqref>
            </x14:sparkline>
            <x14:sparkline>
              <xm:f>'Tablero Eficacia - Eficiencia'!M17:X17</xm:f>
              <xm:sqref>Z17</xm:sqref>
            </x14:sparkline>
            <x14:sparkline>
              <xm:f>'Tablero Eficacia - Eficiencia'!M18:X18</xm:f>
              <xm:sqref>Z18</xm:sqref>
            </x14:sparkline>
            <x14:sparkline>
              <xm:f>'Tablero Eficacia - Eficiencia'!M19:X19</xm:f>
              <xm:sqref>Z19</xm:sqref>
            </x14:sparkline>
            <x14:sparkline>
              <xm:f>'Tablero Eficacia - Eficiencia'!M21:X21</xm:f>
              <xm:sqref>Z21</xm:sqref>
            </x14:sparkline>
            <x14:sparkline>
              <xm:f>'Tablero Eficacia - Eficiencia'!M22:X22</xm:f>
              <xm:sqref>Z22</xm:sqref>
            </x14:sparkline>
            <x14:sparkline>
              <xm:f>'Tablero Eficacia - Eficiencia'!M23:X23</xm:f>
              <xm:sqref>Z23</xm:sqref>
            </x14:sparkline>
            <x14:sparkline>
              <xm:f>'Tablero Eficacia - Eficiencia'!M24:X24</xm:f>
              <xm:sqref>Z24</xm:sqref>
            </x14:sparkline>
            <x14:sparkline>
              <xm:f>'Tablero Eficacia - Eficiencia'!M25:X25</xm:f>
              <xm:sqref>Z25</xm:sqref>
            </x14:sparkline>
            <x14:sparkline>
              <xm:f>'Tablero Eficacia - Eficiencia'!M26:X26</xm:f>
              <xm:sqref>Z26</xm:sqref>
            </x14:sparkline>
            <x14:sparkline>
              <xm:f>'Tablero Eficacia - Eficiencia'!M27:X27</xm:f>
              <xm:sqref>Z27</xm:sqref>
            </x14:sparkline>
            <x14:sparkline>
              <xm:f>'Tablero Eficacia - Eficiencia'!M28:X28</xm:f>
              <xm:sqref>Z28</xm:sqref>
            </x14:sparkline>
            <x14:sparkline>
              <xm:f>'Tablero Eficacia - Eficiencia'!M29:X29</xm:f>
              <xm:sqref>Z29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Eficiencia'!M50:X50</xm:f>
              <xm:sqref>Z50</xm:sqref>
            </x14:sparkline>
            <x14:sparkline>
              <xm:f>'Tablero Eficacia - Eficiencia'!M51:X51</xm:f>
              <xm:sqref>Z51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Eficiencia'!M30:X30</xm:f>
              <xm:sqref>Z30</xm:sqref>
            </x14:sparkline>
            <x14:sparkline>
              <xm:f>'Tablero Eficacia - Eficiencia'!M31:X31</xm:f>
              <xm:sqref>Z31</xm:sqref>
            </x14:sparkline>
            <x14:sparkline>
              <xm:f>'Tablero Eficacia - Eficiencia'!M32:X32</xm:f>
              <xm:sqref>Z32</xm:sqref>
            </x14:sparkline>
            <x14:sparkline>
              <xm:f>'Tablero Eficacia - Eficiencia'!M33:X33</xm:f>
              <xm:sqref>Z33</xm:sqref>
            </x14:sparkline>
            <x14:sparkline>
              <xm:f>'Tablero Eficacia - Eficiencia'!M34:X34</xm:f>
              <xm:sqref>Z34</xm:sqref>
            </x14:sparkline>
            <x14:sparkline>
              <xm:f>'Tablero Eficacia - Eficiencia'!M35:X35</xm:f>
              <xm:sqref>Z35</xm:sqref>
            </x14:sparkline>
            <x14:sparkline>
              <xm:f>'Tablero Eficacia - Eficiencia'!M36:X36</xm:f>
              <xm:sqref>Z36</xm:sqref>
            </x14:sparkline>
            <x14:sparkline>
              <xm:f>'Tablero Eficacia - Eficiencia'!M37:X37</xm:f>
              <xm:sqref>Z37</xm:sqref>
            </x14:sparkline>
            <x14:sparkline>
              <xm:f>'Tablero Eficacia - Eficiencia'!M38:X38</xm:f>
              <xm:sqref>Z38</xm:sqref>
            </x14:sparkline>
            <x14:sparkline>
              <xm:f>'Tablero Eficacia - Eficiencia'!M39:X39</xm:f>
              <xm:sqref>Z39</xm:sqref>
            </x14:sparkline>
            <x14:sparkline>
              <xm:f>'Tablero Eficacia - Eficiencia'!M40:X40</xm:f>
              <xm:sqref>Z40</xm:sqref>
            </x14:sparkline>
            <x14:sparkline>
              <xm:f>'Tablero Eficacia - Eficiencia'!M41:X41</xm:f>
              <xm:sqref>Z41</xm:sqref>
            </x14:sparkline>
            <x14:sparkline>
              <xm:f>'Tablero Eficacia - Eficiencia'!M42:X42</xm:f>
              <xm:sqref>Z42</xm:sqref>
            </x14:sparkline>
            <x14:sparkline>
              <xm:f>'Tablero Eficacia - Eficiencia'!M43:X43</xm:f>
              <xm:sqref>Z43</xm:sqref>
            </x14:sparkline>
            <x14:sparkline>
              <xm:f>'Tablero Eficacia - Eficiencia'!M44:X44</xm:f>
              <xm:sqref>Z44</xm:sqref>
            </x14:sparkline>
            <x14:sparkline>
              <xm:f>'Tablero Eficacia - Eficiencia'!M45:X45</xm:f>
              <xm:sqref>Z45</xm:sqref>
            </x14:sparkline>
            <x14:sparkline>
              <xm:f>'Tablero Eficacia - Eficiencia'!M46:X46</xm:f>
              <xm:sqref>Z46</xm:sqref>
            </x14:sparkline>
            <x14:sparkline>
              <xm:f>'Tablero Eficacia - Eficiencia'!M47:X47</xm:f>
              <xm:sqref>Z47</xm:sqref>
            </x14:sparkline>
            <x14:sparkline>
              <xm:f>'Tablero Eficacia - Eficiencia'!M48:X48</xm:f>
              <xm:sqref>Z48</xm:sqref>
            </x14:sparkline>
            <x14:sparkline>
              <xm:f>'Tablero Eficacia - Eficiencia'!M49:X49</xm:f>
              <xm:sqref>Z49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8"/>
  <sheetViews>
    <sheetView topLeftCell="B2" zoomScale="85" zoomScaleNormal="85" workbookViewId="0">
      <pane ySplit="2" topLeftCell="A4" activePane="bottomLeft" state="frozen"/>
      <selection activeCell="A2" sqref="A2"/>
      <selection pane="bottomLeft" activeCell="D19" sqref="D19"/>
    </sheetView>
  </sheetViews>
  <sheetFormatPr baseColWidth="10" defaultColWidth="11.42578125" defaultRowHeight="15"/>
  <cols>
    <col min="2" max="2" width="13.42578125" customWidth="1"/>
    <col min="3" max="3" width="75.28515625" customWidth="1"/>
    <col min="4" max="4" width="67.5703125" customWidth="1"/>
    <col min="5" max="5" width="54.42578125" style="202" bestFit="1" customWidth="1"/>
    <col min="6" max="6" width="10.5703125" customWidth="1"/>
  </cols>
  <sheetData>
    <row r="2" spans="3:6" ht="15.75" thickBot="1"/>
    <row r="3" spans="3:6" ht="15.75" thickBot="1">
      <c r="C3" s="181" t="s">
        <v>345</v>
      </c>
      <c r="D3" s="207" t="s">
        <v>320</v>
      </c>
      <c r="E3" s="207" t="s">
        <v>321</v>
      </c>
      <c r="F3" s="213" t="s">
        <v>40</v>
      </c>
    </row>
    <row r="4" spans="3:6" ht="28.5" customHeight="1">
      <c r="C4" s="897" t="s">
        <v>313</v>
      </c>
      <c r="D4" s="215" t="str">
        <f>+'Tablero Eficacia - Eficiencia'!C31</f>
        <v xml:space="preserve">Beneficiados de actividad </v>
      </c>
      <c r="E4" s="216" t="str">
        <f>+'Tablero Eficacia - Eficiencia'!I31</f>
        <v>No tiene, es la primera vez que se mide este impacto</v>
      </c>
      <c r="F4" s="228">
        <f>+'Tablero Eficacia - Eficiencia'!L31</f>
        <v>0</v>
      </c>
    </row>
    <row r="5" spans="3:6" ht="27" customHeight="1" thickBot="1">
      <c r="C5" s="898"/>
      <c r="D5" s="217" t="str">
        <f>+'Tablero Eficacia - Eficiencia'!C32</f>
        <v>Actividades de formación integral</v>
      </c>
      <c r="E5" s="236">
        <f>+'Tablero Eficacia - Eficiencia'!I32</f>
        <v>0.98</v>
      </c>
      <c r="F5" s="227">
        <f>+'Tablero Eficacia - Eficiencia'!L32</f>
        <v>1</v>
      </c>
    </row>
    <row r="6" spans="3:6" ht="38.25" customHeight="1">
      <c r="C6" s="897" t="s">
        <v>314</v>
      </c>
      <c r="D6" s="215" t="str">
        <f>+'Tablero Eficacia - Eficiencia'!C9</f>
        <v xml:space="preserve">Variación de pruebas saber pro </v>
      </c>
      <c r="E6" s="214" t="str">
        <f>+'Tablero Eficacia - Eficiencia'!I9</f>
        <v>9.9925(2016)/9,9204(2015)</v>
      </c>
      <c r="F6" s="232">
        <f>+'Tablero Eficacia - Eficiencia'!L9</f>
        <v>7.2678521027376153E-3</v>
      </c>
    </row>
    <row r="7" spans="3:6">
      <c r="C7" s="899"/>
      <c r="D7" s="212" t="str">
        <f>+'Tablero Eficacia - Eficiencia'!C10</f>
        <v>Índice de empleabilidad</v>
      </c>
      <c r="E7" s="208" t="str">
        <f>+'Tablero Eficacia - Eficiencia'!I10</f>
        <v>95,7% (Medición del 2015, no hay datos 2016)</v>
      </c>
      <c r="F7" s="226" t="str">
        <f>+'Tablero Eficacia - Eficiencia'!L10</f>
        <v>&gt;= 96%</v>
      </c>
    </row>
    <row r="8" spans="3:6">
      <c r="C8" s="899"/>
      <c r="D8" s="212" t="str">
        <f>+'Tablero Eficacia - Eficiencia'!C13</f>
        <v>Satisfacción de los cursos de extensión</v>
      </c>
      <c r="E8" s="209" t="str">
        <f>+'Tablero Eficacia - Eficiencia'!I13</f>
        <v>No tiene, es la primera vez que se mide este impacto</v>
      </c>
      <c r="F8" s="226">
        <f>+'Tablero Eficacia - Eficiencia'!L13</f>
        <v>0</v>
      </c>
    </row>
    <row r="9" spans="3:6">
      <c r="C9" s="899"/>
      <c r="D9" s="212" t="str">
        <f>+'Tablero Eficacia - Eficiencia'!C15</f>
        <v>Permanencia en los cursos de extensión</v>
      </c>
      <c r="E9" s="209" t="str">
        <f>+'Tablero Eficacia - Eficiencia'!I15</f>
        <v>No tiene, es la primera vez que se mide este impacto</v>
      </c>
      <c r="F9" s="226">
        <f>+'Tablero Eficacia - Eficiencia'!L15</f>
        <v>0</v>
      </c>
    </row>
    <row r="10" spans="3:6">
      <c r="C10" s="899"/>
      <c r="D10" s="212" t="str">
        <f>+'Tablero Eficacia - Eficiencia'!C17</f>
        <v xml:space="preserve">Trabajos de grado con reconocimiento </v>
      </c>
      <c r="E10" s="209" t="str">
        <f>+'Tablero Eficacia - Eficiencia'!I17</f>
        <v>No tiene, es la primera vez que se mide este impacto</v>
      </c>
      <c r="F10" s="226">
        <f>+'Tablero Eficacia - Eficiencia'!L17</f>
        <v>1</v>
      </c>
    </row>
    <row r="11" spans="3:6">
      <c r="C11" s="899"/>
      <c r="D11" s="212" t="str">
        <f>+'Tablero Eficacia - Eficiencia'!C20</f>
        <v>Revisión de syllabus</v>
      </c>
      <c r="E11" s="210" t="str">
        <f>+'Tablero Eficacia - Eficiencia'!I20</f>
        <v>75% (11/15)</v>
      </c>
      <c r="F11" s="226">
        <f>+'Tablero Eficacia - Eficiencia'!L20</f>
        <v>0.9</v>
      </c>
    </row>
    <row r="12" spans="3:6">
      <c r="C12" s="899"/>
      <c r="D12" s="218" t="str">
        <f>+'Tablero Eficacia - Eficiencia'!C23</f>
        <v>Rendimiento académico periódico</v>
      </c>
      <c r="E12" s="209" t="str">
        <f>+'Tablero Eficacia - Eficiencia'!I23</f>
        <v>No tiene, es la primera vez que se mide este impacto</v>
      </c>
      <c r="F12" s="226">
        <f>+'Tablero Eficacia - Eficiencia'!L23</f>
        <v>0</v>
      </c>
    </row>
    <row r="13" spans="3:6">
      <c r="C13" s="899"/>
      <c r="D13" s="218" t="str">
        <f>+'Tablero Eficacia - Eficiencia'!C24</f>
        <v xml:space="preserve">Promoción escolar </v>
      </c>
      <c r="E13" s="208">
        <f>+'Tablero Eficacia - Eficiencia'!I24</f>
        <v>0.8571428571428571</v>
      </c>
      <c r="F13" s="226">
        <f>+'Tablero Eficacia - Eficiencia'!L24</f>
        <v>0.87</v>
      </c>
    </row>
    <row r="14" spans="3:6" ht="15.75" thickBot="1">
      <c r="C14" s="898"/>
      <c r="D14" s="219" t="str">
        <f>+'Tablero Eficacia - Eficiencia'!C25</f>
        <v xml:space="preserve">Desempeño pruebas saber </v>
      </c>
      <c r="E14" s="233">
        <f>+'Tablero Eficacia - Eficiencia'!I25</f>
        <v>-0.23424570337364736</v>
      </c>
      <c r="F14" s="227">
        <f>+'Tablero Eficacia - Eficiencia'!L25</f>
        <v>-0.2</v>
      </c>
    </row>
    <row r="15" spans="3:6">
      <c r="C15" s="894" t="s">
        <v>315</v>
      </c>
      <c r="D15" s="221" t="str">
        <f>+'Tablero Eficacia - Eficiencia'!C26</f>
        <v>Proyectos de formación en actividades</v>
      </c>
      <c r="E15" s="234">
        <f>+'Tablero Eficacia - Eficiencia'!I26</f>
        <v>1</v>
      </c>
      <c r="F15" s="228">
        <f>+'Tablero Eficacia - Eficiencia'!L26</f>
        <v>1</v>
      </c>
    </row>
    <row r="16" spans="3:6">
      <c r="C16" s="895"/>
      <c r="D16" s="218" t="str">
        <f>+'Tablero Eficacia - Eficiencia'!C27</f>
        <v>Proyectos  de  apoyo a las actividades</v>
      </c>
      <c r="E16" s="237">
        <f>+'Tablero Eficacia - Eficiencia'!I27</f>
        <v>0.9</v>
      </c>
      <c r="F16" s="226">
        <f>+'Tablero Eficacia - Eficiencia'!L27</f>
        <v>1</v>
      </c>
    </row>
    <row r="17" spans="3:6" ht="15.75" thickBot="1">
      <c r="C17" s="896"/>
      <c r="D17" s="219" t="str">
        <f>+'Tablero Eficacia - Eficiencia'!C28</f>
        <v>Programa  de transferencia de conocimiento</v>
      </c>
      <c r="E17" s="220" t="str">
        <f>+'Tablero Eficacia - Eficiencia'!I28</f>
        <v>No tiene, es la primera vez que se mide este impacto</v>
      </c>
      <c r="F17" s="227">
        <f>+'Tablero Eficacia - Eficiencia'!L28</f>
        <v>0</v>
      </c>
    </row>
    <row r="18" spans="3:6" ht="26.25" thickBot="1">
      <c r="C18" s="225" t="s">
        <v>316</v>
      </c>
      <c r="D18" s="223" t="str">
        <f>+'Tablero Eficacia - Eficiencia'!C8</f>
        <v>Programas acreditados</v>
      </c>
      <c r="E18" s="224">
        <f>+'Tablero Eficacia - Eficiencia'!I8</f>
        <v>0.1111111111111111</v>
      </c>
      <c r="F18" s="229">
        <f>+'Tablero Eficacia - Eficiencia'!L8</f>
        <v>0.1111111111111111</v>
      </c>
    </row>
    <row r="19" spans="3:6" ht="30.75" customHeight="1">
      <c r="C19" s="894" t="s">
        <v>317</v>
      </c>
      <c r="D19" s="215" t="str">
        <f>+'Tablero Eficacia - Eficiencia'!C11</f>
        <v>Cumplimiento de actividades de movilidad</v>
      </c>
      <c r="E19" s="238">
        <f>+'Tablero Eficacia - Eficiencia'!I11</f>
        <v>0.94169999999999998</v>
      </c>
      <c r="F19" s="228">
        <f>+'Tablero Eficacia - Eficiencia'!L11</f>
        <v>1</v>
      </c>
    </row>
    <row r="20" spans="3:6" ht="15.75" thickBot="1">
      <c r="C20" s="896"/>
      <c r="D20" s="219" t="str">
        <f>+'Tablero Eficacia - Eficiencia'!C18</f>
        <v>Participación en comunidades académicas</v>
      </c>
      <c r="E20" s="220" t="str">
        <f>+'Tablero Eficacia - Eficiencia'!I18</f>
        <v>No tiene, es la primera vez que se mide este impacto</v>
      </c>
      <c r="F20" s="227">
        <f>+'Tablero Eficacia - Eficiencia'!L18</f>
        <v>1</v>
      </c>
    </row>
    <row r="21" spans="3:6">
      <c r="C21" s="894" t="s">
        <v>318</v>
      </c>
      <c r="D21" s="221" t="str">
        <f>+'Tablero Eficacia - Eficiencia'!C12</f>
        <v>Cumplimiento del Plan de Desarrollo Institucional</v>
      </c>
      <c r="E21" s="234">
        <f>+'Tablero Eficacia - Eficiencia'!I12</f>
        <v>0.97</v>
      </c>
      <c r="F21" s="228">
        <f>+'Tablero Eficacia - Eficiencia'!L12</f>
        <v>0.98</v>
      </c>
    </row>
    <row r="22" spans="3:6">
      <c r="C22" s="895"/>
      <c r="D22" s="218" t="str">
        <f>+'Tablero Eficacia - Eficiencia'!C38</f>
        <v>Seguimiento a las hojas de vida de los funcionarios</v>
      </c>
      <c r="E22" s="210">
        <f>+'Tablero Eficacia - Eficiencia'!I38</f>
        <v>0</v>
      </c>
      <c r="F22" s="226">
        <f>+'Tablero Eficacia - Eficiencia'!L38</f>
        <v>1</v>
      </c>
    </row>
    <row r="23" spans="3:6">
      <c r="C23" s="895"/>
      <c r="D23" s="218" t="str">
        <f>+'Tablero Eficacia - Eficiencia'!C39</f>
        <v xml:space="preserve">Seguimiento al servicio permanente </v>
      </c>
      <c r="E23" s="237">
        <f>+'Tablero Eficacia - Eficiencia'!I39</f>
        <v>0.85</v>
      </c>
      <c r="F23" s="226">
        <f>+'Tablero Eficacia - Eficiencia'!L39</f>
        <v>0.92</v>
      </c>
    </row>
    <row r="24" spans="3:6">
      <c r="C24" s="895"/>
      <c r="D24" s="218" t="str">
        <f>+'Tablero Eficacia - Eficiencia'!C40</f>
        <v xml:space="preserve">Clima laboral </v>
      </c>
      <c r="E24" s="252">
        <f>+'Tablero Eficacia - Eficiencia'!I40</f>
        <v>41.3</v>
      </c>
      <c r="F24" s="230">
        <f>+'Tablero Eficacia - Eficiencia'!L40</f>
        <v>50</v>
      </c>
    </row>
    <row r="25" spans="3:6" ht="36.75" customHeight="1">
      <c r="C25" s="895"/>
      <c r="D25" s="212" t="str">
        <f>+'Tablero Eficacia - Eficiencia'!C43</f>
        <v xml:space="preserve">Cumplimiento del programa de bienestar laboral </v>
      </c>
      <c r="E25" s="235">
        <f>+'Tablero Eficacia - Eficiencia'!I43</f>
        <v>1</v>
      </c>
      <c r="F25" s="231">
        <f>+'Tablero Eficacia - Eficiencia'!L43</f>
        <v>1</v>
      </c>
    </row>
    <row r="26" spans="3:6" ht="15.75" thickBot="1">
      <c r="C26" s="896"/>
      <c r="D26" s="219" t="str">
        <f>+'Tablero Eficacia - Eficiencia'!C45</f>
        <v>Cumplimiento del plan de capacitación</v>
      </c>
      <c r="E26" s="236">
        <f>+'Tablero Eficacia - Eficiencia'!I45</f>
        <v>1</v>
      </c>
      <c r="F26" s="227">
        <f>+'Tablero Eficacia - Eficiencia'!L45</f>
        <v>1</v>
      </c>
    </row>
    <row r="27" spans="3:6">
      <c r="C27" s="894" t="s">
        <v>319</v>
      </c>
      <c r="D27" s="221" t="str">
        <f>+'Tablero Eficacia - Eficiencia'!C19</f>
        <v>Uso de talleres y laboratorios</v>
      </c>
      <c r="E27" s="222" t="str">
        <f>+'Tablero Eficacia - Eficiencia'!I19</f>
        <v>No tiene, es la primera vez que se mide este impacto</v>
      </c>
      <c r="F27" s="228">
        <f>+'Tablero Eficacia - Eficiencia'!L19</f>
        <v>1</v>
      </c>
    </row>
    <row r="28" spans="3:6">
      <c r="C28" s="895"/>
      <c r="D28" s="218" t="str">
        <f>+'Tablero Eficacia - Eficiencia'!C31</f>
        <v xml:space="preserve">Beneficiados de actividad </v>
      </c>
      <c r="E28" s="211" t="str">
        <f>+'Tablero Eficacia - Eficiencia'!I31</f>
        <v>No tiene, es la primera vez que se mide este impacto</v>
      </c>
      <c r="F28" s="226">
        <f>+'Tablero Eficacia - Eficiencia'!L31</f>
        <v>0</v>
      </c>
    </row>
    <row r="29" spans="3:6" ht="15.75" thickBot="1">
      <c r="C29" s="896"/>
      <c r="D29" s="219" t="str">
        <f>+'Tablero Eficacia - Eficiencia'!C32</f>
        <v>Actividades de formación integral</v>
      </c>
      <c r="E29" s="236">
        <f>+'Tablero Eficacia - Eficiencia'!I32</f>
        <v>0.98</v>
      </c>
      <c r="F29" s="227">
        <f>+'Tablero Eficacia - Eficiencia'!L32</f>
        <v>1</v>
      </c>
    </row>
    <row r="37" spans="11:14">
      <c r="N37" s="205"/>
    </row>
    <row r="38" spans="11:14">
      <c r="K38" s="206"/>
      <c r="N38" s="206"/>
    </row>
  </sheetData>
  <mergeCells count="6">
    <mergeCell ref="C27:C29"/>
    <mergeCell ref="C4:C5"/>
    <mergeCell ref="C15:C17"/>
    <mergeCell ref="C19:C20"/>
    <mergeCell ref="C21:C26"/>
    <mergeCell ref="C6:C14"/>
  </mergeCells>
  <printOptions horizontalCentered="1" vertic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M14"/>
  <sheetViews>
    <sheetView workbookViewId="0">
      <selection activeCell="E9" sqref="E9"/>
    </sheetView>
  </sheetViews>
  <sheetFormatPr baseColWidth="10" defaultRowHeight="15"/>
  <sheetData>
    <row r="6" spans="4:13">
      <c r="L6" s="900" t="s">
        <v>365</v>
      </c>
      <c r="M6" s="900"/>
    </row>
    <row r="7" spans="4:13">
      <c r="E7" t="s">
        <v>354</v>
      </c>
      <c r="F7" t="s">
        <v>355</v>
      </c>
      <c r="L7" t="s">
        <v>363</v>
      </c>
      <c r="M7" t="s">
        <v>364</v>
      </c>
    </row>
    <row r="8" spans="4:13">
      <c r="D8" t="s">
        <v>356</v>
      </c>
      <c r="E8" s="206">
        <f>+'[3]ARTES-MUSICA '!$AC$30</f>
        <v>0.98</v>
      </c>
      <c r="F8">
        <f>+'[3]ARTES-MUSICA '!$AE$30</f>
        <v>14677</v>
      </c>
      <c r="H8">
        <v>98</v>
      </c>
      <c r="I8">
        <f>+'[3]ARTES-MUSICA '!$AE$30</f>
        <v>14677</v>
      </c>
      <c r="L8">
        <v>22</v>
      </c>
      <c r="M8">
        <v>23</v>
      </c>
    </row>
    <row r="9" spans="4:13">
      <c r="D9" t="s">
        <v>357</v>
      </c>
      <c r="E9" s="206">
        <f>+'[3]SALUD '!$AC$15</f>
        <v>1</v>
      </c>
      <c r="F9">
        <f>+'[3]SALUD '!$AE$15</f>
        <v>74</v>
      </c>
      <c r="H9">
        <v>100</v>
      </c>
      <c r="I9">
        <f>+'[3]SALUD '!$AE$15</f>
        <v>74</v>
      </c>
      <c r="L9">
        <v>2</v>
      </c>
      <c r="M9">
        <v>8</v>
      </c>
    </row>
    <row r="10" spans="4:13">
      <c r="D10" t="s">
        <v>358</v>
      </c>
      <c r="E10" s="272">
        <f>+'[3]TRABAJO SOCIAL'!$AC$20</f>
        <v>97.6</v>
      </c>
      <c r="F10">
        <f>+'[3]TRABAJO SOCIAL'!$AE$20</f>
        <v>1741</v>
      </c>
      <c r="H10">
        <v>98</v>
      </c>
      <c r="I10">
        <f>+'[3]TRABAJO SOCIAL'!$AE$20</f>
        <v>1741</v>
      </c>
      <c r="L10">
        <v>9</v>
      </c>
      <c r="M10">
        <v>9</v>
      </c>
    </row>
    <row r="11" spans="4:13">
      <c r="D11" t="s">
        <v>359</v>
      </c>
      <c r="E11">
        <f>+'[3]PSICOLOGIA '!$AC$22</f>
        <v>92.142857142857139</v>
      </c>
      <c r="F11">
        <f>+'[3]PSICOLOGIA '!$AE$22</f>
        <v>1056</v>
      </c>
      <c r="H11">
        <v>92.14</v>
      </c>
      <c r="I11">
        <f>+'[3]PSICOLOGIA '!$AE$22</f>
        <v>1056</v>
      </c>
      <c r="L11">
        <v>13</v>
      </c>
      <c r="M11">
        <v>13</v>
      </c>
    </row>
    <row r="12" spans="4:13">
      <c r="D12" t="s">
        <v>360</v>
      </c>
      <c r="E12">
        <f>+'[3]REC. DEPORTES '!$AC$18</f>
        <v>99</v>
      </c>
      <c r="F12">
        <f>+'[3]REC. DEPORTES '!$AE$18</f>
        <v>154</v>
      </c>
      <c r="H12">
        <v>99</v>
      </c>
      <c r="I12">
        <f>+'[3]REC. DEPORTES '!$AE$18</f>
        <v>154</v>
      </c>
      <c r="L12">
        <v>6</v>
      </c>
      <c r="M12">
        <v>11</v>
      </c>
    </row>
    <row r="13" spans="4:13">
      <c r="D13" t="s">
        <v>361</v>
      </c>
      <c r="H13" s="189">
        <f>+(H12+H11+H9+H8+H10)/500</f>
        <v>0.97427999999999992</v>
      </c>
      <c r="I13">
        <f>SUM(I8:I12)</f>
        <v>17702</v>
      </c>
      <c r="L13">
        <f>SUM(L8:L12)</f>
        <v>52</v>
      </c>
      <c r="M13">
        <f>SUM(M8:M12)</f>
        <v>64</v>
      </c>
    </row>
    <row r="14" spans="4:13">
      <c r="D14" t="s">
        <v>362</v>
      </c>
      <c r="M14" s="189">
        <f>+L13/M13</f>
        <v>0.8125</v>
      </c>
    </row>
  </sheetData>
  <mergeCells count="1">
    <mergeCell ref="L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G10"/>
  <sheetViews>
    <sheetView workbookViewId="0">
      <selection activeCell="H9" sqref="H9"/>
    </sheetView>
  </sheetViews>
  <sheetFormatPr baseColWidth="10" defaultColWidth="11.42578125" defaultRowHeight="15"/>
  <sheetData>
    <row r="8" spans="5:7" ht="15.75" thickBot="1"/>
    <row r="9" spans="5:7" ht="252.75" thickBot="1">
      <c r="E9" s="191">
        <v>1</v>
      </c>
      <c r="F9" s="192">
        <v>0.9</v>
      </c>
      <c r="G9" s="190" t="s">
        <v>220</v>
      </c>
    </row>
    <row r="10" spans="5:7" ht="252.75" thickBot="1">
      <c r="E10" s="191">
        <v>1</v>
      </c>
      <c r="F10" s="192">
        <v>0.9</v>
      </c>
      <c r="G10" s="190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2578125" defaultRowHeight="15" outlineLevelCol="1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7109375" customWidth="1" outlineLevel="1"/>
    <col min="24" max="25" width="7.71093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7109375" customWidth="1"/>
    <col min="31" max="31" width="14.140625" customWidth="1"/>
    <col min="32" max="32" width="16.28515625" customWidth="1"/>
    <col min="33" max="33" width="14.42578125" customWidth="1"/>
    <col min="34" max="34" width="13.140625" customWidth="1"/>
    <col min="35" max="35" width="14.71093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>
      <c r="A1" s="881" t="s">
        <v>47</v>
      </c>
      <c r="B1" s="881"/>
      <c r="C1" s="882"/>
      <c r="D1" s="883" t="s">
        <v>56</v>
      </c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884"/>
      <c r="T1" s="884"/>
      <c r="U1" s="884"/>
      <c r="V1" s="884"/>
      <c r="W1" s="884"/>
      <c r="X1" s="884"/>
      <c r="Y1" s="884"/>
      <c r="Z1" s="884"/>
      <c r="AA1" s="884"/>
      <c r="AB1" s="884"/>
      <c r="AC1" s="885"/>
      <c r="AD1" s="860" t="s">
        <v>31</v>
      </c>
      <c r="AE1" s="860"/>
    </row>
    <row r="2" spans="1:58" ht="15" customHeight="1">
      <c r="A2" s="882"/>
      <c r="B2" s="882"/>
      <c r="C2" s="882"/>
      <c r="D2" s="886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887"/>
      <c r="P2" s="887"/>
      <c r="Q2" s="887"/>
      <c r="R2" s="887"/>
      <c r="S2" s="887"/>
      <c r="T2" s="887"/>
      <c r="U2" s="887"/>
      <c r="V2" s="887"/>
      <c r="W2" s="887"/>
      <c r="X2" s="887"/>
      <c r="Y2" s="887"/>
      <c r="Z2" s="887"/>
      <c r="AA2" s="887"/>
      <c r="AB2" s="887"/>
      <c r="AC2" s="888"/>
      <c r="AD2" s="860"/>
      <c r="AE2" s="860"/>
    </row>
    <row r="3" spans="1:58" ht="15" customHeight="1">
      <c r="A3" s="882"/>
      <c r="B3" s="882"/>
      <c r="C3" s="882"/>
      <c r="D3" s="889"/>
      <c r="E3" s="890"/>
      <c r="F3" s="890"/>
      <c r="G3" s="890"/>
      <c r="H3" s="890"/>
      <c r="I3" s="890"/>
      <c r="J3" s="890"/>
      <c r="K3" s="890"/>
      <c r="L3" s="890"/>
      <c r="M3" s="890"/>
      <c r="N3" s="890"/>
      <c r="O3" s="890"/>
      <c r="P3" s="890"/>
      <c r="Q3" s="890"/>
      <c r="R3" s="890"/>
      <c r="S3" s="890"/>
      <c r="T3" s="890"/>
      <c r="U3" s="890"/>
      <c r="V3" s="890"/>
      <c r="W3" s="890"/>
      <c r="X3" s="890"/>
      <c r="Y3" s="890"/>
      <c r="Z3" s="890"/>
      <c r="AA3" s="890"/>
      <c r="AB3" s="890"/>
      <c r="AC3" s="891"/>
      <c r="AD3" s="860"/>
      <c r="AE3" s="860"/>
    </row>
    <row r="4" spans="1:58" ht="15" customHeight="1">
      <c r="A4" s="882"/>
      <c r="B4" s="882"/>
      <c r="C4" s="882"/>
      <c r="D4" s="861" t="s">
        <v>44</v>
      </c>
      <c r="E4" s="862"/>
      <c r="F4" s="862"/>
      <c r="G4" s="862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2"/>
      <c r="X4" s="862"/>
      <c r="Y4" s="862"/>
      <c r="Z4" s="862"/>
      <c r="AA4" s="862"/>
      <c r="AB4" s="862"/>
      <c r="AC4" s="863"/>
      <c r="AD4" s="867" t="s">
        <v>32</v>
      </c>
      <c r="AE4" s="867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882"/>
      <c r="B5" s="882"/>
      <c r="C5" s="882"/>
      <c r="D5" s="864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  <c r="P5" s="865"/>
      <c r="Q5" s="865"/>
      <c r="R5" s="865"/>
      <c r="S5" s="865"/>
      <c r="T5" s="865"/>
      <c r="U5" s="865"/>
      <c r="V5" s="865"/>
      <c r="W5" s="865"/>
      <c r="X5" s="865"/>
      <c r="Y5" s="865"/>
      <c r="Z5" s="865"/>
      <c r="AA5" s="865"/>
      <c r="AB5" s="865"/>
      <c r="AC5" s="866"/>
      <c r="AD5" s="868">
        <v>42731</v>
      </c>
      <c r="AE5" s="868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>
      <c r="A7" s="114" t="s">
        <v>1</v>
      </c>
      <c r="B7" s="114"/>
      <c r="C7" s="114" t="s">
        <v>2</v>
      </c>
      <c r="D7" s="114" t="s">
        <v>50</v>
      </c>
      <c r="E7" s="114" t="s">
        <v>57</v>
      </c>
      <c r="F7" s="114" t="s">
        <v>58</v>
      </c>
      <c r="G7" s="114" t="s">
        <v>3</v>
      </c>
      <c r="H7" s="114" t="s">
        <v>62</v>
      </c>
      <c r="I7" s="114" t="s">
        <v>5</v>
      </c>
      <c r="J7" s="114" t="s">
        <v>6</v>
      </c>
      <c r="K7" s="114" t="s">
        <v>4</v>
      </c>
      <c r="L7" s="165">
        <v>42736</v>
      </c>
      <c r="M7" s="165">
        <v>42767</v>
      </c>
      <c r="N7" s="165">
        <v>42795</v>
      </c>
      <c r="O7" s="165">
        <v>42826</v>
      </c>
      <c r="P7" s="165">
        <v>42856</v>
      </c>
      <c r="Q7" s="165">
        <v>42887</v>
      </c>
      <c r="R7" s="165">
        <v>42917</v>
      </c>
      <c r="S7" s="165">
        <v>42948</v>
      </c>
      <c r="T7" s="165">
        <v>42979</v>
      </c>
      <c r="U7" s="165">
        <v>43009</v>
      </c>
      <c r="V7" s="165">
        <v>43040</v>
      </c>
      <c r="W7" s="165">
        <v>43070</v>
      </c>
      <c r="X7" s="165"/>
      <c r="Y7" s="165"/>
      <c r="Z7" s="114" t="s">
        <v>10</v>
      </c>
      <c r="AA7" s="114" t="s">
        <v>54</v>
      </c>
      <c r="AB7" s="114" t="s">
        <v>60</v>
      </c>
      <c r="AC7" s="114" t="s">
        <v>9</v>
      </c>
      <c r="AD7" s="166" t="s">
        <v>11</v>
      </c>
      <c r="AE7" s="166" t="s">
        <v>12</v>
      </c>
      <c r="AF7" s="166" t="s">
        <v>55</v>
      </c>
      <c r="AG7" s="166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>
      <c r="A8" s="902" t="s">
        <v>75</v>
      </c>
      <c r="B8" s="163" t="e">
        <f>+#REF!+1</f>
        <v>#REF!</v>
      </c>
      <c r="C8" s="152" t="s">
        <v>109</v>
      </c>
      <c r="D8" s="126" t="s">
        <v>112</v>
      </c>
      <c r="E8" s="127"/>
      <c r="F8" s="127"/>
      <c r="G8" s="128" t="s">
        <v>102</v>
      </c>
      <c r="H8" s="128" t="s">
        <v>104</v>
      </c>
      <c r="I8" s="129" t="s">
        <v>108</v>
      </c>
      <c r="J8" s="130" t="s">
        <v>100</v>
      </c>
      <c r="K8" s="131">
        <v>0.8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>
        <v>0</v>
      </c>
      <c r="Y8" s="133">
        <v>1</v>
      </c>
      <c r="Z8" s="133" t="e">
        <f t="shared" ref="Z8:Z16" si="0">LOOKUP(1000000000,L8:W8)</f>
        <v>#N/A</v>
      </c>
      <c r="AA8" s="128"/>
      <c r="AB8" s="132" t="e">
        <f t="shared" ref="AB8:AB16" si="1">+IF(SLOPE(L8:W8,$L$7:$W$7)&gt;0,"Al alza",IF(SLOPE(L8:W8,$L$7:$W$7)&lt;0,"A la baja","Sin cambio"))</f>
        <v>#DIV/0!</v>
      </c>
      <c r="AC8" s="112" t="s">
        <v>13</v>
      </c>
      <c r="AD8" s="134">
        <v>9.6100000000000005E-3</v>
      </c>
      <c r="AE8" s="135" t="str">
        <f>IF($J$8="Sube",IF(ISERROR(Z8/$K$8)=TRUE,"",IF(Z8&gt;$K$8,AD8,Z8/$K$8*AD8)),IF(ISERROR($K$8/Z8)=TRUE,"",IF($K$8&lt;Z8,$K$8/Z8*AD8,AD8)))</f>
        <v/>
      </c>
      <c r="AF8" s="136" t="str">
        <f>IF($J$8="Sube",IF(ISERROR(Z8/$K$8)=TRUE,"",IF(Z8&gt;=$K$8,1,0)),IF(ISERROR($K$8/Z8)=TRUE,"",IF($K$8&lt;Z8,0,1)))</f>
        <v/>
      </c>
      <c r="AG8" s="127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>
      <c r="A9" s="903"/>
      <c r="B9" s="108" t="e">
        <f t="shared" ref="B9:B16" si="2">+B8+1</f>
        <v>#REF!</v>
      </c>
      <c r="C9" s="105" t="s">
        <v>110</v>
      </c>
      <c r="D9" s="106" t="s">
        <v>113</v>
      </c>
      <c r="E9" s="61"/>
      <c r="F9" s="61"/>
      <c r="G9" s="16" t="s">
        <v>101</v>
      </c>
      <c r="H9" s="16" t="s">
        <v>105</v>
      </c>
      <c r="I9" s="18" t="s">
        <v>108</v>
      </c>
      <c r="J9" s="104" t="s">
        <v>100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111" t="s">
        <v>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>
      <c r="A10" s="904"/>
      <c r="B10" s="164" t="e">
        <f t="shared" si="2"/>
        <v>#REF!</v>
      </c>
      <c r="C10" s="153" t="s">
        <v>111</v>
      </c>
      <c r="D10" s="140" t="s">
        <v>114</v>
      </c>
      <c r="E10" s="150"/>
      <c r="F10" s="150"/>
      <c r="G10" s="141" t="s">
        <v>103</v>
      </c>
      <c r="H10" s="141" t="s">
        <v>106</v>
      </c>
      <c r="I10" s="142" t="s">
        <v>107</v>
      </c>
      <c r="J10" s="143" t="s">
        <v>100</v>
      </c>
      <c r="K10" s="144">
        <v>0.95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>
        <v>0</v>
      </c>
      <c r="Y10" s="146">
        <v>1</v>
      </c>
      <c r="Z10" s="146" t="e">
        <f t="shared" si="0"/>
        <v>#N/A</v>
      </c>
      <c r="AA10" s="141"/>
      <c r="AB10" s="145" t="e">
        <f t="shared" si="1"/>
        <v>#DIV/0!</v>
      </c>
      <c r="AC10" s="139" t="s">
        <v>13</v>
      </c>
      <c r="AD10" s="147">
        <v>9.6100000000000005E-3</v>
      </c>
      <c r="AE10" s="148" t="str">
        <f>IF($J$10="Sube",IF(ISERROR(Z10/$K$10)=TRUE,"",IF(Z10&gt;$K$10,AD10,Z10/$K$10*AD10)),IF(ISERROR($K$10/Z10)=TRUE,"",IF($K$10&lt;Z10,$K$10/Z10*AD10,AD10)))</f>
        <v/>
      </c>
      <c r="AF10" s="149" t="str">
        <f>IF($J$10="Sube",IF(ISERROR(Z10/$K$10)=TRUE,"",IF(Z10&gt;=$K$10,1,0)),IF(ISERROR($K$10/Z10)=TRUE,"",IF($K$10&lt;Z10,0,1)))</f>
        <v/>
      </c>
      <c r="AG10" s="150"/>
      <c r="AH10" s="151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>
      <c r="A11" s="901" t="s">
        <v>76</v>
      </c>
      <c r="B11" s="107" t="e">
        <f t="shared" si="2"/>
        <v>#REF!</v>
      </c>
      <c r="C11" s="110"/>
      <c r="D11" s="115"/>
      <c r="E11" s="116"/>
      <c r="F11" s="116"/>
      <c r="G11" s="117"/>
      <c r="H11" s="117"/>
      <c r="I11" s="118"/>
      <c r="J11" s="119"/>
      <c r="K11" s="120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2" t="e">
        <f t="shared" si="0"/>
        <v>#N/A</v>
      </c>
      <c r="AA11" s="117"/>
      <c r="AB11" s="121" t="e">
        <f t="shared" si="1"/>
        <v>#DIV/0!</v>
      </c>
      <c r="AC11" s="110" t="s">
        <v>13</v>
      </c>
      <c r="AD11" s="123">
        <v>9.6100000000000005E-3</v>
      </c>
      <c r="AE11" s="124" t="str">
        <f>IF($J$11="Sube",IF(ISERROR(Z11/$K$11)=TRUE,"",IF(Z11&gt;$K$11,AD11,Z11/$K$11*AD11)),IF(ISERROR($K$11/Z11)=TRUE,"",IF($K$11&lt;Z11,$K$11/Z11*AD11,AD11)))</f>
        <v/>
      </c>
      <c r="AF11" s="125" t="str">
        <f>IF($J$11="Sube",IF(ISERROR(Z11/$K$11)=TRUE,"",IF(Z11&gt;=$K$11,1,0)),IF(ISERROR($K$11/Z11)=TRUE,"",IF($K$11&lt;Z11,0,1)))</f>
        <v/>
      </c>
      <c r="AG11" s="116"/>
      <c r="AH11" s="116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>
      <c r="A12" s="901"/>
      <c r="B12" s="107" t="e">
        <f t="shared" si="2"/>
        <v>#REF!</v>
      </c>
      <c r="C12" s="111"/>
      <c r="D12" s="106"/>
      <c r="E12" s="61"/>
      <c r="F12" s="61"/>
      <c r="G12" s="16"/>
      <c r="H12" s="16"/>
      <c r="I12" s="18"/>
      <c r="J12" s="104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111" t="s">
        <v>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>
      <c r="A13" s="901"/>
      <c r="B13" s="107" t="e">
        <f t="shared" si="2"/>
        <v>#REF!</v>
      </c>
      <c r="C13" s="111"/>
      <c r="D13" s="106"/>
      <c r="E13" s="61"/>
      <c r="F13" s="61"/>
      <c r="G13" s="16"/>
      <c r="H13" s="16"/>
      <c r="I13" s="18"/>
      <c r="J13" s="104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111" t="s">
        <v>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>
      <c r="A14" s="901"/>
      <c r="B14" s="107" t="e">
        <f t="shared" si="2"/>
        <v>#REF!</v>
      </c>
      <c r="C14" s="111"/>
      <c r="D14" s="106"/>
      <c r="E14" s="61"/>
      <c r="F14" s="61"/>
      <c r="G14" s="16"/>
      <c r="H14" s="16"/>
      <c r="I14" s="18"/>
      <c r="J14" s="104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111" t="s">
        <v>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>
      <c r="A15" s="901"/>
      <c r="B15" s="107" t="e">
        <f t="shared" si="2"/>
        <v>#REF!</v>
      </c>
      <c r="C15" s="111"/>
      <c r="D15" s="106"/>
      <c r="E15" s="61"/>
      <c r="F15" s="61"/>
      <c r="G15" s="16"/>
      <c r="H15" s="16"/>
      <c r="I15" s="18"/>
      <c r="J15" s="104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111" t="s">
        <v>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>
      <c r="A16" s="901"/>
      <c r="B16" s="107" t="e">
        <f t="shared" si="2"/>
        <v>#REF!</v>
      </c>
      <c r="C16" s="109"/>
      <c r="D16" s="113"/>
      <c r="E16" s="154"/>
      <c r="F16" s="154"/>
      <c r="G16" s="78"/>
      <c r="H16" s="78"/>
      <c r="I16" s="155"/>
      <c r="J16" s="156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 t="e">
        <f t="shared" si="0"/>
        <v>#N/A</v>
      </c>
      <c r="AA16" s="78"/>
      <c r="AB16" s="158" t="e">
        <f t="shared" si="1"/>
        <v>#DIV/0!</v>
      </c>
      <c r="AC16" s="109" t="s">
        <v>13</v>
      </c>
      <c r="AD16" s="160">
        <v>9.6100000000000005E-3</v>
      </c>
      <c r="AE16" s="161" t="str">
        <f>IF($J$16="Sube",IF(ISERROR(Z16/$K$16)=TRUE,"",IF(Z16&gt;$K$16,AD16,Z16/$K$16*AD16)),IF(ISERROR($K$16/Z16)=TRUE,"",IF($K$16&lt;Z16,$K$16/Z16*AD16,AD16)))</f>
        <v/>
      </c>
      <c r="AF16" s="162" t="str">
        <f>IF($J$16="Sube",IF(ISERROR(Z16/$K$16)=TRUE,"",IF(Z16&gt;=$K$16,1,0)),IF(ISERROR($K$16/Z16)=TRUE,"",IF($K$16&lt;Z16,0,1)))</f>
        <v/>
      </c>
      <c r="AG16" s="154"/>
      <c r="AH16" s="154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>
      <c r="AC17" s="70" t="s">
        <v>14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>
      <c r="AC18" s="22" t="s">
        <v>15</v>
      </c>
      <c r="AD18" s="112" t="s">
        <v>16</v>
      </c>
      <c r="AE18" s="23" t="s">
        <v>17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>
      <c r="AC21" s="27" t="s">
        <v>18</v>
      </c>
      <c r="AD21" s="28" t="s">
        <v>19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>
      <c r="AC22" s="29" t="s">
        <v>20</v>
      </c>
      <c r="AD22" s="30" t="s">
        <v>21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>
      <c r="AC23" s="31" t="s">
        <v>22</v>
      </c>
      <c r="AD23" s="32" t="s">
        <v>23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4" workbookViewId="0">
      <selection activeCell="L46" sqref="L46"/>
    </sheetView>
  </sheetViews>
  <sheetFormatPr baseColWidth="10" defaultColWidth="11.42578125" defaultRowHeight="15"/>
  <cols>
    <col min="1" max="1" width="3.140625" customWidth="1"/>
    <col min="2" max="2" width="14.7109375" customWidth="1"/>
    <col min="3" max="3" width="20.140625" customWidth="1"/>
    <col min="4" max="4" width="14.28515625" customWidth="1"/>
    <col min="5" max="5" width="17.28515625" customWidth="1"/>
    <col min="6" max="6" width="14.42578125" customWidth="1"/>
    <col min="7" max="7" width="15" customWidth="1"/>
    <col min="8" max="8" width="15.7109375" customWidth="1"/>
    <col min="9" max="9" width="21.42578125" customWidth="1"/>
    <col min="10" max="10" width="14.42578125" customWidth="1"/>
    <col min="11" max="11" width="20.7109375" customWidth="1"/>
    <col min="12" max="12" width="13.7109375" customWidth="1"/>
  </cols>
  <sheetData>
    <row r="1" spans="2:12" ht="24" customHeight="1">
      <c r="B1" s="948" t="s">
        <v>47</v>
      </c>
      <c r="C1" s="949"/>
      <c r="D1" s="952" t="s">
        <v>0</v>
      </c>
      <c r="E1" s="953"/>
      <c r="F1" s="953"/>
      <c r="G1" s="953"/>
      <c r="H1" s="953"/>
      <c r="I1" s="954"/>
      <c r="J1" s="961" t="s">
        <v>31</v>
      </c>
      <c r="K1" s="962"/>
    </row>
    <row r="2" spans="2:12" ht="15" customHeight="1">
      <c r="B2" s="950"/>
      <c r="C2" s="951"/>
      <c r="D2" s="955"/>
      <c r="E2" s="956"/>
      <c r="F2" s="956"/>
      <c r="G2" s="956"/>
      <c r="H2" s="956"/>
      <c r="I2" s="957"/>
      <c r="J2" s="963"/>
      <c r="K2" s="964"/>
    </row>
    <row r="3" spans="2:12" ht="15" customHeight="1">
      <c r="B3" s="950"/>
      <c r="C3" s="951"/>
      <c r="D3" s="958"/>
      <c r="E3" s="959"/>
      <c r="F3" s="959"/>
      <c r="G3" s="959"/>
      <c r="H3" s="959"/>
      <c r="I3" s="960"/>
      <c r="J3" s="963"/>
      <c r="K3" s="964"/>
    </row>
    <row r="4" spans="2:12" ht="15" customHeight="1">
      <c r="B4" s="950"/>
      <c r="C4" s="951"/>
      <c r="D4" s="965" t="s">
        <v>44</v>
      </c>
      <c r="E4" s="965"/>
      <c r="F4" s="965"/>
      <c r="G4" s="965"/>
      <c r="H4" s="965"/>
      <c r="I4" s="965"/>
      <c r="J4" s="967" t="s">
        <v>32</v>
      </c>
      <c r="K4" s="968"/>
    </row>
    <row r="5" spans="2:12" ht="15.75" customHeight="1" thickBot="1">
      <c r="B5" s="950"/>
      <c r="C5" s="951"/>
      <c r="D5" s="966"/>
      <c r="E5" s="966"/>
      <c r="F5" s="966"/>
      <c r="G5" s="966"/>
      <c r="H5" s="966"/>
      <c r="I5" s="966"/>
      <c r="J5" s="969">
        <v>42664</v>
      </c>
      <c r="K5" s="970"/>
    </row>
    <row r="6" spans="2:12" ht="15.75" thickBot="1">
      <c r="B6" s="905"/>
      <c r="C6" s="906"/>
      <c r="D6" s="906"/>
      <c r="E6" s="906"/>
      <c r="F6" s="906"/>
      <c r="G6" s="906"/>
      <c r="H6" s="906"/>
      <c r="I6" s="907"/>
      <c r="J6" s="925"/>
      <c r="K6" s="926"/>
      <c r="L6" s="4"/>
    </row>
    <row r="7" spans="2:12" ht="48">
      <c r="B7" s="927" t="s">
        <v>33</v>
      </c>
      <c r="C7" s="930" t="s">
        <v>90</v>
      </c>
      <c r="D7" s="927" t="s">
        <v>34</v>
      </c>
      <c r="E7" s="82" t="s">
        <v>61</v>
      </c>
      <c r="F7" s="927" t="s">
        <v>52</v>
      </c>
      <c r="G7" s="930" t="s">
        <v>51</v>
      </c>
      <c r="H7" s="927" t="s">
        <v>35</v>
      </c>
      <c r="I7" s="83" t="s">
        <v>63</v>
      </c>
      <c r="J7" s="927" t="s">
        <v>36</v>
      </c>
      <c r="K7" s="88"/>
      <c r="L7" s="5"/>
    </row>
    <row r="8" spans="2:12" ht="60">
      <c r="B8" s="928"/>
      <c r="C8" s="931"/>
      <c r="D8" s="928"/>
      <c r="E8" s="82" t="s">
        <v>83</v>
      </c>
      <c r="F8" s="928"/>
      <c r="G8" s="931"/>
      <c r="H8" s="928"/>
      <c r="I8" s="83" t="s">
        <v>82</v>
      </c>
      <c r="J8" s="928"/>
      <c r="K8" s="88"/>
      <c r="L8" s="5"/>
    </row>
    <row r="9" spans="2:12" ht="36">
      <c r="B9" s="928"/>
      <c r="C9" s="931"/>
      <c r="D9" s="928"/>
      <c r="E9" s="82" t="s">
        <v>68</v>
      </c>
      <c r="F9" s="928"/>
      <c r="G9" s="931"/>
      <c r="H9" s="928"/>
      <c r="I9" s="83" t="s">
        <v>66</v>
      </c>
      <c r="J9" s="928"/>
      <c r="K9" s="88"/>
      <c r="L9" s="5"/>
    </row>
    <row r="10" spans="2:12" ht="48">
      <c r="B10" s="928"/>
      <c r="C10" s="931"/>
      <c r="D10" s="928"/>
      <c r="E10" s="82" t="s">
        <v>69</v>
      </c>
      <c r="F10" s="928"/>
      <c r="G10" s="931"/>
      <c r="H10" s="928"/>
      <c r="I10" s="83" t="s">
        <v>67</v>
      </c>
      <c r="J10" s="928"/>
      <c r="K10" s="88"/>
      <c r="L10" s="5"/>
    </row>
    <row r="11" spans="2:12" ht="36">
      <c r="B11" s="928"/>
      <c r="C11" s="931"/>
      <c r="D11" s="928"/>
      <c r="E11" s="82" t="s">
        <v>84</v>
      </c>
      <c r="F11" s="928"/>
      <c r="G11" s="931"/>
      <c r="H11" s="928"/>
      <c r="I11" s="83" t="s">
        <v>85</v>
      </c>
      <c r="J11" s="928"/>
      <c r="K11" s="88"/>
      <c r="L11" s="5"/>
    </row>
    <row r="12" spans="2:12" ht="48.75" thickBot="1">
      <c r="B12" s="929"/>
      <c r="C12" s="932"/>
      <c r="D12" s="928"/>
      <c r="E12" s="82" t="s">
        <v>70</v>
      </c>
      <c r="F12" s="928"/>
      <c r="G12" s="931"/>
      <c r="H12" s="928"/>
      <c r="I12" s="83" t="s">
        <v>64</v>
      </c>
      <c r="J12" s="928"/>
      <c r="K12" s="88"/>
      <c r="L12" s="6"/>
    </row>
    <row r="13" spans="2:12" ht="24.75" thickBot="1">
      <c r="B13" s="85" t="s">
        <v>37</v>
      </c>
      <c r="C13" s="84"/>
      <c r="D13" s="928"/>
      <c r="E13" s="82" t="s">
        <v>71</v>
      </c>
      <c r="F13" s="928"/>
      <c r="G13" s="931"/>
      <c r="H13" s="928"/>
      <c r="I13" s="83" t="s">
        <v>65</v>
      </c>
      <c r="J13" s="928"/>
      <c r="K13" s="88"/>
      <c r="L13" s="6"/>
    </row>
    <row r="14" spans="2:12" ht="48" customHeight="1" thickBot="1">
      <c r="B14" s="85" t="s">
        <v>38</v>
      </c>
      <c r="C14" s="84"/>
      <c r="D14" s="928"/>
      <c r="E14" s="82" t="s">
        <v>89</v>
      </c>
      <c r="F14" s="928"/>
      <c r="G14" s="931"/>
      <c r="H14" s="928"/>
      <c r="I14" s="83" t="s">
        <v>87</v>
      </c>
      <c r="J14" s="928"/>
      <c r="K14" s="88"/>
      <c r="L14" s="6"/>
    </row>
    <row r="15" spans="2:12" ht="42.95" customHeight="1" thickBot="1">
      <c r="B15" s="86" t="s">
        <v>39</v>
      </c>
      <c r="C15" s="87">
        <v>42734</v>
      </c>
      <c r="D15" s="929"/>
      <c r="E15" s="82" t="s">
        <v>88</v>
      </c>
      <c r="F15" s="929"/>
      <c r="G15" s="933"/>
      <c r="H15" s="929"/>
      <c r="I15" s="83" t="s">
        <v>86</v>
      </c>
      <c r="J15" s="929"/>
      <c r="K15" s="89"/>
      <c r="L15" s="6"/>
    </row>
    <row r="16" spans="2:12" ht="15.75" thickBot="1">
      <c r="B16" s="937"/>
      <c r="C16" s="938"/>
      <c r="D16" s="938"/>
      <c r="E16" s="939"/>
      <c r="F16" s="940"/>
      <c r="G16" s="939"/>
      <c r="H16" s="940"/>
      <c r="I16" s="939"/>
      <c r="J16" s="940"/>
      <c r="K16" s="941"/>
    </row>
    <row r="17" spans="2:11">
      <c r="B17" s="942" t="s">
        <v>40</v>
      </c>
      <c r="C17" s="42" t="s">
        <v>91</v>
      </c>
      <c r="D17" s="33">
        <v>0.1</v>
      </c>
      <c r="E17" s="942" t="s">
        <v>41</v>
      </c>
      <c r="F17" s="34"/>
      <c r="G17" s="945" t="s">
        <v>42</v>
      </c>
      <c r="H17" s="35"/>
      <c r="I17" s="945" t="s">
        <v>45</v>
      </c>
      <c r="J17" s="90"/>
      <c r="K17" s="94" t="s">
        <v>43</v>
      </c>
    </row>
    <row r="18" spans="2:11">
      <c r="B18" s="943"/>
      <c r="C18" s="43" t="s">
        <v>92</v>
      </c>
      <c r="D18" s="36">
        <v>0.1</v>
      </c>
      <c r="E18" s="943"/>
      <c r="F18" s="37"/>
      <c r="G18" s="946"/>
      <c r="H18" s="38"/>
      <c r="I18" s="946"/>
      <c r="J18" s="91"/>
      <c r="K18" s="95" t="s">
        <v>43</v>
      </c>
    </row>
    <row r="19" spans="2:11">
      <c r="B19" s="943"/>
      <c r="C19" s="43" t="s">
        <v>93</v>
      </c>
      <c r="D19" s="36">
        <v>0.1</v>
      </c>
      <c r="E19" s="943"/>
      <c r="F19" s="37"/>
      <c r="G19" s="946"/>
      <c r="H19" s="38"/>
      <c r="I19" s="946"/>
      <c r="J19" s="91"/>
      <c r="K19" s="95" t="s">
        <v>43</v>
      </c>
    </row>
    <row r="20" spans="2:11">
      <c r="B20" s="943"/>
      <c r="C20" s="43" t="s">
        <v>94</v>
      </c>
      <c r="D20" s="36">
        <v>0.1</v>
      </c>
      <c r="E20" s="943"/>
      <c r="F20" s="37"/>
      <c r="G20" s="946"/>
      <c r="H20" s="38"/>
      <c r="I20" s="946"/>
      <c r="J20" s="91"/>
      <c r="K20" s="95" t="s">
        <v>43</v>
      </c>
    </row>
    <row r="21" spans="2:11">
      <c r="B21" s="943"/>
      <c r="C21" s="43" t="s">
        <v>95</v>
      </c>
      <c r="D21" s="36">
        <v>0.1</v>
      </c>
      <c r="E21" s="943"/>
      <c r="F21" s="37"/>
      <c r="G21" s="946"/>
      <c r="H21" s="38"/>
      <c r="I21" s="946"/>
      <c r="J21" s="91"/>
      <c r="K21" s="95" t="s">
        <v>43</v>
      </c>
    </row>
    <row r="22" spans="2:11">
      <c r="B22" s="943"/>
      <c r="C22" s="43" t="s">
        <v>96</v>
      </c>
      <c r="D22" s="36">
        <v>0.1</v>
      </c>
      <c r="E22" s="943"/>
      <c r="F22" s="37"/>
      <c r="G22" s="946"/>
      <c r="H22" s="38"/>
      <c r="I22" s="946"/>
      <c r="J22" s="91"/>
      <c r="K22" s="95" t="s">
        <v>43</v>
      </c>
    </row>
    <row r="23" spans="2:11">
      <c r="B23" s="943"/>
      <c r="C23" s="43" t="s">
        <v>97</v>
      </c>
      <c r="D23" s="36">
        <v>0.1</v>
      </c>
      <c r="E23" s="943"/>
      <c r="F23" s="37"/>
      <c r="G23" s="946"/>
      <c r="H23" s="38"/>
      <c r="I23" s="946"/>
      <c r="J23" s="91"/>
      <c r="K23" s="95" t="s">
        <v>43</v>
      </c>
    </row>
    <row r="24" spans="2:11">
      <c r="B24" s="943"/>
      <c r="C24" s="43" t="s">
        <v>98</v>
      </c>
      <c r="D24" s="36">
        <v>0.1</v>
      </c>
      <c r="E24" s="943"/>
      <c r="F24" s="37"/>
      <c r="G24" s="946"/>
      <c r="H24" s="38"/>
      <c r="I24" s="946"/>
      <c r="J24" s="91"/>
      <c r="K24" s="95" t="s">
        <v>43</v>
      </c>
    </row>
    <row r="25" spans="2:11" ht="15.75" thickBot="1">
      <c r="B25" s="944"/>
      <c r="C25" s="44" t="s">
        <v>99</v>
      </c>
      <c r="D25" s="39">
        <v>0.1</v>
      </c>
      <c r="E25" s="944"/>
      <c r="F25" s="40"/>
      <c r="G25" s="947"/>
      <c r="H25" s="41"/>
      <c r="I25" s="947"/>
      <c r="J25" s="92"/>
      <c r="K25" s="96" t="s">
        <v>43</v>
      </c>
    </row>
    <row r="26" spans="2:11" s="8" customFormat="1">
      <c r="B26" s="97"/>
      <c r="C26" s="98"/>
      <c r="D26" s="99"/>
      <c r="E26" s="97"/>
      <c r="F26" s="100"/>
      <c r="G26" s="97"/>
      <c r="H26" s="100"/>
      <c r="I26" s="97"/>
      <c r="J26" s="100"/>
      <c r="K26" s="93"/>
    </row>
    <row r="27" spans="2:11" ht="38.25">
      <c r="B27" s="75" t="s">
        <v>24</v>
      </c>
      <c r="C27" s="75" t="s">
        <v>25</v>
      </c>
      <c r="D27" s="74" t="s">
        <v>26</v>
      </c>
      <c r="E27" s="75" t="s">
        <v>61</v>
      </c>
      <c r="F27" s="75" t="s">
        <v>4</v>
      </c>
      <c r="G27" s="75" t="s">
        <v>53</v>
      </c>
      <c r="H27" s="14"/>
      <c r="I27" s="14"/>
      <c r="J27" s="13"/>
      <c r="K27" s="13"/>
    </row>
    <row r="28" spans="2:11">
      <c r="B28" s="12">
        <v>42736</v>
      </c>
      <c r="C28" s="11">
        <v>102</v>
      </c>
      <c r="D28" s="10">
        <f>'Tablero Estratégico'!$AC$27</f>
        <v>0</v>
      </c>
      <c r="E28" s="102" t="str">
        <f>IF(ISERROR(C28/D28)=TRUE,"Sin datos",C28/D28)</f>
        <v>Sin datos</v>
      </c>
      <c r="F28" s="3">
        <f>$D$17</f>
        <v>0.1</v>
      </c>
      <c r="G28" s="62" t="s">
        <v>59</v>
      </c>
    </row>
    <row r="29" spans="2:11">
      <c r="B29" s="12">
        <v>42767</v>
      </c>
      <c r="C29" s="11">
        <v>80</v>
      </c>
      <c r="D29" s="10">
        <f>'Tablero Estratégico'!$AC$27</f>
        <v>0</v>
      </c>
      <c r="E29" s="102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>
      <c r="B30" s="12">
        <v>42795</v>
      </c>
      <c r="C30" s="11">
        <v>50</v>
      </c>
      <c r="D30" s="10">
        <f>'Tablero Estratégico'!$AC$27</f>
        <v>0</v>
      </c>
      <c r="E30" s="102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>
      <c r="B31" s="12">
        <v>42826</v>
      </c>
      <c r="C31" s="11">
        <v>30</v>
      </c>
      <c r="D31" s="10">
        <f>'Tablero Estratégico'!$AC$27</f>
        <v>0</v>
      </c>
      <c r="E31" s="102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>
      <c r="B32" s="12">
        <v>42856</v>
      </c>
      <c r="C32" s="11">
        <v>60</v>
      </c>
      <c r="D32" s="10">
        <f>'Tablero Estratégico'!$AC$27</f>
        <v>0</v>
      </c>
      <c r="E32" s="102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>
      <c r="B33" s="12">
        <v>42887</v>
      </c>
      <c r="C33" s="11">
        <v>100</v>
      </c>
      <c r="D33" s="10">
        <f>'Tablero Estratégico'!$AC$27</f>
        <v>0</v>
      </c>
      <c r="E33" s="102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>
      <c r="B34" s="12">
        <v>42917</v>
      </c>
      <c r="C34" s="11">
        <v>30</v>
      </c>
      <c r="D34" s="10">
        <f>'Tablero Estratégico'!$AC$27</f>
        <v>0</v>
      </c>
      <c r="E34" s="102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>
      <c r="B35" s="12">
        <v>42948</v>
      </c>
      <c r="C35" s="11">
        <v>90</v>
      </c>
      <c r="D35" s="10">
        <f>'Tablero Estratégico'!$AC$27</f>
        <v>0</v>
      </c>
      <c r="E35" s="102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>
      <c r="B36" s="12">
        <v>42979</v>
      </c>
      <c r="C36" s="11">
        <v>80</v>
      </c>
      <c r="D36" s="10">
        <f>'Tablero Estratégico'!$AC$27</f>
        <v>0</v>
      </c>
      <c r="E36" s="102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>
      <c r="B37" s="12">
        <v>43009</v>
      </c>
      <c r="C37" s="11">
        <v>100</v>
      </c>
      <c r="D37" s="10">
        <f>'Tablero Estratégico'!$AC$27</f>
        <v>0</v>
      </c>
      <c r="E37" s="102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>
      <c r="B38" s="12">
        <v>43040</v>
      </c>
      <c r="C38" s="11">
        <v>102</v>
      </c>
      <c r="D38" s="10">
        <f>'Tablero Estratégico'!$AC$27</f>
        <v>0</v>
      </c>
      <c r="E38" s="102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>
      <c r="B39" s="68">
        <v>43070</v>
      </c>
      <c r="C39" s="11">
        <f>COUNTIF(('Tablero Estratégico'!$AF$5:$AF$25),1)</f>
        <v>1</v>
      </c>
      <c r="D39" s="10">
        <f>'Tablero Estratégico'!$AC$27</f>
        <v>0</v>
      </c>
      <c r="E39" s="102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>
      <c r="B40" s="934" t="s">
        <v>60</v>
      </c>
      <c r="C40" s="935"/>
      <c r="D40" s="936"/>
      <c r="E40" s="69" t="e">
        <f>+IF(SLOPE(E28:E39,B28:B39)&gt;0,"Al alza",IF(SLOPE(E28:E39,B28:B39)&lt;0,"A la baja","Sin cambio"))</f>
        <v>#DIV/0!</v>
      </c>
      <c r="F40" s="103"/>
      <c r="H40" s="15"/>
      <c r="I40" s="15"/>
      <c r="J40" s="15"/>
      <c r="K40" s="15"/>
    </row>
    <row r="41" spans="1:11" s="4" customFormat="1">
      <c r="B41" s="101"/>
      <c r="C41" s="101"/>
      <c r="D41" s="101"/>
      <c r="E41" s="101"/>
      <c r="F41" s="101"/>
      <c r="G41" s="101"/>
      <c r="H41" s="14"/>
      <c r="I41" s="14"/>
      <c r="J41" s="14"/>
      <c r="K41" s="14"/>
    </row>
    <row r="42" spans="1:11" s="4" customFormat="1">
      <c r="A42" s="64"/>
      <c r="B42" s="101"/>
      <c r="C42" s="101"/>
      <c r="D42" s="101"/>
      <c r="E42" s="101"/>
      <c r="F42" s="101"/>
      <c r="G42" s="101"/>
      <c r="H42" s="14"/>
      <c r="I42" s="14"/>
      <c r="J42" s="14"/>
      <c r="K42" s="14"/>
    </row>
    <row r="43" spans="1:11" s="4" customFormat="1" ht="15.75" thickBot="1">
      <c r="A43" s="64"/>
      <c r="B43" s="101"/>
      <c r="C43" s="101"/>
      <c r="D43" s="101"/>
      <c r="E43" s="101"/>
      <c r="F43" s="101"/>
      <c r="G43" s="101"/>
      <c r="H43" s="14"/>
      <c r="I43" s="14"/>
      <c r="J43" s="14"/>
      <c r="K43" s="14"/>
    </row>
    <row r="44" spans="1:11" ht="15.75" customHeight="1" thickBot="1">
      <c r="A44" s="923"/>
      <c r="B44" s="905" t="s">
        <v>49</v>
      </c>
      <c r="C44" s="906"/>
      <c r="D44" s="906"/>
      <c r="E44" s="906"/>
      <c r="F44" s="906"/>
      <c r="G44" s="906"/>
      <c r="H44" s="906"/>
      <c r="I44" s="906"/>
      <c r="J44" s="906"/>
      <c r="K44" s="907"/>
    </row>
    <row r="45" spans="1:11" ht="15.75" thickBot="1">
      <c r="A45" s="924"/>
      <c r="B45" s="12">
        <v>42736</v>
      </c>
      <c r="C45" s="908"/>
      <c r="D45" s="909"/>
      <c r="E45" s="909"/>
      <c r="F45" s="909"/>
      <c r="G45" s="909"/>
      <c r="H45" s="909"/>
      <c r="I45" s="909"/>
      <c r="J45" s="909"/>
      <c r="K45" s="910"/>
    </row>
    <row r="46" spans="1:11" ht="15.75" thickBot="1">
      <c r="A46" s="7"/>
      <c r="B46" s="12">
        <v>42767</v>
      </c>
      <c r="C46" s="908"/>
      <c r="D46" s="909"/>
      <c r="E46" s="909"/>
      <c r="F46" s="909"/>
      <c r="G46" s="909"/>
      <c r="H46" s="909"/>
      <c r="I46" s="909"/>
      <c r="J46" s="909"/>
      <c r="K46" s="910"/>
    </row>
    <row r="47" spans="1:11" ht="15.75" thickBot="1">
      <c r="A47" s="8"/>
      <c r="B47" s="12">
        <v>42795</v>
      </c>
      <c r="C47" s="908"/>
      <c r="D47" s="909"/>
      <c r="E47" s="909"/>
      <c r="F47" s="909"/>
      <c r="G47" s="909"/>
      <c r="H47" s="909"/>
      <c r="I47" s="909"/>
      <c r="J47" s="909"/>
      <c r="K47" s="910"/>
    </row>
    <row r="48" spans="1:11" ht="15.75" thickBot="1">
      <c r="A48" s="8"/>
      <c r="B48" s="12">
        <v>42826</v>
      </c>
      <c r="C48" s="908"/>
      <c r="D48" s="909"/>
      <c r="E48" s="909"/>
      <c r="F48" s="909"/>
      <c r="G48" s="909"/>
      <c r="H48" s="909"/>
      <c r="I48" s="909"/>
      <c r="J48" s="909"/>
      <c r="K48" s="910"/>
    </row>
    <row r="49" spans="1:11" ht="15.75" thickBot="1">
      <c r="A49" s="8"/>
      <c r="B49" s="12">
        <v>42856</v>
      </c>
      <c r="C49" s="908"/>
      <c r="D49" s="909"/>
      <c r="E49" s="909"/>
      <c r="F49" s="909"/>
      <c r="G49" s="909"/>
      <c r="H49" s="909"/>
      <c r="I49" s="909"/>
      <c r="J49" s="909"/>
      <c r="K49" s="910"/>
    </row>
    <row r="50" spans="1:11" ht="15.75" thickBot="1">
      <c r="A50" s="8"/>
      <c r="B50" s="12">
        <v>42887</v>
      </c>
      <c r="C50" s="908"/>
      <c r="D50" s="909"/>
      <c r="E50" s="909"/>
      <c r="F50" s="909"/>
      <c r="G50" s="909"/>
      <c r="H50" s="909"/>
      <c r="I50" s="909"/>
      <c r="J50" s="909"/>
      <c r="K50" s="910"/>
    </row>
    <row r="51" spans="1:11" ht="15.75" thickBot="1">
      <c r="B51" s="12">
        <v>42917</v>
      </c>
      <c r="C51" s="908"/>
      <c r="D51" s="909"/>
      <c r="E51" s="909"/>
      <c r="F51" s="909"/>
      <c r="G51" s="909"/>
      <c r="H51" s="909"/>
      <c r="I51" s="909"/>
      <c r="J51" s="909"/>
      <c r="K51" s="910"/>
    </row>
    <row r="52" spans="1:11" ht="15.75" thickBot="1">
      <c r="B52" s="12">
        <v>42948</v>
      </c>
      <c r="C52" s="908"/>
      <c r="D52" s="909"/>
      <c r="E52" s="909"/>
      <c r="F52" s="909"/>
      <c r="G52" s="909"/>
      <c r="H52" s="909"/>
      <c r="I52" s="909"/>
      <c r="J52" s="909"/>
      <c r="K52" s="910"/>
    </row>
    <row r="53" spans="1:11" ht="15.75" thickBot="1">
      <c r="B53" s="12">
        <v>42979</v>
      </c>
      <c r="C53" s="908"/>
      <c r="D53" s="909"/>
      <c r="E53" s="909"/>
      <c r="F53" s="909"/>
      <c r="G53" s="909"/>
      <c r="H53" s="909"/>
      <c r="I53" s="909"/>
      <c r="J53" s="909"/>
      <c r="K53" s="910"/>
    </row>
    <row r="54" spans="1:11" ht="15.75" thickBot="1">
      <c r="B54" s="12">
        <v>43009</v>
      </c>
      <c r="C54" s="908"/>
      <c r="D54" s="909"/>
      <c r="E54" s="909"/>
      <c r="F54" s="909"/>
      <c r="G54" s="909"/>
      <c r="H54" s="909"/>
      <c r="I54" s="909"/>
      <c r="J54" s="909"/>
      <c r="K54" s="910"/>
    </row>
    <row r="55" spans="1:11" ht="15.75" thickBot="1">
      <c r="B55" s="12">
        <v>43040</v>
      </c>
      <c r="C55" s="908"/>
      <c r="D55" s="909"/>
      <c r="E55" s="909"/>
      <c r="F55" s="909"/>
      <c r="G55" s="909"/>
      <c r="H55" s="909"/>
      <c r="I55" s="909"/>
      <c r="J55" s="909"/>
      <c r="K55" s="910"/>
    </row>
    <row r="56" spans="1:11" ht="15.75" thickBot="1">
      <c r="B56" s="68">
        <v>43070</v>
      </c>
      <c r="C56" s="908"/>
      <c r="D56" s="909"/>
      <c r="E56" s="909"/>
      <c r="F56" s="909"/>
      <c r="G56" s="909"/>
      <c r="H56" s="909"/>
      <c r="I56" s="909"/>
      <c r="J56" s="909"/>
      <c r="K56" s="910"/>
    </row>
    <row r="57" spans="1:11" ht="15.75" thickBot="1">
      <c r="B57" s="45" t="s">
        <v>46</v>
      </c>
      <c r="C57" s="905" t="s">
        <v>27</v>
      </c>
      <c r="D57" s="906"/>
      <c r="E57" s="906"/>
      <c r="F57" s="906"/>
      <c r="G57" s="907"/>
      <c r="H57" s="45" t="s">
        <v>37</v>
      </c>
      <c r="I57" s="45" t="s">
        <v>28</v>
      </c>
      <c r="J57" s="76" t="s">
        <v>29</v>
      </c>
      <c r="K57" s="45" t="s">
        <v>30</v>
      </c>
    </row>
    <row r="58" spans="1:11">
      <c r="B58" s="46"/>
      <c r="C58" s="914"/>
      <c r="D58" s="915"/>
      <c r="E58" s="915"/>
      <c r="F58" s="915"/>
      <c r="G58" s="916"/>
      <c r="H58" s="55"/>
      <c r="I58" s="58"/>
      <c r="J58" s="52"/>
      <c r="K58" s="49"/>
    </row>
    <row r="59" spans="1:11">
      <c r="B59" s="47"/>
      <c r="C59" s="917"/>
      <c r="D59" s="918"/>
      <c r="E59" s="918"/>
      <c r="F59" s="918"/>
      <c r="G59" s="919"/>
      <c r="H59" s="56"/>
      <c r="I59" s="59"/>
      <c r="J59" s="53"/>
      <c r="K59" s="50"/>
    </row>
    <row r="60" spans="1:11">
      <c r="B60" s="47"/>
      <c r="C60" s="917"/>
      <c r="D60" s="918"/>
      <c r="E60" s="918"/>
      <c r="F60" s="918"/>
      <c r="G60" s="919"/>
      <c r="H60" s="56"/>
      <c r="I60" s="59"/>
      <c r="J60" s="53"/>
      <c r="K60" s="50"/>
    </row>
    <row r="61" spans="1:11">
      <c r="B61" s="47"/>
      <c r="C61" s="917"/>
      <c r="D61" s="918"/>
      <c r="E61" s="918"/>
      <c r="F61" s="918"/>
      <c r="G61" s="919"/>
      <c r="H61" s="56"/>
      <c r="I61" s="59"/>
      <c r="J61" s="53"/>
      <c r="K61" s="50"/>
    </row>
    <row r="62" spans="1:11">
      <c r="B62" s="47"/>
      <c r="C62" s="917"/>
      <c r="D62" s="918"/>
      <c r="E62" s="918"/>
      <c r="F62" s="918"/>
      <c r="G62" s="919"/>
      <c r="H62" s="56"/>
      <c r="I62" s="59"/>
      <c r="J62" s="53"/>
      <c r="K62" s="50"/>
    </row>
    <row r="63" spans="1:11">
      <c r="B63" s="47"/>
      <c r="C63" s="917"/>
      <c r="D63" s="918"/>
      <c r="E63" s="918"/>
      <c r="F63" s="918"/>
      <c r="G63" s="919"/>
      <c r="H63" s="56"/>
      <c r="I63" s="59"/>
      <c r="J63" s="53"/>
      <c r="K63" s="50"/>
    </row>
    <row r="64" spans="1:11">
      <c r="B64" s="47"/>
      <c r="C64" s="917"/>
      <c r="D64" s="918"/>
      <c r="E64" s="918"/>
      <c r="F64" s="918"/>
      <c r="G64" s="919"/>
      <c r="H64" s="56"/>
      <c r="I64" s="59"/>
      <c r="J64" s="53"/>
      <c r="K64" s="50"/>
    </row>
    <row r="65" spans="2:11">
      <c r="B65" s="47"/>
      <c r="C65" s="920"/>
      <c r="D65" s="921"/>
      <c r="E65" s="921"/>
      <c r="F65" s="921"/>
      <c r="G65" s="922"/>
      <c r="H65" s="56"/>
      <c r="I65" s="59"/>
      <c r="J65" s="53"/>
      <c r="K65" s="50"/>
    </row>
    <row r="66" spans="2:11" ht="15.75" thickBot="1">
      <c r="B66" s="48"/>
      <c r="C66" s="911"/>
      <c r="D66" s="912"/>
      <c r="E66" s="912"/>
      <c r="F66" s="912"/>
      <c r="G66" s="913"/>
      <c r="H66" s="57"/>
      <c r="I66" s="60"/>
      <c r="J66" s="54"/>
      <c r="K66" s="51"/>
    </row>
    <row r="67" spans="2:11">
      <c r="F67" s="15"/>
      <c r="G67" s="15"/>
      <c r="H67" s="15"/>
      <c r="I67" s="15"/>
      <c r="J67" s="15"/>
      <c r="K67" s="15"/>
    </row>
    <row r="68" spans="2:11">
      <c r="F68" s="8"/>
      <c r="G68" s="8"/>
      <c r="H68" s="8"/>
      <c r="I68" s="8"/>
    </row>
    <row r="69" spans="2:11">
      <c r="F69" s="8"/>
      <c r="G69" s="8"/>
      <c r="H69" s="8"/>
      <c r="I69" s="8"/>
    </row>
    <row r="70" spans="2:11">
      <c r="F70" s="8"/>
      <c r="G70" s="8"/>
      <c r="H70" s="8"/>
      <c r="I70" s="8"/>
    </row>
    <row r="71" spans="2:11">
      <c r="F71" s="8"/>
      <c r="G71" s="8"/>
      <c r="H71" s="8"/>
      <c r="I71" s="8"/>
    </row>
    <row r="72" spans="2:11">
      <c r="B72" s="15"/>
      <c r="C72" s="15"/>
      <c r="D72" s="15"/>
      <c r="E72" s="15"/>
      <c r="F72" s="8"/>
      <c r="G72" s="8"/>
      <c r="H72" s="8"/>
      <c r="I72" s="8"/>
    </row>
    <row r="73" spans="2:11">
      <c r="D73" s="9"/>
      <c r="E73" s="8"/>
      <c r="F73" s="8"/>
      <c r="G73" s="8"/>
      <c r="H73" s="8"/>
      <c r="I73" s="8"/>
    </row>
    <row r="74" spans="2:11">
      <c r="D74" s="9"/>
      <c r="E74" s="8"/>
      <c r="F74" s="8"/>
      <c r="G74" s="8"/>
      <c r="H74" s="8"/>
      <c r="I74" s="8"/>
    </row>
    <row r="75" spans="2:11">
      <c r="D75" s="9"/>
      <c r="E75" s="8"/>
      <c r="F75" s="8"/>
      <c r="G75" s="8"/>
      <c r="H75" s="8"/>
      <c r="I75" s="8"/>
    </row>
    <row r="76" spans="2:11">
      <c r="D76" s="9"/>
      <c r="E76" s="8"/>
    </row>
    <row r="77" spans="2:11">
      <c r="D77" s="9"/>
      <c r="E77" s="8"/>
    </row>
    <row r="78" spans="2:11">
      <c r="D78" s="8"/>
      <c r="E78" s="8"/>
    </row>
    <row r="79" spans="2:11">
      <c r="D79" s="8"/>
      <c r="E79" s="8"/>
    </row>
    <row r="80" spans="2:11">
      <c r="D80" s="8"/>
      <c r="E80" s="8"/>
    </row>
  </sheetData>
  <mergeCells count="45">
    <mergeCell ref="B44:K44"/>
    <mergeCell ref="B1:C5"/>
    <mergeCell ref="D1:I3"/>
    <mergeCell ref="J1:K3"/>
    <mergeCell ref="D4:I5"/>
    <mergeCell ref="J4:K4"/>
    <mergeCell ref="J5:K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Tablero Estratégico</vt:lpstr>
      <vt:lpstr>Hoja2</vt:lpstr>
      <vt:lpstr>Tablero Eficacia - Eficiencia</vt:lpstr>
      <vt:lpstr>Tablero Objeivos de Calidad</vt:lpstr>
      <vt:lpstr>Hoja3</vt:lpstr>
      <vt:lpstr>Hoja4</vt:lpstr>
      <vt:lpstr>Tablero Maestro (2)</vt:lpstr>
      <vt:lpstr>DE</vt:lpstr>
      <vt:lpstr>'Tablero Eficacia - Eficiencia'!Área_de_impresión</vt:lpstr>
      <vt:lpstr>'Tablero Estratégico'!Área_de_impresión</vt:lpstr>
      <vt:lpstr>'Tablero Objeivos de Calidad'!Área_de_impresión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2017-07-13T16:47:42Z</dcterms:modified>
</cp:coreProperties>
</file>