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0490" windowHeight="7605"/>
  </bookViews>
  <sheets>
    <sheet name="Tablero Estratégico" sheetId="8" r:id="rId1"/>
    <sheet name="Tablero Maestro (2)" sheetId="11" r:id="rId2"/>
    <sheet name="Hoja1" sheetId="10" r:id="rId3"/>
    <sheet name="DE" sheetId="9" r:id="rId4"/>
  </sheets>
  <externalReferences>
    <externalReference r:id="rId5"/>
  </externalReferences>
  <definedNames>
    <definedName name="_xlnm._FilterDatabase" localSheetId="0" hidden="1">'Tablero Estratégico'!$A$4:$BY$27</definedName>
    <definedName name="CUMPLIMIENTO_METAS" localSheetId="3">#REF!</definedName>
    <definedName name="CUMPLIMIENTO_METAS" localSheetId="1">#REF!</definedName>
    <definedName name="CUMPLIMIENTO_METAS">#REF!</definedName>
    <definedName name="Datos_Nutricional" localSheetId="3">#REF!</definedName>
    <definedName name="Datos_Nutricional" localSheetId="1">#REF!</definedName>
    <definedName name="Datos_Nutricional">#REF!</definedName>
    <definedName name="EFICACIA_DEL_SGC" localSheetId="3">#REF!</definedName>
    <definedName name="EFICACIA_DEL_SGC" localSheetId="1">#REF!</definedName>
    <definedName name="EFICACIA_DEL_SGC">#REF!</definedName>
    <definedName name="Tabla_de_datos" localSheetId="3">'[1]Cubrimiento Cupos'!#REF!</definedName>
    <definedName name="Tabla_de_datos" localSheetId="1">'[1]Cubrimiento Cupos'!#REF!</definedName>
    <definedName name="Tabla_de_datos">'[1]Cubrimiento Cupos'!#REF!</definedName>
    <definedName name="Tabla_Logros" localSheetId="3">'[1]Logros alcanzados'!#REF!</definedName>
    <definedName name="Tabla_Logros" localSheetId="1">'[1]Logros alcanzados'!#REF!</definedName>
    <definedName name="Tabla_Logros">'[1]Logros alcanzados'!#REF!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24" i="8" l="1"/>
  <c r="H33" i="8" l="1"/>
  <c r="H34" i="8" s="1"/>
  <c r="AE31" i="8"/>
  <c r="AE33" i="8" s="1"/>
  <c r="AE34" i="8" s="1"/>
  <c r="AE30" i="8"/>
  <c r="AF30" i="8" s="1"/>
  <c r="I33" i="8"/>
  <c r="AF31" i="8" l="1"/>
  <c r="AK26" i="8"/>
  <c r="AI26" i="8" l="1"/>
  <c r="Y21" i="8" l="1"/>
  <c r="AD21" i="8"/>
  <c r="AA21" i="8"/>
  <c r="AF23" i="8"/>
  <c r="AF8" i="8"/>
  <c r="AF24" i="8"/>
  <c r="AQ20" i="8"/>
  <c r="AF6" i="8"/>
  <c r="AF9" i="8"/>
  <c r="AA11" i="8"/>
  <c r="Y11" i="8"/>
  <c r="AC19" i="11"/>
  <c r="AD17" i="11"/>
  <c r="AB16" i="11"/>
  <c r="Z16" i="11"/>
  <c r="AF16" i="11"/>
  <c r="AB15" i="11"/>
  <c r="Z15" i="11"/>
  <c r="AF15" i="11" s="1"/>
  <c r="AB14" i="11"/>
  <c r="Z14" i="11"/>
  <c r="AF14" i="11" s="1"/>
  <c r="AB13" i="11"/>
  <c r="Z13" i="11"/>
  <c r="AF13" i="11"/>
  <c r="AB12" i="11"/>
  <c r="Z12" i="11"/>
  <c r="AF12" i="11" s="1"/>
  <c r="AB11" i="11"/>
  <c r="Z11" i="11"/>
  <c r="AF11" i="11" s="1"/>
  <c r="AB10" i="11"/>
  <c r="Z10" i="11"/>
  <c r="AE10" i="11" s="1"/>
  <c r="AF10" i="11"/>
  <c r="AB9" i="11"/>
  <c r="Z9" i="11"/>
  <c r="AE9" i="11" s="1"/>
  <c r="AF9" i="11"/>
  <c r="AB8" i="11"/>
  <c r="Z8" i="11"/>
  <c r="AF8" i="11"/>
  <c r="B8" i="11"/>
  <c r="B9" i="11"/>
  <c r="B10" i="11" s="1"/>
  <c r="B11" i="11" s="1"/>
  <c r="B12" i="11" s="1"/>
  <c r="B13" i="11" s="1"/>
  <c r="B14" i="11" s="1"/>
  <c r="B15" i="11" s="1"/>
  <c r="B16" i="11" s="1"/>
  <c r="AE8" i="11"/>
  <c r="AE16" i="11"/>
  <c r="AE12" i="11"/>
  <c r="AE13" i="11"/>
  <c r="AA25" i="8"/>
  <c r="AA20" i="8"/>
  <c r="AA19" i="8"/>
  <c r="AA18" i="8"/>
  <c r="AA26" i="8"/>
  <c r="AA17" i="8"/>
  <c r="AA15" i="8"/>
  <c r="AA12" i="8"/>
  <c r="AA9" i="8"/>
  <c r="AA8" i="8"/>
  <c r="AA24" i="8"/>
  <c r="AA10" i="8"/>
  <c r="AA7" i="8"/>
  <c r="AA6" i="8"/>
  <c r="AA5" i="8"/>
  <c r="Y5" i="8"/>
  <c r="AD5" i="8" s="1"/>
  <c r="Y7" i="8"/>
  <c r="Y10" i="8"/>
  <c r="AD10" i="8" s="1"/>
  <c r="Y24" i="8"/>
  <c r="AD24" i="8" s="1"/>
  <c r="Y8" i="8"/>
  <c r="AD8" i="8" s="1"/>
  <c r="Y9" i="8"/>
  <c r="AD9" i="8" s="1"/>
  <c r="Y12" i="8"/>
  <c r="AD12" i="8" s="1"/>
  <c r="Y15" i="8"/>
  <c r="AD15" i="8" s="1"/>
  <c r="Y17" i="8"/>
  <c r="AD17" i="8" s="1"/>
  <c r="Y26" i="8"/>
  <c r="AD26" i="8" s="1"/>
  <c r="Y18" i="8"/>
  <c r="AD18" i="8" s="1"/>
  <c r="Y19" i="8"/>
  <c r="AD19" i="8" s="1"/>
  <c r="Y20" i="8"/>
  <c r="AD20" i="8" s="1"/>
  <c r="Y25" i="8"/>
  <c r="AD25" i="8" s="1"/>
  <c r="Y6" i="8"/>
  <c r="AD6" i="8" s="1"/>
  <c r="AB27" i="8"/>
  <c r="F39" i="9"/>
  <c r="F38" i="9"/>
  <c r="F37" i="9"/>
  <c r="F36" i="9"/>
  <c r="F35" i="9"/>
  <c r="F34" i="9"/>
  <c r="F33" i="9"/>
  <c r="F32" i="9"/>
  <c r="F31" i="9"/>
  <c r="F30" i="9"/>
  <c r="F29" i="9"/>
  <c r="F28" i="9"/>
  <c r="AD7" i="8"/>
  <c r="AE14" i="11" l="1"/>
  <c r="C39" i="9"/>
  <c r="AC27" i="8"/>
  <c r="D32" i="9" s="1"/>
  <c r="E32" i="9" s="1"/>
  <c r="AF17" i="11"/>
  <c r="AE11" i="11"/>
  <c r="AE17" i="11" s="1"/>
  <c r="AD19" i="11"/>
  <c r="AE19" i="11" s="1"/>
  <c r="AE15" i="11"/>
  <c r="AD27" i="8" l="1"/>
  <c r="D38" i="9"/>
  <c r="E38" i="9" s="1"/>
  <c r="D31" i="9"/>
  <c r="E31" i="9" s="1"/>
  <c r="G32" i="9" s="1"/>
  <c r="D28" i="9"/>
  <c r="E28" i="9" s="1"/>
  <c r="D36" i="9"/>
  <c r="E36" i="9" s="1"/>
  <c r="D34" i="9"/>
  <c r="E34" i="9" s="1"/>
  <c r="D35" i="9"/>
  <c r="E35" i="9" s="1"/>
  <c r="D33" i="9"/>
  <c r="E33" i="9" s="1"/>
  <c r="G33" i="9" s="1"/>
  <c r="D39" i="9"/>
  <c r="E39" i="9" s="1"/>
  <c r="D29" i="9"/>
  <c r="E29" i="9" s="1"/>
  <c r="D30" i="9"/>
  <c r="E30" i="9" s="1"/>
  <c r="G31" i="9" s="1"/>
  <c r="D37" i="9"/>
  <c r="E37" i="9" s="1"/>
  <c r="G36" i="9" l="1"/>
  <c r="G29" i="9"/>
  <c r="G37" i="9"/>
  <c r="G39" i="9"/>
  <c r="G34" i="9"/>
  <c r="E40" i="9"/>
  <c r="G35" i="9"/>
  <c r="G30" i="9"/>
  <c r="G38" i="9"/>
</calcChain>
</file>

<file path=xl/sharedStrings.xml><?xml version="1.0" encoding="utf-8"?>
<sst xmlns="http://schemas.openxmlformats.org/spreadsheetml/2006/main" count="367" uniqueCount="231">
  <si>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</si>
  <si>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</si>
  <si>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</si>
  <si>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</si>
  <si>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</si>
  <si>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</si>
  <si>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</si>
  <si>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</si>
  <si>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</si>
  <si>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</si>
  <si>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</si>
  <si>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</si>
  <si>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</si>
  <si>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</si>
  <si>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</si>
  <si>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</si>
  <si>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</si>
  <si>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</si>
  <si>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</si>
  <si>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</si>
  <si>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</si>
  <si>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</si>
  <si>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</si>
  <si>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</si>
  <si>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</si>
  <si>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</si>
  <si>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</si>
  <si>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</si>
  <si>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</si>
  <si>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</si>
  <si>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</si>
  <si>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</si>
  <si>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</si>
  <si>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</si>
  <si>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</si>
  <si>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</si>
  <si>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</si>
  <si>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</si>
  <si>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</si>
  <si>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</si>
  <si>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</si>
  <si>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</si>
  <si>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</si>
  <si>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</si>
  <si>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</si>
  <si>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</si>
  <si>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</si>
  <si>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</si>
  <si>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Investigación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</si>
  <si>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</si>
  <si>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</si>
  <si>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</si>
  <si>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</si>
  <si>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</si>
  <si>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</si>
  <si>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</si>
  <si>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</si>
  <si>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</si>
  <si>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</si>
  <si>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</si>
  <si>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</si>
  <si>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</si>
  <si>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</si>
  <si>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</si>
  <si>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</si>
  <si>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</si>
  <si>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</si>
  <si>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</si>
  <si>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</si>
  <si>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</si>
  <si>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</si>
  <si>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</si>
  <si>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Extensión y proyección social</t>
  </si>
  <si>
    <t>Docencia PES</t>
  </si>
  <si>
    <t>Docencia Bachillerato</t>
  </si>
  <si>
    <t>Bienestar Universitario</t>
  </si>
  <si>
    <t>Gestión Control Disciplinario</t>
  </si>
  <si>
    <t>Gestión de Informática y comunicaciones</t>
  </si>
  <si>
    <t>Gestión de recursos fisicos</t>
  </si>
  <si>
    <t>Gestión del Talento Humano</t>
  </si>
  <si>
    <t>Gestión de Adquisiciones</t>
  </si>
  <si>
    <t>Gestión Financiera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</si>
  <si>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</si>
  <si>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</si>
  <si>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</si>
  <si>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</si>
  <si>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</si>
  <si>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</si>
  <si>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</si>
  <si>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</si>
  <si>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</si>
  <si>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</si>
  <si>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</si>
  <si>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</si>
  <si>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</si>
  <si>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</si>
  <si>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</si>
  <si>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</si>
  <si>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</si>
  <si>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</si>
  <si>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</si>
  <si>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</si>
  <si>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</si>
  <si>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</si>
  <si>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</si>
  <si>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</si>
  <si>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</si>
  <si>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</si>
  <si>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</si>
  <si>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</si>
  <si>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</si>
  <si>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</si>
  <si>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</si>
  <si>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</si>
  <si>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</si>
  <si>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Baja</t>
  </si>
  <si>
    <t>Programas acreditados</t>
  </si>
  <si>
    <t>Índice de empleabilidad</t>
  </si>
  <si>
    <t>Cumplimiento del cronograma de movilidad</t>
  </si>
  <si>
    <t>Medir desempeño de los estudiantes</t>
  </si>
  <si>
    <t>Medir el número  de egresados laborando</t>
  </si>
  <si>
    <t>Medir el cumplimiento al cronograma de movilidad de las áreas para cumplir con la visibilidad institucional y la gestión de recursos</t>
  </si>
  <si>
    <t>Presupuesto de ingresos de extensión</t>
  </si>
  <si>
    <t xml:space="preserve">Eficacia </t>
  </si>
  <si>
    <t>Revisión de syllabus</t>
  </si>
  <si>
    <t># Syllabus revisados / # total de syllabus</t>
  </si>
  <si>
    <t>Medir la pertenecía de los syllabus</t>
  </si>
  <si>
    <t xml:space="preserve">Promoción escolar </t>
  </si>
  <si>
    <t>Proyectos de formación en actividades</t>
  </si>
  <si>
    <t>Proyectos  de  apoyo a las actividades</t>
  </si>
  <si>
    <t>Programa  de transferencia de conocimiento</t>
  </si>
  <si>
    <t>Diseñar un programa de formación investigativa  que prepare  a la comunidad de investigación  para el desarrollo de actividad en el periodo  2017-  2019 a través de vínculos con el SNCTI</t>
  </si>
  <si>
    <t xml:space="preserve">Determinar el impacto de las actividad de bienestar en los estudiantes </t>
  </si>
  <si>
    <t>PQRSD atendidas oportunamente</t>
  </si>
  <si>
    <t xml:space="preserve">PQRSD atendidas oportunamente/ PQRSD recepcionadas </t>
  </si>
  <si>
    <t>atender oportunamente la PQRSD en la ETITC</t>
  </si>
  <si>
    <t xml:space="preserve">Funcionalidad de máquinas, equipos y herramientas </t>
  </si>
  <si>
    <t xml:space="preserve">Eficiencia </t>
  </si>
  <si>
    <t xml:space="preserve">Garantizar la operabilidad de máquinas, equipos, y herramientas </t>
  </si>
  <si>
    <t xml:space="preserve">Clima laboral </t>
  </si>
  <si>
    <t xml:space="preserve">Evaluación del desempeño laboral </t>
  </si>
  <si>
    <t>Tasa de ejecución plan de compras</t>
  </si>
  <si>
    <t>Destinación del ingreso</t>
  </si>
  <si>
    <t>Tendencia Media</t>
  </si>
  <si>
    <t>Gestión de Calidad</t>
  </si>
  <si>
    <t>Semestre</t>
  </si>
  <si>
    <t>Anual</t>
  </si>
  <si>
    <t xml:space="preserve">Bimestral </t>
  </si>
  <si>
    <t xml:space="preserve">Anual </t>
  </si>
  <si>
    <t xml:space="preserve">Mensual </t>
  </si>
  <si>
    <t>Trimestral</t>
  </si>
  <si>
    <t>Variación de pruebas SABER PRO</t>
  </si>
  <si>
    <t xml:space="preserve">Resultados año actual / Resultados año anterior - 1 </t>
  </si>
  <si>
    <t>Línea base</t>
  </si>
  <si>
    <t>Actividades ejecutadas / Actividades programadas</t>
  </si>
  <si>
    <t>Medir el cumplimiento del presupuesto de ingresos de extensión</t>
  </si>
  <si>
    <t>NA</t>
  </si>
  <si>
    <t>Estudiantes que pasaron el año n / Estudiantes matriculados en el año n</t>
  </si>
  <si>
    <t xml:space="preserve">Medir el avance de la promoción escolar </t>
  </si>
  <si>
    <t>Cantidad de equipos en operación / Cantidad de equipos existentes</t>
  </si>
  <si>
    <t>Periodicidad</t>
  </si>
  <si>
    <t xml:space="preserve">Medir el porcentaje de programas acreditados </t>
  </si>
  <si>
    <t># Programas acreditados /  
# Programas acreditables</t>
  </si>
  <si>
    <t>Determinar el clima laboral a partir de mediciones anteriores</t>
  </si>
  <si>
    <t>Evaluar las competencias de los servidores públicos de la ETITC</t>
  </si>
  <si>
    <t>Promedio avance en el plan de mejoramiento</t>
  </si>
  <si>
    <t>Mejoramiento del Sistema de Gestión</t>
  </si>
  <si>
    <t>Medir el avance en los planes de mejoramiento resultado de las auditorías</t>
  </si>
  <si>
    <t xml:space="preserve"># Evaluaciones realizadas /# Total de funciones </t>
  </si>
  <si>
    <t>Observaciones</t>
  </si>
  <si>
    <t>Elaborar un  plan de apoyo a las actividades 2017- 2019  para los grupos de investigación  que responda a las políticas nacionales de ciencia, tecnología e innovación</t>
  </si>
  <si>
    <t>Implementar  en 2018 un programa de  gestión  de transferencia del conocimiento  que provea a la ETITC   de  instrumentos para el uso, distribución y protección  del conocimiento</t>
  </si>
  <si>
    <t>Pagos</t>
  </si>
  <si>
    <t>Ingresos febrero</t>
  </si>
  <si>
    <t>Ingresos 2016</t>
  </si>
  <si>
    <t>Pagos 2016</t>
  </si>
  <si>
    <t>Medir la efectividad en el recaudo para el respaldo de los compromisos</t>
  </si>
  <si>
    <t>X</t>
  </si>
  <si>
    <t>Bimensual</t>
  </si>
  <si>
    <t>Resultado de la medición anterior en clima laboral / Resultado actual del clima laboral - 1</t>
  </si>
  <si>
    <t>Nivel de satisfacción actividades de Bienestar</t>
  </si>
  <si>
    <t>Sumatoria resultado encuestas de satisfacción actividades de bienestar/ Total estudiantes encuestados</t>
  </si>
  <si>
    <t># de programas de transferencia de conocimiento en ejecución/ # de programas de transferencia de conocimiento  planeados</t>
  </si>
  <si>
    <t># Proyectos  de apoyo a las actividad  en ejecución/ # de planes de apoyo a las actividad  programados</t>
  </si>
  <si>
    <t># Proyectos de formación  actividad  en ejecución/ # de proyectos de formación actividad  programados</t>
  </si>
  <si>
    <t>Ingresos ejecutados / Ingresos programados</t>
  </si>
  <si>
    <t>Porcentaje de empleabilidad del año</t>
  </si>
  <si>
    <t>Última medición del observatorio laboral año 2014</t>
  </si>
  <si>
    <t>Línea base: Variación 2014 - 2015 sobre áreas comparables</t>
  </si>
  <si>
    <t>Permitir verificar el avance de las compras programadas al principo de la vigencia para priorizar gastos</t>
  </si>
  <si>
    <t>Valor plan compras ejecutado / Valor compras  programado</t>
  </si>
  <si>
    <t>≥ 90%</t>
  </si>
  <si>
    <t>≥ 90,00%</t>
  </si>
  <si>
    <t>Recaudo / Compromisos</t>
  </si>
  <si>
    <t>≥  1,00</t>
  </si>
  <si>
    <t>Variación en la desviación estándar del examen SABER 11</t>
  </si>
  <si>
    <t>Desviación estándar año 2017 / Desviación estándar año 2016  - 1</t>
  </si>
  <si>
    <t>≥ 88,50%</t>
  </si>
  <si>
    <t>Mejorar la calidad de vida de la comunidad universitaria, mediante la planeación y ejecución de proyectos, programas y actividades que fortalezcan las condiciones de bienestar</t>
  </si>
  <si>
    <t>Objetivo Estratégico</t>
  </si>
  <si>
    <t>Revisar y ajustar los currículos permanentemente de acuerdo con los avances del conocimiento y los requerimientos de la sociedad para darles pertinencia y coherencia con el perfil institucional</t>
  </si>
  <si>
    <t>Modernizar la infraestructura de laboratorios, talleres y aulas especializadas para desarrollar y afirmar las competencias</t>
  </si>
  <si>
    <t>Continuar con el proceso de acreditación de los programas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</si>
  <si>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</si>
  <si>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Formar investigadores en la gestión de grupos, formulación de proyectos de investigación y ACTI para posicionar a la ETITC como centro líder entre sus pares en Ciencia, tecnología e innovación</t>
  </si>
  <si>
    <t>Capacitar a la comunidad ETITC y definir protocolos para la aplicación de normatividad de propiedad intelectual</t>
  </si>
  <si>
    <t>Realizar publicaciones institucionales y ponencias en eventos académicos nacionales e internacionales</t>
  </si>
  <si>
    <t>Incentivar la formulación y realización de proyectos que consoliden los grupos de investigación</t>
  </si>
  <si>
    <t>Fortalecer y consolidar la gestión financiera de la institución</t>
  </si>
  <si>
    <t>Contar con un equipo humano eficiente en un ambiente laboral confortable, capaz de dar soluciones</t>
  </si>
  <si>
    <t>Mejorar el equipamiento tecnológico de la Institución</t>
  </si>
  <si>
    <t>Satisfacer las expectativas de los usuarios asociadas con un servicio educativo de calidad a través del fortalecimiento del Sistema de Gestión de calidad y la evaluación permanente</t>
  </si>
  <si>
    <t>Vincular la institución con el entorno nacional e internacional para acceder a los recursos y generar intercambios</t>
  </si>
  <si>
    <t>Direccionamiento Estratégico</t>
  </si>
  <si>
    <t>Garantizar la participación de los docentes en comunidades académicas para la construcción, transferencia y socialización del conocimiento</t>
  </si>
  <si>
    <t>TABLERO INDICADORES 2017</t>
  </si>
  <si>
    <t>Mejorar el desempeño común de los estudiantes  (a mayor disminución, mejor desempeño)</t>
  </si>
  <si>
    <t>Medición Marzo</t>
  </si>
  <si>
    <t>- Estudiantes: 1 Medellín
- Docentes: 1 México
- Administrativos:3 medellin, Italia y pasto</t>
  </si>
  <si>
    <t>Medición Febrero</t>
  </si>
  <si>
    <t>Dato más reciente medición: Marzo 2017</t>
  </si>
  <si>
    <t>feb</t>
  </si>
  <si>
    <t>mar</t>
  </si>
  <si>
    <t>Recaudo</t>
  </si>
  <si>
    <t>Compromiso</t>
  </si>
  <si>
    <t>Diferencia</t>
  </si>
  <si>
    <t>No se ha relizado el plan de Talleres y Laboratorios</t>
  </si>
  <si>
    <t>Se recaudaron $160 millones de convenio con la UAESP</t>
  </si>
  <si>
    <t>Se observó un crecimiento del 4% en recaudo ($96.169.048,00) y un 10% en compromisos ($290.739.021,91) frente al mes anterior.</t>
  </si>
  <si>
    <t>Se realizará la primera medición en el primer semestre del año, ya que se realizó cambio en la herramienta de medición por parte del DAFP</t>
  </si>
  <si>
    <t>La línea base corresponde al valor medido hace dos años. En la presente vigencia debe realizarse la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</si>
</sst>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-* #,##0.00_-;\-* #,##0.00_-;_-* &quot;-&quot;??_-;_-@_-"/>
    <numFmt numFmtId="165" formatCode="0.0%"/>
    <numFmt numFmtId="166" formatCode="0.000%"/>
    <numFmt numFmtId="167" formatCode="_-* #,##0_-;\-* #,##0_-;_-* &quot;-&quot;??_-;_-@_-"/>
    <numFmt numFmtId="168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8" borderId="18" xfId="0" applyFont="1" applyFill="1" applyBorder="1"/>
    <xf numFmtId="0" fontId="22" fillId="8" borderId="7" xfId="0" applyFont="1" applyFill="1" applyBorder="1"/>
    <xf numFmtId="0" fontId="0" fillId="0" borderId="0" xfId="0" applyFont="1"/>
    <xf numFmtId="165" fontId="0" fillId="0" borderId="0" xfId="0" applyNumberFormat="1" applyFont="1" applyAlignment="1">
      <alignment vertical="center" wrapText="1"/>
    </xf>
    <xf numFmtId="0" fontId="0" fillId="0" borderId="7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Border="1"/>
    <xf numFmtId="0" fontId="0" fillId="0" borderId="18" xfId="0" applyFont="1" applyBorder="1"/>
    <xf numFmtId="9" fontId="0" fillId="0" borderId="0" xfId="1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7" borderId="10" xfId="0" applyFont="1" applyFill="1" applyBorder="1" applyAlignment="1">
      <alignment vertical="center" wrapText="1"/>
    </xf>
    <xf numFmtId="9" fontId="24" fillId="0" borderId="10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vertical="center" wrapText="1"/>
    </xf>
    <xf numFmtId="9" fontId="24" fillId="0" borderId="7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7" borderId="7" xfId="0" applyFont="1" applyFill="1" applyBorder="1" applyAlignment="1">
      <alignment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7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22" fillId="8" borderId="7" xfId="0" applyFont="1" applyFill="1" applyBorder="1" applyAlignment="1">
      <alignment vertical="center" wrapText="1"/>
    </xf>
    <xf numFmtId="0" fontId="0" fillId="8" borderId="18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65" fontId="0" fillId="2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165" fontId="0" fillId="3" borderId="0" xfId="0" applyNumberFormat="1" applyFont="1" applyFill="1" applyAlignment="1">
      <alignment vertical="center" wrapText="1"/>
    </xf>
    <xf numFmtId="0" fontId="0" fillId="4" borderId="0" xfId="0" applyFont="1" applyFill="1" applyAlignment="1">
      <alignment horizontal="center" vertical="center" wrapText="1"/>
    </xf>
    <xf numFmtId="165" fontId="0" fillId="4" borderId="0" xfId="0" applyNumberFormat="1" applyFont="1" applyFill="1" applyAlignment="1">
      <alignment vertical="center" wrapText="1"/>
    </xf>
    <xf numFmtId="167" fontId="0" fillId="0" borderId="0" xfId="39" applyNumberFormat="1" applyFont="1"/>
    <xf numFmtId="0" fontId="0" fillId="0" borderId="10" xfId="0" applyFont="1" applyBorder="1"/>
    <xf numFmtId="0" fontId="0" fillId="0" borderId="0" xfId="0" applyFont="1" applyAlignment="1">
      <alignment wrapText="1"/>
    </xf>
    <xf numFmtId="4" fontId="0" fillId="0" borderId="0" xfId="0" applyNumberFormat="1" applyFont="1"/>
    <xf numFmtId="167" fontId="0" fillId="0" borderId="0" xfId="0" applyNumberFormat="1" applyFont="1"/>
    <xf numFmtId="165" fontId="2" fillId="0" borderId="16" xfId="0" applyNumberFormat="1" applyFont="1" applyBorder="1" applyAlignment="1">
      <alignment vertical="center" wrapText="1"/>
    </xf>
    <xf numFmtId="165" fontId="0" fillId="0" borderId="16" xfId="0" applyNumberFormat="1" applyFont="1" applyBorder="1" applyAlignment="1">
      <alignment vertical="center" wrapText="1"/>
    </xf>
    <xf numFmtId="10" fontId="0" fillId="0" borderId="17" xfId="1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/>
    <xf numFmtId="0" fontId="22" fillId="0" borderId="10" xfId="0" applyFont="1" applyFill="1" applyBorder="1" applyAlignment="1">
      <alignment vertical="center" wrapText="1"/>
    </xf>
    <xf numFmtId="165" fontId="2" fillId="0" borderId="56" xfId="0" applyNumberFormat="1" applyFont="1" applyBorder="1" applyAlignment="1">
      <alignment vertical="center" wrapText="1"/>
    </xf>
    <xf numFmtId="10" fontId="0" fillId="0" borderId="49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17" fontId="23" fillId="5" borderId="61" xfId="2" applyNumberFormat="1" applyFont="1" applyFill="1" applyBorder="1" applyAlignment="1">
      <alignment horizontal="center" vertical="center" wrapText="1"/>
    </xf>
    <xf numFmtId="165" fontId="3" fillId="5" borderId="61" xfId="0" applyNumberFormat="1" applyFont="1" applyFill="1" applyBorder="1" applyAlignment="1">
      <alignment horizontal="center" vertical="center" wrapText="1"/>
    </xf>
    <xf numFmtId="165" fontId="3" fillId="5" borderId="62" xfId="0" applyNumberFormat="1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2" fillId="8" borderId="18" xfId="0" applyFont="1" applyFill="1" applyBorder="1" applyAlignment="1">
      <alignment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25" fillId="0" borderId="60" xfId="0" applyFont="1" applyBorder="1" applyAlignment="1">
      <alignment vertical="center" wrapText="1"/>
    </xf>
    <xf numFmtId="0" fontId="25" fillId="0" borderId="61" xfId="0" applyFont="1" applyBorder="1" applyAlignment="1">
      <alignment vertical="center" wrapText="1"/>
    </xf>
    <xf numFmtId="0" fontId="0" fillId="0" borderId="61" xfId="0" applyFont="1" applyFill="1" applyBorder="1" applyAlignment="1">
      <alignment vertical="center" wrapText="1"/>
    </xf>
    <xf numFmtId="0" fontId="0" fillId="7" borderId="61" xfId="0" applyFont="1" applyFill="1" applyBorder="1" applyAlignment="1">
      <alignment vertical="center" wrapText="1"/>
    </xf>
    <xf numFmtId="9" fontId="3" fillId="0" borderId="61" xfId="0" applyNumberFormat="1" applyFont="1" applyFill="1" applyBorder="1" applyAlignment="1">
      <alignment horizontal="center" vertical="center" wrapText="1"/>
    </xf>
    <xf numFmtId="9" fontId="0" fillId="0" borderId="61" xfId="0" applyNumberFormat="1" applyFont="1" applyFill="1" applyBorder="1" applyAlignment="1">
      <alignment horizontal="center" vertical="center" wrapText="1"/>
    </xf>
    <xf numFmtId="9" fontId="0" fillId="0" borderId="61" xfId="1" applyFont="1" applyFill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166" fontId="0" fillId="0" borderId="61" xfId="0" applyNumberFormat="1" applyFont="1" applyFill="1" applyBorder="1" applyAlignment="1">
      <alignment vertical="center" wrapText="1"/>
    </xf>
    <xf numFmtId="165" fontId="0" fillId="0" borderId="62" xfId="0" applyNumberFormat="1" applyFont="1" applyBorder="1" applyAlignment="1">
      <alignment vertical="center" wrapText="1"/>
    </xf>
    <xf numFmtId="0" fontId="0" fillId="0" borderId="65" xfId="0" applyFont="1" applyBorder="1" applyAlignment="1">
      <alignment horizontal="center" vertical="center"/>
    </xf>
    <xf numFmtId="0" fontId="25" fillId="0" borderId="52" xfId="0" applyFont="1" applyBorder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0" fontId="0" fillId="0" borderId="63" xfId="0" applyFont="1" applyBorder="1"/>
    <xf numFmtId="0" fontId="0" fillId="0" borderId="38" xfId="0" applyFont="1" applyBorder="1"/>
    <xf numFmtId="0" fontId="25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7" borderId="10" xfId="0" applyFont="1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 wrapText="1"/>
    </xf>
    <xf numFmtId="9" fontId="0" fillId="0" borderId="10" xfId="1" applyFont="1" applyFill="1" applyBorder="1" applyAlignment="1">
      <alignment horizontal="center" vertical="center" wrapText="1"/>
    </xf>
    <xf numFmtId="166" fontId="0" fillId="0" borderId="10" xfId="0" applyNumberFormat="1" applyFont="1" applyFill="1" applyBorder="1" applyAlignment="1">
      <alignment vertical="center" wrapText="1"/>
    </xf>
    <xf numFmtId="165" fontId="0" fillId="0" borderId="56" xfId="0" applyNumberFormat="1" applyFont="1" applyBorder="1" applyAlignment="1">
      <alignment vertical="center" wrapText="1"/>
    </xf>
    <xf numFmtId="10" fontId="0" fillId="0" borderId="52" xfId="0" applyNumberFormat="1" applyFont="1" applyBorder="1" applyAlignment="1">
      <alignment horizontal="center" vertical="center"/>
    </xf>
    <xf numFmtId="0" fontId="25" fillId="0" borderId="54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0" fillId="0" borderId="13" xfId="0" applyFont="1" applyBorder="1"/>
    <xf numFmtId="0" fontId="0" fillId="0" borderId="64" xfId="0" applyFont="1" applyBorder="1"/>
    <xf numFmtId="0" fontId="0" fillId="0" borderId="13" xfId="0" applyFont="1" applyFill="1" applyBorder="1" applyAlignment="1">
      <alignment vertical="center" wrapText="1"/>
    </xf>
    <xf numFmtId="0" fontId="0" fillId="7" borderId="13" xfId="0" applyFont="1" applyFill="1" applyBorder="1" applyAlignment="1">
      <alignment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9" fontId="0" fillId="0" borderId="13" xfId="0" applyNumberFormat="1" applyFont="1" applyFill="1" applyBorder="1" applyAlignment="1">
      <alignment horizontal="center" vertical="center" wrapText="1"/>
    </xf>
    <xf numFmtId="9" fontId="0" fillId="0" borderId="13" xfId="1" applyFont="1" applyFill="1" applyBorder="1" applyAlignment="1">
      <alignment horizontal="center" vertical="center" wrapText="1"/>
    </xf>
    <xf numFmtId="166" fontId="0" fillId="0" borderId="13" xfId="0" applyNumberFormat="1" applyFont="1" applyFill="1" applyBorder="1" applyAlignment="1">
      <alignment vertical="center" wrapText="1"/>
    </xf>
    <xf numFmtId="165" fontId="0" fillId="0" borderId="64" xfId="0" applyNumberFormat="1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/>
    </xf>
    <xf numFmtId="0" fontId="22" fillId="0" borderId="13" xfId="0" applyFont="1" applyBorder="1"/>
    <xf numFmtId="10" fontId="0" fillId="0" borderId="54" xfId="1" applyNumberFormat="1" applyFont="1" applyBorder="1" applyAlignment="1">
      <alignment horizontal="center" vertical="center"/>
    </xf>
    <xf numFmtId="0" fontId="0" fillId="0" borderId="52" xfId="0" applyFont="1" applyBorder="1"/>
    <xf numFmtId="0" fontId="0" fillId="0" borderId="52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0" fontId="0" fillId="0" borderId="59" xfId="0" applyFont="1" applyBorder="1" applyAlignment="1">
      <alignment horizontal="left" vertical="center" wrapText="1"/>
    </xf>
    <xf numFmtId="0" fontId="0" fillId="0" borderId="60" xfId="0" applyFont="1" applyFill="1" applyBorder="1" applyAlignment="1">
      <alignment vertical="center" wrapText="1"/>
    </xf>
    <xf numFmtId="0" fontId="22" fillId="8" borderId="52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vertical="center" wrapText="1"/>
    </xf>
    <xf numFmtId="0" fontId="22" fillId="8" borderId="52" xfId="0" applyFont="1" applyFill="1" applyBorder="1" applyAlignment="1">
      <alignment horizontal="left"/>
    </xf>
    <xf numFmtId="0" fontId="22" fillId="8" borderId="10" xfId="0" applyFont="1" applyFill="1" applyBorder="1" applyAlignment="1">
      <alignment horizontal="left"/>
    </xf>
    <xf numFmtId="0" fontId="0" fillId="8" borderId="52" xfId="0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0" fillId="0" borderId="39" xfId="0" applyNumberFormat="1" applyFont="1" applyBorder="1" applyAlignment="1">
      <alignment horizontal="center" vertical="center" wrapText="1"/>
    </xf>
    <xf numFmtId="165" fontId="0" fillId="0" borderId="35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42" xfId="0" applyNumberFormat="1" applyFont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0" fontId="0" fillId="0" borderId="41" xfId="0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0" fontId="0" fillId="0" borderId="43" xfId="1" applyNumberFormat="1" applyFont="1" applyBorder="1" applyAlignment="1">
      <alignment horizontal="center" vertical="center"/>
    </xf>
    <xf numFmtId="0" fontId="0" fillId="0" borderId="37" xfId="0" applyFont="1" applyBorder="1"/>
    <xf numFmtId="0" fontId="0" fillId="0" borderId="3" xfId="0" applyFont="1" applyBorder="1" applyAlignment="1">
      <alignment horizontal="center" vertical="center"/>
    </xf>
    <xf numFmtId="0" fontId="0" fillId="0" borderId="41" xfId="0" applyFont="1" applyBorder="1"/>
    <xf numFmtId="165" fontId="3" fillId="5" borderId="33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Border="1" applyAlignment="1">
      <alignment horizontal="center" vertical="center" wrapText="1"/>
    </xf>
    <xf numFmtId="10" fontId="0" fillId="0" borderId="36" xfId="1" applyNumberFormat="1" applyFont="1" applyBorder="1" applyAlignment="1">
      <alignment horizontal="center" vertical="center" wrapText="1"/>
    </xf>
    <xf numFmtId="10" fontId="0" fillId="0" borderId="33" xfId="1" applyNumberFormat="1" applyFont="1" applyBorder="1" applyAlignment="1">
      <alignment horizontal="center" vertical="center" wrapText="1"/>
    </xf>
    <xf numFmtId="1" fontId="0" fillId="0" borderId="40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10" fontId="0" fillId="0" borderId="8" xfId="1" applyNumberFormat="1" applyFont="1" applyBorder="1" applyAlignment="1">
      <alignment horizontal="center" vertical="center" wrapText="1"/>
    </xf>
    <xf numFmtId="1" fontId="0" fillId="0" borderId="36" xfId="0" applyNumberFormat="1" applyFont="1" applyBorder="1" applyAlignment="1">
      <alignment horizontal="center" vertical="center" wrapText="1"/>
    </xf>
    <xf numFmtId="0" fontId="0" fillId="0" borderId="51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5" fillId="0" borderId="69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0" fillId="0" borderId="73" xfId="0" applyFont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7" xfId="0" applyFont="1" applyFill="1" applyBorder="1" applyAlignment="1">
      <alignment vertical="center" wrapText="1"/>
    </xf>
    <xf numFmtId="0" fontId="22" fillId="7" borderId="47" xfId="0" applyFont="1" applyFill="1" applyBorder="1" applyAlignment="1">
      <alignment vertical="center" wrapText="1"/>
    </xf>
    <xf numFmtId="9" fontId="24" fillId="0" borderId="47" xfId="0" applyNumberFormat="1" applyFont="1" applyFill="1" applyBorder="1" applyAlignment="1">
      <alignment horizontal="center" vertical="center" wrapText="1"/>
    </xf>
    <xf numFmtId="9" fontId="2" fillId="0" borderId="47" xfId="0" applyNumberFormat="1" applyFont="1" applyFill="1" applyBorder="1" applyAlignment="1">
      <alignment horizontal="center" vertical="center" wrapText="1"/>
    </xf>
    <xf numFmtId="9" fontId="2" fillId="0" borderId="47" xfId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166" fontId="2" fillId="0" borderId="47" xfId="0" applyNumberFormat="1" applyFont="1" applyFill="1" applyBorder="1" applyAlignment="1">
      <alignment vertical="center" wrapText="1"/>
    </xf>
    <xf numFmtId="165" fontId="2" fillId="0" borderId="19" xfId="0" applyNumberFormat="1" applyFont="1" applyBorder="1" applyAlignment="1">
      <alignment vertical="center" wrapText="1"/>
    </xf>
    <xf numFmtId="165" fontId="0" fillId="0" borderId="24" xfId="0" applyNumberFormat="1" applyFont="1" applyBorder="1" applyAlignment="1">
      <alignment horizontal="center" vertical="center" wrapText="1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71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10" fontId="0" fillId="0" borderId="19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165" fontId="0" fillId="0" borderId="16" xfId="0" applyNumberFormat="1" applyFont="1" applyFill="1" applyBorder="1" applyAlignment="1">
      <alignment vertical="center" wrapText="1"/>
    </xf>
    <xf numFmtId="165" fontId="0" fillId="0" borderId="35" xfId="0" applyNumberFormat="1" applyFont="1" applyFill="1" applyBorder="1" applyAlignment="1">
      <alignment horizontal="center" vertical="center" wrapText="1"/>
    </xf>
    <xf numFmtId="10" fontId="0" fillId="0" borderId="36" xfId="1" applyNumberFormat="1" applyFont="1" applyFill="1" applyBorder="1" applyAlignment="1">
      <alignment horizontal="center" vertical="center" wrapText="1"/>
    </xf>
    <xf numFmtId="10" fontId="0" fillId="0" borderId="37" xfId="1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/>
    </xf>
    <xf numFmtId="2" fontId="0" fillId="0" borderId="40" xfId="0" applyNumberFormat="1" applyFont="1" applyBorder="1" applyAlignment="1">
      <alignment horizontal="center" vertical="center" wrapText="1"/>
    </xf>
    <xf numFmtId="2" fontId="0" fillId="0" borderId="41" xfId="0" applyNumberFormat="1" applyFont="1" applyBorder="1" applyAlignment="1">
      <alignment horizontal="center" vertical="center"/>
    </xf>
    <xf numFmtId="2" fontId="0" fillId="0" borderId="52" xfId="0" applyNumberFormat="1" applyFont="1" applyBorder="1" applyAlignment="1">
      <alignment horizontal="center" vertical="center"/>
    </xf>
    <xf numFmtId="10" fontId="0" fillId="0" borderId="43" xfId="0" applyNumberFormat="1" applyFont="1" applyBorder="1" applyAlignment="1">
      <alignment horizontal="center" vertical="center"/>
    </xf>
    <xf numFmtId="10" fontId="0" fillId="0" borderId="5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1" fontId="0" fillId="0" borderId="74" xfId="1" applyNumberFormat="1" applyFont="1" applyBorder="1" applyAlignment="1">
      <alignment horizontal="center" vertical="center" wrapText="1"/>
    </xf>
    <xf numFmtId="9" fontId="0" fillId="0" borderId="46" xfId="1" applyFont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0" xfId="0" applyFont="1" applyBorder="1"/>
    <xf numFmtId="0" fontId="0" fillId="0" borderId="62" xfId="0" applyFont="1" applyBorder="1"/>
    <xf numFmtId="0" fontId="25" fillId="0" borderId="62" xfId="0" applyFont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vertical="center" wrapText="1"/>
    </xf>
    <xf numFmtId="44" fontId="0" fillId="0" borderId="0" xfId="41" applyFont="1"/>
    <xf numFmtId="44" fontId="0" fillId="0" borderId="0" xfId="41" applyFont="1" applyAlignment="1">
      <alignment vertical="center" wrapText="1"/>
    </xf>
    <xf numFmtId="44" fontId="0" fillId="0" borderId="0" xfId="0" applyNumberFormat="1" applyFont="1"/>
    <xf numFmtId="44" fontId="0" fillId="0" borderId="0" xfId="1" applyNumberFormat="1" applyFont="1"/>
    <xf numFmtId="10" fontId="0" fillId="0" borderId="57" xfId="1" applyNumberFormat="1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9" fontId="0" fillId="0" borderId="0" xfId="1" applyFont="1"/>
    <xf numFmtId="10" fontId="0" fillId="0" borderId="9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/>
    </xf>
    <xf numFmtId="10" fontId="0" fillId="0" borderId="50" xfId="1" applyNumberFormat="1" applyFont="1" applyBorder="1" applyAlignment="1">
      <alignment horizontal="center" vertical="center"/>
    </xf>
    <xf numFmtId="0" fontId="0" fillId="0" borderId="49" xfId="0" applyFont="1" applyBorder="1"/>
    <xf numFmtId="0" fontId="0" fillId="0" borderId="17" xfId="0" applyFont="1" applyBorder="1"/>
    <xf numFmtId="2" fontId="0" fillId="0" borderId="56" xfId="0" applyNumberFormat="1" applyFont="1" applyFill="1" applyBorder="1" applyAlignment="1">
      <alignment horizontal="center" vertical="center"/>
    </xf>
    <xf numFmtId="10" fontId="0" fillId="0" borderId="50" xfId="0" applyNumberFormat="1" applyFont="1" applyBorder="1" applyAlignment="1">
      <alignment horizontal="center" vertical="center"/>
    </xf>
    <xf numFmtId="10" fontId="0" fillId="0" borderId="64" xfId="1" applyNumberFormat="1" applyFont="1" applyBorder="1" applyAlignment="1">
      <alignment horizontal="center" vertical="center"/>
    </xf>
    <xf numFmtId="0" fontId="0" fillId="0" borderId="41" xfId="0" applyFont="1" applyBorder="1" applyAlignment="1">
      <alignment wrapText="1"/>
    </xf>
    <xf numFmtId="0" fontId="0" fillId="0" borderId="37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71" xfId="0" quotePrefix="1" applyFont="1" applyFill="1" applyBorder="1" applyAlignment="1">
      <alignment vertical="center" wrapText="1"/>
    </xf>
    <xf numFmtId="0" fontId="0" fillId="0" borderId="43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1" xfId="0" applyFont="1" applyFill="1" applyBorder="1" applyAlignment="1">
      <alignment wrapText="1"/>
    </xf>
    <xf numFmtId="10" fontId="0" fillId="0" borderId="43" xfId="1" applyNumberFormat="1" applyFont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vertical="center" wrapText="1"/>
    </xf>
    <xf numFmtId="0" fontId="0" fillId="0" borderId="43" xfId="0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10" fontId="0" fillId="0" borderId="72" xfId="0" applyNumberFormat="1" applyFont="1" applyFill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0" fontId="0" fillId="0" borderId="59" xfId="0" applyFont="1" applyBorder="1"/>
    <xf numFmtId="0" fontId="0" fillId="0" borderId="3" xfId="0" applyFont="1" applyBorder="1"/>
    <xf numFmtId="0" fontId="0" fillId="0" borderId="9" xfId="0" applyFont="1" applyBorder="1"/>
    <xf numFmtId="0" fontId="0" fillId="0" borderId="57" xfId="0" applyFont="1" applyBorder="1"/>
    <xf numFmtId="2" fontId="0" fillId="0" borderId="9" xfId="0" applyNumberFormat="1" applyFont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0" fontId="0" fillId="0" borderId="41" xfId="0" applyFont="1" applyFill="1" applyBorder="1" applyAlignment="1">
      <alignment vertical="center" wrapText="1"/>
    </xf>
    <xf numFmtId="0" fontId="0" fillId="0" borderId="60" xfId="0" applyFont="1" applyBorder="1" applyAlignment="1">
      <alignment vertical="center"/>
    </xf>
    <xf numFmtId="168" fontId="0" fillId="0" borderId="40" xfId="0" applyNumberFormat="1" applyFont="1" applyBorder="1" applyAlignment="1">
      <alignment horizontal="center" vertical="center" wrapText="1"/>
    </xf>
    <xf numFmtId="0" fontId="0" fillId="0" borderId="41" xfId="0" applyFont="1" applyBorder="1" applyAlignment="1">
      <alignment vertical="center" wrapText="1"/>
    </xf>
    <xf numFmtId="168" fontId="0" fillId="0" borderId="41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vertical="center"/>
    </xf>
    <xf numFmtId="0" fontId="26" fillId="9" borderId="34" xfId="0" applyFont="1" applyFill="1" applyBorder="1" applyAlignment="1">
      <alignment horizontal="center" vertical="center"/>
    </xf>
    <xf numFmtId="0" fontId="26" fillId="9" borderId="30" xfId="0" applyFont="1" applyFill="1" applyBorder="1" applyAlignment="1">
      <alignment horizontal="center" vertical="center"/>
    </xf>
    <xf numFmtId="0" fontId="26" fillId="9" borderId="28" xfId="0" applyFont="1" applyFill="1" applyBorder="1" applyAlignment="1">
      <alignment horizontal="center" vertical="center"/>
    </xf>
    <xf numFmtId="0" fontId="26" fillId="9" borderId="58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10" fontId="0" fillId="0" borderId="77" xfId="1" applyNumberFormat="1" applyFont="1" applyBorder="1" applyAlignment="1">
      <alignment horizontal="center" vertical="center"/>
    </xf>
    <xf numFmtId="10" fontId="0" fillId="0" borderId="78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left" vertical="center"/>
    </xf>
    <xf numFmtId="10" fontId="0" fillId="0" borderId="57" xfId="1" applyNumberFormat="1" applyFont="1" applyBorder="1" applyAlignment="1">
      <alignment horizontal="left" vertical="center"/>
    </xf>
    <xf numFmtId="10" fontId="0" fillId="0" borderId="40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" fontId="0" fillId="0" borderId="40" xfId="0" applyNumberFormat="1" applyFont="1" applyBorder="1" applyAlignment="1">
      <alignment horizontal="center" vertical="center" wrapText="1"/>
    </xf>
    <xf numFmtId="1" fontId="0" fillId="0" borderId="36" xfId="0" applyNumberFormat="1" applyFont="1" applyBorder="1" applyAlignment="1">
      <alignment horizontal="center" vertical="center" wrapText="1"/>
    </xf>
    <xf numFmtId="165" fontId="0" fillId="0" borderId="40" xfId="0" applyNumberFormat="1" applyFont="1" applyBorder="1" applyAlignment="1">
      <alignment horizontal="center" vertical="center" wrapText="1"/>
    </xf>
    <xf numFmtId="165" fontId="0" fillId="0" borderId="36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75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10" fontId="0" fillId="0" borderId="79" xfId="0" applyNumberFormat="1" applyFont="1" applyBorder="1" applyAlignment="1">
      <alignment horizontal="center" vertical="center"/>
    </xf>
    <xf numFmtId="10" fontId="0" fillId="0" borderId="46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10" fontId="0" fillId="0" borderId="79" xfId="1" applyNumberFormat="1" applyFont="1" applyBorder="1" applyAlignment="1">
      <alignment horizontal="center" vertical="center"/>
    </xf>
    <xf numFmtId="10" fontId="0" fillId="0" borderId="57" xfId="1" applyNumberFormat="1" applyFont="1" applyBorder="1" applyAlignment="1">
      <alignment horizontal="center" vertical="center"/>
    </xf>
    <xf numFmtId="0" fontId="0" fillId="0" borderId="43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10" fontId="0" fillId="0" borderId="38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</cellXfs>
  <cellStyles count="42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2" xfId="40"/>
    <cellStyle name="Moneda" xfId="41" builtinId="4"/>
    <cellStyle name="Normal" xfId="0" builtinId="0"/>
    <cellStyle name="Normal 2" xfId="2"/>
    <cellStyle name="Porcentaje" xfId="1" builtinId="5"/>
    <cellStyle name="Porcentual 2" xfId="3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73488"/>
        <c:axId val="192174048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73488"/>
        <c:axId val="192174048"/>
      </c:lineChart>
      <c:dateAx>
        <c:axId val="192173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174048"/>
        <c:crosses val="autoZero"/>
        <c:auto val="1"/>
        <c:lblOffset val="100"/>
        <c:baseTimeUnit val="months"/>
      </c:dateAx>
      <c:valAx>
        <c:axId val="1921740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173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2109107</xdr:colOff>
      <xdr:row>0</xdr:row>
      <xdr:rowOff>81643</xdr:rowOff>
    </xdr:from>
    <xdr:to>
      <xdr:col>1</xdr:col>
      <xdr:colOff>801461</xdr:colOff>
      <xdr:row>1</xdr:row>
      <xdr:rowOff>542925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7" y="81643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onambulo\Documents\ETITC\2017\Presupuesto\D:\C\Registros_Calidad\INDICADORES\Guia_indicadores_Proce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7"/>
  <sheetViews>
    <sheetView tabSelected="1" zoomScale="70" zoomScaleNormal="70" zoomScalePageLayoutView="13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I8" sqref="AI8"/>
    </sheetView>
  </sheetViews>
  <sheetFormatPr baseColWidth="10" defaultColWidth="10.85546875" defaultRowHeight="15" outlineLevelCol="1" x14ac:dyDescent="0.25"/>
  <cols>
    <col min="1" max="1" width="32" style="170" customWidth="1"/>
    <col min="2" max="2" width="16.85546875" style="170" customWidth="1"/>
    <col min="3" max="3" width="3.42578125" style="170" bestFit="1" customWidth="1"/>
    <col min="4" max="4" width="22" style="170" customWidth="1"/>
    <col min="5" max="5" width="17.42578125" style="175" hidden="1" customWidth="1"/>
    <col min="6" max="7" width="4.42578125" style="170" hidden="1" customWidth="1"/>
    <col min="8" max="8" width="24.85546875" style="170" customWidth="1"/>
    <col min="9" max="9" width="30.7109375" style="170" customWidth="1"/>
    <col min="10" max="10" width="16" style="170" hidden="1" customWidth="1"/>
    <col min="11" max="11" width="9.42578125" style="170" hidden="1" customWidth="1"/>
    <col min="12" max="12" width="9" style="72" hidden="1" customWidth="1"/>
    <col min="13" max="24" width="7.7109375" style="170" hidden="1" customWidth="1" outlineLevel="1"/>
    <col min="25" max="25" width="11.42578125" style="176" hidden="1" customWidth="1"/>
    <col min="26" max="26" width="31.42578125" style="170" hidden="1" customWidth="1"/>
    <col min="27" max="27" width="11.42578125" style="170" hidden="1" customWidth="1"/>
    <col min="28" max="28" width="8.85546875" style="170" hidden="1" customWidth="1"/>
    <col min="29" max="29" width="9.7109375" style="170" hidden="1" customWidth="1"/>
    <col min="30" max="30" width="14.140625" style="170" hidden="1" customWidth="1"/>
    <col min="31" max="31" width="18" style="170" bestFit="1" customWidth="1"/>
    <col min="32" max="32" width="18.28515625" style="170" bestFit="1" customWidth="1"/>
    <col min="33" max="33" width="10.140625" style="170" bestFit="1" customWidth="1"/>
    <col min="34" max="34" width="2.140625" style="170" customWidth="1"/>
    <col min="35" max="35" width="15.5703125" style="170" customWidth="1"/>
    <col min="36" max="36" width="2.28515625" style="170" customWidth="1"/>
    <col min="37" max="37" width="18.28515625" style="170" bestFit="1" customWidth="1"/>
    <col min="38" max="38" width="53.42578125" style="218" bestFit="1" customWidth="1"/>
    <col min="39" max="39" width="16.85546875" style="170" hidden="1" customWidth="1"/>
    <col min="40" max="40" width="0" style="170" hidden="1" customWidth="1"/>
    <col min="41" max="41" width="17.85546875" style="170" hidden="1" customWidth="1"/>
    <col min="42" max="43" width="0" style="170" hidden="1" customWidth="1"/>
    <col min="44" max="44" width="31.85546875" style="170" customWidth="1"/>
    <col min="45" max="46" width="10.85546875" style="170"/>
    <col min="47" max="47" width="7" style="170" bestFit="1" customWidth="1"/>
    <col min="48" max="48" width="8.85546875" style="170" bestFit="1" customWidth="1"/>
    <col min="49" max="49" width="7.42578125" style="170" bestFit="1" customWidth="1"/>
    <col min="50" max="50" width="6" style="170" bestFit="1" customWidth="1"/>
    <col min="51" max="52" width="6.42578125" style="170" bestFit="1" customWidth="1"/>
    <col min="53" max="53" width="5.85546875" style="170" bestFit="1" customWidth="1"/>
    <col min="54" max="54" width="8.42578125" style="170" bestFit="1" customWidth="1"/>
    <col min="55" max="55" width="11.85546875" style="170" customWidth="1"/>
    <col min="56" max="56" width="9.140625" style="170" bestFit="1" customWidth="1"/>
    <col min="57" max="57" width="11.85546875" style="170" customWidth="1"/>
    <col min="58" max="58" width="10.42578125" style="170" bestFit="1" customWidth="1"/>
    <col min="59" max="71" width="10.85546875" style="170"/>
    <col min="72" max="77" width="9.42578125" style="170" customWidth="1"/>
    <col min="78" max="16384" width="10.85546875" style="170"/>
  </cols>
  <sheetData>
    <row r="1" spans="1:61" ht="29.25" customHeight="1" x14ac:dyDescent="0.25">
      <c r="A1" s="415" t="s">
        <v>215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6"/>
    </row>
    <row r="2" spans="1:61" ht="50.25" customHeight="1" thickBot="1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8"/>
    </row>
    <row r="3" spans="1:61" ht="15.75" thickBot="1" x14ac:dyDescent="0.3"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</row>
    <row r="4" spans="1:61" ht="30.95" customHeight="1" thickBot="1" x14ac:dyDescent="0.3">
      <c r="A4" s="234" t="s">
        <v>199</v>
      </c>
      <c r="B4" s="233" t="s">
        <v>1</v>
      </c>
      <c r="C4" s="436" t="s">
        <v>2</v>
      </c>
      <c r="D4" s="436"/>
      <c r="E4" s="234" t="s">
        <v>50</v>
      </c>
      <c r="F4" s="234" t="s">
        <v>57</v>
      </c>
      <c r="G4" s="234" t="s">
        <v>58</v>
      </c>
      <c r="H4" s="234" t="s">
        <v>3</v>
      </c>
      <c r="I4" s="234" t="s">
        <v>62</v>
      </c>
      <c r="J4" s="234" t="s">
        <v>5</v>
      </c>
      <c r="K4" s="234" t="s">
        <v>6</v>
      </c>
      <c r="L4" s="234" t="s">
        <v>4</v>
      </c>
      <c r="M4" s="235">
        <v>42736</v>
      </c>
      <c r="N4" s="235">
        <v>42767</v>
      </c>
      <c r="O4" s="235">
        <v>42795</v>
      </c>
      <c r="P4" s="235">
        <v>42826</v>
      </c>
      <c r="Q4" s="235">
        <v>42856</v>
      </c>
      <c r="R4" s="235">
        <v>42887</v>
      </c>
      <c r="S4" s="235">
        <v>42917</v>
      </c>
      <c r="T4" s="235">
        <v>42948</v>
      </c>
      <c r="U4" s="235">
        <v>42979</v>
      </c>
      <c r="V4" s="235">
        <v>43009</v>
      </c>
      <c r="W4" s="235">
        <v>43040</v>
      </c>
      <c r="X4" s="235">
        <v>43070</v>
      </c>
      <c r="Y4" s="234" t="s">
        <v>10</v>
      </c>
      <c r="Z4" s="234" t="s">
        <v>54</v>
      </c>
      <c r="AA4" s="234" t="s">
        <v>60</v>
      </c>
      <c r="AB4" s="234" t="s">
        <v>9</v>
      </c>
      <c r="AC4" s="236" t="s">
        <v>11</v>
      </c>
      <c r="AD4" s="237" t="s">
        <v>12</v>
      </c>
      <c r="AE4" s="295" t="s">
        <v>160</v>
      </c>
      <c r="AF4" s="308" t="s">
        <v>153</v>
      </c>
      <c r="AG4" s="300" t="s">
        <v>4</v>
      </c>
      <c r="AH4" s="370"/>
      <c r="AI4" s="380" t="s">
        <v>219</v>
      </c>
      <c r="AJ4" s="396"/>
      <c r="AK4" s="300" t="s">
        <v>217</v>
      </c>
      <c r="AL4" s="300" t="s">
        <v>169</v>
      </c>
      <c r="AS4" s="174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4"/>
      <c r="BH4" s="174"/>
    </row>
    <row r="5" spans="1:61" ht="30" x14ac:dyDescent="0.25">
      <c r="A5" s="361" t="s">
        <v>202</v>
      </c>
      <c r="B5" s="433" t="s">
        <v>73</v>
      </c>
      <c r="C5" s="243">
        <v>1</v>
      </c>
      <c r="D5" s="238" t="s">
        <v>116</v>
      </c>
      <c r="E5" s="225" t="s">
        <v>112</v>
      </c>
      <c r="F5" s="226"/>
      <c r="G5" s="226"/>
      <c r="H5" s="225" t="s">
        <v>162</v>
      </c>
      <c r="I5" s="225" t="s">
        <v>161</v>
      </c>
      <c r="J5" s="227"/>
      <c r="K5" s="182" t="s">
        <v>115</v>
      </c>
      <c r="L5" s="183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 t="e">
        <f>LOOKUP(1000000000,M5:X5)</f>
        <v>#N/A</v>
      </c>
      <c r="Z5" s="186"/>
      <c r="AA5" s="184" t="e">
        <f t="shared" ref="AA5:AA15" si="0">+IF(SLOPE(M5:X5,$M$4:$X$4)&gt;0,"Al alza",IF(SLOPE(M5:X5,$M$4:$X$4)&lt;0,"A la baja","Sin cambio"))</f>
        <v>#DIV/0!</v>
      </c>
      <c r="AB5" s="187" t="s">
        <v>13</v>
      </c>
      <c r="AC5" s="188">
        <v>9.6100000000000005E-3</v>
      </c>
      <c r="AD5" s="228" t="str">
        <f>IF($K$5="Sube",IF(ISERROR(Y5/$L$5)=TRUE,"",IF(Y5&gt;$L$5,AC5,Y5/$L$5*AC5)),IF(ISERROR($L$5/Y5)=TRUE,"",IF($L$5&lt;Y5,$L$5/Y5*AC5,AC5)))</f>
        <v/>
      </c>
      <c r="AE5" s="296" t="s">
        <v>146</v>
      </c>
      <c r="AF5" s="309">
        <v>8.3333333333333329E-2</v>
      </c>
      <c r="AG5" s="301">
        <v>8.3299999999999999E-2</v>
      </c>
      <c r="AH5" s="379"/>
      <c r="AI5" s="229"/>
      <c r="AJ5" s="379"/>
      <c r="AK5" s="301"/>
      <c r="AL5" s="388"/>
      <c r="AS5" s="174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74"/>
      <c r="BG5" s="174"/>
      <c r="BH5" s="174"/>
    </row>
    <row r="6" spans="1:61" ht="30" x14ac:dyDescent="0.25">
      <c r="A6" s="434" t="s">
        <v>203</v>
      </c>
      <c r="B6" s="434"/>
      <c r="C6" s="244">
        <v>2</v>
      </c>
      <c r="D6" s="239" t="s">
        <v>151</v>
      </c>
      <c r="E6" s="181" t="s">
        <v>112</v>
      </c>
      <c r="F6" s="167"/>
      <c r="G6" s="167"/>
      <c r="H6" s="181" t="s">
        <v>152</v>
      </c>
      <c r="I6" s="181" t="s">
        <v>119</v>
      </c>
      <c r="J6" s="197"/>
      <c r="K6" s="190"/>
      <c r="L6" s="191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3" t="e">
        <f>LOOKUP(1000000000,M6:X6)</f>
        <v>#N/A</v>
      </c>
      <c r="Z6" s="194"/>
      <c r="AA6" s="192" t="e">
        <f t="shared" si="0"/>
        <v>#DIV/0!</v>
      </c>
      <c r="AB6" s="195" t="s">
        <v>13</v>
      </c>
      <c r="AC6" s="196">
        <v>9.6100000000000005E-3</v>
      </c>
      <c r="AD6" s="221" t="str">
        <f>IF($K$6="Sube",IF(ISERROR(Y6/$L$6)=TRUE,"",IF(Y6&gt;$L$6,AC6,Y6/$L$6*AC6)),IF(ISERROR($L$6/Y6)=TRUE,"",IF($L$6&lt;Y6,$L$6/Y6*AC6,AC6)))</f>
        <v/>
      </c>
      <c r="AE6" s="297" t="s">
        <v>146</v>
      </c>
      <c r="AF6" s="310">
        <f>9.9925/9.9204-1</f>
        <v>7.2678521027376153E-3</v>
      </c>
      <c r="AG6" s="302">
        <v>0.01</v>
      </c>
      <c r="AH6" s="375"/>
      <c r="AI6" s="223"/>
      <c r="AJ6" s="375"/>
      <c r="AK6" s="302"/>
      <c r="AL6" s="389" t="s">
        <v>188</v>
      </c>
      <c r="AS6" s="174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74"/>
      <c r="BG6" s="174"/>
      <c r="BH6" s="174"/>
    </row>
    <row r="7" spans="1:61" ht="30" x14ac:dyDescent="0.25">
      <c r="A7" s="434"/>
      <c r="B7" s="434"/>
      <c r="C7" s="244">
        <v>3</v>
      </c>
      <c r="D7" s="239" t="s">
        <v>117</v>
      </c>
      <c r="E7" s="181" t="s">
        <v>112</v>
      </c>
      <c r="F7" s="167"/>
      <c r="G7" s="167"/>
      <c r="H7" s="181" t="s">
        <v>186</v>
      </c>
      <c r="I7" s="181" t="s">
        <v>120</v>
      </c>
      <c r="J7" s="197"/>
      <c r="K7" s="190"/>
      <c r="L7" s="191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3" t="e">
        <f t="shared" ref="Y7:Y15" si="1">LOOKUP(1000000000,M7:X7)</f>
        <v>#N/A</v>
      </c>
      <c r="Z7" s="194"/>
      <c r="AA7" s="192" t="e">
        <f t="shared" si="0"/>
        <v>#DIV/0!</v>
      </c>
      <c r="AB7" s="195" t="s">
        <v>13</v>
      </c>
      <c r="AC7" s="196">
        <v>9.6100000000000005E-3</v>
      </c>
      <c r="AD7" s="221" t="str">
        <f>IF($K$7="Sube",IF(ISERROR(Y7/$L$7)=TRUE,"",IF(Y7&gt;$L$7,AC7,Y7/$L$7*AC7)),IF(ISERROR($L$7/Y7)=TRUE,"",IF($L$7&lt;Y7,$L$7/Y7*AC7,AC7)))</f>
        <v/>
      </c>
      <c r="AE7" s="297" t="s">
        <v>146</v>
      </c>
      <c r="AF7" s="310">
        <v>0.88200000000000001</v>
      </c>
      <c r="AG7" s="303" t="s">
        <v>197</v>
      </c>
      <c r="AH7" s="376"/>
      <c r="AI7" s="224"/>
      <c r="AJ7" s="376"/>
      <c r="AK7" s="303"/>
      <c r="AL7" s="389" t="s">
        <v>187</v>
      </c>
      <c r="AS7" s="174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74"/>
      <c r="BG7" s="174"/>
      <c r="BH7" s="174"/>
    </row>
    <row r="8" spans="1:61" ht="45" x14ac:dyDescent="0.25">
      <c r="A8" s="434"/>
      <c r="B8" s="434" t="s">
        <v>74</v>
      </c>
      <c r="C8" s="244">
        <v>4</v>
      </c>
      <c r="D8" s="241" t="s">
        <v>195</v>
      </c>
      <c r="E8" s="198" t="s">
        <v>114</v>
      </c>
      <c r="F8" s="172"/>
      <c r="G8" s="178"/>
      <c r="H8" s="341" t="s">
        <v>196</v>
      </c>
      <c r="I8" s="341" t="s">
        <v>216</v>
      </c>
      <c r="J8" s="199" t="s">
        <v>147</v>
      </c>
      <c r="K8" s="199" t="s">
        <v>100</v>
      </c>
      <c r="L8" s="201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3" t="e">
        <f>LOOKUP(1000000000,M8:X8)</f>
        <v>#N/A</v>
      </c>
      <c r="Z8" s="199"/>
      <c r="AA8" s="202" t="e">
        <f>+IF(SLOPE(M8:X8,$M$4:$X$4)&gt;0,"Al alza",IF(SLOPE(M8:X8,$M$4:$X$4)&lt;0,"A la baja","Sin cambio"))</f>
        <v>#DIV/0!</v>
      </c>
      <c r="AB8" s="342" t="s">
        <v>13</v>
      </c>
      <c r="AC8" s="205">
        <v>9.6100000000000005E-3</v>
      </c>
      <c r="AD8" s="343" t="str">
        <f>IF($K$8="Sube",IF(ISERROR(Y8/$L$8)=TRUE,"",IF(Y8&gt;$L$8,AC8,Y8/$L$8*AC8)),IF(ISERROR($L$8/Y8)=TRUE,"",IF($L$8&lt;Y8,$L$8/Y8*AC8,AC8)))</f>
        <v/>
      </c>
      <c r="AE8" s="344" t="s">
        <v>146</v>
      </c>
      <c r="AF8" s="345">
        <f>7.218/9.426-1</f>
        <v>-0.23424570337364736</v>
      </c>
      <c r="AG8" s="346">
        <v>-0.2</v>
      </c>
      <c r="AH8" s="375"/>
      <c r="AI8" s="223"/>
      <c r="AJ8" s="375"/>
      <c r="AK8" s="302"/>
      <c r="AL8" s="389"/>
      <c r="AS8" s="174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74"/>
      <c r="BG8" s="174"/>
      <c r="BH8" s="174"/>
    </row>
    <row r="9" spans="1:61" ht="45.75" thickBot="1" x14ac:dyDescent="0.3">
      <c r="A9" s="435"/>
      <c r="B9" s="435"/>
      <c r="C9" s="245">
        <v>5</v>
      </c>
      <c r="D9" s="271" t="s">
        <v>127</v>
      </c>
      <c r="E9" s="272" t="s">
        <v>112</v>
      </c>
      <c r="F9" s="273"/>
      <c r="G9" s="274"/>
      <c r="H9" s="272" t="s">
        <v>157</v>
      </c>
      <c r="I9" s="272" t="s">
        <v>158</v>
      </c>
      <c r="J9" s="275" t="s">
        <v>146</v>
      </c>
      <c r="K9" s="276" t="s">
        <v>100</v>
      </c>
      <c r="L9" s="277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9" t="e">
        <f>LOOKUP(1000000000,M9:X9)</f>
        <v>#N/A</v>
      </c>
      <c r="Z9" s="275"/>
      <c r="AA9" s="278" t="e">
        <f>+IF(SLOPE(M9:X9,$M$4:$X$4)&gt;0,"Al alza",IF(SLOPE(M9:X9,$M$4:$X$4)&lt;0,"A la baja","Sin cambio"))</f>
        <v>#DIV/0!</v>
      </c>
      <c r="AB9" s="230" t="s">
        <v>13</v>
      </c>
      <c r="AC9" s="280">
        <v>9.6100000000000005E-3</v>
      </c>
      <c r="AD9" s="281" t="str">
        <f>IF($K$9="Sube",IF(ISERROR(Y9/$L$9)=TRUE,"",IF(Y9&gt;$L$9,AC9,Y9/$L$9*AC9)),IF(ISERROR($L$9/Y9)=TRUE,"",IF($L$9&lt;Y9,$L$9/Y9*AC9,AC9)))</f>
        <v/>
      </c>
      <c r="AE9" s="299" t="s">
        <v>146</v>
      </c>
      <c r="AF9" s="314">
        <f>1152/1344</f>
        <v>0.8571428571428571</v>
      </c>
      <c r="AG9" s="369" t="s">
        <v>192</v>
      </c>
      <c r="AH9" s="282"/>
      <c r="AI9" s="381"/>
      <c r="AJ9" s="377"/>
      <c r="AK9" s="397"/>
      <c r="AL9" s="390"/>
      <c r="AS9" s="174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74"/>
      <c r="BG9" s="174"/>
      <c r="BH9" s="174"/>
    </row>
    <row r="10" spans="1:61" ht="75.75" thickBot="1" x14ac:dyDescent="0.3">
      <c r="A10" s="363" t="s">
        <v>212</v>
      </c>
      <c r="B10" s="322" t="s">
        <v>213</v>
      </c>
      <c r="C10" s="323">
        <v>6</v>
      </c>
      <c r="D10" s="324" t="s">
        <v>118</v>
      </c>
      <c r="E10" s="325" t="s">
        <v>113</v>
      </c>
      <c r="F10" s="326"/>
      <c r="G10" s="326"/>
      <c r="H10" s="325" t="s">
        <v>154</v>
      </c>
      <c r="I10" s="325" t="s">
        <v>121</v>
      </c>
      <c r="J10" s="327"/>
      <c r="K10" s="328"/>
      <c r="L10" s="329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1" t="e">
        <f t="shared" si="1"/>
        <v>#N/A</v>
      </c>
      <c r="Z10" s="332"/>
      <c r="AA10" s="330" t="e">
        <f t="shared" si="0"/>
        <v>#DIV/0!</v>
      </c>
      <c r="AB10" s="333" t="s">
        <v>13</v>
      </c>
      <c r="AC10" s="334">
        <v>9.6100000000000005E-3</v>
      </c>
      <c r="AD10" s="335" t="str">
        <f>IF($K$10="Sube",IF(ISERROR(Y10/$L$10)=TRUE,"",IF(Y10&gt;$L$10,AC10,Y10/$L$10*AC10)),IF(ISERROR($L$10/Y10)=TRUE,"",IF($L$10&lt;Y10,$L$10/Y10*AC10,AC10)))</f>
        <v/>
      </c>
      <c r="AE10" s="336" t="s">
        <v>107</v>
      </c>
      <c r="AF10" s="337">
        <v>0.94169999999999998</v>
      </c>
      <c r="AG10" s="338">
        <v>1</v>
      </c>
      <c r="AH10" s="339" t="s">
        <v>177</v>
      </c>
      <c r="AI10" s="340">
        <v>0.95</v>
      </c>
      <c r="AJ10" s="398" t="s">
        <v>177</v>
      </c>
      <c r="AK10" s="399">
        <v>1</v>
      </c>
      <c r="AL10" s="391" t="s">
        <v>218</v>
      </c>
      <c r="AS10" s="174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74"/>
      <c r="BG10" s="174"/>
      <c r="BH10" s="174"/>
    </row>
    <row r="11" spans="1:61" ht="105.75" thickBot="1" x14ac:dyDescent="0.3">
      <c r="A11" s="362" t="s">
        <v>200</v>
      </c>
      <c r="B11" s="316" t="s">
        <v>73</v>
      </c>
      <c r="C11" s="257">
        <v>7</v>
      </c>
      <c r="D11" s="258" t="s">
        <v>124</v>
      </c>
      <c r="E11" s="259" t="s">
        <v>123</v>
      </c>
      <c r="F11" s="260"/>
      <c r="G11" s="261"/>
      <c r="H11" s="262" t="s">
        <v>125</v>
      </c>
      <c r="I11" s="262" t="s">
        <v>126</v>
      </c>
      <c r="J11" s="263" t="s">
        <v>108</v>
      </c>
      <c r="K11" s="264" t="s">
        <v>100</v>
      </c>
      <c r="L11" s="265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7" t="e">
        <f t="shared" ref="Y11" si="2">LOOKUP(1000000000,M11:X11)</f>
        <v>#N/A</v>
      </c>
      <c r="Z11" s="263"/>
      <c r="AA11" s="266" t="e">
        <f t="shared" ref="AA11" si="3">+IF(SLOPE(M11:X11,$M$4:$X$4)&gt;0,"Al alza",IF(SLOPE(M11:X11,$M$4:$X$4)&lt;0,"A la baja","Sin cambio"))</f>
        <v>#DIV/0!</v>
      </c>
      <c r="AB11" s="209" t="s">
        <v>13</v>
      </c>
      <c r="AC11" s="268">
        <v>9.6100000000000005E-3</v>
      </c>
      <c r="AD11" s="269"/>
      <c r="AE11" s="296" t="s">
        <v>108</v>
      </c>
      <c r="AF11" s="312" t="s">
        <v>156</v>
      </c>
      <c r="AG11" s="301">
        <v>1</v>
      </c>
      <c r="AH11" s="270"/>
      <c r="AI11" s="229"/>
      <c r="AJ11" s="379"/>
      <c r="AK11" s="301"/>
      <c r="AL11" s="388"/>
      <c r="AR11" s="320"/>
      <c r="AS11" s="174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74"/>
      <c r="BG11" s="174"/>
      <c r="BH11" s="174"/>
    </row>
    <row r="12" spans="1:61" ht="90" x14ac:dyDescent="0.25">
      <c r="A12" s="317" t="s">
        <v>204</v>
      </c>
      <c r="B12" s="433" t="s">
        <v>48</v>
      </c>
      <c r="C12" s="437">
        <v>8</v>
      </c>
      <c r="D12" s="439" t="s">
        <v>128</v>
      </c>
      <c r="E12" s="225" t="s">
        <v>123</v>
      </c>
      <c r="F12" s="226"/>
      <c r="G12" s="226"/>
      <c r="H12" s="431" t="s">
        <v>184</v>
      </c>
      <c r="I12" s="431" t="s">
        <v>131</v>
      </c>
      <c r="J12" s="186"/>
      <c r="K12" s="264"/>
      <c r="L12" s="265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7" t="e">
        <f t="shared" si="1"/>
        <v>#N/A</v>
      </c>
      <c r="Z12" s="263"/>
      <c r="AA12" s="266" t="e">
        <f t="shared" si="0"/>
        <v>#DIV/0!</v>
      </c>
      <c r="AB12" s="209" t="s">
        <v>13</v>
      </c>
      <c r="AC12" s="268">
        <v>9.6100000000000005E-3</v>
      </c>
      <c r="AD12" s="269" t="str">
        <f>IF($K$12="Sube",IF(ISERROR(Y12/$L$12)=TRUE,"",IF(Y12&gt;$L$12,AC12,Y12/$L$12*AC12)),IF(ISERROR($L$12/Y12)=TRUE,"",IF($L$12&lt;Y12,$L$12/Y12*AC12,AC12)))</f>
        <v/>
      </c>
      <c r="AE12" s="429" t="s">
        <v>108</v>
      </c>
      <c r="AF12" s="427" t="s">
        <v>156</v>
      </c>
      <c r="AG12" s="425">
        <v>1</v>
      </c>
      <c r="AH12" s="423"/>
      <c r="AI12" s="460"/>
      <c r="AJ12" s="423"/>
      <c r="AK12" s="421"/>
      <c r="AL12" s="419"/>
      <c r="AS12" s="174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74"/>
      <c r="BG12" s="174"/>
      <c r="BH12" s="174"/>
    </row>
    <row r="13" spans="1:61" ht="60" x14ac:dyDescent="0.25">
      <c r="A13" s="318" t="s">
        <v>205</v>
      </c>
      <c r="B13" s="434"/>
      <c r="C13" s="438"/>
      <c r="D13" s="440"/>
      <c r="E13" s="181"/>
      <c r="F13" s="167"/>
      <c r="G13" s="167"/>
      <c r="H13" s="432"/>
      <c r="I13" s="432"/>
      <c r="J13" s="194"/>
      <c r="K13" s="200"/>
      <c r="L13" s="201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3"/>
      <c r="Z13" s="199"/>
      <c r="AA13" s="202"/>
      <c r="AB13" s="204"/>
      <c r="AC13" s="205"/>
      <c r="AD13" s="222"/>
      <c r="AE13" s="430"/>
      <c r="AF13" s="428"/>
      <c r="AG13" s="426"/>
      <c r="AH13" s="424"/>
      <c r="AI13" s="461"/>
      <c r="AJ13" s="424"/>
      <c r="AK13" s="422"/>
      <c r="AL13" s="420"/>
      <c r="AS13" s="174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74"/>
      <c r="BG13" s="174"/>
      <c r="BH13" s="174"/>
    </row>
    <row r="14" spans="1:61" ht="30" customHeight="1" x14ac:dyDescent="0.25">
      <c r="A14" s="364" t="s">
        <v>206</v>
      </c>
      <c r="B14" s="434"/>
      <c r="C14" s="438">
        <v>9</v>
      </c>
      <c r="D14" s="440" t="s">
        <v>129</v>
      </c>
      <c r="E14" s="347"/>
      <c r="F14" s="348"/>
      <c r="G14" s="348"/>
      <c r="H14" s="432" t="s">
        <v>183</v>
      </c>
      <c r="I14" s="432" t="s">
        <v>170</v>
      </c>
      <c r="J14" s="194"/>
      <c r="K14" s="200"/>
      <c r="L14" s="201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3"/>
      <c r="Z14" s="199"/>
      <c r="AA14" s="202"/>
      <c r="AB14" s="204"/>
      <c r="AC14" s="205"/>
      <c r="AD14" s="222"/>
      <c r="AE14" s="430" t="s">
        <v>108</v>
      </c>
      <c r="AF14" s="428" t="s">
        <v>156</v>
      </c>
      <c r="AG14" s="426">
        <v>1</v>
      </c>
      <c r="AH14" s="448"/>
      <c r="AI14" s="462"/>
      <c r="AJ14" s="448"/>
      <c r="AK14" s="447"/>
      <c r="AL14" s="446"/>
      <c r="AS14" s="174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74"/>
      <c r="BG14" s="174"/>
      <c r="BH14" s="174"/>
    </row>
    <row r="15" spans="1:61" ht="60" x14ac:dyDescent="0.25">
      <c r="A15" s="364" t="s">
        <v>207</v>
      </c>
      <c r="B15" s="434"/>
      <c r="C15" s="438"/>
      <c r="D15" s="440"/>
      <c r="E15" s="347" t="s">
        <v>123</v>
      </c>
      <c r="F15" s="348"/>
      <c r="G15" s="348"/>
      <c r="H15" s="432"/>
      <c r="I15" s="432"/>
      <c r="J15" s="194"/>
      <c r="K15" s="200"/>
      <c r="L15" s="201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3" t="e">
        <f t="shared" si="1"/>
        <v>#N/A</v>
      </c>
      <c r="Z15" s="199"/>
      <c r="AA15" s="202" t="e">
        <f t="shared" si="0"/>
        <v>#DIV/0!</v>
      </c>
      <c r="AB15" s="204" t="s">
        <v>13</v>
      </c>
      <c r="AC15" s="205">
        <v>9.6100000000000005E-3</v>
      </c>
      <c r="AD15" s="222" t="str">
        <f>IF($K$15="Sube",IF(ISERROR(Y15/$L$15)=TRUE,"",IF(Y15&gt;$L$15,AC15,Y15/$L$15*AC15)),IF(ISERROR($L$15/Y15)=TRUE,"",IF($L$15&lt;Y15,$L$15/Y15*AC15,AC15)))</f>
        <v/>
      </c>
      <c r="AE15" s="430"/>
      <c r="AF15" s="428"/>
      <c r="AG15" s="426"/>
      <c r="AH15" s="448"/>
      <c r="AI15" s="461"/>
      <c r="AJ15" s="448"/>
      <c r="AK15" s="422"/>
      <c r="AL15" s="446"/>
      <c r="AS15" s="174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74"/>
      <c r="BG15" s="174"/>
      <c r="BH15" s="174"/>
    </row>
    <row r="16" spans="1:61" ht="105.75" thickBot="1" x14ac:dyDescent="0.3">
      <c r="A16" s="319" t="s">
        <v>214</v>
      </c>
      <c r="B16" s="435"/>
      <c r="C16" s="245">
        <v>10</v>
      </c>
      <c r="D16" s="240" t="s">
        <v>130</v>
      </c>
      <c r="E16" s="231" t="s">
        <v>123</v>
      </c>
      <c r="F16" s="283"/>
      <c r="G16" s="283"/>
      <c r="H16" s="231" t="s">
        <v>182</v>
      </c>
      <c r="I16" s="231" t="s">
        <v>171</v>
      </c>
      <c r="J16" s="232"/>
      <c r="K16" s="276"/>
      <c r="L16" s="277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9"/>
      <c r="Z16" s="275"/>
      <c r="AA16" s="278"/>
      <c r="AB16" s="230"/>
      <c r="AC16" s="280"/>
      <c r="AD16" s="281"/>
      <c r="AE16" s="299" t="s">
        <v>108</v>
      </c>
      <c r="AF16" s="313" t="s">
        <v>156</v>
      </c>
      <c r="AG16" s="304">
        <v>1</v>
      </c>
      <c r="AH16" s="284"/>
      <c r="AI16" s="382"/>
      <c r="AJ16" s="400"/>
      <c r="AK16" s="304"/>
      <c r="AL16" s="392"/>
      <c r="AS16" s="174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74"/>
      <c r="BG16" s="174"/>
      <c r="BH16" s="174"/>
    </row>
    <row r="17" spans="1:61" ht="105.75" thickBot="1" x14ac:dyDescent="0.3">
      <c r="A17" s="365" t="s">
        <v>198</v>
      </c>
      <c r="B17" s="288" t="s">
        <v>75</v>
      </c>
      <c r="C17" s="246">
        <v>11</v>
      </c>
      <c r="D17" s="247" t="s">
        <v>180</v>
      </c>
      <c r="E17" s="248" t="s">
        <v>123</v>
      </c>
      <c r="F17" s="366"/>
      <c r="G17" s="367"/>
      <c r="H17" s="368" t="s">
        <v>181</v>
      </c>
      <c r="I17" s="248" t="s">
        <v>132</v>
      </c>
      <c r="J17" s="289" t="s">
        <v>108</v>
      </c>
      <c r="K17" s="250" t="s">
        <v>100</v>
      </c>
      <c r="L17" s="251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3" t="e">
        <f t="shared" ref="Y17:Y20" si="4">LOOKUP(1000000000,M17:X17)</f>
        <v>#N/A</v>
      </c>
      <c r="Z17" s="249"/>
      <c r="AA17" s="252" t="e">
        <f t="shared" ref="AA17:AA19" si="5">+IF(SLOPE(M17:X17,$M$4:$X$4)&gt;0,"Al alza",IF(SLOPE(M17:X17,$M$4:$X$4)&lt;0,"A la baja","Sin cambio"))</f>
        <v>#DIV/0!</v>
      </c>
      <c r="AB17" s="254" t="s">
        <v>13</v>
      </c>
      <c r="AC17" s="255">
        <v>9.6100000000000005E-3</v>
      </c>
      <c r="AD17" s="256" t="str">
        <f>IF($K$17="Sube",IF(ISERROR(Y17/$L$17)=TRUE,"",IF(Y17&gt;$L$17,AC17,Y17/$L$17*AC17)),IF(ISERROR($L$17/Y17)=TRUE,"",IF($L$17&lt;Y17,$L$17/Y17*AC17,AC17)))</f>
        <v/>
      </c>
      <c r="AE17" s="298" t="s">
        <v>178</v>
      </c>
      <c r="AF17" s="311">
        <v>0.97599999999999998</v>
      </c>
      <c r="AG17" s="306" t="s">
        <v>192</v>
      </c>
      <c r="AH17" s="410" t="s">
        <v>177</v>
      </c>
      <c r="AI17" s="414">
        <v>0.96299999999999997</v>
      </c>
      <c r="AJ17" s="401"/>
      <c r="AK17" s="402"/>
      <c r="AL17" s="393"/>
      <c r="AS17" s="174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74"/>
      <c r="BG17" s="174"/>
      <c r="BH17" s="174"/>
    </row>
    <row r="18" spans="1:61" ht="60" x14ac:dyDescent="0.25">
      <c r="A18" s="433" t="s">
        <v>209</v>
      </c>
      <c r="B18" s="433" t="s">
        <v>79</v>
      </c>
      <c r="C18" s="243">
        <v>12</v>
      </c>
      <c r="D18" s="290" t="s">
        <v>139</v>
      </c>
      <c r="E18" s="291" t="s">
        <v>112</v>
      </c>
      <c r="F18" s="292"/>
      <c r="G18" s="293"/>
      <c r="H18" s="291" t="s">
        <v>179</v>
      </c>
      <c r="I18" s="291" t="s">
        <v>163</v>
      </c>
      <c r="J18" s="294" t="s">
        <v>148</v>
      </c>
      <c r="K18" s="264"/>
      <c r="L18" s="265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7" t="e">
        <f t="shared" si="4"/>
        <v>#N/A</v>
      </c>
      <c r="Z18" s="263"/>
      <c r="AA18" s="266" t="e">
        <f t="shared" si="5"/>
        <v>#DIV/0!</v>
      </c>
      <c r="AB18" s="209" t="s">
        <v>13</v>
      </c>
      <c r="AC18" s="268">
        <v>9.6100000000000005E-3</v>
      </c>
      <c r="AD18" s="269" t="str">
        <f>IF($K$18="Sube",IF(ISERROR(Y18/$L$18)=TRUE,"",IF(Y18&gt;$L$18,AC18,Y18/$L$18*AC18)),IF(ISERROR($L$18/Y18)=TRUE,"",IF($L$18&lt;Y18,$L$18/Y18*AC18,AC18)))</f>
        <v/>
      </c>
      <c r="AE18" s="296" t="s">
        <v>146</v>
      </c>
      <c r="AF18" s="411">
        <v>41.3</v>
      </c>
      <c r="AG18" s="413">
        <v>50</v>
      </c>
      <c r="AH18" s="285"/>
      <c r="AI18" s="383"/>
      <c r="AJ18" s="403"/>
      <c r="AK18" s="307"/>
      <c r="AL18" s="412" t="s">
        <v>230</v>
      </c>
      <c r="AS18" s="174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74"/>
      <c r="BG18" s="174"/>
      <c r="BH18" s="174"/>
    </row>
    <row r="19" spans="1:61" ht="51" customHeight="1" thickBot="1" x14ac:dyDescent="0.3">
      <c r="A19" s="434"/>
      <c r="B19" s="434"/>
      <c r="C19" s="244">
        <v>13</v>
      </c>
      <c r="D19" s="242" t="s">
        <v>140</v>
      </c>
      <c r="E19" s="207" t="s">
        <v>112</v>
      </c>
      <c r="F19" s="168"/>
      <c r="G19" s="169"/>
      <c r="H19" s="207" t="s">
        <v>168</v>
      </c>
      <c r="I19" s="207" t="s">
        <v>164</v>
      </c>
      <c r="J19" s="208" t="s">
        <v>148</v>
      </c>
      <c r="K19" s="200" t="s">
        <v>100</v>
      </c>
      <c r="L19" s="201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3" t="e">
        <f t="shared" si="4"/>
        <v>#N/A</v>
      </c>
      <c r="Z19" s="199"/>
      <c r="AA19" s="202" t="e">
        <f t="shared" si="5"/>
        <v>#DIV/0!</v>
      </c>
      <c r="AB19" s="204" t="s">
        <v>13</v>
      </c>
      <c r="AC19" s="205">
        <v>9.6100000000000005E-3</v>
      </c>
      <c r="AD19" s="222" t="str">
        <f>IF($K$19="Sube",IF(ISERROR(Y19/$L$19)=TRUE,"",IF(Y19&gt;$L$19,AC19,Y19/$L$19*AC19)),IF(ISERROR($L$19/Y19)=TRUE,"",IF($L$19&lt;Y19,$L$19/Y19*AC19,AC19)))</f>
        <v/>
      </c>
      <c r="AE19" s="297" t="s">
        <v>108</v>
      </c>
      <c r="AF19" s="315"/>
      <c r="AG19" s="305"/>
      <c r="AH19" s="179"/>
      <c r="AI19" s="384"/>
      <c r="AJ19" s="404"/>
      <c r="AK19" s="305"/>
      <c r="AL19" s="389" t="s">
        <v>229</v>
      </c>
      <c r="AS19" s="174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74"/>
      <c r="BG19" s="174"/>
      <c r="BH19" s="174"/>
    </row>
    <row r="20" spans="1:61" ht="60" x14ac:dyDescent="0.25">
      <c r="A20" s="433" t="s">
        <v>201</v>
      </c>
      <c r="B20" s="356" t="s">
        <v>80</v>
      </c>
      <c r="C20" s="243">
        <v>14</v>
      </c>
      <c r="D20" s="321" t="s">
        <v>141</v>
      </c>
      <c r="E20" s="262" t="s">
        <v>123</v>
      </c>
      <c r="F20" s="217"/>
      <c r="G20" s="217"/>
      <c r="H20" s="262" t="s">
        <v>190</v>
      </c>
      <c r="I20" s="262" t="s">
        <v>189</v>
      </c>
      <c r="J20" s="286" t="s">
        <v>147</v>
      </c>
      <c r="K20" s="264" t="s">
        <v>100</v>
      </c>
      <c r="L20" s="265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7" t="e">
        <f t="shared" si="4"/>
        <v>#N/A</v>
      </c>
      <c r="Z20" s="263"/>
      <c r="AA20" s="266" t="e">
        <f>+IF(SLOPE(M20:X20,$M$4:$X$4)&gt;0,"Al alza",IF(SLOPE(M20:X20,$M$4:$X$4)&lt;0,"A la baja","Sin cambio"))</f>
        <v>#DIV/0!</v>
      </c>
      <c r="AB20" s="209" t="s">
        <v>13</v>
      </c>
      <c r="AC20" s="268">
        <v>9.6100000000000005E-3</v>
      </c>
      <c r="AD20" s="269" t="str">
        <f>IF($K$20="Sube",IF(ISERROR(Y20/$L$20)=TRUE,"",IF(Y20&gt;$L$20,AC20,Y20/$L$20*AC20)),IF(ISERROR($L$20/Y20)=TRUE,"",IF($L$20&lt;Y20,$L$20/Y20*AC20,AC20)))</f>
        <v/>
      </c>
      <c r="AE20" s="296" t="s">
        <v>150</v>
      </c>
      <c r="AF20" s="309">
        <v>1</v>
      </c>
      <c r="AG20" s="301">
        <v>1</v>
      </c>
      <c r="AH20" s="270"/>
      <c r="AI20" s="229"/>
      <c r="AJ20" s="379" t="s">
        <v>177</v>
      </c>
      <c r="AK20" s="301">
        <v>0.4</v>
      </c>
      <c r="AL20" s="388"/>
      <c r="AM20" s="219">
        <v>2535256775.75</v>
      </c>
      <c r="AN20" s="170" t="s">
        <v>173</v>
      </c>
      <c r="AO20" s="216">
        <v>24852870354.630001</v>
      </c>
      <c r="AP20" s="170" t="s">
        <v>174</v>
      </c>
      <c r="AQ20" s="220">
        <f>+AM20/AM23</f>
        <v>1.1527015655031936</v>
      </c>
      <c r="AS20" s="174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74"/>
      <c r="BG20" s="174"/>
      <c r="BH20" s="174"/>
    </row>
    <row r="21" spans="1:61" ht="45.95" customHeight="1" x14ac:dyDescent="0.25">
      <c r="A21" s="434"/>
      <c r="B21" s="434" t="s">
        <v>78</v>
      </c>
      <c r="C21" s="438">
        <v>15</v>
      </c>
      <c r="D21" s="452" t="s">
        <v>136</v>
      </c>
      <c r="E21" s="198" t="s">
        <v>137</v>
      </c>
      <c r="F21" s="172"/>
      <c r="G21" s="172"/>
      <c r="H21" s="450" t="s">
        <v>159</v>
      </c>
      <c r="I21" s="450" t="s">
        <v>138</v>
      </c>
      <c r="J21" s="206" t="s">
        <v>108</v>
      </c>
      <c r="K21" s="200" t="s">
        <v>100</v>
      </c>
      <c r="L21" s="201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3" t="e">
        <f t="shared" ref="Y21" si="6">LOOKUP(1000000000,M21:X21)</f>
        <v>#N/A</v>
      </c>
      <c r="Z21" s="199"/>
      <c r="AA21" s="202" t="e">
        <f t="shared" ref="AA21" si="7">+IF(SLOPE(M21:X21,$M$4:$X$4)&gt;0,"Al alza",IF(SLOPE(M21:X21,$M$4:$X$4)&lt;0,"A la baja","Sin cambio"))</f>
        <v>#DIV/0!</v>
      </c>
      <c r="AB21" s="204" t="s">
        <v>13</v>
      </c>
      <c r="AC21" s="205">
        <v>9.6100000000000005E-3</v>
      </c>
      <c r="AD21" s="222" t="e">
        <f>IF(#REF!="Sube",IF(ISERROR(Y21/#REF!)=TRUE,"",IF(Y21&gt;#REF!,AC21,Y21/#REF!*AC21)),IF(ISERROR(#REF!/Y21)=TRUE,"",IF(#REF!&lt;Y21,#REF!/Y21*AC21,AC21)))</f>
        <v>#REF!</v>
      </c>
      <c r="AE21" s="430" t="s">
        <v>150</v>
      </c>
      <c r="AF21" s="428" t="s">
        <v>156</v>
      </c>
      <c r="AG21" s="455" t="s">
        <v>191</v>
      </c>
      <c r="AH21" s="441"/>
      <c r="AI21" s="458"/>
      <c r="AJ21" s="441" t="s">
        <v>177</v>
      </c>
      <c r="AK21" s="444">
        <v>0</v>
      </c>
      <c r="AL21" s="420" t="s">
        <v>226</v>
      </c>
      <c r="AS21" s="174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74"/>
      <c r="BG21" s="174"/>
      <c r="BH21" s="174"/>
    </row>
    <row r="22" spans="1:61" ht="30.75" thickBot="1" x14ac:dyDescent="0.3">
      <c r="A22" s="319" t="s">
        <v>210</v>
      </c>
      <c r="B22" s="435"/>
      <c r="C22" s="454"/>
      <c r="D22" s="453"/>
      <c r="E22" s="272"/>
      <c r="F22" s="273"/>
      <c r="G22" s="273"/>
      <c r="H22" s="451"/>
      <c r="I22" s="451"/>
      <c r="J22" s="287"/>
      <c r="K22" s="276"/>
      <c r="L22" s="277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9"/>
      <c r="Z22" s="275"/>
      <c r="AA22" s="278"/>
      <c r="AB22" s="230"/>
      <c r="AC22" s="280"/>
      <c r="AD22" s="281"/>
      <c r="AE22" s="443"/>
      <c r="AF22" s="457"/>
      <c r="AG22" s="456"/>
      <c r="AH22" s="442"/>
      <c r="AI22" s="459"/>
      <c r="AJ22" s="442"/>
      <c r="AK22" s="445"/>
      <c r="AL22" s="449"/>
      <c r="AS22" s="174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74"/>
      <c r="BG22" s="174"/>
      <c r="BH22" s="174"/>
    </row>
    <row r="23" spans="1:61" ht="45" x14ac:dyDescent="0.25">
      <c r="A23" s="433" t="s">
        <v>208</v>
      </c>
      <c r="B23" s="317" t="s">
        <v>81</v>
      </c>
      <c r="C23" s="243">
        <v>16</v>
      </c>
      <c r="D23" s="258" t="s">
        <v>142</v>
      </c>
      <c r="E23" s="262" t="s">
        <v>112</v>
      </c>
      <c r="F23" s="217"/>
      <c r="G23" s="217"/>
      <c r="H23" s="262" t="s">
        <v>193</v>
      </c>
      <c r="I23" s="262" t="s">
        <v>176</v>
      </c>
      <c r="J23" s="286" t="s">
        <v>149</v>
      </c>
      <c r="K23" s="264" t="s">
        <v>100</v>
      </c>
      <c r="L23" s="265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7"/>
      <c r="Z23" s="263"/>
      <c r="AA23" s="266"/>
      <c r="AB23" s="209"/>
      <c r="AC23" s="268"/>
      <c r="AD23" s="269"/>
      <c r="AE23" s="296" t="s">
        <v>107</v>
      </c>
      <c r="AF23" s="349">
        <f>24852870354.63/23954712885.28</f>
        <v>1.0374939776423666</v>
      </c>
      <c r="AG23" s="350" t="s">
        <v>194</v>
      </c>
      <c r="AH23" s="351" t="s">
        <v>177</v>
      </c>
      <c r="AI23" s="385">
        <v>0.86</v>
      </c>
      <c r="AJ23" s="405" t="s">
        <v>177</v>
      </c>
      <c r="AK23" s="406">
        <v>0.81</v>
      </c>
      <c r="AL23" s="409" t="s">
        <v>228</v>
      </c>
      <c r="AM23" s="216">
        <v>2199404296.5</v>
      </c>
      <c r="AN23" s="170" t="s">
        <v>172</v>
      </c>
      <c r="AO23" s="170">
        <v>20823779894.189999</v>
      </c>
      <c r="AP23" s="170" t="s">
        <v>175</v>
      </c>
      <c r="AS23" s="174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74"/>
      <c r="BG23" s="174"/>
      <c r="BH23" s="174"/>
    </row>
    <row r="24" spans="1:61" ht="45.75" thickBot="1" x14ac:dyDescent="0.3">
      <c r="A24" s="435"/>
      <c r="B24" s="354" t="s">
        <v>72</v>
      </c>
      <c r="C24" s="245">
        <v>17</v>
      </c>
      <c r="D24" s="271" t="s">
        <v>122</v>
      </c>
      <c r="E24" s="272" t="s">
        <v>123</v>
      </c>
      <c r="F24" s="273"/>
      <c r="G24" s="273"/>
      <c r="H24" s="272" t="s">
        <v>185</v>
      </c>
      <c r="I24" s="272" t="s">
        <v>155</v>
      </c>
      <c r="J24" s="275" t="s">
        <v>145</v>
      </c>
      <c r="K24" s="276" t="s">
        <v>100</v>
      </c>
      <c r="L24" s="277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9" t="e">
        <f>LOOKUP(1000000000,M24:X24)</f>
        <v>#N/A</v>
      </c>
      <c r="Z24" s="275"/>
      <c r="AA24" s="278" t="e">
        <f>+IF(SLOPE(M24:X24,$M$4:$X$4)&gt;0,"Al alza",IF(SLOPE(M24:X24,$M$4:$X$4)&lt;0,"A la baja","Sin cambio"))</f>
        <v>#DIV/0!</v>
      </c>
      <c r="AB24" s="230" t="s">
        <v>13</v>
      </c>
      <c r="AC24" s="280">
        <v>9.6100000000000005E-3</v>
      </c>
      <c r="AD24" s="281" t="str">
        <f>IF($K$24="Sube",IF(ISERROR(Y24/$L$24)=TRUE,"",IF(Y24&gt;$L$24,AC24,Y24/$L$24*AC24)),IF(ISERROR($L$24/Y24)=TRUE,"",IF($L$24&lt;Y24,$L$24/Y24*AC24,AC24)))</f>
        <v/>
      </c>
      <c r="AE24" s="299" t="s">
        <v>150</v>
      </c>
      <c r="AF24" s="314">
        <f>440994470/600000000</f>
        <v>0.73499078333333334</v>
      </c>
      <c r="AG24" s="352">
        <v>0.8</v>
      </c>
      <c r="AH24" s="353"/>
      <c r="AI24" s="386"/>
      <c r="AJ24" s="407" t="s">
        <v>177</v>
      </c>
      <c r="AK24" s="352">
        <f>160000000/700000000</f>
        <v>0.22857142857142856</v>
      </c>
      <c r="AL24" s="390" t="s">
        <v>227</v>
      </c>
      <c r="AS24" s="174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74"/>
      <c r="BG24" s="174"/>
      <c r="BH24" s="174"/>
    </row>
    <row r="25" spans="1:61" ht="45" x14ac:dyDescent="0.25">
      <c r="A25" s="433" t="s">
        <v>211</v>
      </c>
      <c r="B25" s="317" t="s">
        <v>144</v>
      </c>
      <c r="C25" s="243">
        <v>18</v>
      </c>
      <c r="D25" s="359" t="s">
        <v>166</v>
      </c>
      <c r="E25" s="360"/>
      <c r="F25" s="217"/>
      <c r="G25" s="217"/>
      <c r="H25" s="263" t="s">
        <v>165</v>
      </c>
      <c r="I25" s="263" t="s">
        <v>167</v>
      </c>
      <c r="J25" s="263"/>
      <c r="K25" s="264"/>
      <c r="L25" s="265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7" t="e">
        <f t="shared" ref="Y25" si="8">LOOKUP(1000000000,M25:X25)</f>
        <v>#N/A</v>
      </c>
      <c r="Z25" s="263"/>
      <c r="AA25" s="266" t="e">
        <f>+IF(SLOPE(M25:X25,$M$4:$X$4)&gt;0,"Al alza",IF(SLOPE(M25:X25,$M$4:$X$4)&lt;0,"A la baja","Sin cambio"))</f>
        <v>#DIV/0!</v>
      </c>
      <c r="AB25" s="209" t="s">
        <v>13</v>
      </c>
      <c r="AC25" s="268">
        <v>9.6100000000000005E-3</v>
      </c>
      <c r="AD25" s="269" t="str">
        <f>IF($K$25="Sube",IF(ISERROR(Y25/$L$25)=TRUE,"",IF(Y25&gt;$L$25,AC25,Y25/$L$25*AC25)),IF(ISERROR($L$25/Y25)=TRUE,"",IF($L$25&lt;Y25,$L$25/Y25*AC25,AC25)))</f>
        <v/>
      </c>
      <c r="AE25" s="296" t="s">
        <v>178</v>
      </c>
      <c r="AF25" s="309">
        <v>0.67</v>
      </c>
      <c r="AG25" s="301">
        <v>1</v>
      </c>
      <c r="AH25" s="270" t="s">
        <v>177</v>
      </c>
      <c r="AI25" s="229">
        <v>0.83330000000000004</v>
      </c>
      <c r="AJ25" s="379"/>
      <c r="AK25" s="301"/>
      <c r="AL25" s="394"/>
      <c r="AM25" s="170">
        <v>4094</v>
      </c>
      <c r="AN25" s="170">
        <v>453</v>
      </c>
      <c r="AS25" s="174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74"/>
      <c r="BG25" s="174"/>
      <c r="BH25" s="174"/>
    </row>
    <row r="26" spans="1:61" ht="45.75" thickBot="1" x14ac:dyDescent="0.3">
      <c r="A26" s="435"/>
      <c r="B26" s="319" t="s">
        <v>77</v>
      </c>
      <c r="C26" s="245">
        <v>19</v>
      </c>
      <c r="D26" s="271" t="s">
        <v>133</v>
      </c>
      <c r="E26" s="272" t="s">
        <v>114</v>
      </c>
      <c r="F26" s="273"/>
      <c r="G26" s="273"/>
      <c r="H26" s="272" t="s">
        <v>134</v>
      </c>
      <c r="I26" s="272" t="s">
        <v>135</v>
      </c>
      <c r="J26" s="287" t="s">
        <v>149</v>
      </c>
      <c r="K26" s="276" t="s">
        <v>143</v>
      </c>
      <c r="L26" s="277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9" t="e">
        <f>LOOKUP(1000000000,M26:X26)</f>
        <v>#N/A</v>
      </c>
      <c r="Z26" s="275"/>
      <c r="AA26" s="278" t="e">
        <f>+IF(SLOPE(M26:X26,$M$4:$X$4)&gt;0,"Al alza",IF(SLOPE(M26:X26,$M$4:$X$4)&lt;0,"A la baja","Sin cambio"))</f>
        <v>#DIV/0!</v>
      </c>
      <c r="AB26" s="230" t="s">
        <v>13</v>
      </c>
      <c r="AC26" s="280">
        <v>9.6100000000000005E-3</v>
      </c>
      <c r="AD26" s="281" t="str">
        <f>IF($K$26="Sube",IF(ISERROR(Y26/$L$26)=TRUE,"",IF(Y26&gt;$L$26,AC26,Y26/$L$26*AC26)),IF(ISERROR($L$26/Y26)=TRUE,"",IF($L$26&lt;Y26,$L$26/Y26*AC26,AC26)))</f>
        <v/>
      </c>
      <c r="AE26" s="299" t="s">
        <v>107</v>
      </c>
      <c r="AF26" s="314">
        <v>0.11064973131411822</v>
      </c>
      <c r="AG26" s="352">
        <v>0.05</v>
      </c>
      <c r="AH26" s="353" t="s">
        <v>177</v>
      </c>
      <c r="AI26" s="387">
        <f>43/440</f>
        <v>9.7727272727272732E-2</v>
      </c>
      <c r="AJ26" s="407"/>
      <c r="AK26" s="408">
        <f>142/271</f>
        <v>0.52398523985239853</v>
      </c>
      <c r="AL26" s="395" t="s">
        <v>220</v>
      </c>
      <c r="AS26" s="174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74"/>
      <c r="BG26" s="174"/>
      <c r="BH26" s="174"/>
    </row>
    <row r="27" spans="1:61" ht="15.75" thickBot="1" x14ac:dyDescent="0.3">
      <c r="AB27" s="355">
        <f>COUNTIF(AB5:AB25,"Si")</f>
        <v>16</v>
      </c>
      <c r="AC27" s="357">
        <f>COUNT(Y5:Y25)</f>
        <v>0</v>
      </c>
      <c r="AD27" s="358">
        <f>AC27/AB27</f>
        <v>0</v>
      </c>
      <c r="AE27" s="180"/>
      <c r="AG27" s="173"/>
      <c r="AH27" s="173"/>
      <c r="AI27" s="173"/>
      <c r="AJ27" s="173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</row>
    <row r="28" spans="1:61" ht="32.25" customHeight="1" x14ac:dyDescent="0.25">
      <c r="AB28" s="173"/>
      <c r="AC28" s="171"/>
      <c r="AD28" s="171"/>
      <c r="AE28" s="171"/>
      <c r="AG28" s="173"/>
      <c r="AH28" s="173"/>
      <c r="AI28" s="173"/>
      <c r="AJ28" s="173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</row>
    <row r="29" spans="1:61" ht="24.75" hidden="1" customHeight="1" x14ac:dyDescent="0.25">
      <c r="H29" s="170" t="s">
        <v>223</v>
      </c>
      <c r="I29" s="170" t="s">
        <v>224</v>
      </c>
      <c r="AB29" s="210" t="s">
        <v>18</v>
      </c>
      <c r="AC29" s="211" t="s">
        <v>19</v>
      </c>
      <c r="AD29" s="171"/>
      <c r="AE29" s="171"/>
      <c r="AG29" s="173"/>
      <c r="AH29" s="173"/>
      <c r="AK29" s="170" t="s">
        <v>223</v>
      </c>
      <c r="AL29" s="170" t="s">
        <v>224</v>
      </c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</row>
    <row r="30" spans="1:61" hidden="1" x14ac:dyDescent="0.25">
      <c r="D30" s="170" t="s">
        <v>221</v>
      </c>
      <c r="H30" s="371">
        <v>2535256775.75</v>
      </c>
      <c r="I30" s="371">
        <v>4700915130.0900002</v>
      </c>
      <c r="AB30" s="212" t="s">
        <v>20</v>
      </c>
      <c r="AC30" s="213" t="s">
        <v>21</v>
      </c>
      <c r="AD30" s="171"/>
      <c r="AE30" s="372">
        <f>+I30-1151043807-45625308-60043704-2342966-482697505</f>
        <v>2959161840.0900002</v>
      </c>
      <c r="AF30" s="371">
        <f>+H30/AE30</f>
        <v>0.85674826614852961</v>
      </c>
      <c r="AG30" s="173"/>
      <c r="AH30" s="173"/>
      <c r="AI30" s="170" t="s">
        <v>221</v>
      </c>
      <c r="AK30" s="371">
        <v>2535256775.75</v>
      </c>
      <c r="AL30" s="371">
        <v>4700915130.0900002</v>
      </c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</row>
    <row r="31" spans="1:61" ht="30" hidden="1" x14ac:dyDescent="0.25">
      <c r="D31" s="174" t="s">
        <v>222</v>
      </c>
      <c r="H31" s="371">
        <v>2631425823.75</v>
      </c>
      <c r="I31" s="371">
        <v>3249900862</v>
      </c>
      <c r="AB31" s="214" t="s">
        <v>22</v>
      </c>
      <c r="AC31" s="215" t="s">
        <v>23</v>
      </c>
      <c r="AD31" s="171"/>
      <c r="AE31" s="372">
        <f>+I31</f>
        <v>3249900862</v>
      </c>
      <c r="AF31" s="371">
        <f>+H31/AE31</f>
        <v>0.80969418314213182</v>
      </c>
      <c r="AG31" s="173"/>
      <c r="AH31" s="173"/>
      <c r="AI31" s="174" t="s">
        <v>222</v>
      </c>
      <c r="AJ31" s="174"/>
      <c r="AK31" s="371">
        <v>2631425823.75</v>
      </c>
      <c r="AL31" s="371">
        <v>3249900862</v>
      </c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</row>
    <row r="32" spans="1:61" hidden="1" x14ac:dyDescent="0.25">
      <c r="AL32" s="170"/>
    </row>
    <row r="33" spans="4:38" hidden="1" x14ac:dyDescent="0.25">
      <c r="D33" s="170" t="s">
        <v>225</v>
      </c>
      <c r="H33" s="371">
        <f>+H31-H30</f>
        <v>96169048</v>
      </c>
      <c r="I33" s="373">
        <f>+I30-I31</f>
        <v>1451014268.0900002</v>
      </c>
      <c r="AE33" s="371">
        <f>+AE31-AE30</f>
        <v>290739021.90999985</v>
      </c>
      <c r="AI33" s="170" t="s">
        <v>225</v>
      </c>
      <c r="AK33" s="371">
        <v>-96169048</v>
      </c>
      <c r="AL33" s="373">
        <v>1451014268.0900002</v>
      </c>
    </row>
    <row r="34" spans="4:38" hidden="1" x14ac:dyDescent="0.25">
      <c r="H34" s="378">
        <f>+H33/H30</f>
        <v>3.7932665803269768E-2</v>
      </c>
      <c r="I34" s="373"/>
      <c r="AE34" s="378">
        <f>+AE33/AE30</f>
        <v>9.8250463347809763E-2</v>
      </c>
      <c r="AK34" s="373"/>
      <c r="AL34" s="373"/>
    </row>
    <row r="35" spans="4:38" x14ac:dyDescent="0.25">
      <c r="H35" s="373"/>
      <c r="I35" s="373"/>
      <c r="AL35" s="170"/>
    </row>
    <row r="36" spans="4:38" x14ac:dyDescent="0.25">
      <c r="H36" s="374"/>
      <c r="I36" s="374"/>
      <c r="AK36" s="374"/>
      <c r="AL36" s="374"/>
    </row>
    <row r="37" spans="4:38" ht="38.25" customHeight="1" x14ac:dyDescent="0.25">
      <c r="H37" s="373"/>
      <c r="I37" s="373"/>
    </row>
  </sheetData>
  <mergeCells count="48">
    <mergeCell ref="AI21:AI22"/>
    <mergeCell ref="AI12:AI13"/>
    <mergeCell ref="AI14:AI15"/>
    <mergeCell ref="AJ12:AJ13"/>
    <mergeCell ref="AJ14:AJ15"/>
    <mergeCell ref="AJ21:AJ22"/>
    <mergeCell ref="AK21:AK22"/>
    <mergeCell ref="B21:B22"/>
    <mergeCell ref="A25:A26"/>
    <mergeCell ref="AL14:AL15"/>
    <mergeCell ref="AK14:AK15"/>
    <mergeCell ref="AH14:AH15"/>
    <mergeCell ref="A20:A21"/>
    <mergeCell ref="A23:A24"/>
    <mergeCell ref="A18:A19"/>
    <mergeCell ref="AL21:AL22"/>
    <mergeCell ref="H21:H22"/>
    <mergeCell ref="D21:D22"/>
    <mergeCell ref="C21:C22"/>
    <mergeCell ref="I21:I22"/>
    <mergeCell ref="AG21:AG22"/>
    <mergeCell ref="AF21:AF22"/>
    <mergeCell ref="B18:B19"/>
    <mergeCell ref="D12:D13"/>
    <mergeCell ref="AH21:AH22"/>
    <mergeCell ref="I14:I15"/>
    <mergeCell ref="H14:H15"/>
    <mergeCell ref="D14:D15"/>
    <mergeCell ref="AE21:AE22"/>
    <mergeCell ref="C14:C15"/>
    <mergeCell ref="AG14:AG15"/>
    <mergeCell ref="AF14:AF15"/>
    <mergeCell ref="AE14:AE15"/>
    <mergeCell ref="A1:AL2"/>
    <mergeCell ref="AL12:AL13"/>
    <mergeCell ref="AK12:AK13"/>
    <mergeCell ref="AH12:AH13"/>
    <mergeCell ref="AG12:AG13"/>
    <mergeCell ref="AF12:AF13"/>
    <mergeCell ref="AE12:AE13"/>
    <mergeCell ref="I12:I13"/>
    <mergeCell ref="H12:H13"/>
    <mergeCell ref="B12:B16"/>
    <mergeCell ref="C4:D4"/>
    <mergeCell ref="B8:B9"/>
    <mergeCell ref="B5:B7"/>
    <mergeCell ref="A6:A9"/>
    <mergeCell ref="C12:C13"/>
  </mergeCells>
  <dataValidations disablePrompts="1" count="2">
    <dataValidation type="list" allowBlank="1" showInputMessage="1" showErrorMessage="1" sqref="K5:K26">
      <formula1>"Sube,Baja,Tendencia Media"</formula1>
    </dataValidation>
    <dataValidation type="list" allowBlank="1" showInputMessage="1" showErrorMessage="1" sqref="AB5:AB26">
      <formula1>"Si,No"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Y15 Y12" evalError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Estratégico'!M21:X21</xm:f>
              <xm:sqref>Z21</xm:sqref>
            </x14:sparkline>
            <x14:sparkline>
              <xm:f>'Tablero Estratégico'!M22:X22</xm:f>
              <xm:sqref>Z22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Estratégico'!M11:X11</xm:f>
              <xm:sqref>Z11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Estratégico'!M6:X6</xm:f>
              <xm:sqref>Z6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Estratégico'!M5:X5</xm:f>
              <xm:sqref>Z5</xm:sqref>
            </x14:sparkline>
            <x14:sparkline>
              <xm:f>'Tablero Estratégico'!M7:X7</xm:f>
              <xm:sqref>Z7</xm:sqref>
            </x14:sparkline>
            <x14:sparkline>
              <xm:f>'Tablero Estratégico'!M10:X10</xm:f>
              <xm:sqref>Z10</xm:sqref>
            </x14:sparkline>
            <x14:sparkline>
              <xm:f>'Tablero Estratégico'!M24:X24</xm:f>
              <xm:sqref>Z24</xm:sqref>
            </x14:sparkline>
            <x14:sparkline>
              <xm:f>'Tablero Estratégico'!M8:X8</xm:f>
              <xm:sqref>Z8</xm:sqref>
            </x14:sparkline>
            <x14:sparkline>
              <xm:f>'Tablero Estratégico'!M9:X9</xm:f>
              <xm:sqref>Z9</xm:sqref>
            </x14:sparkline>
            <x14:sparkline>
              <xm:f>'Tablero Estratégico'!M12:X12</xm:f>
              <xm:sqref>Z12</xm:sqref>
            </x14:sparkline>
            <x14:sparkline>
              <xm:f>'Tablero Estratégico'!M13:X13</xm:f>
              <xm:sqref>Z13</xm:sqref>
            </x14:sparkline>
            <x14:sparkline>
              <xm:f>'Tablero Estratégico'!M14:X14</xm:f>
              <xm:sqref>Z14</xm:sqref>
            </x14:sparkline>
            <x14:sparkline>
              <xm:f>'Tablero Estratégico'!M15:X15</xm:f>
              <xm:sqref>Z15</xm:sqref>
            </x14:sparkline>
            <x14:sparkline>
              <xm:f>'Tablero Estratégico'!M16:X16</xm:f>
              <xm:sqref>Z16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Estratégico'!M17:X17</xm:f>
              <xm:sqref>Z17</xm:sqref>
            </x14:sparkline>
            <x14:sparkline>
              <xm:f>'Tablero Estratégico'!M26:X26</xm:f>
              <xm:sqref>Z26</xm:sqref>
            </x14:sparkline>
            <x14:sparkline>
              <xm:f>'Tablero Estratégico'!M18:X18</xm:f>
              <xm:sqref>Z18</xm:sqref>
            </x14:sparkline>
            <x14:sparkline>
              <xm:f>'Tablero Estratégico'!M19:X19</xm:f>
              <xm:sqref>Z19</xm:sqref>
            </x14:sparkline>
            <x14:sparkline>
              <xm:f>'Tablero Estratégico'!M20:X20</xm:f>
              <xm:sqref>Z20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Estratégico'!M25:X25</xm:f>
              <xm:sqref>Z25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Estratégico'!M23:X23</xm:f>
              <xm:sqref>Z23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RowHeight="15" outlineLevelCol="1" x14ac:dyDescent="0.25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7109375" customWidth="1" outlineLevel="1"/>
    <col min="24" max="25" width="7.71093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7109375" customWidth="1"/>
    <col min="31" max="31" width="14.140625" customWidth="1"/>
    <col min="32" max="32" width="16.28515625" customWidth="1"/>
    <col min="33" max="33" width="14.42578125" customWidth="1"/>
    <col min="34" max="34" width="13.140625" customWidth="1"/>
    <col min="35" max="35" width="14.71093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 x14ac:dyDescent="0.25">
      <c r="A1" s="467" t="s">
        <v>47</v>
      </c>
      <c r="B1" s="467"/>
      <c r="C1" s="468"/>
      <c r="D1" s="469" t="s">
        <v>56</v>
      </c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1"/>
      <c r="AD1" s="478" t="s">
        <v>31</v>
      </c>
      <c r="AE1" s="478"/>
    </row>
    <row r="2" spans="1:58" ht="15" customHeight="1" x14ac:dyDescent="0.25">
      <c r="A2" s="468"/>
      <c r="B2" s="468"/>
      <c r="C2" s="468"/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4"/>
      <c r="AD2" s="478"/>
      <c r="AE2" s="478"/>
    </row>
    <row r="3" spans="1:58" ht="15" customHeight="1" x14ac:dyDescent="0.25">
      <c r="A3" s="468"/>
      <c r="B3" s="468"/>
      <c r="C3" s="468"/>
      <c r="D3" s="475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7"/>
      <c r="AD3" s="478"/>
      <c r="AE3" s="478"/>
    </row>
    <row r="4" spans="1:58" ht="15" customHeight="1" x14ac:dyDescent="0.25">
      <c r="A4" s="468"/>
      <c r="B4" s="468"/>
      <c r="C4" s="468"/>
      <c r="D4" s="479" t="s">
        <v>44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1"/>
      <c r="AD4" s="485" t="s">
        <v>32</v>
      </c>
      <c r="AE4" s="485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 x14ac:dyDescent="0.25">
      <c r="A5" s="468"/>
      <c r="B5" s="468"/>
      <c r="C5" s="468"/>
      <c r="D5" s="482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83"/>
      <c r="AC5" s="484"/>
      <c r="AD5" s="486">
        <v>42731</v>
      </c>
      <c r="AE5" s="486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 x14ac:dyDescent="0.25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 x14ac:dyDescent="0.3">
      <c r="A7" s="114" t="s">
        <v>1</v>
      </c>
      <c r="B7" s="114"/>
      <c r="C7" s="114" t="s">
        <v>2</v>
      </c>
      <c r="D7" s="114" t="s">
        <v>50</v>
      </c>
      <c r="E7" s="114" t="s">
        <v>57</v>
      </c>
      <c r="F7" s="114" t="s">
        <v>58</v>
      </c>
      <c r="G7" s="114" t="s">
        <v>3</v>
      </c>
      <c r="H7" s="114" t="s">
        <v>62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54</v>
      </c>
      <c r="AB7" s="114" t="s">
        <v>60</v>
      </c>
      <c r="AC7" s="114" t="s">
        <v>9</v>
      </c>
      <c r="AD7" s="166" t="s">
        <v>11</v>
      </c>
      <c r="AE7" s="166" t="s">
        <v>12</v>
      </c>
      <c r="AF7" s="166" t="s">
        <v>55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 x14ac:dyDescent="0.25">
      <c r="A8" s="464" t="s">
        <v>75</v>
      </c>
      <c r="B8" s="163" t="e">
        <f>+#REF!+1</f>
        <v>#REF!</v>
      </c>
      <c r="C8" s="152" t="s">
        <v>109</v>
      </c>
      <c r="D8" s="126" t="s">
        <v>112</v>
      </c>
      <c r="E8" s="127"/>
      <c r="F8" s="127"/>
      <c r="G8" s="128" t="s">
        <v>102</v>
      </c>
      <c r="H8" s="128" t="s">
        <v>104</v>
      </c>
      <c r="I8" s="129" t="s">
        <v>108</v>
      </c>
      <c r="J8" s="130" t="s">
        <v>100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 x14ac:dyDescent="0.25">
      <c r="A9" s="465"/>
      <c r="B9" s="108" t="e">
        <f t="shared" ref="B9:B16" si="2">+B8+1</f>
        <v>#REF!</v>
      </c>
      <c r="C9" s="105" t="s">
        <v>110</v>
      </c>
      <c r="D9" s="106" t="s">
        <v>113</v>
      </c>
      <c r="E9" s="61"/>
      <c r="F9" s="61"/>
      <c r="G9" s="16" t="s">
        <v>101</v>
      </c>
      <c r="H9" s="16" t="s">
        <v>105</v>
      </c>
      <c r="I9" s="18" t="s">
        <v>108</v>
      </c>
      <c r="J9" s="104" t="s">
        <v>100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 x14ac:dyDescent="0.3">
      <c r="A10" s="466"/>
      <c r="B10" s="164" t="e">
        <f t="shared" si="2"/>
        <v>#REF!</v>
      </c>
      <c r="C10" s="153" t="s">
        <v>111</v>
      </c>
      <c r="D10" s="140" t="s">
        <v>114</v>
      </c>
      <c r="E10" s="150"/>
      <c r="F10" s="150"/>
      <c r="G10" s="141" t="s">
        <v>103</v>
      </c>
      <c r="H10" s="141" t="s">
        <v>106</v>
      </c>
      <c r="I10" s="142" t="s">
        <v>107</v>
      </c>
      <c r="J10" s="143" t="s">
        <v>100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 x14ac:dyDescent="0.25">
      <c r="A11" s="463" t="s">
        <v>76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 x14ac:dyDescent="0.25">
      <c r="A12" s="463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 x14ac:dyDescent="0.25">
      <c r="A13" s="463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 x14ac:dyDescent="0.25">
      <c r="A14" s="463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 x14ac:dyDescent="0.25">
      <c r="A15" s="463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 x14ac:dyDescent="0.25">
      <c r="A16" s="463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 x14ac:dyDescent="0.3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 x14ac:dyDescent="0.25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 x14ac:dyDescent="0.3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 x14ac:dyDescent="0.25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 x14ac:dyDescent="0.25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 x14ac:dyDescent="0.25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 x14ac:dyDescent="0.25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" workbookViewId="0">
      <selection activeCell="L46" sqref="L46"/>
    </sheetView>
  </sheetViews>
  <sheetFormatPr baseColWidth="10" defaultRowHeight="15" x14ac:dyDescent="0.25"/>
  <cols>
    <col min="1" max="1" width="3.140625" customWidth="1"/>
    <col min="2" max="2" width="14.7109375" customWidth="1"/>
    <col min="3" max="3" width="20.140625" customWidth="1"/>
    <col min="4" max="4" width="14.28515625" customWidth="1"/>
    <col min="5" max="5" width="17.28515625" customWidth="1"/>
    <col min="6" max="6" width="14.42578125" customWidth="1"/>
    <col min="7" max="7" width="15" customWidth="1"/>
    <col min="8" max="8" width="15.7109375" customWidth="1"/>
    <col min="9" max="9" width="21.42578125" customWidth="1"/>
    <col min="10" max="10" width="14.42578125" customWidth="1"/>
    <col min="11" max="11" width="20.7109375" customWidth="1"/>
    <col min="12" max="12" width="13.7109375" customWidth="1"/>
  </cols>
  <sheetData>
    <row r="1" spans="2:12" ht="24" customHeight="1" x14ac:dyDescent="0.25">
      <c r="B1" s="530" t="s">
        <v>47</v>
      </c>
      <c r="C1" s="531"/>
      <c r="D1" s="534" t="s">
        <v>0</v>
      </c>
      <c r="E1" s="535"/>
      <c r="F1" s="535"/>
      <c r="G1" s="535"/>
      <c r="H1" s="535"/>
      <c r="I1" s="536"/>
      <c r="J1" s="543" t="s">
        <v>31</v>
      </c>
      <c r="K1" s="544"/>
    </row>
    <row r="2" spans="2:12" ht="15" customHeight="1" x14ac:dyDescent="0.25">
      <c r="B2" s="532"/>
      <c r="C2" s="533"/>
      <c r="D2" s="537"/>
      <c r="E2" s="538"/>
      <c r="F2" s="538"/>
      <c r="G2" s="538"/>
      <c r="H2" s="538"/>
      <c r="I2" s="539"/>
      <c r="J2" s="545"/>
      <c r="K2" s="546"/>
    </row>
    <row r="3" spans="2:12" ht="15" customHeight="1" x14ac:dyDescent="0.25">
      <c r="B3" s="532"/>
      <c r="C3" s="533"/>
      <c r="D3" s="540"/>
      <c r="E3" s="541"/>
      <c r="F3" s="541"/>
      <c r="G3" s="541"/>
      <c r="H3" s="541"/>
      <c r="I3" s="542"/>
      <c r="J3" s="545"/>
      <c r="K3" s="546"/>
    </row>
    <row r="4" spans="2:12" ht="15" customHeight="1" x14ac:dyDescent="0.25">
      <c r="B4" s="532"/>
      <c r="C4" s="533"/>
      <c r="D4" s="547" t="s">
        <v>44</v>
      </c>
      <c r="E4" s="547"/>
      <c r="F4" s="547"/>
      <c r="G4" s="547"/>
      <c r="H4" s="547"/>
      <c r="I4" s="547"/>
      <c r="J4" s="549" t="s">
        <v>32</v>
      </c>
      <c r="K4" s="550"/>
    </row>
    <row r="5" spans="2:12" ht="15.75" customHeight="1" thickBot="1" x14ac:dyDescent="0.3">
      <c r="B5" s="532"/>
      <c r="C5" s="533"/>
      <c r="D5" s="548"/>
      <c r="E5" s="548"/>
      <c r="F5" s="548"/>
      <c r="G5" s="548"/>
      <c r="H5" s="548"/>
      <c r="I5" s="548"/>
      <c r="J5" s="551">
        <v>42664</v>
      </c>
      <c r="K5" s="552"/>
    </row>
    <row r="6" spans="2:12" ht="15.75" thickBot="1" x14ac:dyDescent="0.3">
      <c r="B6" s="487"/>
      <c r="C6" s="488"/>
      <c r="D6" s="488"/>
      <c r="E6" s="488"/>
      <c r="F6" s="488"/>
      <c r="G6" s="488"/>
      <c r="H6" s="488"/>
      <c r="I6" s="489"/>
      <c r="J6" s="507"/>
      <c r="K6" s="508"/>
      <c r="L6" s="4"/>
    </row>
    <row r="7" spans="2:12" ht="48" x14ac:dyDescent="0.25">
      <c r="B7" s="509" t="s">
        <v>33</v>
      </c>
      <c r="C7" s="512" t="s">
        <v>90</v>
      </c>
      <c r="D7" s="509" t="s">
        <v>34</v>
      </c>
      <c r="E7" s="82" t="s">
        <v>61</v>
      </c>
      <c r="F7" s="509" t="s">
        <v>52</v>
      </c>
      <c r="G7" s="512" t="s">
        <v>51</v>
      </c>
      <c r="H7" s="509" t="s">
        <v>35</v>
      </c>
      <c r="I7" s="83" t="s">
        <v>63</v>
      </c>
      <c r="J7" s="509" t="s">
        <v>36</v>
      </c>
      <c r="K7" s="88"/>
      <c r="L7" s="5"/>
    </row>
    <row r="8" spans="2:12" ht="60" x14ac:dyDescent="0.25">
      <c r="B8" s="510"/>
      <c r="C8" s="513"/>
      <c r="D8" s="510"/>
      <c r="E8" s="82" t="s">
        <v>83</v>
      </c>
      <c r="F8" s="510"/>
      <c r="G8" s="513"/>
      <c r="H8" s="510"/>
      <c r="I8" s="83" t="s">
        <v>82</v>
      </c>
      <c r="J8" s="510"/>
      <c r="K8" s="88"/>
      <c r="L8" s="5"/>
    </row>
    <row r="9" spans="2:12" ht="36" x14ac:dyDescent="0.25">
      <c r="B9" s="510"/>
      <c r="C9" s="513"/>
      <c r="D9" s="510"/>
      <c r="E9" s="82" t="s">
        <v>68</v>
      </c>
      <c r="F9" s="510"/>
      <c r="G9" s="513"/>
      <c r="H9" s="510"/>
      <c r="I9" s="83" t="s">
        <v>66</v>
      </c>
      <c r="J9" s="510"/>
      <c r="K9" s="88"/>
      <c r="L9" s="5"/>
    </row>
    <row r="10" spans="2:12" ht="48" x14ac:dyDescent="0.25">
      <c r="B10" s="510"/>
      <c r="C10" s="513"/>
      <c r="D10" s="510"/>
      <c r="E10" s="82" t="s">
        <v>69</v>
      </c>
      <c r="F10" s="510"/>
      <c r="G10" s="513"/>
      <c r="H10" s="510"/>
      <c r="I10" s="83" t="s">
        <v>67</v>
      </c>
      <c r="J10" s="510"/>
      <c r="K10" s="88"/>
      <c r="L10" s="5"/>
    </row>
    <row r="11" spans="2:12" ht="36" x14ac:dyDescent="0.25">
      <c r="B11" s="510"/>
      <c r="C11" s="513"/>
      <c r="D11" s="510"/>
      <c r="E11" s="82" t="s">
        <v>84</v>
      </c>
      <c r="F11" s="510"/>
      <c r="G11" s="513"/>
      <c r="H11" s="510"/>
      <c r="I11" s="83" t="s">
        <v>85</v>
      </c>
      <c r="J11" s="510"/>
      <c r="K11" s="88"/>
      <c r="L11" s="5"/>
    </row>
    <row r="12" spans="2:12" ht="48.75" thickBot="1" x14ac:dyDescent="0.3">
      <c r="B12" s="511"/>
      <c r="C12" s="514"/>
      <c r="D12" s="510"/>
      <c r="E12" s="82" t="s">
        <v>70</v>
      </c>
      <c r="F12" s="510"/>
      <c r="G12" s="513"/>
      <c r="H12" s="510"/>
      <c r="I12" s="83" t="s">
        <v>64</v>
      </c>
      <c r="J12" s="510"/>
      <c r="K12" s="88"/>
      <c r="L12" s="6"/>
    </row>
    <row r="13" spans="2:12" ht="24.75" thickBot="1" x14ac:dyDescent="0.3">
      <c r="B13" s="85" t="s">
        <v>37</v>
      </c>
      <c r="C13" s="84"/>
      <c r="D13" s="510"/>
      <c r="E13" s="82" t="s">
        <v>71</v>
      </c>
      <c r="F13" s="510"/>
      <c r="G13" s="513"/>
      <c r="H13" s="510"/>
      <c r="I13" s="83" t="s">
        <v>65</v>
      </c>
      <c r="J13" s="510"/>
      <c r="K13" s="88"/>
      <c r="L13" s="6"/>
    </row>
    <row r="14" spans="2:12" ht="48" customHeight="1" thickBot="1" x14ac:dyDescent="0.3">
      <c r="B14" s="85" t="s">
        <v>38</v>
      </c>
      <c r="C14" s="84"/>
      <c r="D14" s="510"/>
      <c r="E14" s="82" t="s">
        <v>89</v>
      </c>
      <c r="F14" s="510"/>
      <c r="G14" s="513"/>
      <c r="H14" s="510"/>
      <c r="I14" s="83" t="s">
        <v>87</v>
      </c>
      <c r="J14" s="510"/>
      <c r="K14" s="88"/>
      <c r="L14" s="6"/>
    </row>
    <row r="15" spans="2:12" ht="42.95" customHeight="1" thickBot="1" x14ac:dyDescent="0.3">
      <c r="B15" s="86" t="s">
        <v>39</v>
      </c>
      <c r="C15" s="87">
        <v>42734</v>
      </c>
      <c r="D15" s="511"/>
      <c r="E15" s="82" t="s">
        <v>88</v>
      </c>
      <c r="F15" s="511"/>
      <c r="G15" s="515"/>
      <c r="H15" s="511"/>
      <c r="I15" s="83" t="s">
        <v>86</v>
      </c>
      <c r="J15" s="511"/>
      <c r="K15" s="89"/>
      <c r="L15" s="6"/>
    </row>
    <row r="16" spans="2:12" ht="15.75" thickBot="1" x14ac:dyDescent="0.3">
      <c r="B16" s="519"/>
      <c r="C16" s="520"/>
      <c r="D16" s="520"/>
      <c r="E16" s="521"/>
      <c r="F16" s="522"/>
      <c r="G16" s="521"/>
      <c r="H16" s="522"/>
      <c r="I16" s="521"/>
      <c r="J16" s="522"/>
      <c r="K16" s="523"/>
    </row>
    <row r="17" spans="2:11" x14ac:dyDescent="0.25">
      <c r="B17" s="524" t="s">
        <v>40</v>
      </c>
      <c r="C17" s="42" t="s">
        <v>91</v>
      </c>
      <c r="D17" s="33">
        <v>0.1</v>
      </c>
      <c r="E17" s="524" t="s">
        <v>41</v>
      </c>
      <c r="F17" s="34"/>
      <c r="G17" s="527" t="s">
        <v>42</v>
      </c>
      <c r="H17" s="35"/>
      <c r="I17" s="527" t="s">
        <v>45</v>
      </c>
      <c r="J17" s="90"/>
      <c r="K17" s="94" t="s">
        <v>43</v>
      </c>
    </row>
    <row r="18" spans="2:11" x14ac:dyDescent="0.25">
      <c r="B18" s="525"/>
      <c r="C18" s="43" t="s">
        <v>92</v>
      </c>
      <c r="D18" s="36">
        <v>0.1</v>
      </c>
      <c r="E18" s="525"/>
      <c r="F18" s="37"/>
      <c r="G18" s="528"/>
      <c r="H18" s="38"/>
      <c r="I18" s="528"/>
      <c r="J18" s="91"/>
      <c r="K18" s="95" t="s">
        <v>43</v>
      </c>
    </row>
    <row r="19" spans="2:11" x14ac:dyDescent="0.25">
      <c r="B19" s="525"/>
      <c r="C19" s="43" t="s">
        <v>93</v>
      </c>
      <c r="D19" s="36">
        <v>0.1</v>
      </c>
      <c r="E19" s="525"/>
      <c r="F19" s="37"/>
      <c r="G19" s="528"/>
      <c r="H19" s="38"/>
      <c r="I19" s="528"/>
      <c r="J19" s="91"/>
      <c r="K19" s="95" t="s">
        <v>43</v>
      </c>
    </row>
    <row r="20" spans="2:11" x14ac:dyDescent="0.25">
      <c r="B20" s="525"/>
      <c r="C20" s="43" t="s">
        <v>94</v>
      </c>
      <c r="D20" s="36">
        <v>0.1</v>
      </c>
      <c r="E20" s="525"/>
      <c r="F20" s="37"/>
      <c r="G20" s="528"/>
      <c r="H20" s="38"/>
      <c r="I20" s="528"/>
      <c r="J20" s="91"/>
      <c r="K20" s="95" t="s">
        <v>43</v>
      </c>
    </row>
    <row r="21" spans="2:11" x14ac:dyDescent="0.25">
      <c r="B21" s="525"/>
      <c r="C21" s="43" t="s">
        <v>95</v>
      </c>
      <c r="D21" s="36">
        <v>0.1</v>
      </c>
      <c r="E21" s="525"/>
      <c r="F21" s="37"/>
      <c r="G21" s="528"/>
      <c r="H21" s="38"/>
      <c r="I21" s="528"/>
      <c r="J21" s="91"/>
      <c r="K21" s="95" t="s">
        <v>43</v>
      </c>
    </row>
    <row r="22" spans="2:11" x14ac:dyDescent="0.25">
      <c r="B22" s="525"/>
      <c r="C22" s="43" t="s">
        <v>96</v>
      </c>
      <c r="D22" s="36">
        <v>0.1</v>
      </c>
      <c r="E22" s="525"/>
      <c r="F22" s="37"/>
      <c r="G22" s="528"/>
      <c r="H22" s="38"/>
      <c r="I22" s="528"/>
      <c r="J22" s="91"/>
      <c r="K22" s="95" t="s">
        <v>43</v>
      </c>
    </row>
    <row r="23" spans="2:11" x14ac:dyDescent="0.25">
      <c r="B23" s="525"/>
      <c r="C23" s="43" t="s">
        <v>97</v>
      </c>
      <c r="D23" s="36">
        <v>0.1</v>
      </c>
      <c r="E23" s="525"/>
      <c r="F23" s="37"/>
      <c r="G23" s="528"/>
      <c r="H23" s="38"/>
      <c r="I23" s="528"/>
      <c r="J23" s="91"/>
      <c r="K23" s="95" t="s">
        <v>43</v>
      </c>
    </row>
    <row r="24" spans="2:11" x14ac:dyDescent="0.25">
      <c r="B24" s="525"/>
      <c r="C24" s="43" t="s">
        <v>98</v>
      </c>
      <c r="D24" s="36">
        <v>0.1</v>
      </c>
      <c r="E24" s="525"/>
      <c r="F24" s="37"/>
      <c r="G24" s="528"/>
      <c r="H24" s="38"/>
      <c r="I24" s="528"/>
      <c r="J24" s="91"/>
      <c r="K24" s="95" t="s">
        <v>43</v>
      </c>
    </row>
    <row r="25" spans="2:11" ht="15.75" thickBot="1" x14ac:dyDescent="0.3">
      <c r="B25" s="526"/>
      <c r="C25" s="44" t="s">
        <v>99</v>
      </c>
      <c r="D25" s="39">
        <v>0.1</v>
      </c>
      <c r="E25" s="526"/>
      <c r="F25" s="40"/>
      <c r="G25" s="529"/>
      <c r="H25" s="41"/>
      <c r="I25" s="529"/>
      <c r="J25" s="92"/>
      <c r="K25" s="96" t="s">
        <v>43</v>
      </c>
    </row>
    <row r="26" spans="2:11" s="8" customFormat="1" x14ac:dyDescent="0.25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38.25" x14ac:dyDescent="0.25">
      <c r="B27" s="75" t="s">
        <v>24</v>
      </c>
      <c r="C27" s="75" t="s">
        <v>25</v>
      </c>
      <c r="D27" s="74" t="s">
        <v>26</v>
      </c>
      <c r="E27" s="75" t="s">
        <v>61</v>
      </c>
      <c r="F27" s="75" t="s">
        <v>4</v>
      </c>
      <c r="G27" s="75" t="s">
        <v>53</v>
      </c>
      <c r="H27" s="14"/>
      <c r="I27" s="14"/>
      <c r="J27" s="13"/>
      <c r="K27" s="13"/>
    </row>
    <row r="28" spans="2:11" x14ac:dyDescent="0.25">
      <c r="B28" s="12">
        <v>42736</v>
      </c>
      <c r="C28" s="11">
        <v>102</v>
      </c>
      <c r="D28" s="10">
        <f>'Tablero Estratégico'!$AC$27</f>
        <v>0</v>
      </c>
      <c r="E28" s="102" t="str">
        <f>IF(ISERROR(C28/D28)=TRUE,"Sin datos",C28/D28)</f>
        <v>Sin datos</v>
      </c>
      <c r="F28" s="3">
        <f>$D$17</f>
        <v>0.1</v>
      </c>
      <c r="G28" s="62" t="s">
        <v>59</v>
      </c>
    </row>
    <row r="29" spans="2:11" x14ac:dyDescent="0.25">
      <c r="B29" s="12">
        <v>42767</v>
      </c>
      <c r="C29" s="11">
        <v>80</v>
      </c>
      <c r="D29" s="10">
        <f>'Tablero Estratégico'!$AC$27</f>
        <v>0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 x14ac:dyDescent="0.25">
      <c r="B30" s="12">
        <v>42795</v>
      </c>
      <c r="C30" s="11">
        <v>50</v>
      </c>
      <c r="D30" s="10">
        <f>'Tablero Estratégico'!$AC$27</f>
        <v>0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 x14ac:dyDescent="0.25">
      <c r="B31" s="12">
        <v>42826</v>
      </c>
      <c r="C31" s="11">
        <v>30</v>
      </c>
      <c r="D31" s="10">
        <f>'Tablero Estratégico'!$AC$27</f>
        <v>0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 x14ac:dyDescent="0.25">
      <c r="B32" s="12">
        <v>42856</v>
      </c>
      <c r="C32" s="11">
        <v>60</v>
      </c>
      <c r="D32" s="10">
        <f>'Tablero Estratégico'!$AC$27</f>
        <v>0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 x14ac:dyDescent="0.25">
      <c r="B33" s="12">
        <v>42887</v>
      </c>
      <c r="C33" s="11">
        <v>100</v>
      </c>
      <c r="D33" s="10">
        <f>'Tablero Estratégico'!$AC$27</f>
        <v>0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 x14ac:dyDescent="0.25">
      <c r="B34" s="12">
        <v>42917</v>
      </c>
      <c r="C34" s="11">
        <v>30</v>
      </c>
      <c r="D34" s="10">
        <f>'Tablero Estratégico'!$AC$27</f>
        <v>0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 x14ac:dyDescent="0.25">
      <c r="B35" s="12">
        <v>42948</v>
      </c>
      <c r="C35" s="11">
        <v>90</v>
      </c>
      <c r="D35" s="10">
        <f>'Tablero Estratégico'!$AC$27</f>
        <v>0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 x14ac:dyDescent="0.25">
      <c r="B36" s="12">
        <v>42979</v>
      </c>
      <c r="C36" s="11">
        <v>80</v>
      </c>
      <c r="D36" s="10">
        <f>'Tablero Estratégico'!$AC$27</f>
        <v>0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 x14ac:dyDescent="0.25">
      <c r="B37" s="12">
        <v>43009</v>
      </c>
      <c r="C37" s="11">
        <v>100</v>
      </c>
      <c r="D37" s="10">
        <f>'Tablero Estratégico'!$AC$27</f>
        <v>0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 x14ac:dyDescent="0.25">
      <c r="B38" s="12">
        <v>43040</v>
      </c>
      <c r="C38" s="11">
        <v>102</v>
      </c>
      <c r="D38" s="10">
        <f>'Tablero Estratégico'!$AC$27</f>
        <v>0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 x14ac:dyDescent="0.3">
      <c r="B39" s="68">
        <v>43070</v>
      </c>
      <c r="C39" s="11">
        <f>COUNTIF(('Tablero Estratégico'!$AF$5:$AF$25),1)</f>
        <v>1</v>
      </c>
      <c r="D39" s="10">
        <f>'Tablero Estratégico'!$AC$27</f>
        <v>0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 x14ac:dyDescent="0.3">
      <c r="B40" s="516" t="s">
        <v>60</v>
      </c>
      <c r="C40" s="517"/>
      <c r="D40" s="518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 x14ac:dyDescent="0.25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 x14ac:dyDescent="0.25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5.75" thickBot="1" x14ac:dyDescent="0.3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 x14ac:dyDescent="0.3">
      <c r="A44" s="505"/>
      <c r="B44" s="487" t="s">
        <v>49</v>
      </c>
      <c r="C44" s="488"/>
      <c r="D44" s="488"/>
      <c r="E44" s="488"/>
      <c r="F44" s="488"/>
      <c r="G44" s="488"/>
      <c r="H44" s="488"/>
      <c r="I44" s="488"/>
      <c r="J44" s="488"/>
      <c r="K44" s="489"/>
    </row>
    <row r="45" spans="1:11" ht="15.75" thickBot="1" x14ac:dyDescent="0.3">
      <c r="A45" s="506"/>
      <c r="B45" s="12">
        <v>42736</v>
      </c>
      <c r="C45" s="490"/>
      <c r="D45" s="491"/>
      <c r="E45" s="491"/>
      <c r="F45" s="491"/>
      <c r="G45" s="491"/>
      <c r="H45" s="491"/>
      <c r="I45" s="491"/>
      <c r="J45" s="491"/>
      <c r="K45" s="492"/>
    </row>
    <row r="46" spans="1:11" ht="15.75" thickBot="1" x14ac:dyDescent="0.3">
      <c r="A46" s="7"/>
      <c r="B46" s="12">
        <v>42767</v>
      </c>
      <c r="C46" s="490"/>
      <c r="D46" s="491"/>
      <c r="E46" s="491"/>
      <c r="F46" s="491"/>
      <c r="G46" s="491"/>
      <c r="H46" s="491"/>
      <c r="I46" s="491"/>
      <c r="J46" s="491"/>
      <c r="K46" s="492"/>
    </row>
    <row r="47" spans="1:11" ht="15.75" thickBot="1" x14ac:dyDescent="0.3">
      <c r="A47" s="8"/>
      <c r="B47" s="12">
        <v>42795</v>
      </c>
      <c r="C47" s="490"/>
      <c r="D47" s="491"/>
      <c r="E47" s="491"/>
      <c r="F47" s="491"/>
      <c r="G47" s="491"/>
      <c r="H47" s="491"/>
      <c r="I47" s="491"/>
      <c r="J47" s="491"/>
      <c r="K47" s="492"/>
    </row>
    <row r="48" spans="1:11" ht="15.75" thickBot="1" x14ac:dyDescent="0.3">
      <c r="A48" s="8"/>
      <c r="B48" s="12">
        <v>42826</v>
      </c>
      <c r="C48" s="490"/>
      <c r="D48" s="491"/>
      <c r="E48" s="491"/>
      <c r="F48" s="491"/>
      <c r="G48" s="491"/>
      <c r="H48" s="491"/>
      <c r="I48" s="491"/>
      <c r="J48" s="491"/>
      <c r="K48" s="492"/>
    </row>
    <row r="49" spans="1:11" ht="15.75" thickBot="1" x14ac:dyDescent="0.3">
      <c r="A49" s="8"/>
      <c r="B49" s="12">
        <v>42856</v>
      </c>
      <c r="C49" s="490"/>
      <c r="D49" s="491"/>
      <c r="E49" s="491"/>
      <c r="F49" s="491"/>
      <c r="G49" s="491"/>
      <c r="H49" s="491"/>
      <c r="I49" s="491"/>
      <c r="J49" s="491"/>
      <c r="K49" s="492"/>
    </row>
    <row r="50" spans="1:11" ht="15.75" thickBot="1" x14ac:dyDescent="0.3">
      <c r="A50" s="8"/>
      <c r="B50" s="12">
        <v>42887</v>
      </c>
      <c r="C50" s="490"/>
      <c r="D50" s="491"/>
      <c r="E50" s="491"/>
      <c r="F50" s="491"/>
      <c r="G50" s="491"/>
      <c r="H50" s="491"/>
      <c r="I50" s="491"/>
      <c r="J50" s="491"/>
      <c r="K50" s="492"/>
    </row>
    <row r="51" spans="1:11" ht="15.75" thickBot="1" x14ac:dyDescent="0.3">
      <c r="B51" s="12">
        <v>42917</v>
      </c>
      <c r="C51" s="490"/>
      <c r="D51" s="491"/>
      <c r="E51" s="491"/>
      <c r="F51" s="491"/>
      <c r="G51" s="491"/>
      <c r="H51" s="491"/>
      <c r="I51" s="491"/>
      <c r="J51" s="491"/>
      <c r="K51" s="492"/>
    </row>
    <row r="52" spans="1:11" ht="15.75" thickBot="1" x14ac:dyDescent="0.3">
      <c r="B52" s="12">
        <v>42948</v>
      </c>
      <c r="C52" s="490"/>
      <c r="D52" s="491"/>
      <c r="E52" s="491"/>
      <c r="F52" s="491"/>
      <c r="G52" s="491"/>
      <c r="H52" s="491"/>
      <c r="I52" s="491"/>
      <c r="J52" s="491"/>
      <c r="K52" s="492"/>
    </row>
    <row r="53" spans="1:11" ht="15.75" thickBot="1" x14ac:dyDescent="0.3">
      <c r="B53" s="12">
        <v>42979</v>
      </c>
      <c r="C53" s="490"/>
      <c r="D53" s="491"/>
      <c r="E53" s="491"/>
      <c r="F53" s="491"/>
      <c r="G53" s="491"/>
      <c r="H53" s="491"/>
      <c r="I53" s="491"/>
      <c r="J53" s="491"/>
      <c r="K53" s="492"/>
    </row>
    <row r="54" spans="1:11" ht="15.75" thickBot="1" x14ac:dyDescent="0.3">
      <c r="B54" s="12">
        <v>43009</v>
      </c>
      <c r="C54" s="490"/>
      <c r="D54" s="491"/>
      <c r="E54" s="491"/>
      <c r="F54" s="491"/>
      <c r="G54" s="491"/>
      <c r="H54" s="491"/>
      <c r="I54" s="491"/>
      <c r="J54" s="491"/>
      <c r="K54" s="492"/>
    </row>
    <row r="55" spans="1:11" ht="15.75" thickBot="1" x14ac:dyDescent="0.3">
      <c r="B55" s="12">
        <v>43040</v>
      </c>
      <c r="C55" s="490"/>
      <c r="D55" s="491"/>
      <c r="E55" s="491"/>
      <c r="F55" s="491"/>
      <c r="G55" s="491"/>
      <c r="H55" s="491"/>
      <c r="I55" s="491"/>
      <c r="J55" s="491"/>
      <c r="K55" s="492"/>
    </row>
    <row r="56" spans="1:11" ht="15.75" thickBot="1" x14ac:dyDescent="0.3">
      <c r="B56" s="68">
        <v>43070</v>
      </c>
      <c r="C56" s="490"/>
      <c r="D56" s="491"/>
      <c r="E56" s="491"/>
      <c r="F56" s="491"/>
      <c r="G56" s="491"/>
      <c r="H56" s="491"/>
      <c r="I56" s="491"/>
      <c r="J56" s="491"/>
      <c r="K56" s="492"/>
    </row>
    <row r="57" spans="1:11" ht="15.75" thickBot="1" x14ac:dyDescent="0.3">
      <c r="B57" s="45" t="s">
        <v>46</v>
      </c>
      <c r="C57" s="487" t="s">
        <v>27</v>
      </c>
      <c r="D57" s="488"/>
      <c r="E57" s="488"/>
      <c r="F57" s="488"/>
      <c r="G57" s="489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 x14ac:dyDescent="0.25">
      <c r="B58" s="46"/>
      <c r="C58" s="496"/>
      <c r="D58" s="497"/>
      <c r="E58" s="497"/>
      <c r="F58" s="497"/>
      <c r="G58" s="498"/>
      <c r="H58" s="55"/>
      <c r="I58" s="58"/>
      <c r="J58" s="52"/>
      <c r="K58" s="49"/>
    </row>
    <row r="59" spans="1:11" x14ac:dyDescent="0.25">
      <c r="B59" s="47"/>
      <c r="C59" s="499"/>
      <c r="D59" s="500"/>
      <c r="E59" s="500"/>
      <c r="F59" s="500"/>
      <c r="G59" s="501"/>
      <c r="H59" s="56"/>
      <c r="I59" s="59"/>
      <c r="J59" s="53"/>
      <c r="K59" s="50"/>
    </row>
    <row r="60" spans="1:11" x14ac:dyDescent="0.25">
      <c r="B60" s="47"/>
      <c r="C60" s="499"/>
      <c r="D60" s="500"/>
      <c r="E60" s="500"/>
      <c r="F60" s="500"/>
      <c r="G60" s="501"/>
      <c r="H60" s="56"/>
      <c r="I60" s="59"/>
      <c r="J60" s="53"/>
      <c r="K60" s="50"/>
    </row>
    <row r="61" spans="1:11" x14ac:dyDescent="0.25">
      <c r="B61" s="47"/>
      <c r="C61" s="499"/>
      <c r="D61" s="500"/>
      <c r="E61" s="500"/>
      <c r="F61" s="500"/>
      <c r="G61" s="501"/>
      <c r="H61" s="56"/>
      <c r="I61" s="59"/>
      <c r="J61" s="53"/>
      <c r="K61" s="50"/>
    </row>
    <row r="62" spans="1:11" x14ac:dyDescent="0.25">
      <c r="B62" s="47"/>
      <c r="C62" s="499"/>
      <c r="D62" s="500"/>
      <c r="E62" s="500"/>
      <c r="F62" s="500"/>
      <c r="G62" s="501"/>
      <c r="H62" s="56"/>
      <c r="I62" s="59"/>
      <c r="J62" s="53"/>
      <c r="K62" s="50"/>
    </row>
    <row r="63" spans="1:11" x14ac:dyDescent="0.25">
      <c r="B63" s="47"/>
      <c r="C63" s="499"/>
      <c r="D63" s="500"/>
      <c r="E63" s="500"/>
      <c r="F63" s="500"/>
      <c r="G63" s="501"/>
      <c r="H63" s="56"/>
      <c r="I63" s="59"/>
      <c r="J63" s="53"/>
      <c r="K63" s="50"/>
    </row>
    <row r="64" spans="1:11" x14ac:dyDescent="0.25">
      <c r="B64" s="47"/>
      <c r="C64" s="499"/>
      <c r="D64" s="500"/>
      <c r="E64" s="500"/>
      <c r="F64" s="500"/>
      <c r="G64" s="501"/>
      <c r="H64" s="56"/>
      <c r="I64" s="59"/>
      <c r="J64" s="53"/>
      <c r="K64" s="50"/>
    </row>
    <row r="65" spans="2:11" x14ac:dyDescent="0.25">
      <c r="B65" s="47"/>
      <c r="C65" s="502"/>
      <c r="D65" s="503"/>
      <c r="E65" s="503"/>
      <c r="F65" s="503"/>
      <c r="G65" s="504"/>
      <c r="H65" s="56"/>
      <c r="I65" s="59"/>
      <c r="J65" s="53"/>
      <c r="K65" s="50"/>
    </row>
    <row r="66" spans="2:11" ht="15.75" thickBot="1" x14ac:dyDescent="0.3">
      <c r="B66" s="48"/>
      <c r="C66" s="493"/>
      <c r="D66" s="494"/>
      <c r="E66" s="494"/>
      <c r="F66" s="494"/>
      <c r="G66" s="495"/>
      <c r="H66" s="57"/>
      <c r="I66" s="60"/>
      <c r="J66" s="54"/>
      <c r="K66" s="51"/>
    </row>
    <row r="67" spans="2:11" x14ac:dyDescent="0.25">
      <c r="F67" s="15"/>
      <c r="G67" s="15"/>
      <c r="H67" s="15"/>
      <c r="I67" s="15"/>
      <c r="J67" s="15"/>
      <c r="K67" s="15"/>
    </row>
    <row r="68" spans="2:11" x14ac:dyDescent="0.25">
      <c r="F68" s="8"/>
      <c r="G68" s="8"/>
      <c r="H68" s="8"/>
      <c r="I68" s="8"/>
    </row>
    <row r="69" spans="2:11" x14ac:dyDescent="0.25">
      <c r="F69" s="8"/>
      <c r="G69" s="8"/>
      <c r="H69" s="8"/>
      <c r="I69" s="8"/>
    </row>
    <row r="70" spans="2:11" x14ac:dyDescent="0.25">
      <c r="F70" s="8"/>
      <c r="G70" s="8"/>
      <c r="H70" s="8"/>
      <c r="I70" s="8"/>
    </row>
    <row r="71" spans="2:11" x14ac:dyDescent="0.25">
      <c r="F71" s="8"/>
      <c r="G71" s="8"/>
      <c r="H71" s="8"/>
      <c r="I71" s="8"/>
    </row>
    <row r="72" spans="2:11" x14ac:dyDescent="0.25">
      <c r="B72" s="15"/>
      <c r="C72" s="15"/>
      <c r="D72" s="15"/>
      <c r="E72" s="15"/>
      <c r="F72" s="8"/>
      <c r="G72" s="8"/>
      <c r="H72" s="8"/>
      <c r="I72" s="8"/>
    </row>
    <row r="73" spans="2:11" x14ac:dyDescent="0.25">
      <c r="D73" s="9"/>
      <c r="E73" s="8"/>
      <c r="F73" s="8"/>
      <c r="G73" s="8"/>
      <c r="H73" s="8"/>
      <c r="I73" s="8"/>
    </row>
    <row r="74" spans="2:11" x14ac:dyDescent="0.25">
      <c r="D74" s="9"/>
      <c r="E74" s="8"/>
      <c r="F74" s="8"/>
      <c r="G74" s="8"/>
      <c r="H74" s="8"/>
      <c r="I74" s="8"/>
    </row>
    <row r="75" spans="2:11" x14ac:dyDescent="0.25">
      <c r="D75" s="9"/>
      <c r="E75" s="8"/>
      <c r="F75" s="8"/>
      <c r="G75" s="8"/>
      <c r="H75" s="8"/>
      <c r="I75" s="8"/>
    </row>
    <row r="76" spans="2:11" x14ac:dyDescent="0.25">
      <c r="D76" s="9"/>
      <c r="E76" s="8"/>
    </row>
    <row r="77" spans="2:11" x14ac:dyDescent="0.25">
      <c r="D77" s="9"/>
      <c r="E77" s="8"/>
    </row>
    <row r="78" spans="2:11" x14ac:dyDescent="0.25">
      <c r="D78" s="8"/>
      <c r="E78" s="8"/>
    </row>
    <row r="79" spans="2:11" x14ac:dyDescent="0.25">
      <c r="D79" s="8"/>
      <c r="E79" s="8"/>
    </row>
    <row r="80" spans="2:11" x14ac:dyDescent="0.25">
      <c r="D80" s="8"/>
      <c r="E80" s="8"/>
    </row>
  </sheetData>
  <mergeCells count="45">
    <mergeCell ref="B44:K44"/>
    <mergeCell ref="B1:C5"/>
    <mergeCell ref="D1:I3"/>
    <mergeCell ref="J1:K3"/>
    <mergeCell ref="D4:I5"/>
    <mergeCell ref="J4:K4"/>
    <mergeCell ref="J5:K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Tablero Estratégico</vt:lpstr>
      <vt:lpstr>Tablero Maestro (2)</vt:lpstr>
      <vt:lpstr>Hoja1</vt:lpstr>
      <vt:lpstr>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2017-04-20T17:01:16Z</dcterms:modified>
</cp:coreProperties>
</file>