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4000" windowHeight="9630" activeTab="1"/>
  </bookViews>
  <sheets>
    <sheet name="Inicio" sheetId="19" r:id="rId1"/>
    <sheet name="Tablero Estratégico" sheetId="8" r:id="rId2"/>
    <sheet name="Hoja1" sheetId="18" state="hidden" r:id="rId3"/>
    <sheet name="Hoja2" sheetId="17" state="hidden" r:id="rId4"/>
    <sheet name="Tablero Eficacia - Eficiencia" sheetId="12" state="hidden" r:id="rId5"/>
    <sheet name="Tablero Objeivos de Calidad" sheetId="13" state="hidden" r:id="rId6"/>
    <sheet name="Hoja3" sheetId="16" state="hidden" r:id="rId7"/>
    <sheet name="Hoja4" sheetId="14" state="hidden" r:id="rId8"/>
    <sheet name="Tablero Maestro (2)" sheetId="11" state="hidden" r:id="rId9"/>
    <sheet name="DE" sheetId="9" state="hidden" r:id="rId10"/>
  </sheets>
  <externalReferences>
    <externalReference r:id="rId11"/>
    <externalReference r:id="rId12"/>
  </externalReferences>
  <definedNames>
    <definedName name="_xlnm._FilterDatabase" localSheetId="4" hidden="1">'Tablero Eficacia - Eficiencia'!$A$7:$BL$54</definedName>
    <definedName name="_xlnm._FilterDatabase" localSheetId="1" hidden="1">'Tablero Estratégico'!$A$3:$BF$29</definedName>
    <definedName name="_xlnm.Print_Area" localSheetId="4">'Tablero Eficacia - Eficiencia'!$A$1:$AL$51</definedName>
    <definedName name="_xlnm.Print_Area" localSheetId="1">'Tablero Estratégico'!$A$1:$AF$29</definedName>
    <definedName name="_xlnm.Print_Area" localSheetId="5">'Tablero Objeivos de Calidad'!$C$3:$F$29</definedName>
    <definedName name="CUMPLIMIENTO_METAS" localSheetId="9">#REF!</definedName>
    <definedName name="CUMPLIMIENTO_METAS" localSheetId="8">#REF!</definedName>
    <definedName name="CUMPLIMIENTO_METAS">#REF!</definedName>
    <definedName name="Datos_Nutricional" localSheetId="9">#REF!</definedName>
    <definedName name="Datos_Nutricional" localSheetId="8">#REF!</definedName>
    <definedName name="Datos_Nutricional">#REF!</definedName>
    <definedName name="EFICACIA_DEL_SGC" localSheetId="9">#REF!</definedName>
    <definedName name="EFICACIA_DEL_SGC" localSheetId="8">#REF!</definedName>
    <definedName name="EFICACIA_DEL_SGC">#REF!</definedName>
    <definedName name="Tabla_de_datos" localSheetId="9">'[1]Cubrimiento Cupos'!#REF!</definedName>
    <definedName name="Tabla_de_datos" localSheetId="8">'[1]Cubrimiento Cupos'!#REF!</definedName>
    <definedName name="Tabla_de_datos">'[1]Cubrimiento Cupos'!#REF!</definedName>
    <definedName name="Tabla_Logros" localSheetId="9">'[1]Logros alcanzados'!#REF!</definedName>
    <definedName name="Tabla_Logros" localSheetId="8">'[1]Logros alcanzados'!#REF!</definedName>
    <definedName name="Tabla_Logros">'[1]Logros alcanzados'!#REF!</definedName>
    <definedName name="_xlnm.Print_Titles" localSheetId="1">'Tablero Estratégico'!$1:$5</definedName>
  </definedNames>
  <calcPr calcId="162913"/>
  <fileRecoveryPr autoRecover="0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1" i="19" l="1"/>
  <c r="AG29" i="8"/>
  <c r="B18" i="19"/>
  <c r="E13" i="19" l="1"/>
  <c r="E12" i="19"/>
  <c r="E6" i="19"/>
  <c r="E11" i="19"/>
  <c r="E10" i="19"/>
  <c r="E9" i="19"/>
  <c r="E8" i="19"/>
  <c r="E7" i="19"/>
  <c r="E5" i="19"/>
  <c r="B17" i="19"/>
  <c r="B13" i="19"/>
  <c r="B12" i="19"/>
  <c r="B16" i="19"/>
  <c r="B11" i="19"/>
  <c r="B10" i="19"/>
  <c r="B9" i="19"/>
  <c r="B8" i="19"/>
  <c r="B7" i="19"/>
  <c r="B6" i="19"/>
  <c r="B5" i="19"/>
  <c r="E14" i="19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E4" i="19" s="1"/>
  <c r="T26" i="8"/>
  <c r="B4" i="19" l="1"/>
  <c r="S10" i="8"/>
  <c r="R10" i="8"/>
  <c r="Q10" i="8"/>
  <c r="Q7" i="8" l="1"/>
  <c r="R7" i="8"/>
  <c r="G8" i="18" l="1"/>
  <c r="F8" i="18"/>
  <c r="F18" i="18"/>
  <c r="E18" i="1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G33" i="12" s="1"/>
  <c r="AB33" i="12"/>
  <c r="AJ29" i="12"/>
  <c r="G15" i="17"/>
  <c r="E15" i="17"/>
  <c r="G17" i="17"/>
  <c r="F15" i="17"/>
  <c r="F17" i="17" s="1"/>
  <c r="AJ30" i="12"/>
  <c r="L13" i="16"/>
  <c r="M13" i="16"/>
  <c r="H13" i="16"/>
  <c r="I12" i="16"/>
  <c r="I8" i="16"/>
  <c r="I9" i="16"/>
  <c r="I10" i="16"/>
  <c r="I11" i="16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 s="1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 s="1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 s="1"/>
  <c r="I40" i="12"/>
  <c r="E24" i="13" s="1"/>
  <c r="AB36" i="12"/>
  <c r="AG36" i="12" s="1"/>
  <c r="AD36" i="12"/>
  <c r="I33" i="12"/>
  <c r="AB19" i="12"/>
  <c r="AH19" i="12" s="1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 s="1"/>
  <c r="AE54" i="12"/>
  <c r="AF52" i="12"/>
  <c r="B50" i="12"/>
  <c r="AD48" i="12"/>
  <c r="AB48" i="12"/>
  <c r="AH48" i="12" s="1"/>
  <c r="AD47" i="12"/>
  <c r="AB47" i="12"/>
  <c r="AG47" i="12" s="1"/>
  <c r="B47" i="12"/>
  <c r="B48" i="12" s="1"/>
  <c r="B49" i="12" s="1"/>
  <c r="AD46" i="12"/>
  <c r="AB46" i="12"/>
  <c r="AH46" i="12" s="1"/>
  <c r="B46" i="12"/>
  <c r="AD44" i="12"/>
  <c r="AB44" i="12"/>
  <c r="AG44" i="12" s="1"/>
  <c r="AD43" i="12"/>
  <c r="AB43" i="12"/>
  <c r="AH43" i="12" s="1"/>
  <c r="AD42" i="12"/>
  <c r="AB42" i="12"/>
  <c r="AH42" i="12" s="1"/>
  <c r="AD41" i="12"/>
  <c r="AB41" i="12"/>
  <c r="AH41" i="12" s="1"/>
  <c r="AD40" i="12"/>
  <c r="AB40" i="12"/>
  <c r="AD39" i="12"/>
  <c r="AC39" i="12"/>
  <c r="AB39" i="12"/>
  <c r="AG39" i="12" s="1"/>
  <c r="AD38" i="12"/>
  <c r="AB38" i="12"/>
  <c r="AH38" i="12" s="1"/>
  <c r="AD37" i="12"/>
  <c r="AB37" i="12"/>
  <c r="AH37" i="12"/>
  <c r="AD35" i="12"/>
  <c r="AB35" i="12"/>
  <c r="AH35" i="12" s="1"/>
  <c r="AD33" i="12"/>
  <c r="B33" i="12"/>
  <c r="B35" i="12"/>
  <c r="AD32" i="12"/>
  <c r="AB32" i="12"/>
  <c r="AH32" i="12"/>
  <c r="AD31" i="12"/>
  <c r="AB31" i="12"/>
  <c r="AH31" i="12"/>
  <c r="AD30" i="12"/>
  <c r="AB30" i="12"/>
  <c r="AH30" i="12"/>
  <c r="AD29" i="12"/>
  <c r="AB29" i="12"/>
  <c r="AH29" i="12" s="1"/>
  <c r="AD27" i="12"/>
  <c r="AB27" i="12"/>
  <c r="AH27" i="12"/>
  <c r="AD26" i="12"/>
  <c r="AB26" i="12"/>
  <c r="AH26" i="12"/>
  <c r="B26" i="12"/>
  <c r="B27" i="12" s="1"/>
  <c r="B28" i="12" s="1"/>
  <c r="B29" i="12" s="1"/>
  <c r="B30" i="12" s="1"/>
  <c r="B31" i="12" s="1"/>
  <c r="B32" i="12" s="1"/>
  <c r="AD25" i="12"/>
  <c r="AB25" i="12"/>
  <c r="AD24" i="12"/>
  <c r="AB24" i="12"/>
  <c r="AH24" i="12"/>
  <c r="AD23" i="12"/>
  <c r="AB23" i="12"/>
  <c r="AH23" i="12"/>
  <c r="B23" i="12"/>
  <c r="B24" i="12" s="1"/>
  <c r="B25" i="12" s="1"/>
  <c r="AH22" i="12"/>
  <c r="AG22" i="12"/>
  <c r="AD20" i="12"/>
  <c r="AB20" i="12"/>
  <c r="AD18" i="12"/>
  <c r="AB18" i="12"/>
  <c r="AG18" i="12"/>
  <c r="AD17" i="12"/>
  <c r="AB17" i="12"/>
  <c r="AG17" i="12" s="1"/>
  <c r="AD16" i="12"/>
  <c r="AB16" i="12"/>
  <c r="AG16" i="12"/>
  <c r="AD14" i="12"/>
  <c r="AB14" i="12"/>
  <c r="AD13" i="12"/>
  <c r="AB13" i="12"/>
  <c r="AG13" i="12" s="1"/>
  <c r="AD12" i="12"/>
  <c r="AB12" i="12"/>
  <c r="AG12" i="12"/>
  <c r="AD11" i="12"/>
  <c r="AB11" i="12"/>
  <c r="AG11" i="12" s="1"/>
  <c r="AD10" i="12"/>
  <c r="AB10" i="12"/>
  <c r="AH10" i="12" s="1"/>
  <c r="AD9" i="12"/>
  <c r="AB9" i="12"/>
  <c r="AG9" i="12" s="1"/>
  <c r="AD8" i="12"/>
  <c r="AB8" i="12"/>
  <c r="AG8" i="12" s="1"/>
  <c r="B36" i="12"/>
  <c r="B37" i="12" s="1"/>
  <c r="B38" i="12" s="1"/>
  <c r="B39" i="12"/>
  <c r="B40" i="12" s="1"/>
  <c r="B41" i="12" s="1"/>
  <c r="B42" i="12"/>
  <c r="B43" i="12"/>
  <c r="B44" i="12" s="1"/>
  <c r="AH16" i="12"/>
  <c r="AH44" i="12"/>
  <c r="AG37" i="12"/>
  <c r="AH18" i="12"/>
  <c r="AH47" i="12"/>
  <c r="AG32" i="12"/>
  <c r="AG31" i="12"/>
  <c r="AG41" i="12"/>
  <c r="AH12" i="12"/>
  <c r="AG43" i="12"/>
  <c r="AG46" i="12"/>
  <c r="AH13" i="12"/>
  <c r="AG26" i="12"/>
  <c r="AG38" i="12"/>
  <c r="AG42" i="12"/>
  <c r="AG23" i="12"/>
  <c r="AG35" i="12"/>
  <c r="AG48" i="12"/>
  <c r="I49" i="12"/>
  <c r="AC19" i="11"/>
  <c r="AD17" i="11"/>
  <c r="AB16" i="11"/>
  <c r="Z16" i="11"/>
  <c r="AF16" i="11" s="1"/>
  <c r="AB15" i="11"/>
  <c r="Z15" i="11"/>
  <c r="AE15" i="11" s="1"/>
  <c r="AF15" i="11"/>
  <c r="AB14" i="11"/>
  <c r="Z14" i="11"/>
  <c r="AF14" i="11" s="1"/>
  <c r="AB13" i="11"/>
  <c r="Z13" i="11"/>
  <c r="AF13" i="11" s="1"/>
  <c r="AB12" i="11"/>
  <c r="Z12" i="11"/>
  <c r="AF12" i="11"/>
  <c r="AB11" i="11"/>
  <c r="Z11" i="11"/>
  <c r="AF11" i="11" s="1"/>
  <c r="AB10" i="11"/>
  <c r="Z10" i="11"/>
  <c r="AE10" i="11"/>
  <c r="AB9" i="11"/>
  <c r="Z9" i="11"/>
  <c r="AD19" i="11" s="1"/>
  <c r="AE19" i="11" s="1"/>
  <c r="AB8" i="11"/>
  <c r="Z8" i="11"/>
  <c r="AF8" i="11" s="1"/>
  <c r="B8" i="11"/>
  <c r="B9" i="11"/>
  <c r="B10" i="11" s="1"/>
  <c r="B11" i="11" s="1"/>
  <c r="B12" i="11" s="1"/>
  <c r="B13" i="11" s="1"/>
  <c r="B14" i="11" s="1"/>
  <c r="B15" i="11" s="1"/>
  <c r="B16" i="11" s="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E11" i="11"/>
  <c r="AF10" i="11"/>
  <c r="AE16" i="11"/>
  <c r="C39" i="9"/>
  <c r="AH17" i="12"/>
  <c r="D37" i="9"/>
  <c r="E37" i="9" s="1"/>
  <c r="AG27" i="12"/>
  <c r="AG10" i="12"/>
  <c r="AG24" i="12"/>
  <c r="AG30" i="12"/>
  <c r="AF54" i="12" l="1"/>
  <c r="AG54" i="12" s="1"/>
  <c r="AE8" i="11"/>
  <c r="AH11" i="12"/>
  <c r="AH36" i="12"/>
  <c r="I13" i="16"/>
  <c r="M14" i="16"/>
  <c r="AE13" i="11"/>
  <c r="AE14" i="11"/>
  <c r="AH8" i="12"/>
  <c r="AH9" i="12"/>
  <c r="AH33" i="12"/>
  <c r="AG40" i="12"/>
  <c r="AH40" i="12"/>
  <c r="AG25" i="12"/>
  <c r="AH25" i="12"/>
  <c r="D36" i="9"/>
  <c r="E36" i="9" s="1"/>
  <c r="G37" i="9" s="1"/>
  <c r="D29" i="9"/>
  <c r="E29" i="9" s="1"/>
  <c r="D30" i="9"/>
  <c r="E30" i="9" s="1"/>
  <c r="D35" i="9"/>
  <c r="E35" i="9" s="1"/>
  <c r="AE9" i="11"/>
  <c r="AE17" i="11" s="1"/>
  <c r="AG29" i="12"/>
  <c r="AH14" i="12"/>
  <c r="AH39" i="12"/>
  <c r="AG19" i="12"/>
  <c r="D28" i="9"/>
  <c r="E28" i="9" s="1"/>
  <c r="D34" i="9"/>
  <c r="E34" i="9" s="1"/>
  <c r="AG14" i="12"/>
  <c r="AF9" i="11"/>
  <c r="AF17" i="11" s="1"/>
  <c r="D38" i="9"/>
  <c r="E38" i="9" s="1"/>
  <c r="G38" i="9" s="1"/>
  <c r="D33" i="9"/>
  <c r="E33" i="9" s="1"/>
  <c r="D31" i="9"/>
  <c r="E31" i="9" s="1"/>
  <c r="D32" i="9"/>
  <c r="E32" i="9" s="1"/>
  <c r="D39" i="9"/>
  <c r="E39" i="9" s="1"/>
  <c r="AH52" i="12" l="1"/>
  <c r="AG52" i="12"/>
  <c r="G36" i="9"/>
  <c r="G33" i="9"/>
  <c r="G35" i="9"/>
  <c r="G30" i="9"/>
  <c r="G32" i="9"/>
  <c r="G31" i="9"/>
  <c r="G34" i="9"/>
  <c r="E40" i="9"/>
  <c r="G29" i="9"/>
  <c r="G39" i="9"/>
</calcChain>
</file>

<file path=xl/sharedStrings.xml><?xml version="1.0" encoding="utf-8"?>
<sst xmlns="http://schemas.openxmlformats.org/spreadsheetml/2006/main" count="842" uniqueCount="467">
  <si>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</si>
  <si>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</si>
  <si>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</si>
  <si>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</si>
  <si>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</si>
  <si>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</si>
  <si>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</si>
  <si>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</si>
  <si>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</si>
  <si>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</si>
  <si>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</si>
  <si>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</si>
  <si>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</si>
  <si>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</si>
  <si>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</si>
  <si>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</si>
  <si>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</si>
  <si>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</si>
  <si>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</si>
  <si>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</si>
  <si>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</si>
  <si>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</si>
  <si>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</si>
  <si>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</si>
  <si>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</si>
  <si>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</si>
  <si>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</si>
  <si>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</si>
  <si>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</si>
  <si>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</si>
  <si>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</si>
  <si>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</si>
  <si>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</si>
  <si>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</si>
  <si>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</si>
  <si>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</si>
  <si>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</si>
  <si>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</si>
  <si>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</si>
  <si>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</si>
  <si>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</si>
  <si>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</si>
  <si>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</si>
  <si>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</si>
  <si>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</si>
  <si>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</si>
  <si>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</si>
  <si>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</si>
  <si>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</si>
  <si>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</si>
  <si>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</si>
  <si>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</si>
  <si>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</si>
  <si>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</si>
  <si>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</si>
  <si>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</si>
  <si>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</si>
  <si>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</si>
  <si>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</si>
  <si>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</si>
  <si>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</si>
  <si>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</si>
  <si>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</si>
  <si>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</si>
  <si>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</si>
  <si>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</si>
  <si>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</si>
  <si>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</si>
  <si>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</si>
  <si>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</si>
  <si>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</si>
  <si>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</si>
  <si>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</si>
  <si>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</si>
  <si>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</si>
  <si>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</si>
  <si>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</si>
  <si>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</si>
  <si>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</si>
  <si>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</si>
  <si>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</si>
  <si>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</si>
  <si>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</si>
  <si>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</si>
  <si>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</si>
  <si>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</si>
  <si>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</si>
  <si>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</si>
  <si>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</si>
  <si>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</si>
  <si>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</si>
  <si>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</si>
  <si>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</si>
  <si>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</si>
  <si>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</si>
  <si>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</si>
  <si>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</si>
  <si>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</si>
  <si>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</si>
  <si>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</si>
  <si>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</si>
  <si>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</si>
  <si>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</si>
  <si>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</si>
  <si>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</si>
  <si>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</si>
  <si>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</si>
  <si>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</si>
  <si>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</si>
  <si>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</si>
  <si>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</si>
  <si>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</si>
  <si>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</si>
  <si>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</si>
  <si>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</si>
  <si>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</si>
  <si>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</si>
  <si>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</si>
  <si>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</si>
  <si>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</si>
  <si>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</si>
  <si>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</si>
  <si>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</si>
  <si>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</si>
  <si>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</si>
  <si>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</si>
  <si>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</si>
  <si>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</si>
  <si>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</si>
  <si>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</si>
  <si>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</si>
  <si>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</si>
  <si>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</si>
  <si>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</si>
  <si>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</si>
  <si>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</si>
  <si>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</si>
  <si>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</si>
  <si>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</si>
  <si>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</si>
  <si>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</si>
  <si>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</si>
  <si>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</si>
  <si>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</si>
  <si>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</si>
  <si>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</si>
  <si>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</si>
  <si>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</si>
  <si>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</si>
  <si>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</si>
  <si>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</si>
  <si>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</si>
  <si>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</si>
  <si>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</si>
  <si>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</si>
  <si>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</si>
  <si>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</si>
  <si>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</si>
  <si>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</si>
  <si>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</si>
  <si>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</si>
  <si>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</si>
  <si>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</si>
  <si>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</si>
  <si>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</si>
  <si>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Medir la efectividad en el recaudo para el respaldo de los compromisos</t>
  </si>
  <si>
    <t>Bimensual</t>
  </si>
  <si>
    <t>Nivel de satisfacción actividades de Bienestar</t>
  </si>
  <si>
    <t>Sumatoria resultado encuestas de satisfacción actividades de bienestar/ Total estudiantes encuestados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</si>
  <si>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</si>
  <si>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</si>
  <si>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</si>
  <si>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</si>
  <si>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</si>
  <si>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</si>
  <si>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</si>
  <si>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</si>
  <si>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Mejorar la calidad de vida de la comunidad universitaria, mediante la planeación y ejecución de proyectos, programas y actividades que fortalezcan las condiciones de bienestar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</si>
  <si>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</si>
  <si>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</si>
  <si>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</si>
  <si>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</si>
  <si>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</si>
  <si>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</si>
  <si>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</si>
  <si>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</si>
  <si>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</si>
  <si>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</si>
  <si>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</si>
  <si>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</si>
  <si>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</si>
  <si>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TABLERO INDICADORES 2017</t>
  </si>
  <si>
    <t>Mejorar el desempeño común de los estudiantes  (a mayor disminución, mejor desempeño)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</si>
  <si>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</si>
  <si>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</si>
  <si>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</si>
  <si>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</si>
  <si>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</si>
  <si>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</si>
  <si>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</si>
  <si>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</si>
  <si>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</si>
  <si>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</si>
  <si>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</si>
  <si>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</si>
  <si>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</si>
  <si>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</si>
  <si>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</si>
  <si>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</si>
  <si>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</si>
  <si>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</si>
  <si>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</si>
  <si>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</si>
  <si>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</si>
  <si>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</si>
  <si>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</si>
  <si>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</si>
  <si>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</si>
  <si>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</si>
  <si>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</si>
  <si>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</si>
  <si>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</si>
  <si>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</si>
  <si>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</si>
  <si>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</si>
  <si>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</si>
  <si>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</si>
  <si>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</si>
  <si>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</si>
  <si>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</si>
  <si>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</si>
  <si>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</si>
  <si>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</si>
  <si>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</si>
  <si>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</si>
  <si>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</si>
  <si>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</si>
  <si>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</si>
  <si>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</si>
  <si>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</si>
  <si>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</si>
  <si>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</si>
  <si>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</si>
  <si>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</si>
  <si>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</si>
  <si>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</si>
  <si>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</si>
  <si>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</si>
  <si>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</si>
  <si>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</si>
  <si>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</si>
  <si>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</si>
  <si>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</si>
  <si>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</si>
  <si>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</si>
  <si>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</si>
  <si>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</si>
  <si>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</si>
  <si>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</si>
  <si>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</si>
  <si>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</si>
  <si>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</si>
  <si>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</si>
  <si>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</si>
  <si>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</si>
  <si>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</si>
  <si>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</si>
  <si>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</si>
  <si>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</si>
  <si>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</si>
  <si>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</si>
  <si>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</si>
  <si>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</si>
  <si>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</si>
  <si>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</si>
  <si>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</si>
  <si>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</si>
  <si>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</si>
  <si>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</si>
  <si>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</si>
  <si>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</si>
  <si>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</si>
  <si>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</si>
  <si>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</si>
  <si>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</si>
  <si>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</si>
  <si>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</si>
  <si>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</si>
  <si>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</si>
  <si>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</si>
  <si>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</si>
  <si>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</si>
  <si>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</si>
  <si>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</si>
  <si>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</si>
  <si>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</si>
  <si>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</si>
  <si>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</si>
  <si>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</si>
  <si>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</si>
  <si>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</si>
  <si>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</si>
  <si>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</si>
  <si>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</si>
  <si>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</si>
  <si>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</si>
  <si>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</si>
  <si>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</si>
  <si>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</si>
  <si>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</si>
  <si>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</si>
  <si>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</si>
  <si>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</si>
  <si>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</si>
  <si>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</si>
  <si>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</si>
  <si>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</si>
  <si>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</si>
  <si>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</si>
  <si>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</si>
  <si>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</si>
  <si>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</si>
  <si>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</si>
  <si>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</si>
  <si>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</si>
  <si>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</si>
  <si>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</si>
  <si>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</si>
  <si>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</si>
  <si>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</si>
  <si>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</si>
  <si>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</si>
  <si>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</si>
  <si>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</si>
  <si>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</si>
  <si>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</si>
  <si>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</si>
  <si>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</si>
  <si>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</si>
  <si>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</si>
  <si>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</si>
  <si>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</si>
  <si>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</si>
  <si>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</si>
  <si>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</si>
  <si>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</si>
  <si>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</si>
  <si>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</si>
  <si>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</si>
  <si>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</si>
  <si>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</si>
  <si>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</si>
  <si>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</si>
  <si>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</si>
  <si>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</si>
  <si>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Porcentaje promedio de avance del seguimiento de convenios</t>
  </si>
  <si>
    <t>BAJO</t>
  </si>
  <si>
    <t>MEDIO</t>
  </si>
  <si>
    <t>Ejecución de convenios y redes nacionales e internacionales</t>
  </si>
  <si>
    <t>Atender oportunamente la PQRSD en la ETITC</t>
  </si>
  <si>
    <t>x&gt;=1,00</t>
  </si>
  <si>
    <t>x&lt;90%</t>
  </si>
  <si>
    <t>x&gt;=95%</t>
  </si>
  <si>
    <t>x&lt;30%</t>
  </si>
  <si>
    <t>x&lt;75%</t>
  </si>
  <si>
    <t>Resultado de la medición del clima laboral en el período</t>
  </si>
  <si>
    <t>Determinar el clima laboral, el cual deberá ser superior al de la línea base o del año anterior</t>
  </si>
  <si>
    <t>ALTO</t>
  </si>
  <si>
    <t>Realizar el seguimiento a las hojas de vida registradas en el Sigep (incluídos contratistas)</t>
  </si>
  <si>
    <t>x&gt;=90%</t>
  </si>
  <si>
    <t>75%&lt;=x&lt;90%</t>
  </si>
  <si>
    <t>x&lt;0,90</t>
  </si>
  <si>
    <t>&gt; 91,00%</t>
  </si>
  <si>
    <t>x&lt;60%</t>
  </si>
  <si>
    <t>&gt;=80%</t>
  </si>
  <si>
    <t>Julio</t>
  </si>
  <si>
    <t>x&lt;70%</t>
  </si>
  <si>
    <t>x&lt;73%</t>
  </si>
  <si>
    <t>x&gt;=100%</t>
  </si>
  <si>
    <t>Proceso de acreditación de programas</t>
  </si>
  <si>
    <t>Medir el cumplimiento de las etapas de la acreditación de programas</t>
  </si>
  <si>
    <t>x&lt;85%</t>
  </si>
  <si>
    <t>x&lt;72%</t>
  </si>
  <si>
    <t>x=100%</t>
  </si>
  <si>
    <t>72%
&lt;=x&lt;
100%</t>
  </si>
  <si>
    <t>60%
&lt;=x&lt;
80%</t>
  </si>
  <si>
    <t>90%
&lt;=x&lt;
95%</t>
  </si>
  <si>
    <t>70%
&lt;=x&lt;
89%</t>
  </si>
  <si>
    <t>0,90
&lt;=x&lt;
1,00</t>
  </si>
  <si>
    <t>85%
&lt;=x&lt;
99%</t>
  </si>
  <si>
    <t>PERIODO</t>
  </si>
  <si>
    <t>DESCRIPCIÓN</t>
  </si>
  <si>
    <t>FÓRMULA</t>
  </si>
  <si>
    <t>OBJETIVO ESTRATÉGICO</t>
  </si>
  <si>
    <t>RANGO</t>
  </si>
  <si>
    <t>Bajo</t>
  </si>
  <si>
    <t>Medio</t>
  </si>
  <si>
    <t>Óptimo</t>
  </si>
  <si>
    <t>MEDICIÓN Y ANÁLISIS</t>
  </si>
  <si>
    <t>92,8%
&lt;=x&lt;
95%</t>
  </si>
  <si>
    <t>x&lt;92,8%</t>
  </si>
  <si>
    <t>Agosto</t>
  </si>
  <si>
    <t>((195+323+318)/3810)-((232+431+250)/3868)</t>
  </si>
  <si>
    <t>≥ 90,0%</t>
  </si>
  <si>
    <t>LÍNEA BASE
(2016)</t>
  </si>
  <si>
    <t>RESULTADO
2017</t>
  </si>
  <si>
    <t>50%
&lt;=x&lt;
70%</t>
  </si>
  <si>
    <t>x&gt;=70%</t>
  </si>
  <si>
    <t>Ejecución de ingresos</t>
  </si>
  <si>
    <t>Ingresos propios recibidos / Ingresos propios esperados</t>
  </si>
  <si>
    <t>85%
&lt;=x&lt;
95%</t>
  </si>
  <si>
    <r>
      <t xml:space="preserve">Avance etapas 
</t>
    </r>
    <r>
      <rPr>
        <b/>
        <sz val="20"/>
        <rFont val="Calibri"/>
        <family val="2"/>
        <scheme val="minor"/>
      </rPr>
      <t>(</t>
    </r>
    <r>
      <rPr>
        <sz val="20"/>
        <rFont val="Calibri"/>
        <family val="2"/>
        <scheme val="minor"/>
      </rPr>
      <t xml:space="preserve">11 cargues iniciales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Revisiones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cargues de información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asignaciones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aclaraciones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conceptos</t>
    </r>
    <r>
      <rPr>
        <b/>
        <sz val="20"/>
        <rFont val="Calibri"/>
        <family val="2"/>
        <scheme val="minor"/>
      </rPr>
      <t>) / (</t>
    </r>
    <r>
      <rPr>
        <sz val="20"/>
        <rFont val="Calibri"/>
        <family val="2"/>
        <scheme val="minor"/>
      </rPr>
      <t>45</t>
    </r>
    <r>
      <rPr>
        <b/>
        <sz val="20"/>
        <rFont val="Calibri"/>
        <family val="2"/>
        <scheme val="minor"/>
      </rPr>
      <t>)</t>
    </r>
  </si>
  <si>
    <r>
      <rPr>
        <b/>
        <sz val="20"/>
        <color rgb="FF000000"/>
        <rFont val="Calibri"/>
        <family val="2"/>
        <scheme val="minor"/>
      </rPr>
      <t>(</t>
    </r>
    <r>
      <rPr>
        <sz val="20"/>
        <color rgb="FF000000"/>
        <rFont val="Calibri"/>
        <family val="2"/>
        <scheme val="minor"/>
      </rPr>
      <t xml:space="preserve">PQRSD recibidas hasta el día 15 del mes </t>
    </r>
    <r>
      <rPr>
        <b/>
        <i/>
        <sz val="20"/>
        <color rgb="FF000000"/>
        <rFont val="Calibri"/>
        <family val="2"/>
        <scheme val="minor"/>
      </rPr>
      <t xml:space="preserve">n-1 </t>
    </r>
    <r>
      <rPr>
        <sz val="20"/>
        <color rgb="FF000000"/>
        <rFont val="Calibri"/>
        <family val="2"/>
        <scheme val="minor"/>
      </rPr>
      <t>y</t>
    </r>
    <r>
      <rPr>
        <b/>
        <i/>
        <sz val="20"/>
        <color rgb="FF000000"/>
        <rFont val="Calibri"/>
        <family val="2"/>
        <scheme val="minor"/>
      </rPr>
      <t xml:space="preserve"> </t>
    </r>
    <r>
      <rPr>
        <sz val="20"/>
        <color rgb="FF000000"/>
        <rFont val="Calibri"/>
        <family val="2"/>
        <scheme val="minor"/>
      </rPr>
      <t xml:space="preserve">atendidas oportunamente al día 14 del mes </t>
    </r>
    <r>
      <rPr>
        <b/>
        <i/>
        <sz val="20"/>
        <color rgb="FF000000"/>
        <rFont val="Calibri"/>
        <family val="2"/>
        <scheme val="minor"/>
      </rPr>
      <t>n</t>
    </r>
    <r>
      <rPr>
        <b/>
        <sz val="20"/>
        <color rgb="FF000000"/>
        <rFont val="Calibri"/>
        <family val="2"/>
        <scheme val="minor"/>
      </rPr>
      <t>)</t>
    </r>
    <r>
      <rPr>
        <sz val="20"/>
        <color rgb="FF000000"/>
        <rFont val="Calibri"/>
        <family val="2"/>
        <scheme val="minor"/>
      </rPr>
      <t xml:space="preserve"> </t>
    </r>
    <r>
      <rPr>
        <b/>
        <sz val="20"/>
        <color rgb="FF000000"/>
        <rFont val="Calibri"/>
        <family val="2"/>
        <scheme val="minor"/>
      </rPr>
      <t>/</t>
    </r>
    <r>
      <rPr>
        <sz val="20"/>
        <color rgb="FF000000"/>
        <rFont val="Calibri"/>
        <family val="2"/>
        <scheme val="minor"/>
      </rPr>
      <t xml:space="preserve"> </t>
    </r>
    <r>
      <rPr>
        <b/>
        <sz val="20"/>
        <color rgb="FF000000"/>
        <rFont val="Calibri"/>
        <family val="2"/>
        <scheme val="minor"/>
      </rPr>
      <t>(</t>
    </r>
    <r>
      <rPr>
        <sz val="20"/>
        <color rgb="FF000000"/>
        <rFont val="Calibri"/>
        <family val="2"/>
        <scheme val="minor"/>
      </rPr>
      <t xml:space="preserve">PQRSD recepcionadas hasta el día 15 del mes </t>
    </r>
    <r>
      <rPr>
        <b/>
        <i/>
        <sz val="20"/>
        <color rgb="FF000000"/>
        <rFont val="Calibri"/>
        <family val="2"/>
        <scheme val="minor"/>
      </rPr>
      <t>n - 1</t>
    </r>
    <r>
      <rPr>
        <b/>
        <sz val="20"/>
        <color rgb="FF000000"/>
        <rFont val="Calibri"/>
        <family val="2"/>
        <scheme val="minor"/>
      </rPr>
      <t>)</t>
    </r>
  </si>
  <si>
    <t>Medir oportunamente el nivel de recaudo con el fin de revisar el cumplimiento del plan de acción del año</t>
  </si>
  <si>
    <t>Una vez se publiquen los resultados de 2017, se revisará la meta para 2018</t>
  </si>
  <si>
    <t>Lugar 2017: $999.459.543
Meta: $1.100.000.000
A enero 2018: $ 30.062.689 (2,73%)</t>
  </si>
  <si>
    <t>$ 7.921.808.605 de un proyectado de 
$ 12.490.038.624
(63,43%)</t>
  </si>
  <si>
    <r>
      <t xml:space="preserve">Para cumplir con la meta acumualada y de acuerdo con los históricos:
</t>
    </r>
    <r>
      <rPr>
        <sz val="10"/>
        <color theme="1"/>
        <rFont val="Calibri"/>
        <family val="2"/>
        <scheme val="minor"/>
      </rPr>
      <t xml:space="preserve"> 
</t>
    </r>
    <r>
      <rPr>
        <sz val="20"/>
        <color theme="1"/>
        <rFont val="Calibri"/>
        <family val="2"/>
        <scheme val="minor"/>
      </rPr>
      <t>Ene:   $ 2.217.931.658      (20,07%)   
                Real a Ene: $ 2.101.993.441,28 (</t>
    </r>
    <r>
      <rPr>
        <sz val="20"/>
        <color theme="9" tint="-0.249977111117893"/>
        <rFont val="Calibri"/>
        <family val="2"/>
        <scheme val="minor"/>
      </rPr>
      <t>19,02%</t>
    </r>
    <r>
      <rPr>
        <sz val="20"/>
        <color theme="1"/>
        <rFont val="Calibri"/>
        <family val="2"/>
        <scheme val="minor"/>
      </rPr>
      <t xml:space="preserve"> en el acumulado o </t>
    </r>
    <r>
      <rPr>
        <sz val="20"/>
        <color theme="9" tint="-0.249977111117893"/>
        <rFont val="Calibri"/>
        <family val="2"/>
        <scheme val="minor"/>
      </rPr>
      <t xml:space="preserve">94,77% </t>
    </r>
    <r>
      <rPr>
        <sz val="20"/>
        <color theme="1"/>
        <rFont val="Calibri"/>
        <family val="2"/>
        <scheme val="minor"/>
      </rPr>
      <t>del mes)
Metas para los demás meses:
Feb:   $ 2.815.469.050       (25,48%)
Mar:   $ 3.166.449.610       (28,65%)
Abr:   $ 3.538.975.396        (32,02%)
May:   $ 3.834.524.764      (34,70%)
Jun:   $ 4.226.109.249        (38,24%)
Jun:   $ 6.536.325.721        (59,15%)
Abr:   $ 7.589.971.626        (68,68%)
Sep:   $ 8.238.680.187        (74,55%)
Oct:   $ 8.853.291.139         (80,11%)
Nov:   $ 10.445.752.039      (94,52%)
Dic:   $ 11.050.804.592       (100,00%)</t>
    </r>
  </si>
  <si>
    <t>El indicador se medirá en 2019</t>
  </si>
  <si>
    <t>x&gt;=75%</t>
  </si>
  <si>
    <t>50%
&lt;=x&lt;
75%</t>
  </si>
  <si>
    <t>x&lt;50%</t>
  </si>
  <si>
    <t>Timestral</t>
  </si>
  <si>
    <t>(Participantes de las actividades de bienestar semestre actual / Participantes semestre anterior semestre anterior) - 1</t>
  </si>
  <si>
    <t>Participación de la comunidad universitaria</t>
  </si>
  <si>
    <t>Mostrar el incremento en la población que participa en las actividades de bienestar</t>
  </si>
  <si>
    <t>x&lt;2%</t>
  </si>
  <si>
    <t>2%
&lt;=x&lt;
5%</t>
  </si>
  <si>
    <t>x&gt;=5%</t>
  </si>
  <si>
    <r>
      <rPr>
        <b/>
        <sz val="20"/>
        <rFont val="Calibri"/>
        <family val="2"/>
        <scheme val="minor"/>
      </rPr>
      <t>#</t>
    </r>
    <r>
      <rPr>
        <sz val="20"/>
        <rFont val="Calibri"/>
        <family val="2"/>
        <scheme val="minor"/>
      </rPr>
      <t xml:space="preserve"> Programas acreditados </t>
    </r>
    <r>
      <rPr>
        <b/>
        <sz val="20"/>
        <rFont val="Calibri"/>
        <family val="2"/>
        <scheme val="minor"/>
      </rPr>
      <t>/</t>
    </r>
    <r>
      <rPr>
        <sz val="20"/>
        <rFont val="Calibri"/>
        <family val="2"/>
        <scheme val="minor"/>
      </rPr>
      <t xml:space="preserve">  
Solicitudes de programas  calificados</t>
    </r>
  </si>
  <si>
    <t>TIPO DE INDICADOR</t>
  </si>
  <si>
    <t>PLAN DE ACCIÓN ASOCIADO</t>
  </si>
  <si>
    <t>Fortalecimiento del proceso de docencia</t>
  </si>
  <si>
    <t>- Proceso de autoevaluación institucional 2018-2019
- Continuidad al proceso de acreditación de programas de pregrado
- Ejecución de planes de mejoramiento
- Gestión de autoevaluación 
- Gestión de acreditación</t>
  </si>
  <si>
    <t>Ciencias naturales</t>
  </si>
  <si>
    <t>- Evaluación y seguimiento
- Disciplina</t>
  </si>
  <si>
    <t>Direccionamiento Estratégico</t>
  </si>
  <si>
    <t>Gestión de convenios - Redes - Alianzas</t>
  </si>
  <si>
    <t>Gestión de Recursos físicos</t>
  </si>
  <si>
    <t>Formación de investigadores</t>
  </si>
  <si>
    <t>- Gestión del conocimiento
- Formación de investigadores</t>
  </si>
  <si>
    <t>- Quédate en le ETITC-Psicología
- Trabajo Social
- Una ETITC Activa- Deportes
- ETITC Una nota con arte
- Humanizar la Escuela
- Salud
- Banda de marcha</t>
  </si>
  <si>
    <t>- Vinculación y desarrollo del talento humano</t>
  </si>
  <si>
    <t xml:space="preserve">- Mantenimiento Planta Física
- Mejoramiento de la planta física
- Mantenimiento y mejoramiento de talleres y laboratorios
- Modernización de infrastructura, laboratorios, talleres y aulas especializadas
</t>
  </si>
  <si>
    <t>- Gestión de convenios – Redes – Alianzas 
- Nueva oferta académica
- Cursos técnicos y diplomados
- Cursos y diplomados a la medida para empresas
- Cursos de lenguas</t>
  </si>
  <si>
    <t>- Fortalecimiento de los procesos del área (viceadministrativa)</t>
  </si>
  <si>
    <t>- Cursos técnicos y diplomados
- Cursos y diplomados a la medida para empresas
- Cursos de lenguas</t>
  </si>
  <si>
    <t>- Planeación institucional y alineación con el MIPG 2.0
- Mantener, mejorar y fortalecer el Sistema de Gestión Integrado
- Evaluación y seguimiento al Sistema de Gestión Integrado</t>
  </si>
  <si>
    <t>- Implementación del sistema de gestión del documento electrónico
- Mejorar los procesos de atención al ciudadano a través de la ventanilla única de radicación</t>
  </si>
  <si>
    <t>MEJOR SI</t>
  </si>
  <si>
    <t>≥ 90,00%</t>
  </si>
  <si>
    <t>Enero</t>
  </si>
  <si>
    <t>Noviembre</t>
  </si>
  <si>
    <t>Diciembre</t>
  </si>
  <si>
    <t>Septiembre</t>
  </si>
  <si>
    <t>Octubre</t>
  </si>
  <si>
    <t>x&gt;90%</t>
  </si>
  <si>
    <t>x&gt;91%</t>
  </si>
  <si>
    <t>Desviación estándar año 2018</t>
  </si>
  <si>
    <t>78%
&lt;=x&lt;=
91%</t>
  </si>
  <si>
    <t>Bianual</t>
  </si>
  <si>
    <t>En enero se recaudaron $3.000.445.702,00 (incluídos recursos Nación) y se comprometieron $3.891.078.889,97</t>
  </si>
  <si>
    <t>73%
&lt;=x&lt;
95%</t>
  </si>
  <si>
    <t>OBJETIVOS ESTRATÉGICOS</t>
  </si>
  <si>
    <t>MEDICIÓN A ENERO</t>
  </si>
  <si>
    <t>PROCESOS</t>
  </si>
  <si>
    <t>Se revibieron 169 PQRSD en el periodo comprendido entre el 16 de diciembre de 2017 y 15 de enero de 2018, de las cuales se contestaron 152 en términos y 17 con respuestas parciales con aplazamiento en tiempo.
De igual manera se inició con la divulgación del proceso de PQRSD en 2018, mediante comunicaciones formales a los líderes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</si>
</sst>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0.0"/>
    <numFmt numFmtId="168" formatCode="_-* #,##0.00_-;\-* #,##0.00_-;_-* &quot;-&quot;_-;_-@_-"/>
    <numFmt numFmtId="169" formatCode="0.000"/>
    <numFmt numFmtId="170" formatCode="_-* #,##0.0_-;\-* #,##0.0_-;_-* &quot;-&quot;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9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10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7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8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8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8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5" fontId="26" fillId="5" borderId="61" xfId="0" applyNumberFormat="1" applyFont="1" applyFill="1" applyBorder="1" applyAlignment="1">
      <alignment horizontal="center" vertical="center" wrapText="1"/>
    </xf>
    <xf numFmtId="165" fontId="26" fillId="5" borderId="68" xfId="0" applyNumberFormat="1" applyFont="1" applyFill="1" applyBorder="1" applyAlignment="1">
      <alignment horizontal="center" vertical="center" wrapText="1"/>
    </xf>
    <xf numFmtId="165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165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6" fontId="30" fillId="0" borderId="15" xfId="0" applyNumberFormat="1" applyFont="1" applyFill="1" applyBorder="1" applyAlignment="1">
      <alignment vertical="center" wrapText="1"/>
    </xf>
    <xf numFmtId="165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5" fontId="28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vertical="center" wrapText="1"/>
    </xf>
    <xf numFmtId="165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7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6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5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5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7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6" fontId="30" fillId="0" borderId="47" xfId="0" applyNumberFormat="1" applyFont="1" applyFill="1" applyBorder="1" applyAlignment="1">
      <alignment vertical="center" wrapText="1"/>
    </xf>
    <xf numFmtId="165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6" fontId="30" fillId="0" borderId="61" xfId="0" applyNumberFormat="1" applyFont="1" applyFill="1" applyBorder="1" applyAlignment="1">
      <alignment vertical="center" wrapText="1"/>
    </xf>
    <xf numFmtId="165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8" xfId="0" applyNumberFormat="1" applyFont="1" applyBorder="1" applyAlignment="1">
      <alignment horizontal="center" vertical="center" wrapText="1"/>
    </xf>
    <xf numFmtId="169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vertical="center" wrapText="1"/>
    </xf>
    <xf numFmtId="165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9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left" vertical="center" wrapText="1"/>
    </xf>
    <xf numFmtId="1" fontId="29" fillId="0" borderId="75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8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7" fontId="29" fillId="0" borderId="41" xfId="0" applyNumberFormat="1" applyFont="1" applyBorder="1" applyAlignment="1">
      <alignment horizontal="center" vertical="center" wrapText="1"/>
    </xf>
    <xf numFmtId="165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7" xfId="1" applyFont="1" applyBorder="1" applyAlignment="1">
      <alignment horizontal="center" vertical="center" wrapText="1"/>
    </xf>
    <xf numFmtId="10" fontId="29" fillId="0" borderId="75" xfId="1" applyNumberFormat="1" applyFont="1" applyBorder="1" applyAlignment="1">
      <alignment horizontal="center" vertical="center" wrapText="1"/>
    </xf>
    <xf numFmtId="9" fontId="29" fillId="0" borderId="75" xfId="1" applyNumberFormat="1" applyFont="1" applyBorder="1" applyAlignment="1">
      <alignment horizontal="center" vertical="center" wrapText="1"/>
    </xf>
    <xf numFmtId="169" fontId="29" fillId="0" borderId="37" xfId="0" applyNumberFormat="1" applyFont="1" applyBorder="1" applyAlignment="1">
      <alignment horizontal="center" vertical="center" wrapText="1"/>
    </xf>
    <xf numFmtId="9" fontId="29" fillId="0" borderId="78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5" fontId="37" fillId="12" borderId="9" xfId="0" applyNumberFormat="1" applyFont="1" applyFill="1" applyBorder="1" applyAlignment="1">
      <alignment horizontal="center" vertical="center"/>
    </xf>
    <xf numFmtId="165" fontId="37" fillId="12" borderId="10" xfId="0" applyNumberFormat="1" applyFont="1" applyFill="1" applyBorder="1" applyAlignment="1">
      <alignment horizontal="center" vertical="center"/>
    </xf>
    <xf numFmtId="165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8" borderId="33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vertical="center" wrapText="1"/>
    </xf>
    <xf numFmtId="0" fontId="36" fillId="8" borderId="84" xfId="0" applyFont="1" applyFill="1" applyBorder="1" applyAlignment="1">
      <alignment horizontal="center" vertical="center" wrapText="1"/>
    </xf>
    <xf numFmtId="0" fontId="39" fillId="8" borderId="60" xfId="0" applyFont="1" applyFill="1" applyBorder="1" applyAlignment="1">
      <alignment vertical="center" wrapText="1"/>
    </xf>
    <xf numFmtId="0" fontId="39" fillId="8" borderId="61" xfId="0" applyFont="1" applyFill="1" applyBorder="1" applyAlignment="1">
      <alignment vertical="center" wrapText="1"/>
    </xf>
    <xf numFmtId="165" fontId="36" fillId="8" borderId="33" xfId="0" applyNumberFormat="1" applyFont="1" applyFill="1" applyBorder="1" applyAlignment="1">
      <alignment horizontal="center" vertical="center" wrapText="1"/>
    </xf>
    <xf numFmtId="10" fontId="36" fillId="8" borderId="33" xfId="1" applyNumberFormat="1" applyFont="1" applyFill="1" applyBorder="1" applyAlignment="1">
      <alignment horizontal="center" vertical="center" wrapText="1"/>
    </xf>
    <xf numFmtId="10" fontId="36" fillId="6" borderId="68" xfId="1" applyNumberFormat="1" applyFont="1" applyFill="1" applyBorder="1" applyAlignment="1">
      <alignment horizontal="center" vertical="center"/>
    </xf>
    <xf numFmtId="10" fontId="36" fillId="8" borderId="33" xfId="0" applyNumberFormat="1" applyFont="1" applyFill="1" applyBorder="1" applyAlignment="1">
      <alignment horizontal="center" vertical="center"/>
    </xf>
    <xf numFmtId="10" fontId="36" fillId="4" borderId="59" xfId="0" applyNumberFormat="1" applyFont="1" applyFill="1" applyBorder="1" applyAlignment="1">
      <alignment horizontal="center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10" borderId="68" xfId="0" applyNumberFormat="1" applyFont="1" applyFill="1" applyBorder="1" applyAlignment="1">
      <alignment horizontal="center" vertical="center" wrapText="1"/>
    </xf>
    <xf numFmtId="10" fontId="36" fillId="8" borderId="59" xfId="0" applyNumberFormat="1" applyFont="1" applyFill="1" applyBorder="1" applyAlignment="1">
      <alignment horizontal="center" vertical="center"/>
    </xf>
    <xf numFmtId="10" fontId="36" fillId="8" borderId="61" xfId="0" applyNumberFormat="1" applyFont="1" applyFill="1" applyBorder="1" applyAlignment="1">
      <alignment horizontal="center" vertical="center"/>
    </xf>
    <xf numFmtId="10" fontId="36" fillId="8" borderId="61" xfId="1" applyNumberFormat="1" applyFont="1" applyFill="1" applyBorder="1" applyAlignment="1">
      <alignment horizontal="center" vertical="center"/>
    </xf>
    <xf numFmtId="10" fontId="36" fillId="8" borderId="68" xfId="1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0" fontId="36" fillId="8" borderId="0" xfId="0" applyFont="1" applyFill="1"/>
    <xf numFmtId="0" fontId="36" fillId="8" borderId="0" xfId="0" applyFont="1" applyFill="1" applyBorder="1"/>
    <xf numFmtId="0" fontId="36" fillId="8" borderId="0" xfId="0" applyFont="1" applyFill="1" applyBorder="1" applyAlignment="1">
      <alignment vertical="center" wrapText="1"/>
    </xf>
    <xf numFmtId="0" fontId="36" fillId="0" borderId="33" xfId="0" applyFont="1" applyBorder="1" applyAlignment="1">
      <alignment horizontal="left" vertical="center" wrapText="1"/>
    </xf>
    <xf numFmtId="0" fontId="41" fillId="0" borderId="23" xfId="0" applyFont="1" applyBorder="1" applyAlignment="1">
      <alignment vertical="center" wrapText="1"/>
    </xf>
    <xf numFmtId="0" fontId="41" fillId="0" borderId="63" xfId="0" applyFont="1" applyBorder="1" applyAlignment="1">
      <alignment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9" fontId="36" fillId="6" borderId="71" xfId="1" applyFont="1" applyFill="1" applyBorder="1" applyAlignment="1">
      <alignment horizontal="center" vertical="center"/>
    </xf>
    <xf numFmtId="10" fontId="36" fillId="0" borderId="29" xfId="0" applyNumberFormat="1" applyFont="1" applyBorder="1" applyAlignment="1">
      <alignment horizontal="center" vertical="center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0" fontId="41" fillId="0" borderId="30" xfId="0" applyFont="1" applyBorder="1" applyAlignment="1">
      <alignment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40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41" fillId="0" borderId="55" xfId="0" applyFont="1" applyBorder="1" applyAlignment="1">
      <alignment vertical="center" wrapText="1"/>
    </xf>
    <xf numFmtId="0" fontId="41" fillId="0" borderId="66" xfId="0" applyFont="1" applyBorder="1" applyAlignment="1">
      <alignment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0" borderId="32" xfId="0" applyNumberFormat="1" applyFont="1" applyBorder="1" applyAlignment="1">
      <alignment horizontal="center" vertical="center"/>
    </xf>
    <xf numFmtId="164" fontId="36" fillId="0" borderId="0" xfId="0" applyNumberFormat="1" applyFont="1"/>
    <xf numFmtId="164" fontId="36" fillId="0" borderId="0" xfId="1" applyNumberFormat="1" applyFont="1"/>
    <xf numFmtId="10" fontId="36" fillId="0" borderId="0" xfId="1" applyNumberFormat="1" applyFont="1"/>
    <xf numFmtId="0" fontId="36" fillId="0" borderId="84" xfId="0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2" fontId="36" fillId="6" borderId="68" xfId="1" applyNumberFormat="1" applyFont="1" applyFill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10" fontId="36" fillId="3" borderId="61" xfId="0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center" vertical="center"/>
    </xf>
    <xf numFmtId="2" fontId="36" fillId="0" borderId="61" xfId="0" applyNumberFormat="1" applyFont="1" applyFill="1" applyBorder="1" applyAlignment="1">
      <alignment horizontal="center" vertical="center"/>
    </xf>
    <xf numFmtId="2" fontId="36" fillId="0" borderId="61" xfId="0" applyNumberFormat="1" applyFont="1" applyBorder="1" applyAlignment="1">
      <alignment horizontal="center" vertical="center"/>
    </xf>
    <xf numFmtId="2" fontId="36" fillId="0" borderId="61" xfId="1" applyNumberFormat="1" applyFont="1" applyBorder="1" applyAlignment="1">
      <alignment horizontal="center" vertical="center"/>
    </xf>
    <xf numFmtId="0" fontId="36" fillId="0" borderId="3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33" xfId="0" applyNumberFormat="1" applyFont="1" applyBorder="1" applyAlignment="1">
      <alignment horizontal="center" vertical="center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36" fillId="0" borderId="88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2" xfId="1" applyNumberFormat="1" applyFont="1" applyFill="1" applyBorder="1" applyAlignment="1">
      <alignment horizontal="center" vertical="center"/>
    </xf>
    <xf numFmtId="10" fontId="36" fillId="0" borderId="31" xfId="1" applyNumberFormat="1" applyFont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 wrapText="1"/>
    </xf>
    <xf numFmtId="0" fontId="36" fillId="3" borderId="47" xfId="0" applyFont="1" applyFill="1" applyBorder="1" applyAlignment="1">
      <alignment horizontal="center" vertical="center" wrapText="1"/>
    </xf>
    <xf numFmtId="0" fontId="36" fillId="10" borderId="72" xfId="0" applyFont="1" applyFill="1" applyBorder="1" applyAlignment="1">
      <alignment horizontal="center" vertical="center" wrapText="1"/>
    </xf>
    <xf numFmtId="0" fontId="36" fillId="0" borderId="75" xfId="0" applyFont="1" applyBorder="1" applyAlignment="1">
      <alignment vertical="center" wrapText="1"/>
    </xf>
    <xf numFmtId="0" fontId="39" fillId="0" borderId="60" xfId="0" applyFont="1" applyBorder="1" applyAlignment="1">
      <alignment vertical="center" wrapText="1"/>
    </xf>
    <xf numFmtId="0" fontId="39" fillId="0" borderId="61" xfId="0" applyFont="1" applyBorder="1" applyAlignment="1">
      <alignment vertical="center" wrapText="1"/>
    </xf>
    <xf numFmtId="0" fontId="36" fillId="0" borderId="33" xfId="0" applyFont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 wrapText="1"/>
    </xf>
    <xf numFmtId="0" fontId="36" fillId="10" borderId="68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10" fontId="36" fillId="0" borderId="68" xfId="1" applyNumberFormat="1" applyFont="1" applyBorder="1" applyAlignment="1">
      <alignment horizontal="center" vertical="center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10" fontId="36" fillId="0" borderId="58" xfId="1" applyNumberFormat="1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1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10" fontId="36" fillId="10" borderId="72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3" borderId="47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3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8" borderId="27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85" xfId="0" applyFont="1" applyBorder="1" applyAlignment="1">
      <alignment horizontal="center" vertical="center"/>
    </xf>
    <xf numFmtId="0" fontId="39" fillId="8" borderId="25" xfId="0" applyFont="1" applyFill="1" applyBorder="1" applyAlignment="1">
      <alignment vertical="center" wrapText="1"/>
    </xf>
    <xf numFmtId="0" fontId="39" fillId="8" borderId="47" xfId="0" applyFont="1" applyFill="1" applyBorder="1" applyAlignment="1">
      <alignment vertical="center" wrapText="1"/>
    </xf>
    <xf numFmtId="10" fontId="36" fillId="0" borderId="31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vertical="center" wrapText="1"/>
    </xf>
    <xf numFmtId="0" fontId="36" fillId="0" borderId="28" xfId="0" quotePrefix="1" applyFont="1" applyBorder="1" applyAlignment="1">
      <alignment vertical="center" wrapText="1"/>
    </xf>
    <xf numFmtId="0" fontId="36" fillId="0" borderId="33" xfId="0" quotePrefix="1" applyFont="1" applyBorder="1" applyAlignment="1">
      <alignment horizontal="left" vertical="center" wrapText="1"/>
    </xf>
    <xf numFmtId="10" fontId="36" fillId="6" borderId="71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center" vertical="center" wrapText="1"/>
    </xf>
    <xf numFmtId="0" fontId="36" fillId="10" borderId="46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vertical="center" wrapText="1"/>
    </xf>
    <xf numFmtId="0" fontId="41" fillId="0" borderId="60" xfId="0" applyFont="1" applyBorder="1" applyAlignment="1">
      <alignment vertical="center" wrapText="1"/>
    </xf>
    <xf numFmtId="0" fontId="41" fillId="0" borderId="61" xfId="0" applyFont="1" applyBorder="1" applyAlignment="1">
      <alignment vertical="center" wrapText="1"/>
    </xf>
    <xf numFmtId="0" fontId="41" fillId="0" borderId="61" xfId="0" applyFont="1" applyFill="1" applyBorder="1" applyAlignment="1">
      <alignment vertical="center" wrapText="1"/>
    </xf>
    <xf numFmtId="165" fontId="36" fillId="0" borderId="33" xfId="0" applyNumberFormat="1" applyFont="1" applyFill="1" applyBorder="1" applyAlignment="1">
      <alignment horizontal="center" vertical="center" wrapText="1"/>
    </xf>
    <xf numFmtId="0" fontId="36" fillId="3" borderId="61" xfId="0" quotePrefix="1" applyFont="1" applyFill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55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39" fillId="0" borderId="74" xfId="0" applyFont="1" applyBorder="1" applyAlignment="1">
      <alignment vertical="center" wrapText="1"/>
    </xf>
    <xf numFmtId="165" fontId="39" fillId="0" borderId="32" xfId="0" applyNumberFormat="1" applyFont="1" applyBorder="1" applyAlignment="1">
      <alignment horizontal="center" vertical="center" wrapText="1"/>
    </xf>
    <xf numFmtId="10" fontId="36" fillId="6" borderId="46" xfId="1" applyNumberFormat="1" applyFont="1" applyFill="1" applyBorder="1" applyAlignment="1">
      <alignment horizontal="center" vertical="center"/>
    </xf>
    <xf numFmtId="0" fontId="39" fillId="0" borderId="84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165" fontId="39" fillId="0" borderId="33" xfId="0" applyNumberFormat="1" applyFont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0" fontId="36" fillId="0" borderId="3" xfId="1" applyNumberFormat="1" applyFont="1" applyBorder="1" applyAlignment="1">
      <alignment horizontal="left" vertical="center" wrapText="1"/>
    </xf>
    <xf numFmtId="0" fontId="36" fillId="8" borderId="75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/>
    </xf>
    <xf numFmtId="0" fontId="39" fillId="8" borderId="55" xfId="0" applyFont="1" applyFill="1" applyBorder="1" applyAlignment="1">
      <alignment vertical="center" wrapText="1"/>
    </xf>
    <xf numFmtId="0" fontId="39" fillId="8" borderId="66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32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41" fillId="0" borderId="62" xfId="0" applyFont="1" applyFill="1" applyBorder="1" applyAlignment="1">
      <alignment vertical="center" wrapText="1"/>
    </xf>
    <xf numFmtId="0" fontId="41" fillId="0" borderId="74" xfId="0" applyFont="1" applyBorder="1" applyAlignment="1">
      <alignment vertical="center" wrapText="1"/>
    </xf>
    <xf numFmtId="0" fontId="39" fillId="8" borderId="62" xfId="0" applyFont="1" applyFill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8" borderId="19" xfId="0" applyFont="1" applyFill="1" applyBorder="1" applyAlignment="1">
      <alignment vertical="center" wrapText="1"/>
    </xf>
    <xf numFmtId="0" fontId="39" fillId="8" borderId="74" xfId="0" applyFont="1" applyFill="1" applyBorder="1" applyAlignment="1">
      <alignment vertical="center" wrapText="1"/>
    </xf>
    <xf numFmtId="0" fontId="39" fillId="7" borderId="29" xfId="0" applyFont="1" applyFill="1" applyBorder="1" applyAlignment="1">
      <alignment horizontal="left" vertical="center" wrapText="1"/>
    </xf>
    <xf numFmtId="0" fontId="39" fillId="7" borderId="33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9" fillId="7" borderId="32" xfId="0" applyFont="1" applyFill="1" applyBorder="1" applyAlignment="1">
      <alignment horizontal="left" vertical="center" wrapText="1"/>
    </xf>
    <xf numFmtId="0" fontId="36" fillId="7" borderId="33" xfId="0" applyFont="1" applyFill="1" applyBorder="1" applyAlignment="1">
      <alignment horizontal="left" vertical="center" wrapText="1"/>
    </xf>
    <xf numFmtId="0" fontId="36" fillId="7" borderId="31" xfId="0" applyFont="1" applyFill="1" applyBorder="1" applyAlignment="1">
      <alignment horizontal="left" vertical="center" wrapText="1"/>
    </xf>
    <xf numFmtId="165" fontId="37" fillId="13" borderId="12" xfId="0" applyNumberFormat="1" applyFont="1" applyFill="1" applyBorder="1" applyAlignment="1">
      <alignment horizontal="center" vertical="center"/>
    </xf>
    <xf numFmtId="165" fontId="37" fillId="13" borderId="13" xfId="0" applyNumberFormat="1" applyFont="1" applyFill="1" applyBorder="1" applyAlignment="1">
      <alignment horizontal="center" vertical="center"/>
    </xf>
    <xf numFmtId="165" fontId="37" fillId="13" borderId="14" xfId="0" applyNumberFormat="1" applyFont="1" applyFill="1" applyBorder="1" applyAlignment="1">
      <alignment horizontal="center" vertical="center"/>
    </xf>
    <xf numFmtId="2" fontId="36" fillId="0" borderId="68" xfId="1" applyNumberFormat="1" applyFont="1" applyBorder="1" applyAlignment="1">
      <alignment horizontal="center" vertical="center"/>
    </xf>
    <xf numFmtId="9" fontId="36" fillId="0" borderId="61" xfId="1" applyNumberFormat="1" applyFont="1" applyBorder="1" applyAlignment="1">
      <alignment horizontal="center" vertical="center"/>
    </xf>
    <xf numFmtId="9" fontId="36" fillId="0" borderId="68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170" fontId="36" fillId="2" borderId="61" xfId="40" applyNumberFormat="1" applyFont="1" applyFill="1" applyBorder="1" applyAlignment="1">
      <alignment horizontal="center" vertical="center"/>
    </xf>
    <xf numFmtId="170" fontId="36" fillId="2" borderId="68" xfId="40" applyNumberFormat="1" applyFont="1" applyFill="1" applyBorder="1" applyAlignment="1">
      <alignment horizontal="center" vertical="center"/>
    </xf>
    <xf numFmtId="10" fontId="36" fillId="2" borderId="61" xfId="0" applyNumberFormat="1" applyFont="1" applyFill="1" applyBorder="1" applyAlignment="1">
      <alignment horizontal="center" vertical="center"/>
    </xf>
    <xf numFmtId="10" fontId="36" fillId="2" borderId="68" xfId="0" applyNumberFormat="1" applyFont="1" applyFill="1" applyBorder="1" applyAlignment="1">
      <alignment horizontal="center" vertical="center"/>
    </xf>
    <xf numFmtId="9" fontId="36" fillId="2" borderId="68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71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8" xfId="0" applyNumberFormat="1" applyFont="1" applyFill="1" applyBorder="1" applyAlignment="1">
      <alignment horizontal="center" vertical="center" wrapText="1"/>
    </xf>
    <xf numFmtId="9" fontId="36" fillId="0" borderId="59" xfId="0" applyNumberFormat="1" applyFont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8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59" xfId="1" applyNumberFormat="1" applyFont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68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8" xfId="1" applyNumberFormat="1" applyFont="1" applyFill="1" applyBorder="1" applyAlignment="1">
      <alignment horizontal="center" vertical="center"/>
    </xf>
    <xf numFmtId="9" fontId="36" fillId="0" borderId="59" xfId="1" applyFont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9" fontId="36" fillId="0" borderId="68" xfId="1" applyFont="1" applyBorder="1" applyAlignment="1">
      <alignment horizontal="center" vertical="center"/>
    </xf>
    <xf numFmtId="9" fontId="36" fillId="4" borderId="45" xfId="0" applyNumberFormat="1" applyFont="1" applyFill="1" applyBorder="1" applyAlignment="1">
      <alignment horizontal="center" vertical="center" wrapText="1"/>
    </xf>
    <xf numFmtId="9" fontId="36" fillId="0" borderId="59" xfId="1" applyFont="1" applyBorder="1" applyAlignment="1">
      <alignment vertical="center"/>
    </xf>
    <xf numFmtId="9" fontId="36" fillId="0" borderId="61" xfId="1" applyFont="1" applyBorder="1" applyAlignment="1">
      <alignment vertical="center"/>
    </xf>
    <xf numFmtId="9" fontId="36" fillId="0" borderId="68" xfId="1" applyFont="1" applyBorder="1" applyAlignment="1">
      <alignment vertical="center"/>
    </xf>
    <xf numFmtId="168" fontId="36" fillId="2" borderId="59" xfId="40" applyNumberFormat="1" applyFont="1" applyFill="1" applyBorder="1" applyAlignment="1">
      <alignment horizontal="center" vertical="center"/>
    </xf>
    <xf numFmtId="0" fontId="47" fillId="8" borderId="33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left" vertical="center" wrapText="1"/>
    </xf>
    <xf numFmtId="0" fontId="47" fillId="0" borderId="33" xfId="0" applyFont="1" applyBorder="1" applyAlignment="1">
      <alignment vertical="center" wrapText="1"/>
    </xf>
    <xf numFmtId="0" fontId="47" fillId="8" borderId="33" xfId="0" applyFont="1" applyFill="1" applyBorder="1" applyAlignment="1">
      <alignment vertical="center" wrapText="1"/>
    </xf>
    <xf numFmtId="10" fontId="0" fillId="0" borderId="0" xfId="0" applyNumberFormat="1"/>
    <xf numFmtId="0" fontId="48" fillId="0" borderId="33" xfId="0" applyFont="1" applyBorder="1" applyAlignment="1">
      <alignment vertical="center" wrapText="1"/>
    </xf>
    <xf numFmtId="10" fontId="0" fillId="0" borderId="33" xfId="1" applyNumberFormat="1" applyFont="1" applyBorder="1" applyAlignment="1">
      <alignment horizontal="center" vertical="center"/>
    </xf>
    <xf numFmtId="0" fontId="37" fillId="2" borderId="33" xfId="0" applyFont="1" applyFill="1" applyBorder="1"/>
    <xf numFmtId="10" fontId="37" fillId="2" borderId="33" xfId="0" applyNumberFormat="1" applyFont="1" applyFill="1" applyBorder="1" applyAlignment="1">
      <alignment vertical="center"/>
    </xf>
    <xf numFmtId="0" fontId="46" fillId="11" borderId="33" xfId="0" applyFont="1" applyFill="1" applyBorder="1" applyAlignment="1">
      <alignment horizontal="center" vertical="center"/>
    </xf>
    <xf numFmtId="0" fontId="46" fillId="11" borderId="33" xfId="0" applyFont="1" applyFill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 wrapText="1"/>
    </xf>
    <xf numFmtId="9" fontId="36" fillId="0" borderId="63" xfId="1" applyFont="1" applyBorder="1" applyAlignment="1">
      <alignment horizontal="center" vertical="center"/>
    </xf>
    <xf numFmtId="9" fontId="36" fillId="0" borderId="66" xfId="1" applyFont="1" applyBorder="1" applyAlignment="1">
      <alignment horizontal="center" vertical="center"/>
    </xf>
    <xf numFmtId="9" fontId="36" fillId="0" borderId="71" xfId="1" applyFont="1" applyBorder="1" applyAlignment="1">
      <alignment horizontal="center" vertical="center"/>
    </xf>
    <xf numFmtId="9" fontId="36" fillId="0" borderId="46" xfId="1" applyFont="1" applyBorder="1" applyAlignment="1">
      <alignment horizontal="center" vertical="center"/>
    </xf>
    <xf numFmtId="9" fontId="36" fillId="0" borderId="51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9" fontId="36" fillId="0" borderId="63" xfId="0" applyNumberFormat="1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9" fontId="36" fillId="0" borderId="71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9" fontId="36" fillId="0" borderId="51" xfId="1" applyFont="1" applyBorder="1" applyAlignment="1">
      <alignment horizontal="center" vertical="center"/>
    </xf>
    <xf numFmtId="9" fontId="36" fillId="0" borderId="45" xfId="1" applyFont="1" applyBorder="1" applyAlignment="1">
      <alignment horizontal="center" vertical="center"/>
    </xf>
    <xf numFmtId="0" fontId="39" fillId="0" borderId="31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left" vertical="center" wrapText="1"/>
    </xf>
    <xf numFmtId="10" fontId="36" fillId="10" borderId="11" xfId="1" applyNumberFormat="1" applyFont="1" applyFill="1" applyBorder="1" applyAlignment="1">
      <alignment horizontal="center" vertical="center" wrapText="1"/>
    </xf>
    <xf numFmtId="10" fontId="36" fillId="10" borderId="14" xfId="1" applyNumberFormat="1" applyFont="1" applyFill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9" fontId="36" fillId="6" borderId="71" xfId="1" applyFont="1" applyFill="1" applyBorder="1" applyAlignment="1">
      <alignment horizontal="center" vertical="center"/>
    </xf>
    <xf numFmtId="9" fontId="36" fillId="6" borderId="46" xfId="1" applyFont="1" applyFill="1" applyBorder="1" applyAlignment="1">
      <alignment horizontal="center" vertical="center"/>
    </xf>
    <xf numFmtId="165" fontId="37" fillId="13" borderId="81" xfId="0" applyNumberFormat="1" applyFont="1" applyFill="1" applyBorder="1" applyAlignment="1">
      <alignment horizontal="center" vertical="center"/>
    </xf>
    <xf numFmtId="165" fontId="37" fillId="13" borderId="44" xfId="0" applyNumberFormat="1" applyFont="1" applyFill="1" applyBorder="1" applyAlignment="1">
      <alignment horizontal="center" vertical="center"/>
    </xf>
    <xf numFmtId="165" fontId="37" fillId="13" borderId="77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165" fontId="37" fillId="12" borderId="30" xfId="0" applyNumberFormat="1" applyFont="1" applyFill="1" applyBorder="1" applyAlignment="1">
      <alignment horizontal="center" vertical="center"/>
    </xf>
    <xf numFmtId="165" fontId="37" fillId="12" borderId="75" xfId="0" applyNumberFormat="1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/>
    </xf>
    <xf numFmtId="165" fontId="38" fillId="11" borderId="31" xfId="0" applyNumberFormat="1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 wrapText="1"/>
    </xf>
    <xf numFmtId="165" fontId="38" fillId="11" borderId="31" xfId="0" applyNumberFormat="1" applyFont="1" applyFill="1" applyBorder="1" applyAlignment="1">
      <alignment horizontal="center" vertical="center" wrapText="1"/>
    </xf>
    <xf numFmtId="165" fontId="38" fillId="11" borderId="1" xfId="0" applyNumberFormat="1" applyFont="1" applyFill="1" applyBorder="1" applyAlignment="1">
      <alignment horizontal="center" vertical="center"/>
    </xf>
    <xf numFmtId="165" fontId="38" fillId="11" borderId="2" xfId="0" applyNumberFormat="1" applyFont="1" applyFill="1" applyBorder="1" applyAlignment="1">
      <alignment horizontal="center" vertical="center"/>
    </xf>
    <xf numFmtId="165" fontId="38" fillId="11" borderId="3" xfId="0" applyNumberFormat="1" applyFont="1" applyFill="1" applyBorder="1" applyAlignment="1">
      <alignment horizontal="center" vertical="center"/>
    </xf>
    <xf numFmtId="10" fontId="36" fillId="0" borderId="30" xfId="1" applyNumberFormat="1" applyFont="1" applyBorder="1" applyAlignment="1">
      <alignment horizontal="left" vertical="center" wrapText="1"/>
    </xf>
    <xf numFmtId="10" fontId="36" fillId="0" borderId="58" xfId="1" applyNumberFormat="1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1" fontId="36" fillId="0" borderId="32" xfId="0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0" fontId="39" fillId="8" borderId="38" xfId="0" applyFont="1" applyFill="1" applyBorder="1" applyAlignment="1">
      <alignment horizontal="left" vertical="center" wrapText="1"/>
    </xf>
    <xf numFmtId="0" fontId="39" fillId="8" borderId="74" xfId="0" applyFont="1" applyFill="1" applyBorder="1" applyAlignment="1">
      <alignment horizontal="left" vertical="center" wrapText="1"/>
    </xf>
    <xf numFmtId="0" fontId="39" fillId="8" borderId="63" xfId="0" applyFont="1" applyFill="1" applyBorder="1" applyAlignment="1">
      <alignment horizontal="left" vertical="center" wrapText="1"/>
    </xf>
    <xf numFmtId="0" fontId="39" fillId="8" borderId="66" xfId="0" applyFont="1" applyFill="1" applyBorder="1" applyAlignment="1">
      <alignment horizontal="left" vertical="center" wrapText="1"/>
    </xf>
    <xf numFmtId="0" fontId="39" fillId="8" borderId="34" xfId="0" applyFont="1" applyFill="1" applyBorder="1" applyAlignment="1">
      <alignment horizontal="left" vertical="center" wrapText="1"/>
    </xf>
    <xf numFmtId="0" fontId="39" fillId="8" borderId="28" xfId="0" applyFont="1" applyFill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10" fontId="36" fillId="0" borderId="40" xfId="1" applyNumberFormat="1" applyFont="1" applyBorder="1" applyAlignment="1">
      <alignment horizontal="center" vertical="center"/>
    </xf>
    <xf numFmtId="10" fontId="36" fillId="0" borderId="8" xfId="1" applyNumberFormat="1" applyFont="1" applyBorder="1" applyAlignment="1">
      <alignment horizontal="center" vertical="center"/>
    </xf>
    <xf numFmtId="1" fontId="36" fillId="0" borderId="40" xfId="0" applyNumberFormat="1" applyFont="1" applyBorder="1" applyAlignment="1">
      <alignment horizontal="center" vertical="center" wrapText="1"/>
    </xf>
    <xf numFmtId="1" fontId="36" fillId="0" borderId="8" xfId="0" applyNumberFormat="1" applyFont="1" applyBorder="1" applyAlignment="1">
      <alignment horizontal="center" vertical="center" wrapText="1"/>
    </xf>
    <xf numFmtId="165" fontId="36" fillId="0" borderId="40" xfId="0" applyNumberFormat="1" applyFont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6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9" fillId="0" borderId="63" xfId="0" applyFont="1" applyBorder="1" applyAlignment="1">
      <alignment horizontal="left" vertical="center" wrapText="1"/>
    </xf>
    <xf numFmtId="0" fontId="39" fillId="0" borderId="6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0" fontId="38" fillId="11" borderId="23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10" fontId="36" fillId="4" borderId="9" xfId="1" applyNumberFormat="1" applyFont="1" applyFill="1" applyBorder="1" applyAlignment="1">
      <alignment horizontal="center" vertical="center" wrapText="1"/>
    </xf>
    <xf numFmtId="10" fontId="36" fillId="4" borderId="12" xfId="1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10" fontId="36" fillId="0" borderId="59" xfId="1" applyNumberFormat="1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9" fillId="0" borderId="29" xfId="0" quotePrefix="1" applyFont="1" applyBorder="1" applyAlignment="1">
      <alignment horizontal="left" vertical="center" wrapText="1"/>
    </xf>
    <xf numFmtId="0" fontId="39" fillId="0" borderId="89" xfId="0" applyFont="1" applyBorder="1" applyAlignment="1">
      <alignment horizontal="left" vertical="center" wrapText="1"/>
    </xf>
    <xf numFmtId="0" fontId="39" fillId="8" borderId="93" xfId="0" applyFont="1" applyFill="1" applyBorder="1" applyAlignment="1">
      <alignment horizontal="left" vertical="center" wrapText="1"/>
    </xf>
    <xf numFmtId="0" fontId="39" fillId="8" borderId="94" xfId="0" applyFont="1" applyFill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6" fontId="36" fillId="6" borderId="29" xfId="1" applyNumberFormat="1" applyFont="1" applyFill="1" applyBorder="1" applyAlignment="1">
      <alignment horizontal="center" vertical="center" wrapText="1"/>
    </xf>
    <xf numFmtId="6" fontId="36" fillId="6" borderId="32" xfId="1" applyNumberFormat="1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10" fontId="36" fillId="0" borderId="29" xfId="0" applyNumberFormat="1" applyFont="1" applyBorder="1" applyAlignment="1">
      <alignment horizontal="center" vertical="center"/>
    </xf>
    <xf numFmtId="10" fontId="36" fillId="0" borderId="32" xfId="0" applyNumberFormat="1" applyFont="1" applyBorder="1" applyAlignment="1">
      <alignment horizontal="center" vertical="center"/>
    </xf>
    <xf numFmtId="0" fontId="36" fillId="7" borderId="29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165" fontId="38" fillId="11" borderId="22" xfId="0" applyNumberFormat="1" applyFont="1" applyFill="1" applyBorder="1" applyAlignment="1">
      <alignment horizontal="center" vertical="center"/>
    </xf>
    <xf numFmtId="165" fontId="38" fillId="11" borderId="34" xfId="0" applyNumberFormat="1" applyFont="1" applyFill="1" applyBorder="1" applyAlignment="1">
      <alignment horizontal="center" vertical="center"/>
    </xf>
    <xf numFmtId="165" fontId="37" fillId="5" borderId="22" xfId="0" applyNumberFormat="1" applyFont="1" applyFill="1" applyBorder="1" applyAlignment="1">
      <alignment horizontal="center" vertical="center"/>
    </xf>
    <xf numFmtId="165" fontId="37" fillId="5" borderId="34" xfId="0" applyNumberFormat="1" applyFont="1" applyFill="1" applyBorder="1" applyAlignment="1">
      <alignment horizontal="center" vertical="center"/>
    </xf>
    <xf numFmtId="165" fontId="37" fillId="5" borderId="30" xfId="0" applyNumberFormat="1" applyFont="1" applyFill="1" applyBorder="1" applyAlignment="1">
      <alignment horizontal="center" vertical="center"/>
    </xf>
    <xf numFmtId="165" fontId="37" fillId="5" borderId="24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7" fillId="5" borderId="75" xfId="0" applyNumberFormat="1" applyFont="1" applyFill="1" applyBorder="1" applyAlignment="1">
      <alignment horizontal="center" vertical="center"/>
    </xf>
    <xf numFmtId="165" fontId="37" fillId="5" borderId="27" xfId="0" applyNumberFormat="1" applyFont="1" applyFill="1" applyBorder="1" applyAlignment="1">
      <alignment horizontal="center" vertical="center"/>
    </xf>
    <xf numFmtId="165" fontId="37" fillId="5" borderId="28" xfId="0" applyNumberFormat="1" applyFont="1" applyFill="1" applyBorder="1" applyAlignment="1">
      <alignment horizontal="center" vertical="center"/>
    </xf>
    <xf numFmtId="165" fontId="37" fillId="5" borderId="58" xfId="0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10" fontId="36" fillId="6" borderId="34" xfId="1" applyNumberFormat="1" applyFont="1" applyFill="1" applyBorder="1" applyAlignment="1">
      <alignment horizontal="center" vertical="center"/>
    </xf>
    <xf numFmtId="10" fontId="36" fillId="6" borderId="28" xfId="1" applyNumberFormat="1" applyFont="1" applyFill="1" applyBorder="1" applyAlignment="1">
      <alignment horizontal="center" vertical="center"/>
    </xf>
    <xf numFmtId="10" fontId="36" fillId="0" borderId="76" xfId="1" applyNumberFormat="1" applyFont="1" applyBorder="1" applyAlignment="1">
      <alignment horizontal="center" vertical="center"/>
    </xf>
    <xf numFmtId="10" fontId="36" fillId="10" borderId="67" xfId="1" applyNumberFormat="1" applyFont="1" applyFill="1" applyBorder="1" applyAlignment="1">
      <alignment horizontal="center" vertical="center" wrapText="1"/>
    </xf>
    <xf numFmtId="1" fontId="36" fillId="0" borderId="76" xfId="0" applyNumberFormat="1" applyFont="1" applyBorder="1" applyAlignment="1">
      <alignment horizontal="center" vertical="center" wrapText="1"/>
    </xf>
    <xf numFmtId="10" fontId="36" fillId="4" borderId="70" xfId="1" applyNumberFormat="1" applyFont="1" applyFill="1" applyBorder="1" applyAlignment="1">
      <alignment horizontal="center" vertical="center" wrapText="1"/>
    </xf>
    <xf numFmtId="10" fontId="36" fillId="3" borderId="10" xfId="1" applyNumberFormat="1" applyFont="1" applyFill="1" applyBorder="1" applyAlignment="1">
      <alignment horizontal="center" vertical="center" wrapText="1"/>
    </xf>
    <xf numFmtId="10" fontId="36" fillId="3" borderId="15" xfId="1" applyNumberFormat="1" applyFont="1" applyFill="1" applyBorder="1" applyAlignment="1">
      <alignment horizontal="center" vertical="center" wrapText="1"/>
    </xf>
    <xf numFmtId="165" fontId="36" fillId="0" borderId="76" xfId="0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left" vertical="center" wrapText="1"/>
    </xf>
    <xf numFmtId="10" fontId="36" fillId="3" borderId="13" xfId="1" applyNumberFormat="1" applyFont="1" applyFill="1" applyBorder="1" applyAlignment="1">
      <alignment horizontal="center" vertical="center" wrapText="1"/>
    </xf>
    <xf numFmtId="10" fontId="36" fillId="6" borderId="11" xfId="1" applyNumberFormat="1" applyFont="1" applyFill="1" applyBorder="1" applyAlignment="1">
      <alignment horizontal="center" vertical="center"/>
    </xf>
    <xf numFmtId="10" fontId="36" fillId="6" borderId="67" xfId="1" applyNumberFormat="1" applyFont="1" applyFill="1" applyBorder="1" applyAlignment="1">
      <alignment horizontal="center" vertical="center"/>
    </xf>
    <xf numFmtId="0" fontId="28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9" fontId="36" fillId="0" borderId="59" xfId="1" applyNumberFormat="1" applyFont="1" applyBorder="1" applyAlignment="1">
      <alignment horizontal="center" vertical="center"/>
    </xf>
  </cellXfs>
  <cellStyles count="4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 [0]" xfId="40" builtinId="6"/>
    <cellStyle name="Millares [0] 2" xfId="42"/>
    <cellStyle name="Millares 2" xfId="39"/>
    <cellStyle name="Millares 2 2" xfId="41"/>
    <cellStyle name="Normal" xfId="0" builtinId="0"/>
    <cellStyle name="Normal 2" xfId="2"/>
    <cellStyle name="Porcentaje" xfId="1" builtinId="5"/>
    <cellStyle name="Porcentual 2" xfId="3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856848"/>
        <c:axId val="1313834768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856848"/>
        <c:axId val="1313834768"/>
      </c:lineChart>
      <c:dateAx>
        <c:axId val="1264856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3834768"/>
        <c:crosses val="autoZero"/>
        <c:auto val="1"/>
        <c:lblOffset val="100"/>
        <c:baseTimeUnit val="months"/>
      </c:dateAx>
      <c:valAx>
        <c:axId val="1313834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485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2</xdr:col>
      <xdr:colOff>109538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4" sqref="B4"/>
    </sheetView>
  </sheetViews>
  <sheetFormatPr baseColWidth="10" defaultRowHeight="15"/>
  <cols>
    <col min="1" max="1" width="54.85546875" customWidth="1"/>
    <col min="2" max="2" width="15.42578125" bestFit="1" customWidth="1"/>
    <col min="4" max="4" width="36.85546875" customWidth="1"/>
  </cols>
  <sheetData>
    <row r="1" spans="1:5" ht="27" thickBot="1">
      <c r="A1" s="725" t="s">
        <v>464</v>
      </c>
      <c r="B1" s="726">
        <f>+AVERAGE('Tablero Estratégico'!AG6:AG29)</f>
        <v>0.71736171456908304</v>
      </c>
    </row>
    <row r="2" spans="1:5" ht="15.75" thickBot="1">
      <c r="B2" s="722"/>
    </row>
    <row r="3" spans="1:5" ht="15" customHeight="1" thickBot="1">
      <c r="A3" s="728" t="s">
        <v>463</v>
      </c>
      <c r="B3" s="728"/>
      <c r="D3" s="727" t="s">
        <v>465</v>
      </c>
      <c r="E3" s="727"/>
    </row>
    <row r="4" spans="1:5" ht="32.25" thickBot="1">
      <c r="A4" s="720" t="s">
        <v>180</v>
      </c>
      <c r="B4" s="724">
        <f>+IFERROR(AVERAGE('Tablero Estratégico'!AG6:AG7),0)</f>
        <v>0.63</v>
      </c>
      <c r="D4" s="720" t="s">
        <v>73</v>
      </c>
      <c r="E4" s="724">
        <f>+IFERROR(AVERAGE('Tablero Estratégico'!AG6:AG9,'Tablero Estratégico'!AG13),"")</f>
        <v>0.63</v>
      </c>
    </row>
    <row r="5" spans="1:5" ht="79.5" thickBot="1">
      <c r="A5" s="720" t="s">
        <v>181</v>
      </c>
      <c r="B5" s="724" t="str">
        <f>+IFERROR(AVERAGE('Tablero Estratégico'!AG8:AG11),"")</f>
        <v/>
      </c>
      <c r="D5" s="720" t="s">
        <v>74</v>
      </c>
      <c r="E5" s="724" t="str">
        <f>+IFERROR(AVERAGE('Tablero Estratégico'!AG10:AG11),"")</f>
        <v/>
      </c>
    </row>
    <row r="6" spans="1:5" ht="48" thickBot="1">
      <c r="A6" s="718" t="s">
        <v>190</v>
      </c>
      <c r="B6" s="724" t="str">
        <f>+IFERROR(AVERAGE('Tablero Estratégico'!AG12),"")</f>
        <v/>
      </c>
      <c r="D6" s="721" t="s">
        <v>436</v>
      </c>
      <c r="E6" s="724">
        <f>+IFERROR(AVERAGE('Tablero Estratégico'!AG12,'Tablero Estratégico'!AG24),"")</f>
        <v>0.99757894736842112</v>
      </c>
    </row>
    <row r="7" spans="1:5" ht="63.75" thickBot="1">
      <c r="A7" s="719" t="s">
        <v>178</v>
      </c>
      <c r="B7" s="724" t="str">
        <f>+IFERROR(AVERAGE('Tablero Estratégico'!AG13),"")</f>
        <v/>
      </c>
      <c r="D7" s="720" t="s">
        <v>48</v>
      </c>
      <c r="E7" s="724" t="str">
        <f>+IFERROR(AVERAGE('Tablero Estratégico'!AG14:AG17),"")</f>
        <v/>
      </c>
    </row>
    <row r="8" spans="1:5" ht="63.75" thickBot="1">
      <c r="A8" s="719" t="s">
        <v>182</v>
      </c>
      <c r="B8" s="724" t="str">
        <f>+IFERROR(AVERAGE('Tablero Estratégico'!AG14),"")</f>
        <v/>
      </c>
      <c r="D8" s="723" t="s">
        <v>75</v>
      </c>
      <c r="E8" s="724" t="str">
        <f>+IFERROR(AVERAGE('Tablero Estratégico'!AG18:AG19),"")</f>
        <v/>
      </c>
    </row>
    <row r="9" spans="1:5" ht="32.25" thickBot="1">
      <c r="A9" s="719" t="s">
        <v>183</v>
      </c>
      <c r="B9" s="724" t="str">
        <f>+IFERROR(AVERAGE('Tablero Estratégico'!AG15),"")</f>
        <v/>
      </c>
      <c r="D9" s="720" t="s">
        <v>79</v>
      </c>
      <c r="E9" s="724" t="str">
        <f>+IFERROR(AVERAGE('Tablero Estratégico'!AG20:AG21),"")</f>
        <v/>
      </c>
    </row>
    <row r="10" spans="1:5" ht="32.25" thickBot="1">
      <c r="A10" s="720" t="s">
        <v>184</v>
      </c>
      <c r="B10" s="724" t="str">
        <f>+IFERROR(AVERAGE('Tablero Estratégico'!AG16),"")</f>
        <v/>
      </c>
      <c r="D10" s="720" t="s">
        <v>438</v>
      </c>
      <c r="E10" s="724" t="str">
        <f>+IFERROR(AVERAGE('Tablero Estratégico'!AG22),"")</f>
        <v/>
      </c>
    </row>
    <row r="11" spans="1:5" ht="32.25" thickBot="1">
      <c r="A11" s="720" t="s">
        <v>185</v>
      </c>
      <c r="B11" s="724" t="str">
        <f>+IFERROR(AVERAGE('Tablero Estratégico'!AG17),"")</f>
        <v/>
      </c>
      <c r="D11" s="720" t="s">
        <v>72</v>
      </c>
      <c r="E11" s="724">
        <f>+IFERROR(AVERAGE('Tablero Estratégico'!AG27),"")</f>
        <v>2.8736842105263161E-2</v>
      </c>
    </row>
    <row r="12" spans="1:5" ht="63.75" thickBot="1">
      <c r="A12" s="723" t="s">
        <v>177</v>
      </c>
      <c r="B12" s="724" t="str">
        <f>+IFERROR(AVERAGE('Tablero Estratégico'!AG18:AG19),"")</f>
        <v/>
      </c>
      <c r="D12" s="719" t="s">
        <v>81</v>
      </c>
      <c r="E12" s="724">
        <f>+IFERROR(AVERAGE('Tablero Estratégico'!AG26),"")</f>
        <v>0.77110893581063666</v>
      </c>
    </row>
    <row r="13" spans="1:5" ht="16.5" thickBot="1">
      <c r="A13" s="730" t="s">
        <v>187</v>
      </c>
      <c r="B13" s="729" t="str">
        <f>+IFERROR(AVERAGE('Tablero Estratégico'!AG20:AG21),"")</f>
        <v/>
      </c>
      <c r="D13" s="719" t="s">
        <v>142</v>
      </c>
      <c r="E13" s="724">
        <f>+IFERROR(AVERAGE('Tablero Estratégico'!AG28),"")</f>
        <v>0.93</v>
      </c>
    </row>
    <row r="14" spans="1:5" ht="32.25" thickBot="1">
      <c r="A14" s="730"/>
      <c r="B14" s="729"/>
      <c r="D14" s="719" t="s">
        <v>77</v>
      </c>
      <c r="E14" s="724">
        <f>+IFERROR(AVERAGE('Tablero Estratégico'!AG29),"")</f>
        <v>0.94674556213017758</v>
      </c>
    </row>
    <row r="15" spans="1:5" ht="48" thickBot="1">
      <c r="A15" s="719" t="s">
        <v>179</v>
      </c>
      <c r="B15" s="724"/>
    </row>
    <row r="16" spans="1:5" ht="16.5" thickBot="1">
      <c r="A16" s="719" t="s">
        <v>188</v>
      </c>
      <c r="B16" s="724" t="str">
        <f>+IFERROR(AVERAGE('Tablero Estratégico'!AG23),"")</f>
        <v/>
      </c>
    </row>
    <row r="17" spans="1:2" ht="32.25" thickBot="1">
      <c r="A17" s="720" t="s">
        <v>186</v>
      </c>
      <c r="B17" s="724">
        <f>+IFERROR(AVERAGE('Tablero Estratégico'!AG24:AG27),"")</f>
        <v>0.59914157509477362</v>
      </c>
    </row>
    <row r="18" spans="1:2" ht="63.75" thickBot="1">
      <c r="A18" s="720" t="s">
        <v>189</v>
      </c>
      <c r="B18" s="724">
        <f>+IFERROR(AVERAGE('Tablero Estratégico'!AG28:AG29),"")</f>
        <v>0.93837278106508881</v>
      </c>
    </row>
    <row r="19" spans="1:2" ht="15" customHeight="1"/>
    <row r="20" spans="1:2" ht="15.75" customHeight="1"/>
  </sheetData>
  <mergeCells count="4">
    <mergeCell ref="D3:E3"/>
    <mergeCell ref="A3:B3"/>
    <mergeCell ref="B13:B14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P36"/>
  <sheetViews>
    <sheetView tabSelected="1" topLeftCell="A3" zoomScale="40" zoomScaleNormal="40" zoomScalePageLayoutView="10" workbookViewId="0">
      <pane xSplit="7" ySplit="3" topLeftCell="L6" activePane="bottomRight" state="frozen"/>
      <selection activeCell="A3" sqref="A3"/>
      <selection pane="topRight" activeCell="I3" sqref="I3"/>
      <selection pane="bottomLeft" activeCell="A6" sqref="A6"/>
      <selection pane="bottomRight" activeCell="N4" sqref="N4"/>
    </sheetView>
  </sheetViews>
  <sheetFormatPr baseColWidth="10" defaultColWidth="10.85546875" defaultRowHeight="26.25"/>
  <cols>
    <col min="1" max="1" width="40.140625" style="515" customWidth="1"/>
    <col min="2" max="2" width="34.140625" style="515" customWidth="1"/>
    <col min="3" max="3" width="62.5703125" style="517" customWidth="1"/>
    <col min="4" max="4" width="6.5703125" style="515" bestFit="1" customWidth="1"/>
    <col min="5" max="5" width="35.85546875" style="515" customWidth="1"/>
    <col min="6" max="6" width="23.42578125" style="516" customWidth="1"/>
    <col min="7" max="7" width="47.42578125" style="515" customWidth="1"/>
    <col min="8" max="8" width="42.42578125" style="515" customWidth="1"/>
    <col min="9" max="9" width="14.140625" style="515" customWidth="1"/>
    <col min="10" max="10" width="19.7109375" style="515" customWidth="1"/>
    <col min="11" max="11" width="23.28515625" style="515" customWidth="1"/>
    <col min="12" max="12" width="30.140625" style="515" bestFit="1" customWidth="1"/>
    <col min="13" max="13" width="20.5703125" style="515" customWidth="1"/>
    <col min="14" max="14" width="18.85546875" style="517" customWidth="1"/>
    <col min="15" max="15" width="23.5703125" style="517" customWidth="1"/>
    <col min="16" max="16" width="20.7109375" style="517" customWidth="1"/>
    <col min="17" max="19" width="17.42578125" style="515" hidden="1" customWidth="1"/>
    <col min="20" max="20" width="31.7109375" style="515" customWidth="1"/>
    <col min="21" max="31" width="31.7109375" style="515" hidden="1" customWidth="1"/>
    <col min="32" max="32" width="145" style="517" customWidth="1"/>
    <col min="33" max="33" width="13" style="515" hidden="1" customWidth="1"/>
    <col min="34" max="34" width="5.85546875" style="515" bestFit="1" customWidth="1"/>
    <col min="35" max="35" width="8.42578125" style="515" bestFit="1" customWidth="1"/>
    <col min="36" max="36" width="11.85546875" style="515" customWidth="1"/>
    <col min="37" max="37" width="9.140625" style="515" bestFit="1" customWidth="1"/>
    <col min="38" max="38" width="11.85546875" style="515" customWidth="1"/>
    <col min="39" max="39" width="10.42578125" style="515" bestFit="1" customWidth="1"/>
    <col min="40" max="52" width="10.85546875" style="515"/>
    <col min="53" max="58" width="9.42578125" style="515" customWidth="1"/>
    <col min="59" max="16384" width="10.85546875" style="515"/>
  </cols>
  <sheetData>
    <row r="1" spans="1:42" ht="409.5" customHeight="1" thickBot="1">
      <c r="A1" s="801" t="s">
        <v>191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3"/>
    </row>
    <row r="2" spans="1:42" ht="27" thickBot="1">
      <c r="AG2" s="518"/>
      <c r="AH2" s="518"/>
      <c r="AI2" s="518"/>
      <c r="AJ2" s="518"/>
      <c r="AK2" s="518"/>
      <c r="AL2" s="518"/>
      <c r="AM2" s="518"/>
      <c r="AN2" s="518"/>
      <c r="AO2" s="518"/>
      <c r="AP2" s="518"/>
    </row>
    <row r="3" spans="1:42" s="519" customFormat="1" ht="27" thickBot="1">
      <c r="A3" s="825" t="s">
        <v>393</v>
      </c>
      <c r="B3" s="843" t="s">
        <v>33</v>
      </c>
      <c r="C3" s="845" t="s">
        <v>431</v>
      </c>
      <c r="D3" s="771" t="s">
        <v>292</v>
      </c>
      <c r="E3" s="828"/>
      <c r="F3" s="841" t="s">
        <v>430</v>
      </c>
      <c r="G3" s="767" t="s">
        <v>392</v>
      </c>
      <c r="H3" s="771" t="s">
        <v>391</v>
      </c>
      <c r="I3" s="825" t="s">
        <v>449</v>
      </c>
      <c r="J3" s="773" t="s">
        <v>390</v>
      </c>
      <c r="K3" s="775" t="s">
        <v>404</v>
      </c>
      <c r="L3" s="760" t="s">
        <v>405</v>
      </c>
      <c r="M3" s="773" t="s">
        <v>40</v>
      </c>
      <c r="N3" s="777" t="s">
        <v>394</v>
      </c>
      <c r="O3" s="778"/>
      <c r="P3" s="779"/>
      <c r="Q3" s="873"/>
      <c r="R3" s="874"/>
      <c r="S3" s="875"/>
      <c r="T3" s="871" t="s">
        <v>398</v>
      </c>
      <c r="U3" s="872"/>
      <c r="V3" s="872"/>
      <c r="W3" s="872"/>
      <c r="X3" s="872"/>
      <c r="Y3" s="872"/>
      <c r="Z3" s="872"/>
      <c r="AA3" s="872"/>
      <c r="AB3" s="872"/>
      <c r="AC3" s="872"/>
      <c r="AD3" s="872"/>
      <c r="AE3" s="872"/>
      <c r="AF3" s="779"/>
      <c r="AG3" s="521"/>
      <c r="AH3" s="521"/>
      <c r="AI3" s="521"/>
      <c r="AJ3" s="521"/>
      <c r="AK3" s="521"/>
      <c r="AL3" s="521"/>
      <c r="AM3" s="521"/>
      <c r="AN3" s="520"/>
      <c r="AO3" s="520"/>
    </row>
    <row r="4" spans="1:42" s="519" customFormat="1">
      <c r="A4" s="826"/>
      <c r="B4" s="844"/>
      <c r="C4" s="846"/>
      <c r="D4" s="772"/>
      <c r="E4" s="829"/>
      <c r="F4" s="842"/>
      <c r="G4" s="768"/>
      <c r="H4" s="772"/>
      <c r="I4" s="826"/>
      <c r="J4" s="774"/>
      <c r="K4" s="776"/>
      <c r="L4" s="761"/>
      <c r="M4" s="774"/>
      <c r="N4" s="522" t="s">
        <v>395</v>
      </c>
      <c r="O4" s="523" t="s">
        <v>396</v>
      </c>
      <c r="P4" s="524" t="s">
        <v>397</v>
      </c>
      <c r="Q4" s="876"/>
      <c r="R4" s="877"/>
      <c r="S4" s="878"/>
      <c r="T4" s="522" t="s">
        <v>451</v>
      </c>
      <c r="U4" s="523" t="s">
        <v>194</v>
      </c>
      <c r="V4" s="523" t="s">
        <v>195</v>
      </c>
      <c r="W4" s="523" t="s">
        <v>196</v>
      </c>
      <c r="X4" s="523" t="s">
        <v>318</v>
      </c>
      <c r="Y4" s="523" t="s">
        <v>319</v>
      </c>
      <c r="Z4" s="523" t="s">
        <v>375</v>
      </c>
      <c r="AA4" s="523" t="s">
        <v>401</v>
      </c>
      <c r="AB4" s="523" t="s">
        <v>454</v>
      </c>
      <c r="AC4" s="523" t="s">
        <v>455</v>
      </c>
      <c r="AD4" s="523" t="s">
        <v>452</v>
      </c>
      <c r="AE4" s="524" t="s">
        <v>453</v>
      </c>
      <c r="AF4" s="769" t="s">
        <v>163</v>
      </c>
      <c r="AG4" s="521"/>
      <c r="AH4" s="521"/>
      <c r="AI4" s="521"/>
      <c r="AJ4" s="521"/>
      <c r="AK4" s="521"/>
      <c r="AL4" s="521"/>
      <c r="AM4" s="521"/>
      <c r="AN4" s="520"/>
      <c r="AO4" s="520"/>
    </row>
    <row r="5" spans="1:42" s="519" customFormat="1" ht="27" thickBot="1">
      <c r="A5" s="827"/>
      <c r="B5" s="844"/>
      <c r="C5" s="846"/>
      <c r="D5" s="772"/>
      <c r="E5" s="829"/>
      <c r="F5" s="842"/>
      <c r="G5" s="768"/>
      <c r="H5" s="772"/>
      <c r="I5" s="827"/>
      <c r="J5" s="774"/>
      <c r="K5" s="776"/>
      <c r="L5" s="761"/>
      <c r="M5" s="774"/>
      <c r="N5" s="764"/>
      <c r="O5" s="765"/>
      <c r="P5" s="766"/>
      <c r="Q5" s="879"/>
      <c r="R5" s="880"/>
      <c r="S5" s="881"/>
      <c r="T5" s="677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9"/>
      <c r="AF5" s="770"/>
      <c r="AG5" s="521"/>
      <c r="AH5" s="521"/>
      <c r="AI5" s="521"/>
      <c r="AJ5" s="521"/>
      <c r="AK5" s="521"/>
      <c r="AL5" s="521"/>
      <c r="AM5" s="521"/>
      <c r="AN5" s="520"/>
      <c r="AO5" s="520"/>
    </row>
    <row r="6" spans="1:42" ht="184.5" customHeight="1" thickBot="1">
      <c r="A6" s="782" t="s">
        <v>180</v>
      </c>
      <c r="B6" s="786" t="s">
        <v>73</v>
      </c>
      <c r="C6" s="837" t="s">
        <v>433</v>
      </c>
      <c r="D6" s="585">
        <v>1</v>
      </c>
      <c r="E6" s="586" t="s">
        <v>116</v>
      </c>
      <c r="F6" s="587" t="s">
        <v>112</v>
      </c>
      <c r="G6" s="587" t="s">
        <v>429</v>
      </c>
      <c r="H6" s="663" t="s">
        <v>156</v>
      </c>
      <c r="I6" s="670" t="s">
        <v>100</v>
      </c>
      <c r="J6" s="611" t="s">
        <v>108</v>
      </c>
      <c r="K6" s="603" t="s">
        <v>152</v>
      </c>
      <c r="L6" s="633">
        <v>0</v>
      </c>
      <c r="M6" s="552">
        <v>1</v>
      </c>
      <c r="N6" s="634">
        <v>0.94</v>
      </c>
      <c r="O6" s="695">
        <v>0.96</v>
      </c>
      <c r="P6" s="696">
        <v>1</v>
      </c>
      <c r="Q6" s="683">
        <v>0.95</v>
      </c>
      <c r="R6" s="685">
        <v>0.96</v>
      </c>
      <c r="S6" s="694">
        <v>1</v>
      </c>
      <c r="T6" s="581"/>
      <c r="U6" s="582"/>
      <c r="V6" s="582"/>
      <c r="W6" s="583"/>
      <c r="X6" s="583"/>
      <c r="Y6" s="583"/>
      <c r="Z6" s="583"/>
      <c r="AA6" s="583"/>
      <c r="AB6" s="583"/>
      <c r="AC6" s="583"/>
      <c r="AD6" s="583"/>
      <c r="AE6" s="602"/>
      <c r="AF6" s="635"/>
      <c r="AG6" s="525" t="str">
        <f>+IF(T6="","",IFERROR(T6/S6,0))</f>
        <v/>
      </c>
      <c r="AH6" s="525"/>
      <c r="AI6" s="525"/>
      <c r="AJ6" s="525"/>
      <c r="AK6" s="525"/>
      <c r="AL6" s="525"/>
      <c r="AM6" s="518"/>
      <c r="AN6" s="518"/>
      <c r="AO6" s="518"/>
    </row>
    <row r="7" spans="1:42" ht="258.75" customHeight="1" thickBot="1">
      <c r="A7" s="834"/>
      <c r="B7" s="815"/>
      <c r="C7" s="847"/>
      <c r="D7" s="568">
        <v>2</v>
      </c>
      <c r="E7" s="595" t="s">
        <v>379</v>
      </c>
      <c r="F7" s="596" t="s">
        <v>113</v>
      </c>
      <c r="G7" s="596" t="s">
        <v>411</v>
      </c>
      <c r="H7" s="653" t="s">
        <v>380</v>
      </c>
      <c r="I7" s="671" t="s">
        <v>100</v>
      </c>
      <c r="J7" s="569" t="s">
        <v>107</v>
      </c>
      <c r="K7" s="579" t="s">
        <v>152</v>
      </c>
      <c r="L7" s="533">
        <v>0.5</v>
      </c>
      <c r="M7" s="580">
        <v>0.63</v>
      </c>
      <c r="N7" s="697">
        <v>0.5</v>
      </c>
      <c r="O7" s="698">
        <v>0.63</v>
      </c>
      <c r="P7" s="699">
        <v>1</v>
      </c>
      <c r="Q7" s="684">
        <f>+N7</f>
        <v>0.5</v>
      </c>
      <c r="R7" s="685">
        <f>+O7</f>
        <v>0.63</v>
      </c>
      <c r="S7" s="686">
        <v>1</v>
      </c>
      <c r="T7" s="581">
        <v>0.63</v>
      </c>
      <c r="U7" s="582"/>
      <c r="V7" s="582"/>
      <c r="W7" s="583"/>
      <c r="X7" s="583"/>
      <c r="Y7" s="583"/>
      <c r="Z7" s="583"/>
      <c r="AA7" s="583"/>
      <c r="AB7" s="583"/>
      <c r="AC7" s="583"/>
      <c r="AD7" s="583"/>
      <c r="AE7" s="602"/>
      <c r="AF7" s="584"/>
      <c r="AG7" s="525">
        <f t="shared" ref="AG7:AG29" si="0">+IF(T7="","",IFERROR(T7/S7,0))</f>
        <v>0.63</v>
      </c>
      <c r="AH7" s="525"/>
      <c r="AI7" s="525"/>
      <c r="AJ7" s="525"/>
      <c r="AK7" s="525"/>
      <c r="AL7" s="525"/>
      <c r="AM7" s="518"/>
      <c r="AN7" s="518"/>
      <c r="AO7" s="518"/>
    </row>
    <row r="8" spans="1:42" ht="53.25" thickBot="1">
      <c r="A8" s="819" t="s">
        <v>181</v>
      </c>
      <c r="B8" s="814"/>
      <c r="C8" s="800" t="s">
        <v>432</v>
      </c>
      <c r="D8" s="607">
        <v>3</v>
      </c>
      <c r="E8" s="586" t="s">
        <v>149</v>
      </c>
      <c r="F8" s="587" t="s">
        <v>112</v>
      </c>
      <c r="G8" s="587" t="s">
        <v>150</v>
      </c>
      <c r="H8" s="663" t="s">
        <v>118</v>
      </c>
      <c r="I8" s="670" t="s">
        <v>100</v>
      </c>
      <c r="J8" s="612" t="s">
        <v>144</v>
      </c>
      <c r="K8" s="588" t="s">
        <v>152</v>
      </c>
      <c r="L8" s="589" t="s">
        <v>152</v>
      </c>
      <c r="M8" s="590" t="s">
        <v>152</v>
      </c>
      <c r="N8" s="591"/>
      <c r="O8" s="592"/>
      <c r="P8" s="593"/>
      <c r="Q8" s="683">
        <v>0</v>
      </c>
      <c r="R8" s="685">
        <v>0.85</v>
      </c>
      <c r="S8" s="686">
        <v>0.91</v>
      </c>
      <c r="T8" s="604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602"/>
      <c r="AF8" s="594" t="s">
        <v>414</v>
      </c>
      <c r="AG8" s="525" t="str">
        <f t="shared" si="0"/>
        <v/>
      </c>
      <c r="AH8" s="525"/>
      <c r="AI8" s="525"/>
      <c r="AJ8" s="525"/>
      <c r="AK8" s="525"/>
      <c r="AL8" s="525"/>
      <c r="AM8" s="518"/>
      <c r="AN8" s="518"/>
      <c r="AO8" s="518"/>
    </row>
    <row r="9" spans="1:42" ht="53.25" thickBot="1">
      <c r="A9" s="820"/>
      <c r="B9" s="816"/>
      <c r="C9" s="783"/>
      <c r="D9" s="622">
        <v>4</v>
      </c>
      <c r="E9" s="595" t="s">
        <v>117</v>
      </c>
      <c r="F9" s="596" t="s">
        <v>112</v>
      </c>
      <c r="G9" s="596" t="s">
        <v>172</v>
      </c>
      <c r="H9" s="653" t="s">
        <v>119</v>
      </c>
      <c r="I9" s="671" t="s">
        <v>100</v>
      </c>
      <c r="J9" s="569" t="s">
        <v>108</v>
      </c>
      <c r="K9" s="579">
        <v>0.88200000000000001</v>
      </c>
      <c r="L9" s="533">
        <v>0.9</v>
      </c>
      <c r="M9" s="597" t="s">
        <v>403</v>
      </c>
      <c r="N9" s="598" t="s">
        <v>376</v>
      </c>
      <c r="O9" s="698">
        <v>0.7</v>
      </c>
      <c r="P9" s="599" t="s">
        <v>456</v>
      </c>
      <c r="Q9" s="683">
        <v>0</v>
      </c>
      <c r="R9" s="685">
        <v>0.7</v>
      </c>
      <c r="S9" s="686">
        <v>0.9</v>
      </c>
      <c r="T9" s="700"/>
      <c r="U9" s="601"/>
      <c r="V9" s="601"/>
      <c r="W9" s="583"/>
      <c r="X9" s="583"/>
      <c r="Y9" s="583"/>
      <c r="Z9" s="583"/>
      <c r="AA9" s="583"/>
      <c r="AB9" s="583"/>
      <c r="AC9" s="583"/>
      <c r="AD9" s="583"/>
      <c r="AE9" s="602"/>
      <c r="AF9" s="584"/>
      <c r="AG9" s="525" t="str">
        <f t="shared" si="0"/>
        <v/>
      </c>
      <c r="AH9" s="525"/>
      <c r="AI9" s="525"/>
      <c r="AJ9" s="525"/>
      <c r="AK9" s="525"/>
      <c r="AL9" s="525"/>
      <c r="AM9" s="518"/>
      <c r="AN9" s="518"/>
      <c r="AO9" s="518"/>
    </row>
    <row r="10" spans="1:42" ht="105.75" thickBot="1">
      <c r="A10" s="820"/>
      <c r="B10" s="815" t="s">
        <v>74</v>
      </c>
      <c r="C10" s="610" t="s">
        <v>434</v>
      </c>
      <c r="D10" s="622">
        <v>5</v>
      </c>
      <c r="E10" s="641" t="s">
        <v>175</v>
      </c>
      <c r="F10" s="642" t="s">
        <v>112</v>
      </c>
      <c r="G10" s="643" t="s">
        <v>458</v>
      </c>
      <c r="H10" s="664" t="s">
        <v>192</v>
      </c>
      <c r="I10" s="671" t="s">
        <v>115</v>
      </c>
      <c r="J10" s="644" t="s">
        <v>144</v>
      </c>
      <c r="K10" s="701">
        <v>7.22</v>
      </c>
      <c r="L10" s="702">
        <v>7.71</v>
      </c>
      <c r="M10" s="703">
        <v>7.22</v>
      </c>
      <c r="N10" s="598">
        <v>7.71</v>
      </c>
      <c r="O10" s="645">
        <v>7.29</v>
      </c>
      <c r="P10" s="599">
        <v>7.22</v>
      </c>
      <c r="Q10" s="707">
        <f>+N10</f>
        <v>7.71</v>
      </c>
      <c r="R10" s="708">
        <f>+O10</f>
        <v>7.29</v>
      </c>
      <c r="S10" s="709">
        <f>+P10</f>
        <v>7.22</v>
      </c>
      <c r="T10" s="704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6"/>
      <c r="AF10" s="584"/>
      <c r="AG10" s="525" t="str">
        <f t="shared" si="0"/>
        <v/>
      </c>
      <c r="AH10" s="525"/>
      <c r="AI10" s="525"/>
      <c r="AJ10" s="525"/>
      <c r="AK10" s="525"/>
      <c r="AL10" s="525"/>
      <c r="AM10" s="518"/>
      <c r="AN10" s="518"/>
      <c r="AO10" s="518"/>
    </row>
    <row r="11" spans="1:42" ht="79.5" thickBot="1">
      <c r="A11" s="821"/>
      <c r="B11" s="816"/>
      <c r="C11" s="636" t="s">
        <v>435</v>
      </c>
      <c r="D11" s="609">
        <v>6</v>
      </c>
      <c r="E11" s="561" t="s">
        <v>125</v>
      </c>
      <c r="F11" s="562" t="s">
        <v>112</v>
      </c>
      <c r="G11" s="562" t="s">
        <v>153</v>
      </c>
      <c r="H11" s="665" t="s">
        <v>154</v>
      </c>
      <c r="I11" s="672" t="s">
        <v>100</v>
      </c>
      <c r="J11" s="613" t="s">
        <v>144</v>
      </c>
      <c r="K11" s="563">
        <v>0.91</v>
      </c>
      <c r="L11" s="614">
        <v>0.78028592927012796</v>
      </c>
      <c r="M11" s="637" t="s">
        <v>372</v>
      </c>
      <c r="N11" s="713">
        <v>0.78</v>
      </c>
      <c r="O11" s="638" t="s">
        <v>459</v>
      </c>
      <c r="P11" s="639" t="s">
        <v>457</v>
      </c>
      <c r="Q11" s="683">
        <v>0</v>
      </c>
      <c r="R11" s="685">
        <v>0.78</v>
      </c>
      <c r="S11" s="686">
        <v>0.91</v>
      </c>
      <c r="T11" s="710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2"/>
      <c r="AF11" s="640"/>
      <c r="AG11" s="525" t="str">
        <f t="shared" si="0"/>
        <v/>
      </c>
      <c r="AH11" s="525"/>
      <c r="AI11" s="525"/>
      <c r="AJ11" s="525"/>
      <c r="AK11" s="525"/>
      <c r="AL11" s="525"/>
      <c r="AM11" s="518"/>
      <c r="AN11" s="518"/>
      <c r="AO11" s="518"/>
    </row>
    <row r="12" spans="1:42" s="543" customFormat="1" ht="132" thickBot="1">
      <c r="A12" s="526" t="s">
        <v>190</v>
      </c>
      <c r="B12" s="527" t="s">
        <v>436</v>
      </c>
      <c r="C12" s="623" t="s">
        <v>437</v>
      </c>
      <c r="D12" s="528">
        <v>7</v>
      </c>
      <c r="E12" s="529" t="s">
        <v>358</v>
      </c>
      <c r="F12" s="530" t="s">
        <v>113</v>
      </c>
      <c r="G12" s="530" t="s">
        <v>355</v>
      </c>
      <c r="H12" s="666" t="s">
        <v>294</v>
      </c>
      <c r="I12" s="672" t="s">
        <v>100</v>
      </c>
      <c r="J12" s="531" t="s">
        <v>422</v>
      </c>
      <c r="K12" s="532" t="s">
        <v>152</v>
      </c>
      <c r="L12" s="533">
        <v>0.7</v>
      </c>
      <c r="M12" s="534">
        <v>0.7</v>
      </c>
      <c r="N12" s="535" t="s">
        <v>363</v>
      </c>
      <c r="O12" s="536" t="s">
        <v>406</v>
      </c>
      <c r="P12" s="537" t="s">
        <v>407</v>
      </c>
      <c r="Q12" s="683">
        <v>0</v>
      </c>
      <c r="R12" s="685">
        <v>0.5</v>
      </c>
      <c r="S12" s="686">
        <v>0.7</v>
      </c>
      <c r="T12" s="538"/>
      <c r="U12" s="539"/>
      <c r="V12" s="539"/>
      <c r="W12" s="540"/>
      <c r="X12" s="540"/>
      <c r="Y12" s="540"/>
      <c r="Z12" s="540"/>
      <c r="AA12" s="540"/>
      <c r="AB12" s="540"/>
      <c r="AC12" s="540"/>
      <c r="AD12" s="540"/>
      <c r="AE12" s="541"/>
      <c r="AF12" s="542"/>
      <c r="AG12" s="525" t="str">
        <f t="shared" si="0"/>
        <v/>
      </c>
      <c r="AH12" s="545"/>
      <c r="AI12" s="545"/>
      <c r="AJ12" s="545"/>
      <c r="AK12" s="545"/>
      <c r="AL12" s="545"/>
      <c r="AM12" s="544"/>
      <c r="AN12" s="544"/>
      <c r="AO12" s="544"/>
    </row>
    <row r="13" spans="1:42" ht="237" thickBot="1">
      <c r="A13" s="546" t="s">
        <v>178</v>
      </c>
      <c r="B13" s="625" t="s">
        <v>73</v>
      </c>
      <c r="C13" s="610" t="s">
        <v>432</v>
      </c>
      <c r="D13" s="626">
        <v>8</v>
      </c>
      <c r="E13" s="547" t="s">
        <v>122</v>
      </c>
      <c r="F13" s="548" t="s">
        <v>121</v>
      </c>
      <c r="G13" s="548" t="s">
        <v>123</v>
      </c>
      <c r="H13" s="667" t="s">
        <v>124</v>
      </c>
      <c r="I13" s="673" t="s">
        <v>100</v>
      </c>
      <c r="J13" s="549" t="s">
        <v>108</v>
      </c>
      <c r="K13" s="550" t="s">
        <v>152</v>
      </c>
      <c r="L13" s="551">
        <v>1</v>
      </c>
      <c r="M13" s="552">
        <v>1</v>
      </c>
      <c r="N13" s="553" t="s">
        <v>382</v>
      </c>
      <c r="O13" s="536" t="s">
        <v>384</v>
      </c>
      <c r="P13" s="554" t="s">
        <v>383</v>
      </c>
      <c r="Q13" s="683">
        <v>0.5</v>
      </c>
      <c r="R13" s="685">
        <v>0.72</v>
      </c>
      <c r="S13" s="686">
        <v>1</v>
      </c>
      <c r="T13" s="581"/>
      <c r="U13" s="582"/>
      <c r="V13" s="582"/>
      <c r="W13" s="583"/>
      <c r="X13" s="583"/>
      <c r="Y13" s="583"/>
      <c r="Z13" s="583"/>
      <c r="AA13" s="583"/>
      <c r="AB13" s="583"/>
      <c r="AC13" s="583"/>
      <c r="AD13" s="583"/>
      <c r="AE13" s="602"/>
      <c r="AF13" s="555"/>
      <c r="AG13" s="525" t="str">
        <f t="shared" si="0"/>
        <v/>
      </c>
      <c r="AH13" s="525"/>
      <c r="AI13" s="525"/>
      <c r="AJ13" s="525"/>
      <c r="AK13" s="525"/>
      <c r="AL13" s="525"/>
      <c r="AM13" s="518"/>
      <c r="AN13" s="518"/>
      <c r="AO13" s="518"/>
    </row>
    <row r="14" spans="1:42" ht="263.25" thickBot="1">
      <c r="A14" s="556" t="s">
        <v>182</v>
      </c>
      <c r="B14" s="786" t="s">
        <v>48</v>
      </c>
      <c r="C14" s="848" t="s">
        <v>439</v>
      </c>
      <c r="D14" s="751">
        <v>9</v>
      </c>
      <c r="E14" s="817" t="s">
        <v>126</v>
      </c>
      <c r="F14" s="822" t="s">
        <v>121</v>
      </c>
      <c r="G14" s="812" t="s">
        <v>170</v>
      </c>
      <c r="H14" s="810" t="s">
        <v>129</v>
      </c>
      <c r="I14" s="869" t="s">
        <v>100</v>
      </c>
      <c r="J14" s="808" t="s">
        <v>144</v>
      </c>
      <c r="K14" s="806" t="s">
        <v>152</v>
      </c>
      <c r="L14" s="762">
        <v>1</v>
      </c>
      <c r="M14" s="804">
        <v>1</v>
      </c>
      <c r="N14" s="830" t="s">
        <v>373</v>
      </c>
      <c r="O14" s="891" t="s">
        <v>385</v>
      </c>
      <c r="P14" s="745" t="s">
        <v>374</v>
      </c>
      <c r="Q14" s="748">
        <v>0</v>
      </c>
      <c r="R14" s="749">
        <v>0.6</v>
      </c>
      <c r="S14" s="750">
        <v>0.8</v>
      </c>
      <c r="T14" s="833"/>
      <c r="U14" s="759"/>
      <c r="V14" s="759"/>
      <c r="W14" s="759"/>
      <c r="X14" s="759"/>
      <c r="Y14" s="583"/>
      <c r="Z14" s="583"/>
      <c r="AA14" s="583"/>
      <c r="AB14" s="583"/>
      <c r="AC14" s="583"/>
      <c r="AD14" s="583"/>
      <c r="AE14" s="602"/>
      <c r="AF14" s="780"/>
      <c r="AG14" s="525" t="str">
        <f t="shared" si="0"/>
        <v/>
      </c>
      <c r="AH14" s="525"/>
      <c r="AI14" s="525"/>
      <c r="AJ14" s="525"/>
      <c r="AK14" s="525"/>
      <c r="AL14" s="525"/>
      <c r="AM14" s="518"/>
      <c r="AN14" s="518"/>
      <c r="AO14" s="518"/>
    </row>
    <row r="15" spans="1:42" ht="167.25" customHeight="1" thickBot="1">
      <c r="A15" s="557" t="s">
        <v>183</v>
      </c>
      <c r="B15" s="814"/>
      <c r="C15" s="849"/>
      <c r="D15" s="752"/>
      <c r="E15" s="818"/>
      <c r="F15" s="823"/>
      <c r="G15" s="813"/>
      <c r="H15" s="811"/>
      <c r="I15" s="870"/>
      <c r="J15" s="809"/>
      <c r="K15" s="807"/>
      <c r="L15" s="763"/>
      <c r="M15" s="805"/>
      <c r="N15" s="831"/>
      <c r="O15" s="895"/>
      <c r="P15" s="746"/>
      <c r="Q15" s="748"/>
      <c r="R15" s="749"/>
      <c r="S15" s="750"/>
      <c r="T15" s="833"/>
      <c r="U15" s="759"/>
      <c r="V15" s="759"/>
      <c r="W15" s="759"/>
      <c r="X15" s="759"/>
      <c r="Y15" s="583"/>
      <c r="Z15" s="583"/>
      <c r="AA15" s="583"/>
      <c r="AB15" s="583"/>
      <c r="AC15" s="583"/>
      <c r="AD15" s="583"/>
      <c r="AE15" s="602"/>
      <c r="AF15" s="781"/>
      <c r="AG15" s="525" t="str">
        <f t="shared" si="0"/>
        <v/>
      </c>
      <c r="AH15" s="525"/>
      <c r="AI15" s="525"/>
      <c r="AJ15" s="525"/>
      <c r="AK15" s="525"/>
      <c r="AL15" s="525"/>
      <c r="AM15" s="518"/>
      <c r="AN15" s="518"/>
      <c r="AO15" s="518"/>
    </row>
    <row r="16" spans="1:42" ht="132" thickBot="1">
      <c r="A16" s="558" t="s">
        <v>184</v>
      </c>
      <c r="B16" s="814"/>
      <c r="C16" s="837" t="s">
        <v>440</v>
      </c>
      <c r="D16" s="835">
        <v>10</v>
      </c>
      <c r="E16" s="817" t="s">
        <v>127</v>
      </c>
      <c r="F16" s="822" t="s">
        <v>121</v>
      </c>
      <c r="G16" s="812" t="s">
        <v>169</v>
      </c>
      <c r="H16" s="810" t="s">
        <v>164</v>
      </c>
      <c r="I16" s="869" t="s">
        <v>100</v>
      </c>
      <c r="J16" s="808" t="s">
        <v>144</v>
      </c>
      <c r="K16" s="806" t="s">
        <v>152</v>
      </c>
      <c r="L16" s="896">
        <v>1</v>
      </c>
      <c r="M16" s="804">
        <v>1</v>
      </c>
      <c r="N16" s="830" t="s">
        <v>373</v>
      </c>
      <c r="O16" s="891" t="s">
        <v>385</v>
      </c>
      <c r="P16" s="745" t="s">
        <v>374</v>
      </c>
      <c r="Q16" s="748">
        <v>0</v>
      </c>
      <c r="R16" s="749">
        <v>0.6</v>
      </c>
      <c r="S16" s="750">
        <v>0.8</v>
      </c>
      <c r="T16" s="747"/>
      <c r="U16" s="759"/>
      <c r="V16" s="759"/>
      <c r="W16" s="759"/>
      <c r="X16" s="759"/>
      <c r="Y16" s="759"/>
      <c r="Z16" s="759"/>
      <c r="AA16" s="583"/>
      <c r="AB16" s="583"/>
      <c r="AC16" s="583"/>
      <c r="AD16" s="583"/>
      <c r="AE16" s="602"/>
      <c r="AF16" s="753"/>
      <c r="AG16" s="525" t="str">
        <f t="shared" si="0"/>
        <v/>
      </c>
      <c r="AH16" s="525"/>
      <c r="AI16" s="525"/>
      <c r="AJ16" s="525"/>
      <c r="AK16" s="525"/>
      <c r="AL16" s="525"/>
      <c r="AM16" s="518"/>
      <c r="AN16" s="518"/>
      <c r="AO16" s="518"/>
    </row>
    <row r="17" spans="1:41" ht="165.75" customHeight="1" thickBot="1">
      <c r="A17" s="559" t="s">
        <v>185</v>
      </c>
      <c r="B17" s="814"/>
      <c r="C17" s="783"/>
      <c r="D17" s="836"/>
      <c r="E17" s="854"/>
      <c r="F17" s="824"/>
      <c r="G17" s="832"/>
      <c r="H17" s="894"/>
      <c r="I17" s="870"/>
      <c r="J17" s="893"/>
      <c r="K17" s="889"/>
      <c r="L17" s="897"/>
      <c r="M17" s="887"/>
      <c r="N17" s="890"/>
      <c r="O17" s="892"/>
      <c r="P17" s="888"/>
      <c r="Q17" s="748"/>
      <c r="R17" s="749"/>
      <c r="S17" s="750"/>
      <c r="T17" s="747"/>
      <c r="U17" s="759"/>
      <c r="V17" s="759"/>
      <c r="W17" s="759"/>
      <c r="X17" s="759"/>
      <c r="Y17" s="759"/>
      <c r="Z17" s="759"/>
      <c r="AA17" s="583"/>
      <c r="AB17" s="583"/>
      <c r="AC17" s="583"/>
      <c r="AD17" s="583"/>
      <c r="AE17" s="602"/>
      <c r="AF17" s="754"/>
      <c r="AG17" s="525" t="str">
        <f t="shared" si="0"/>
        <v/>
      </c>
      <c r="AH17" s="525"/>
      <c r="AI17" s="525"/>
      <c r="AJ17" s="525"/>
      <c r="AK17" s="525"/>
      <c r="AL17" s="525"/>
      <c r="AM17" s="518"/>
      <c r="AN17" s="518"/>
      <c r="AO17" s="518"/>
    </row>
    <row r="18" spans="1:41" ht="158.25" thickBot="1">
      <c r="A18" s="743" t="s">
        <v>177</v>
      </c>
      <c r="B18" s="850" t="s">
        <v>75</v>
      </c>
      <c r="C18" s="853" t="s">
        <v>441</v>
      </c>
      <c r="D18" s="652">
        <v>11</v>
      </c>
      <c r="E18" s="595" t="s">
        <v>424</v>
      </c>
      <c r="F18" s="596" t="s">
        <v>113</v>
      </c>
      <c r="G18" s="653" t="s">
        <v>423</v>
      </c>
      <c r="H18" s="653" t="s">
        <v>425</v>
      </c>
      <c r="I18" s="671" t="s">
        <v>100</v>
      </c>
      <c r="J18" s="654" t="s">
        <v>148</v>
      </c>
      <c r="K18" s="579" t="s">
        <v>152</v>
      </c>
      <c r="L18" s="533" t="s">
        <v>152</v>
      </c>
      <c r="M18" s="655">
        <v>0.05</v>
      </c>
      <c r="N18" s="535" t="s">
        <v>426</v>
      </c>
      <c r="O18" s="573" t="s">
        <v>427</v>
      </c>
      <c r="P18" s="537" t="s">
        <v>428</v>
      </c>
      <c r="Q18" s="683">
        <v>0</v>
      </c>
      <c r="R18" s="685">
        <v>0.01</v>
      </c>
      <c r="S18" s="686">
        <v>0.05</v>
      </c>
      <c r="T18" s="600"/>
      <c r="U18" s="601"/>
      <c r="V18" s="601"/>
      <c r="W18" s="583"/>
      <c r="X18" s="583"/>
      <c r="Y18" s="583"/>
      <c r="Z18" s="583"/>
      <c r="AA18" s="583"/>
      <c r="AB18" s="583"/>
      <c r="AC18" s="583"/>
      <c r="AD18" s="583"/>
      <c r="AE18" s="602"/>
      <c r="AF18" s="656"/>
      <c r="AG18" s="525" t="str">
        <f t="shared" si="0"/>
        <v/>
      </c>
      <c r="AH18" s="525"/>
      <c r="AI18" s="525"/>
      <c r="AJ18" s="525"/>
      <c r="AK18" s="525"/>
      <c r="AL18" s="525"/>
      <c r="AM18" s="518"/>
      <c r="AN18" s="518"/>
      <c r="AO18" s="518"/>
    </row>
    <row r="19" spans="1:41" ht="132" thickBot="1">
      <c r="A19" s="744"/>
      <c r="B19" s="744"/>
      <c r="C19" s="744"/>
      <c r="D19" s="646">
        <v>12</v>
      </c>
      <c r="E19" s="647" t="s">
        <v>167</v>
      </c>
      <c r="F19" s="648" t="s">
        <v>121</v>
      </c>
      <c r="G19" s="649" t="s">
        <v>168</v>
      </c>
      <c r="H19" s="649" t="s">
        <v>130</v>
      </c>
      <c r="I19" s="674" t="s">
        <v>100</v>
      </c>
      <c r="J19" s="650" t="s">
        <v>148</v>
      </c>
      <c r="K19" s="563">
        <v>0.97599999999999998</v>
      </c>
      <c r="L19" s="651">
        <v>0.99250000000000005</v>
      </c>
      <c r="M19" s="564">
        <v>0.95</v>
      </c>
      <c r="N19" s="620" t="s">
        <v>361</v>
      </c>
      <c r="O19" s="618" t="s">
        <v>386</v>
      </c>
      <c r="P19" s="616" t="s">
        <v>362</v>
      </c>
      <c r="Q19" s="683">
        <v>0</v>
      </c>
      <c r="R19" s="685">
        <v>0.9</v>
      </c>
      <c r="S19" s="686">
        <v>0.95</v>
      </c>
      <c r="T19" s="600"/>
      <c r="U19" s="601"/>
      <c r="V19" s="601"/>
      <c r="W19" s="583"/>
      <c r="X19" s="583"/>
      <c r="Y19" s="583"/>
      <c r="Z19" s="583"/>
      <c r="AA19" s="583"/>
      <c r="AB19" s="583"/>
      <c r="AC19" s="583"/>
      <c r="AD19" s="583"/>
      <c r="AE19" s="602"/>
      <c r="AF19" s="605"/>
      <c r="AG19" s="525" t="str">
        <f t="shared" si="0"/>
        <v/>
      </c>
      <c r="AH19" s="525"/>
      <c r="AI19" s="525"/>
      <c r="AJ19" s="525"/>
      <c r="AK19" s="525"/>
      <c r="AL19" s="525"/>
      <c r="AM19" s="518"/>
      <c r="AN19" s="518"/>
      <c r="AO19" s="518"/>
    </row>
    <row r="20" spans="1:41" ht="105.75" thickBot="1">
      <c r="A20" s="784" t="s">
        <v>187</v>
      </c>
      <c r="B20" s="786" t="s">
        <v>79</v>
      </c>
      <c r="C20" s="851" t="s">
        <v>442</v>
      </c>
      <c r="D20" s="568">
        <v>13</v>
      </c>
      <c r="E20" s="529" t="s">
        <v>137</v>
      </c>
      <c r="F20" s="530" t="s">
        <v>112</v>
      </c>
      <c r="G20" s="530" t="s">
        <v>365</v>
      </c>
      <c r="H20" s="666" t="s">
        <v>366</v>
      </c>
      <c r="I20" s="675" t="s">
        <v>100</v>
      </c>
      <c r="J20" s="569" t="s">
        <v>144</v>
      </c>
      <c r="K20" s="579">
        <v>0.41299999999999998</v>
      </c>
      <c r="L20" s="533">
        <v>0.75</v>
      </c>
      <c r="M20" s="658">
        <v>0.75</v>
      </c>
      <c r="N20" s="535" t="s">
        <v>421</v>
      </c>
      <c r="O20" s="573" t="s">
        <v>420</v>
      </c>
      <c r="P20" s="537" t="s">
        <v>419</v>
      </c>
      <c r="Q20" s="683">
        <v>0.41299999999999998</v>
      </c>
      <c r="R20" s="685">
        <v>0.5</v>
      </c>
      <c r="S20" s="686">
        <v>0.75</v>
      </c>
      <c r="T20" s="714"/>
      <c r="U20" s="715"/>
      <c r="V20" s="715"/>
      <c r="W20" s="715"/>
      <c r="X20" s="715"/>
      <c r="Y20" s="715"/>
      <c r="Z20" s="715"/>
      <c r="AA20" s="715"/>
      <c r="AB20" s="715"/>
      <c r="AC20" s="715"/>
      <c r="AD20" s="715"/>
      <c r="AE20" s="716"/>
      <c r="AF20" s="584" t="s">
        <v>418</v>
      </c>
      <c r="AG20" s="525" t="str">
        <f t="shared" si="0"/>
        <v/>
      </c>
      <c r="AH20" s="525"/>
      <c r="AI20" s="525"/>
      <c r="AJ20" s="525"/>
      <c r="AK20" s="525"/>
      <c r="AL20" s="525"/>
      <c r="AM20" s="518"/>
      <c r="AN20" s="518"/>
      <c r="AO20" s="518"/>
    </row>
    <row r="21" spans="1:41" ht="79.5" thickBot="1">
      <c r="A21" s="785"/>
      <c r="B21" s="787"/>
      <c r="C21" s="852"/>
      <c r="D21" s="608">
        <v>14</v>
      </c>
      <c r="E21" s="627" t="s">
        <v>138</v>
      </c>
      <c r="F21" s="628" t="s">
        <v>112</v>
      </c>
      <c r="G21" s="628" t="s">
        <v>316</v>
      </c>
      <c r="H21" s="668" t="s">
        <v>158</v>
      </c>
      <c r="I21" s="676" t="s">
        <v>100</v>
      </c>
      <c r="J21" s="612" t="s">
        <v>460</v>
      </c>
      <c r="K21" s="588">
        <v>0.92800000000000005</v>
      </c>
      <c r="L21" s="589">
        <v>0.84782608695652173</v>
      </c>
      <c r="M21" s="629">
        <v>0.95</v>
      </c>
      <c r="N21" s="619" t="s">
        <v>400</v>
      </c>
      <c r="O21" s="617" t="s">
        <v>399</v>
      </c>
      <c r="P21" s="615" t="s">
        <v>362</v>
      </c>
      <c r="Q21" s="687">
        <v>0</v>
      </c>
      <c r="R21" s="688">
        <v>0.92800000000000005</v>
      </c>
      <c r="S21" s="689">
        <v>0.95</v>
      </c>
      <c r="T21" s="714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6"/>
      <c r="AF21" s="657"/>
      <c r="AG21" s="525" t="str">
        <f t="shared" si="0"/>
        <v/>
      </c>
      <c r="AH21" s="525"/>
      <c r="AI21" s="525"/>
      <c r="AJ21" s="525"/>
      <c r="AK21" s="525"/>
      <c r="AL21" s="525"/>
      <c r="AM21" s="518"/>
      <c r="AN21" s="518"/>
      <c r="AO21" s="518"/>
    </row>
    <row r="22" spans="1:41" ht="196.5" customHeight="1">
      <c r="A22" s="606" t="s">
        <v>179</v>
      </c>
      <c r="B22" s="782" t="s">
        <v>438</v>
      </c>
      <c r="C22" s="837" t="s">
        <v>443</v>
      </c>
      <c r="D22" s="788">
        <v>15</v>
      </c>
      <c r="E22" s="798" t="s">
        <v>134</v>
      </c>
      <c r="F22" s="839" t="s">
        <v>114</v>
      </c>
      <c r="G22" s="796" t="s">
        <v>155</v>
      </c>
      <c r="H22" s="794" t="s">
        <v>136</v>
      </c>
      <c r="I22" s="869" t="s">
        <v>100</v>
      </c>
      <c r="J22" s="792" t="s">
        <v>148</v>
      </c>
      <c r="K22" s="790" t="s">
        <v>152</v>
      </c>
      <c r="L22" s="885">
        <v>0.98</v>
      </c>
      <c r="M22" s="883" t="s">
        <v>450</v>
      </c>
      <c r="N22" s="865" t="s">
        <v>376</v>
      </c>
      <c r="O22" s="863" t="s">
        <v>387</v>
      </c>
      <c r="P22" s="757" t="s">
        <v>369</v>
      </c>
      <c r="Q22" s="735">
        <v>0</v>
      </c>
      <c r="R22" s="737">
        <v>0.7</v>
      </c>
      <c r="S22" s="739">
        <v>0.9</v>
      </c>
      <c r="T22" s="741"/>
      <c r="U22" s="731"/>
      <c r="V22" s="731"/>
      <c r="W22" s="731"/>
      <c r="X22" s="731"/>
      <c r="Y22" s="731"/>
      <c r="Z22" s="731"/>
      <c r="AA22" s="731"/>
      <c r="AB22" s="731"/>
      <c r="AC22" s="731"/>
      <c r="AD22" s="731"/>
      <c r="AE22" s="733"/>
      <c r="AF22" s="755"/>
      <c r="AG22" s="525" t="str">
        <f t="shared" si="0"/>
        <v/>
      </c>
      <c r="AH22" s="525"/>
      <c r="AI22" s="525"/>
      <c r="AJ22" s="525"/>
      <c r="AK22" s="525"/>
      <c r="AL22" s="525"/>
      <c r="AM22" s="518"/>
      <c r="AN22" s="518"/>
      <c r="AO22" s="518"/>
    </row>
    <row r="23" spans="1:41" ht="135.75" customHeight="1" thickBot="1">
      <c r="A23" s="560" t="s">
        <v>188</v>
      </c>
      <c r="B23" s="783"/>
      <c r="C23" s="783"/>
      <c r="D23" s="789"/>
      <c r="E23" s="799"/>
      <c r="F23" s="840"/>
      <c r="G23" s="797"/>
      <c r="H23" s="795"/>
      <c r="I23" s="870"/>
      <c r="J23" s="793"/>
      <c r="K23" s="791"/>
      <c r="L23" s="886"/>
      <c r="M23" s="884"/>
      <c r="N23" s="866"/>
      <c r="O23" s="864"/>
      <c r="P23" s="758"/>
      <c r="Q23" s="736"/>
      <c r="R23" s="738"/>
      <c r="S23" s="740"/>
      <c r="T23" s="742"/>
      <c r="U23" s="732"/>
      <c r="V23" s="732"/>
      <c r="W23" s="732"/>
      <c r="X23" s="732"/>
      <c r="Y23" s="732"/>
      <c r="Z23" s="732"/>
      <c r="AA23" s="732"/>
      <c r="AB23" s="732"/>
      <c r="AC23" s="732"/>
      <c r="AD23" s="732"/>
      <c r="AE23" s="734"/>
      <c r="AF23" s="756"/>
      <c r="AG23" s="525" t="str">
        <f t="shared" si="0"/>
        <v/>
      </c>
      <c r="AH23" s="525"/>
      <c r="AI23" s="525"/>
      <c r="AJ23" s="525"/>
      <c r="AK23" s="525"/>
      <c r="AL23" s="525"/>
      <c r="AM23" s="518"/>
      <c r="AN23" s="518"/>
      <c r="AO23" s="518"/>
    </row>
    <row r="24" spans="1:41" ht="225.75" customHeight="1" thickBot="1">
      <c r="A24" s="800" t="s">
        <v>186</v>
      </c>
      <c r="B24" s="624" t="s">
        <v>436</v>
      </c>
      <c r="C24" s="837" t="s">
        <v>444</v>
      </c>
      <c r="D24" s="857">
        <v>16</v>
      </c>
      <c r="E24" s="855" t="s">
        <v>408</v>
      </c>
      <c r="F24" s="796" t="s">
        <v>114</v>
      </c>
      <c r="G24" s="796" t="s">
        <v>409</v>
      </c>
      <c r="H24" s="794" t="s">
        <v>413</v>
      </c>
      <c r="I24" s="869" t="s">
        <v>100</v>
      </c>
      <c r="J24" s="792" t="s">
        <v>107</v>
      </c>
      <c r="K24" s="861" t="s">
        <v>152</v>
      </c>
      <c r="L24" s="859" t="s">
        <v>416</v>
      </c>
      <c r="M24" s="867">
        <v>1</v>
      </c>
      <c r="N24" s="865" t="s">
        <v>381</v>
      </c>
      <c r="O24" s="863" t="s">
        <v>410</v>
      </c>
      <c r="P24" s="757" t="s">
        <v>362</v>
      </c>
      <c r="Q24" s="735">
        <v>0</v>
      </c>
      <c r="R24" s="737">
        <v>0.85</v>
      </c>
      <c r="S24" s="739">
        <v>0.95</v>
      </c>
      <c r="T24" s="741">
        <v>0.94769999999999999</v>
      </c>
      <c r="U24" s="731"/>
      <c r="V24" s="731"/>
      <c r="W24" s="731"/>
      <c r="X24" s="731"/>
      <c r="Y24" s="731"/>
      <c r="Z24" s="731"/>
      <c r="AA24" s="731"/>
      <c r="AB24" s="731"/>
      <c r="AC24" s="731"/>
      <c r="AD24" s="731"/>
      <c r="AE24" s="733"/>
      <c r="AF24" s="882" t="s">
        <v>417</v>
      </c>
      <c r="AG24" s="525">
        <f t="shared" si="0"/>
        <v>0.99757894736842112</v>
      </c>
      <c r="AH24" s="525"/>
      <c r="AI24" s="525"/>
      <c r="AJ24" s="525"/>
      <c r="AK24" s="525"/>
      <c r="AL24" s="525"/>
      <c r="AM24" s="518"/>
      <c r="AN24" s="518"/>
      <c r="AO24" s="518"/>
    </row>
    <row r="25" spans="1:41" ht="225.75" customHeight="1" thickBot="1">
      <c r="A25" s="800"/>
      <c r="B25" s="630" t="s">
        <v>72</v>
      </c>
      <c r="C25" s="838"/>
      <c r="D25" s="858"/>
      <c r="E25" s="856"/>
      <c r="F25" s="797"/>
      <c r="G25" s="797"/>
      <c r="H25" s="795"/>
      <c r="I25" s="870"/>
      <c r="J25" s="793"/>
      <c r="K25" s="862"/>
      <c r="L25" s="860"/>
      <c r="M25" s="868"/>
      <c r="N25" s="866"/>
      <c r="O25" s="864"/>
      <c r="P25" s="758"/>
      <c r="Q25" s="736"/>
      <c r="R25" s="738"/>
      <c r="S25" s="740"/>
      <c r="T25" s="742"/>
      <c r="U25" s="732"/>
      <c r="V25" s="732"/>
      <c r="W25" s="732"/>
      <c r="X25" s="732"/>
      <c r="Y25" s="732"/>
      <c r="Z25" s="732"/>
      <c r="AA25" s="732"/>
      <c r="AB25" s="732"/>
      <c r="AC25" s="732"/>
      <c r="AD25" s="732"/>
      <c r="AE25" s="734"/>
      <c r="AF25" s="838"/>
      <c r="AG25" s="525" t="str">
        <f t="shared" si="0"/>
        <v/>
      </c>
      <c r="AH25" s="525"/>
      <c r="AI25" s="525"/>
      <c r="AJ25" s="525"/>
      <c r="AK25" s="525"/>
      <c r="AL25" s="525"/>
      <c r="AM25" s="518"/>
      <c r="AN25" s="518"/>
      <c r="AO25" s="518"/>
    </row>
    <row r="26" spans="1:41" ht="96.75" customHeight="1" thickBot="1">
      <c r="A26" s="800"/>
      <c r="B26" s="610" t="s">
        <v>81</v>
      </c>
      <c r="C26" s="632" t="s">
        <v>445</v>
      </c>
      <c r="D26" s="568">
        <v>17</v>
      </c>
      <c r="E26" s="529" t="s">
        <v>140</v>
      </c>
      <c r="F26" s="530" t="s">
        <v>114</v>
      </c>
      <c r="G26" s="530" t="s">
        <v>173</v>
      </c>
      <c r="H26" s="666" t="s">
        <v>165</v>
      </c>
      <c r="I26" s="675" t="s">
        <v>100</v>
      </c>
      <c r="J26" s="569" t="s">
        <v>107</v>
      </c>
      <c r="K26" s="570">
        <v>1.0374939776423666</v>
      </c>
      <c r="L26" s="571">
        <v>1.0195417137892298</v>
      </c>
      <c r="M26" s="572" t="s">
        <v>174</v>
      </c>
      <c r="N26" s="535" t="s">
        <v>371</v>
      </c>
      <c r="O26" s="573" t="s">
        <v>388</v>
      </c>
      <c r="P26" s="537" t="s">
        <v>360</v>
      </c>
      <c r="Q26" s="717">
        <v>0.75</v>
      </c>
      <c r="R26" s="690">
        <v>0.9</v>
      </c>
      <c r="S26" s="691">
        <v>1</v>
      </c>
      <c r="T26" s="574">
        <f>3000445702/3891078889.97</f>
        <v>0.77110893581063666</v>
      </c>
      <c r="U26" s="576"/>
      <c r="V26" s="576"/>
      <c r="W26" s="575"/>
      <c r="X26" s="575"/>
      <c r="Y26" s="575"/>
      <c r="Z26" s="577"/>
      <c r="AA26" s="577"/>
      <c r="AB26" s="577"/>
      <c r="AC26" s="577"/>
      <c r="AD26" s="577"/>
      <c r="AE26" s="680"/>
      <c r="AF26" s="578" t="s">
        <v>461</v>
      </c>
      <c r="AG26" s="525">
        <f t="shared" si="0"/>
        <v>0.77110893581063666</v>
      </c>
      <c r="AH26" s="525"/>
      <c r="AI26" s="525"/>
      <c r="AJ26" s="525"/>
      <c r="AK26" s="525"/>
      <c r="AL26" s="525"/>
      <c r="AM26" s="518"/>
      <c r="AN26" s="518"/>
      <c r="AO26" s="518"/>
    </row>
    <row r="27" spans="1:41" ht="158.25" thickBot="1">
      <c r="A27" s="783"/>
      <c r="B27" s="662" t="s">
        <v>72</v>
      </c>
      <c r="C27" s="631" t="s">
        <v>446</v>
      </c>
      <c r="D27" s="568">
        <v>18</v>
      </c>
      <c r="E27" s="529" t="s">
        <v>120</v>
      </c>
      <c r="F27" s="530" t="s">
        <v>114</v>
      </c>
      <c r="G27" s="530" t="s">
        <v>171</v>
      </c>
      <c r="H27" s="666" t="s">
        <v>151</v>
      </c>
      <c r="I27" s="675" t="s">
        <v>100</v>
      </c>
      <c r="J27" s="569" t="s">
        <v>107</v>
      </c>
      <c r="K27" s="579">
        <v>0.73499078333333334</v>
      </c>
      <c r="L27" s="533">
        <v>1.4277993471428572</v>
      </c>
      <c r="M27" s="580">
        <v>0.8</v>
      </c>
      <c r="N27" s="535" t="s">
        <v>377</v>
      </c>
      <c r="O27" s="573" t="s">
        <v>462</v>
      </c>
      <c r="P27" s="537" t="s">
        <v>362</v>
      </c>
      <c r="Q27" s="683">
        <v>0</v>
      </c>
      <c r="R27" s="692">
        <v>0.73</v>
      </c>
      <c r="S27" s="693">
        <v>0.95</v>
      </c>
      <c r="T27" s="581">
        <v>2.7300000000000001E-2</v>
      </c>
      <c r="U27" s="582"/>
      <c r="V27" s="582"/>
      <c r="W27" s="583"/>
      <c r="X27" s="583"/>
      <c r="Y27" s="583"/>
      <c r="Z27" s="577"/>
      <c r="AA27" s="577"/>
      <c r="AB27" s="577"/>
      <c r="AC27" s="577"/>
      <c r="AD27" s="577"/>
      <c r="AE27" s="680"/>
      <c r="AF27" s="584" t="s">
        <v>415</v>
      </c>
      <c r="AG27" s="525">
        <f t="shared" si="0"/>
        <v>2.8736842105263161E-2</v>
      </c>
      <c r="AH27" s="525"/>
      <c r="AI27" s="525"/>
      <c r="AJ27" s="525"/>
      <c r="AK27" s="525"/>
      <c r="AL27" s="525"/>
      <c r="AM27" s="518"/>
      <c r="AN27" s="518"/>
      <c r="AO27" s="518"/>
    </row>
    <row r="28" spans="1:41" ht="224.25" customHeight="1" thickBot="1">
      <c r="A28" s="782" t="s">
        <v>189</v>
      </c>
      <c r="B28" s="661" t="s">
        <v>142</v>
      </c>
      <c r="C28" s="632" t="s">
        <v>447</v>
      </c>
      <c r="D28" s="622">
        <v>19</v>
      </c>
      <c r="E28" s="529" t="s">
        <v>160</v>
      </c>
      <c r="F28" s="530" t="s">
        <v>112</v>
      </c>
      <c r="G28" s="530" t="s">
        <v>159</v>
      </c>
      <c r="H28" s="666" t="s">
        <v>161</v>
      </c>
      <c r="I28" s="675" t="s">
        <v>100</v>
      </c>
      <c r="J28" s="569" t="s">
        <v>166</v>
      </c>
      <c r="K28" s="579">
        <v>0.67</v>
      </c>
      <c r="L28" s="533">
        <v>0.93</v>
      </c>
      <c r="M28" s="580">
        <v>1</v>
      </c>
      <c r="N28" s="535" t="s">
        <v>381</v>
      </c>
      <c r="O28" s="573" t="s">
        <v>389</v>
      </c>
      <c r="P28" s="537" t="s">
        <v>378</v>
      </c>
      <c r="Q28" s="683">
        <v>0</v>
      </c>
      <c r="R28" s="692">
        <v>0.85</v>
      </c>
      <c r="S28" s="693">
        <v>1</v>
      </c>
      <c r="T28" s="700">
        <v>0.93</v>
      </c>
      <c r="U28" s="582"/>
      <c r="V28" s="582"/>
      <c r="W28" s="583"/>
      <c r="X28" s="583"/>
      <c r="Y28" s="583"/>
      <c r="Z28" s="583"/>
      <c r="AA28" s="583"/>
      <c r="AB28" s="583"/>
      <c r="AC28" s="583"/>
      <c r="AD28" s="583"/>
      <c r="AE28" s="602"/>
      <c r="AF28" s="656"/>
      <c r="AG28" s="525">
        <f t="shared" si="0"/>
        <v>0.93</v>
      </c>
      <c r="AH28" s="525"/>
      <c r="AI28" s="525"/>
      <c r="AJ28" s="525"/>
      <c r="AK28" s="525"/>
      <c r="AL28" s="525"/>
      <c r="AM28" s="518"/>
      <c r="AN28" s="518"/>
      <c r="AO28" s="518"/>
    </row>
    <row r="29" spans="1:41" ht="158.25" thickBot="1">
      <c r="A29" s="783"/>
      <c r="B29" s="621" t="s">
        <v>77</v>
      </c>
      <c r="C29" s="636" t="s">
        <v>448</v>
      </c>
      <c r="D29" s="609">
        <v>20</v>
      </c>
      <c r="E29" s="659" t="s">
        <v>131</v>
      </c>
      <c r="F29" s="660" t="s">
        <v>114</v>
      </c>
      <c r="G29" s="660" t="s">
        <v>412</v>
      </c>
      <c r="H29" s="669" t="s">
        <v>359</v>
      </c>
      <c r="I29" s="672" t="s">
        <v>100</v>
      </c>
      <c r="J29" s="613" t="s">
        <v>107</v>
      </c>
      <c r="K29" s="563">
        <v>0.88935026868588196</v>
      </c>
      <c r="L29" s="651">
        <v>0.90985324947589097</v>
      </c>
      <c r="M29" s="564">
        <v>1</v>
      </c>
      <c r="N29" s="620" t="s">
        <v>361</v>
      </c>
      <c r="O29" s="618" t="s">
        <v>386</v>
      </c>
      <c r="P29" s="616" t="s">
        <v>362</v>
      </c>
      <c r="Q29" s="683">
        <v>0</v>
      </c>
      <c r="R29" s="692">
        <v>0.85</v>
      </c>
      <c r="S29" s="693">
        <v>0.95</v>
      </c>
      <c r="T29" s="1009">
        <v>0.89940828402366868</v>
      </c>
      <c r="U29" s="582"/>
      <c r="V29" s="582"/>
      <c r="W29" s="583"/>
      <c r="X29" s="583"/>
      <c r="Y29" s="583"/>
      <c r="Z29" s="681"/>
      <c r="AA29" s="681"/>
      <c r="AB29" s="681"/>
      <c r="AC29" s="681"/>
      <c r="AD29" s="681"/>
      <c r="AE29" s="682"/>
      <c r="AF29" s="605" t="s">
        <v>466</v>
      </c>
      <c r="AG29" s="525">
        <f>+IF(T29="","",IFERROR(T29/S29,0))</f>
        <v>0.94674556213017758</v>
      </c>
      <c r="AH29" s="525"/>
      <c r="AI29" s="525"/>
      <c r="AJ29" s="525"/>
      <c r="AK29" s="525"/>
      <c r="AL29" s="525"/>
      <c r="AM29" s="518"/>
      <c r="AN29" s="518"/>
      <c r="AO29" s="518"/>
    </row>
    <row r="30" spans="1:41">
      <c r="AF30" s="515"/>
    </row>
    <row r="31" spans="1:41">
      <c r="G31" s="566"/>
      <c r="H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</row>
    <row r="32" spans="1:41">
      <c r="G32" s="565"/>
      <c r="H32" s="565"/>
    </row>
    <row r="36" spans="5:5">
      <c r="E36" s="567"/>
    </row>
  </sheetData>
  <mergeCells count="142">
    <mergeCell ref="AF24:AF25"/>
    <mergeCell ref="H24:H25"/>
    <mergeCell ref="G24:G25"/>
    <mergeCell ref="F24:F25"/>
    <mergeCell ref="O22:O23"/>
    <mergeCell ref="N22:N23"/>
    <mergeCell ref="M22:M23"/>
    <mergeCell ref="L22:L23"/>
    <mergeCell ref="M16:M17"/>
    <mergeCell ref="P16:P17"/>
    <mergeCell ref="K16:K17"/>
    <mergeCell ref="N16:N17"/>
    <mergeCell ref="O16:O17"/>
    <mergeCell ref="J16:J17"/>
    <mergeCell ref="H16:H17"/>
    <mergeCell ref="L16:L17"/>
    <mergeCell ref="I16:I17"/>
    <mergeCell ref="L24:L25"/>
    <mergeCell ref="K24:K25"/>
    <mergeCell ref="J24:J25"/>
    <mergeCell ref="P24:P25"/>
    <mergeCell ref="O24:O25"/>
    <mergeCell ref="N24:N25"/>
    <mergeCell ref="M24:M25"/>
    <mergeCell ref="I22:I23"/>
    <mergeCell ref="I24:I25"/>
    <mergeCell ref="F3:F5"/>
    <mergeCell ref="B3:B5"/>
    <mergeCell ref="C3:C5"/>
    <mergeCell ref="C6:C7"/>
    <mergeCell ref="C8:C9"/>
    <mergeCell ref="C16:C17"/>
    <mergeCell ref="C14:C15"/>
    <mergeCell ref="B18:B19"/>
    <mergeCell ref="C20:C21"/>
    <mergeCell ref="C18:C19"/>
    <mergeCell ref="E16:E17"/>
    <mergeCell ref="A1:AF1"/>
    <mergeCell ref="W14:W15"/>
    <mergeCell ref="M14:M15"/>
    <mergeCell ref="K14:K15"/>
    <mergeCell ref="J14:J15"/>
    <mergeCell ref="H14:H15"/>
    <mergeCell ref="G14:G15"/>
    <mergeCell ref="B14:B17"/>
    <mergeCell ref="B10:B11"/>
    <mergeCell ref="B6:B9"/>
    <mergeCell ref="E14:E15"/>
    <mergeCell ref="A8:A11"/>
    <mergeCell ref="V14:V15"/>
    <mergeCell ref="F14:F15"/>
    <mergeCell ref="F16:F17"/>
    <mergeCell ref="A3:A5"/>
    <mergeCell ref="D3:E5"/>
    <mergeCell ref="N14:N15"/>
    <mergeCell ref="X14:X15"/>
    <mergeCell ref="G16:G17"/>
    <mergeCell ref="T14:T15"/>
    <mergeCell ref="W16:W17"/>
    <mergeCell ref="A6:A7"/>
    <mergeCell ref="D16:D17"/>
    <mergeCell ref="A28:A29"/>
    <mergeCell ref="A20:A21"/>
    <mergeCell ref="B20:B21"/>
    <mergeCell ref="D22:D23"/>
    <mergeCell ref="K22:K23"/>
    <mergeCell ref="J22:J23"/>
    <mergeCell ref="H22:H23"/>
    <mergeCell ref="G22:G23"/>
    <mergeCell ref="E22:E23"/>
    <mergeCell ref="A24:A27"/>
    <mergeCell ref="C24:C25"/>
    <mergeCell ref="F22:F23"/>
    <mergeCell ref="B22:B23"/>
    <mergeCell ref="C22:C23"/>
    <mergeCell ref="E24:E25"/>
    <mergeCell ref="D24:D25"/>
    <mergeCell ref="L3:L5"/>
    <mergeCell ref="L14:L15"/>
    <mergeCell ref="N5:P5"/>
    <mergeCell ref="G3:G5"/>
    <mergeCell ref="AF4:AF5"/>
    <mergeCell ref="H3:H5"/>
    <mergeCell ref="J3:J5"/>
    <mergeCell ref="K3:K5"/>
    <mergeCell ref="M3:M5"/>
    <mergeCell ref="N3:P3"/>
    <mergeCell ref="AF14:AF15"/>
    <mergeCell ref="U14:U15"/>
    <mergeCell ref="I3:I5"/>
    <mergeCell ref="T3:AF3"/>
    <mergeCell ref="Q3:S5"/>
    <mergeCell ref="O14:O15"/>
    <mergeCell ref="I14:I15"/>
    <mergeCell ref="AF16:AF17"/>
    <mergeCell ref="AF22:AF23"/>
    <mergeCell ref="P22:P23"/>
    <mergeCell ref="Q16:Q17"/>
    <mergeCell ref="R16:R17"/>
    <mergeCell ref="S16:S17"/>
    <mergeCell ref="Z16:Z17"/>
    <mergeCell ref="Y16:Y17"/>
    <mergeCell ref="U16:U17"/>
    <mergeCell ref="V16:V17"/>
    <mergeCell ref="X16:X17"/>
    <mergeCell ref="AE22:AE23"/>
    <mergeCell ref="AD22:AD23"/>
    <mergeCell ref="AC22:AC23"/>
    <mergeCell ref="AB22:AB23"/>
    <mergeCell ref="AA22:AA23"/>
    <mergeCell ref="Z22:Z23"/>
    <mergeCell ref="Y22:Y23"/>
    <mergeCell ref="X22:X23"/>
    <mergeCell ref="W22:W23"/>
    <mergeCell ref="V22:V23"/>
    <mergeCell ref="U22:U23"/>
    <mergeCell ref="A18:A19"/>
    <mergeCell ref="P14:P15"/>
    <mergeCell ref="T16:T17"/>
    <mergeCell ref="Q14:Q15"/>
    <mergeCell ref="R14:R15"/>
    <mergeCell ref="S14:S15"/>
    <mergeCell ref="D14:D15"/>
    <mergeCell ref="Q22:Q23"/>
    <mergeCell ref="S22:S23"/>
    <mergeCell ref="R22:R23"/>
    <mergeCell ref="T22:T23"/>
    <mergeCell ref="Z24:Z25"/>
    <mergeCell ref="AA24:AA25"/>
    <mergeCell ref="AB24:AB25"/>
    <mergeCell ref="AC24:AC25"/>
    <mergeCell ref="AD24:AD25"/>
    <mergeCell ref="AE24:AE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</mergeCells>
  <conditionalFormatting sqref="Q7:AE7">
    <cfRule type="colorScale" priority="62">
      <colorScale>
        <cfvo type="num" val="$Q$7"/>
        <cfvo type="num" val="$R$7"/>
        <cfvo type="num" val="$S$7"/>
        <color rgb="FFFF0000"/>
        <color rgb="FFFFEB84"/>
        <color theme="6" tint="-0.249977111117893"/>
      </colorScale>
    </cfRule>
  </conditionalFormatting>
  <conditionalFormatting sqref="Q8:AE8">
    <cfRule type="colorScale" priority="56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9:AE9">
    <cfRule type="colorScale" priority="55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T10:AE10">
    <cfRule type="colorScale" priority="54">
      <colorScale>
        <cfvo type="num" val="$Q$10"/>
        <cfvo type="num" val="$R$10"/>
        <cfvo type="num" val="$S$10"/>
        <color theme="6" tint="-0.249977111117893"/>
        <color rgb="FFFFEB84"/>
        <color rgb="FFFF0000"/>
      </colorScale>
    </cfRule>
  </conditionalFormatting>
  <conditionalFormatting sqref="Q11:AE11">
    <cfRule type="colorScale" priority="53">
      <colorScale>
        <cfvo type="num" val="$Q$11"/>
        <cfvo type="num" val="$R$11"/>
        <cfvo type="num" val="$S$11"/>
        <color rgb="FFFF0000"/>
        <color rgb="FFFFEB84"/>
        <color theme="6" tint="-0.249977111117893"/>
      </colorScale>
    </cfRule>
  </conditionalFormatting>
  <conditionalFormatting sqref="Q12:AE12">
    <cfRule type="colorScale" priority="52">
      <colorScale>
        <cfvo type="num" val="$Q$12"/>
        <cfvo type="num" val="$R$12"/>
        <cfvo type="num" val="$S$12"/>
        <color rgb="FFFF0000"/>
        <color rgb="FFFFEB84"/>
        <color theme="6" tint="-0.249977111117893"/>
      </colorScale>
    </cfRule>
  </conditionalFormatting>
  <conditionalFormatting sqref="Q13:AE13">
    <cfRule type="colorScale" priority="51">
      <colorScale>
        <cfvo type="num" val="$Q$13"/>
        <cfvo type="num" val="$R$13"/>
        <cfvo type="num" val="$S$13"/>
        <color rgb="FFFF0000"/>
        <color rgb="FFFFEB84"/>
        <color theme="6" tint="-0.249977111117893"/>
      </colorScale>
    </cfRule>
  </conditionalFormatting>
  <conditionalFormatting sqref="Q14:AE15">
    <cfRule type="colorScale" priority="50">
      <colorScale>
        <cfvo type="num" val="$Q$14"/>
        <cfvo type="num" val="$R$14"/>
        <cfvo type="num" val="$S$14"/>
        <color rgb="FFFF0000"/>
        <color rgb="FFFFEB84"/>
        <color theme="6" tint="-0.249977111117893"/>
      </colorScale>
    </cfRule>
  </conditionalFormatting>
  <conditionalFormatting sqref="Q16:AE16 Q17:Y17">
    <cfRule type="colorScale" priority="49">
      <colorScale>
        <cfvo type="num" val="$Q$16"/>
        <cfvo type="num" val="$R$16"/>
        <cfvo type="num" val="$S$16"/>
        <color rgb="FFFF0000"/>
        <color rgb="FFFFEB84"/>
        <color theme="6" tint="-0.249977111117893"/>
      </colorScale>
    </cfRule>
  </conditionalFormatting>
  <conditionalFormatting sqref="Q18:AE18">
    <cfRule type="colorScale" priority="48">
      <colorScale>
        <cfvo type="num" val="$Q$18"/>
        <cfvo type="num" val="$R$18"/>
        <cfvo type="num" val="$S$18"/>
        <color rgb="FFFF0000"/>
        <color rgb="FFFFEB84"/>
        <color theme="6" tint="-0.249977111117893"/>
      </colorScale>
    </cfRule>
  </conditionalFormatting>
  <conditionalFormatting sqref="Q20:AE20">
    <cfRule type="colorScale" priority="47">
      <colorScale>
        <cfvo type="num" val="$Q$20"/>
        <cfvo type="num" val="$R$20"/>
        <cfvo type="num" val="$S$20"/>
        <color rgb="FFFF0000"/>
        <color rgb="FFFFEB84"/>
        <color theme="6" tint="-0.249977111117893"/>
      </colorScale>
    </cfRule>
  </conditionalFormatting>
  <conditionalFormatting sqref="Q26:Y26">
    <cfRule type="colorScale" priority="44">
      <colorScale>
        <cfvo type="num" val="$Q$26"/>
        <cfvo type="num" val="$R$26"/>
        <cfvo type="num" val="$S$26"/>
        <color rgb="FFFF0000"/>
        <color rgb="FFFFEB84"/>
        <color theme="6" tint="-0.249977111117893"/>
      </colorScale>
    </cfRule>
  </conditionalFormatting>
  <conditionalFormatting sqref="Q27:AE27">
    <cfRule type="colorScale" priority="43">
      <colorScale>
        <cfvo type="num" val="$Q$27"/>
        <cfvo type="num" val="$R$27"/>
        <cfvo type="num" val="$S$27"/>
        <color rgb="FFFF0000"/>
        <color rgb="FFFFEB84"/>
        <color theme="6" tint="-0.249977111117893"/>
      </colorScale>
    </cfRule>
  </conditionalFormatting>
  <conditionalFormatting sqref="Q28:AE28">
    <cfRule type="colorScale" priority="42">
      <colorScale>
        <cfvo type="num" val="$Q$28"/>
        <cfvo type="num" val="$R$28"/>
        <cfvo type="num" val="$S$28"/>
        <color rgb="FFFF0000"/>
        <color rgb="FFFFEB84"/>
        <color theme="6" tint="-0.249977111117893"/>
      </colorScale>
    </cfRule>
  </conditionalFormatting>
  <conditionalFormatting sqref="Q29:AE29">
    <cfRule type="colorScale" priority="41">
      <colorScale>
        <cfvo type="num" val="$Q$29"/>
        <cfvo type="num" val="$R$29"/>
        <cfvo type="num" val="$S$29"/>
        <color rgb="FFFF0000"/>
        <color rgb="FFFFEB84"/>
        <color theme="6" tint="-0.249977111117893"/>
      </colorScale>
    </cfRule>
  </conditionalFormatting>
  <conditionalFormatting sqref="S6:AE6 Q6">
    <cfRule type="colorScale" priority="36">
      <colorScale>
        <cfvo type="num" val="$N$6"/>
        <cfvo type="num" val="$O$6"/>
        <cfvo type="num" val="$P$6"/>
        <color rgb="FFFF0000"/>
        <color rgb="FFFFEB84"/>
        <color theme="6" tint="-0.249977111117893"/>
      </colorScale>
    </cfRule>
  </conditionalFormatting>
  <conditionalFormatting sqref="Z26:AE26">
    <cfRule type="colorScale" priority="34">
      <colorScale>
        <cfvo type="num" val="$Q$27"/>
        <cfvo type="num" val="$R$27"/>
        <cfvo type="num" val="$S$27"/>
        <color rgb="FFFF0000"/>
        <color rgb="FFFFEB84"/>
        <color theme="6" tint="-0.249977111117893"/>
      </colorScale>
    </cfRule>
  </conditionalFormatting>
  <conditionalFormatting sqref="W6:AB6">
    <cfRule type="cellIs" dxfId="19" priority="150" operator="greaterThan">
      <formula>S6</formula>
    </cfRule>
  </conditionalFormatting>
  <conditionalFormatting sqref="AE6">
    <cfRule type="cellIs" dxfId="18" priority="152" operator="greaterThan">
      <formula>X6</formula>
    </cfRule>
  </conditionalFormatting>
  <conditionalFormatting sqref="AD6">
    <cfRule type="cellIs" dxfId="17" priority="154" operator="greaterThan">
      <formula>X6</formula>
    </cfRule>
  </conditionalFormatting>
  <conditionalFormatting sqref="AC6">
    <cfRule type="cellIs" dxfId="16" priority="156" operator="greaterThan">
      <formula>X6</formula>
    </cfRule>
  </conditionalFormatting>
  <conditionalFormatting sqref="R6">
    <cfRule type="colorScale" priority="9">
      <colorScale>
        <cfvo type="num" val="$Q$7"/>
        <cfvo type="num" val="$R$7"/>
        <cfvo type="num" val="$S$7"/>
        <color rgb="FFFF0000"/>
        <color rgb="FFFFEB84"/>
        <color theme="6" tint="-0.249977111117893"/>
      </colorScale>
    </cfRule>
  </conditionalFormatting>
  <conditionalFormatting sqref="Q10:S10">
    <cfRule type="colorScale" priority="5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Q19:S19">
    <cfRule type="colorScale" priority="4">
      <colorScale>
        <cfvo type="num" val="$Q$19"/>
        <cfvo type="num" val="$R$19"/>
        <cfvo type="num" val="$S$19"/>
        <color rgb="FFFF0000"/>
        <color rgb="FFFFEB84"/>
        <color theme="6" tint="-0.249977111117893"/>
      </colorScale>
    </cfRule>
  </conditionalFormatting>
  <conditionalFormatting sqref="Q21:AE21">
    <cfRule type="colorScale" priority="3">
      <colorScale>
        <cfvo type="num" val="$Q$21"/>
        <cfvo type="num" val="$R$21"/>
        <cfvo type="num" val="$S$21"/>
        <color rgb="FFFF0000"/>
        <color rgb="FFFFEB84"/>
        <color theme="6" tint="-0.249977111117893"/>
      </colorScale>
    </cfRule>
  </conditionalFormatting>
  <conditionalFormatting sqref="Q22:AE23">
    <cfRule type="colorScale" priority="2">
      <colorScale>
        <cfvo type="num" val="$Q$22"/>
        <cfvo type="num" val="$R$22"/>
        <cfvo type="num" val="$S$22"/>
        <color rgb="FFFF3300"/>
        <color rgb="FFFFEB84"/>
        <color theme="6" tint="-0.249977111117893"/>
      </colorScale>
    </cfRule>
  </conditionalFormatting>
  <conditionalFormatting sqref="Q24:AE25">
    <cfRule type="colorScale" priority="1">
      <colorScale>
        <cfvo type="num" val="$Q$24"/>
        <cfvo type="num" val="$R$24"/>
        <cfvo type="num" val="$S$24"/>
        <color rgb="FFFF3300"/>
        <color rgb="FFFFEB84"/>
        <color theme="6" tint="-0.249977111117893"/>
      </colorScale>
    </cfRule>
  </conditionalFormatting>
  <dataValidations count="1">
    <dataValidation type="list" allowBlank="1" showInputMessage="1" showErrorMessage="1" sqref="I6:I14 I16 I18:I22 I24 I26:I29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8"/>
  <sheetViews>
    <sheetView workbookViewId="0">
      <selection activeCell="F11" sqref="F11"/>
    </sheetView>
  </sheetViews>
  <sheetFormatPr baseColWidth="10" defaultRowHeight="15"/>
  <cols>
    <col min="6" max="6" width="39.85546875" bestFit="1" customWidth="1"/>
  </cols>
  <sheetData>
    <row r="6" spans="6:7">
      <c r="F6" t="s">
        <v>402</v>
      </c>
    </row>
    <row r="8" spans="6:7">
      <c r="F8">
        <f>195+323+318</f>
        <v>836</v>
      </c>
      <c r="G8">
        <f>232+431+250</f>
        <v>913</v>
      </c>
    </row>
    <row r="9" spans="6:7">
      <c r="F9">
        <v>2017</v>
      </c>
      <c r="G9">
        <v>2016</v>
      </c>
    </row>
    <row r="17" spans="5:6">
      <c r="E17">
        <v>2016</v>
      </c>
      <c r="F17">
        <v>2017</v>
      </c>
    </row>
    <row r="18" spans="5:6">
      <c r="E18">
        <f>2417+111+1340</f>
        <v>3868</v>
      </c>
      <c r="F18">
        <f>2479+1331</f>
        <v>3810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RowHeight="15"/>
  <sheetData>
    <row r="6" spans="5:7">
      <c r="E6" t="s">
        <v>338</v>
      </c>
      <c r="F6" t="s">
        <v>339</v>
      </c>
      <c r="G6" t="s">
        <v>340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8">
        <f>+F15/E15</f>
        <v>0.24489795918367346</v>
      </c>
      <c r="G17" s="168">
        <f>+G15/E15</f>
        <v>0.75510204081632648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activeCell="H17" sqref="H17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900" t="s">
        <v>47</v>
      </c>
      <c r="B1" s="900"/>
      <c r="C1" s="901"/>
      <c r="D1" s="902" t="s">
        <v>56</v>
      </c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3"/>
      <c r="AD1" s="903"/>
      <c r="AE1" s="904"/>
      <c r="AF1" s="916" t="s">
        <v>31</v>
      </c>
      <c r="AG1" s="916"/>
    </row>
    <row r="2" spans="1:64" ht="15" customHeight="1">
      <c r="A2" s="901"/>
      <c r="B2" s="901"/>
      <c r="C2" s="901"/>
      <c r="D2" s="905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6"/>
      <c r="AD2" s="906"/>
      <c r="AE2" s="907"/>
      <c r="AF2" s="916"/>
      <c r="AG2" s="916"/>
    </row>
    <row r="3" spans="1:64" ht="15" customHeight="1">
      <c r="A3" s="901"/>
      <c r="B3" s="901"/>
      <c r="C3" s="901"/>
      <c r="D3" s="908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09"/>
      <c r="T3" s="909"/>
      <c r="U3" s="909"/>
      <c r="V3" s="909"/>
      <c r="W3" s="909"/>
      <c r="X3" s="909"/>
      <c r="Y3" s="909"/>
      <c r="Z3" s="909"/>
      <c r="AA3" s="909"/>
      <c r="AB3" s="909"/>
      <c r="AC3" s="909"/>
      <c r="AD3" s="909"/>
      <c r="AE3" s="910"/>
      <c r="AF3" s="916"/>
      <c r="AG3" s="916"/>
    </row>
    <row r="4" spans="1:64" ht="15" customHeight="1">
      <c r="A4" s="901"/>
      <c r="B4" s="901"/>
      <c r="C4" s="901"/>
      <c r="D4" s="917" t="s">
        <v>44</v>
      </c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9"/>
      <c r="AF4" s="923" t="s">
        <v>32</v>
      </c>
      <c r="AG4" s="923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901"/>
      <c r="B5" s="901"/>
      <c r="C5" s="901"/>
      <c r="D5" s="920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2"/>
      <c r="AF5" s="924">
        <v>42731</v>
      </c>
      <c r="AG5" s="92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6" t="s">
        <v>1</v>
      </c>
      <c r="B7" s="237"/>
      <c r="C7" s="237" t="s">
        <v>2</v>
      </c>
      <c r="D7" s="237" t="s">
        <v>50</v>
      </c>
      <c r="E7" s="237" t="s">
        <v>57</v>
      </c>
      <c r="F7" s="237" t="s">
        <v>58</v>
      </c>
      <c r="G7" s="237" t="s">
        <v>3</v>
      </c>
      <c r="H7" s="237" t="s">
        <v>62</v>
      </c>
      <c r="I7" s="237" t="s">
        <v>197</v>
      </c>
      <c r="J7" s="237" t="s">
        <v>5</v>
      </c>
      <c r="K7" s="237" t="s">
        <v>6</v>
      </c>
      <c r="L7" s="237" t="s">
        <v>356</v>
      </c>
      <c r="M7" s="237" t="s">
        <v>357</v>
      </c>
      <c r="N7" s="237" t="s">
        <v>367</v>
      </c>
      <c r="O7" s="237" t="s">
        <v>4</v>
      </c>
      <c r="P7" s="238">
        <v>42736</v>
      </c>
      <c r="Q7" s="238">
        <v>42767</v>
      </c>
      <c r="R7" s="238">
        <v>42795</v>
      </c>
      <c r="S7" s="238">
        <v>42826</v>
      </c>
      <c r="T7" s="238">
        <v>42856</v>
      </c>
      <c r="U7" s="238">
        <v>42887</v>
      </c>
      <c r="V7" s="238">
        <v>42917</v>
      </c>
      <c r="W7" s="238">
        <v>42948</v>
      </c>
      <c r="X7" s="238">
        <v>42979</v>
      </c>
      <c r="Y7" s="238">
        <v>43009</v>
      </c>
      <c r="Z7" s="238">
        <v>43040</v>
      </c>
      <c r="AA7" s="238">
        <v>43070</v>
      </c>
      <c r="AB7" s="237" t="s">
        <v>10</v>
      </c>
      <c r="AC7" s="237" t="s">
        <v>54</v>
      </c>
      <c r="AD7" s="237" t="s">
        <v>60</v>
      </c>
      <c r="AE7" s="237" t="s">
        <v>9</v>
      </c>
      <c r="AF7" s="239" t="s">
        <v>11</v>
      </c>
      <c r="AG7" s="239" t="s">
        <v>12</v>
      </c>
      <c r="AH7" s="239" t="s">
        <v>55</v>
      </c>
      <c r="AI7" s="240" t="s">
        <v>318</v>
      </c>
      <c r="AJ7" s="240" t="s">
        <v>319</v>
      </c>
      <c r="AK7" s="504" t="s">
        <v>375</v>
      </c>
      <c r="AL7" s="241" t="s">
        <v>163</v>
      </c>
      <c r="AM7" s="447" t="s">
        <v>7</v>
      </c>
      <c r="AN7" s="225" t="s">
        <v>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925" t="s">
        <v>198</v>
      </c>
      <c r="B8" s="242">
        <v>1</v>
      </c>
      <c r="C8" s="243" t="s">
        <v>116</v>
      </c>
      <c r="D8" s="244" t="s">
        <v>112</v>
      </c>
      <c r="E8" s="245"/>
      <c r="F8" s="246"/>
      <c r="G8" s="243" t="s">
        <v>199</v>
      </c>
      <c r="H8" s="243" t="s">
        <v>200</v>
      </c>
      <c r="I8" s="247">
        <v>0.1111111111111111</v>
      </c>
      <c r="J8" s="248" t="s">
        <v>144</v>
      </c>
      <c r="K8" s="249" t="s">
        <v>115</v>
      </c>
      <c r="L8" s="249"/>
      <c r="M8" s="249"/>
      <c r="N8" s="249"/>
      <c r="O8" s="250">
        <v>0.1111111111111111</v>
      </c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 t="e">
        <f>LOOKUP(1000000000,P8:AA8)</f>
        <v>#N/A</v>
      </c>
      <c r="AC8" s="253"/>
      <c r="AD8" s="251" t="e">
        <f t="shared" ref="AD8:AD27" si="0">+IF(SLOPE(P8:AA8,$P$7:$AA$7)&gt;0,"Al alza",IF(SLOPE(P8:AA8,$P$7:$AA$7)&lt;0,"A la baja","Sin cambio"))</f>
        <v>#DIV/0!</v>
      </c>
      <c r="AE8" s="254" t="s">
        <v>13</v>
      </c>
      <c r="AF8" s="255">
        <v>9.6100000000000005E-3</v>
      </c>
      <c r="AG8" s="256" t="str">
        <f>IF($K$8="Sube",IF(ISERROR(AB8/$O$8)=TRUE,"",IF(AB8&gt;$O$8,AF8,AB8/$O$8*AF8)),IF(ISERROR($O$8/AB8)=TRUE,"",IF($O$8&lt;AB8,$O$8/AB8*AF8,AF8)))</f>
        <v/>
      </c>
      <c r="AH8" s="257" t="str">
        <f>IF($K$8="Sube",IF(ISERROR(AB8/$O$8)=TRUE,"",IF(AB8&gt;=$O$8,1,0)),IF(ISERROR($O$8/AB8)=TRUE,"",IF($O$8&lt;AB8,0,1)))</f>
        <v/>
      </c>
      <c r="AI8" s="258"/>
      <c r="AJ8" s="259"/>
      <c r="AK8" s="448"/>
      <c r="AL8" s="448"/>
      <c r="AM8" s="178"/>
      <c r="AN8" s="137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898"/>
      <c r="B9" s="260">
        <v>2</v>
      </c>
      <c r="C9" s="261" t="s">
        <v>201</v>
      </c>
      <c r="D9" s="262" t="s">
        <v>112</v>
      </c>
      <c r="E9" s="263"/>
      <c r="F9" s="264"/>
      <c r="G9" s="261" t="s">
        <v>202</v>
      </c>
      <c r="H9" s="261" t="s">
        <v>118</v>
      </c>
      <c r="I9" s="265" t="s">
        <v>277</v>
      </c>
      <c r="J9" s="266" t="s">
        <v>144</v>
      </c>
      <c r="K9" s="267"/>
      <c r="L9" s="267"/>
      <c r="M9" s="267"/>
      <c r="N9" s="267"/>
      <c r="O9" s="268">
        <f>+(9.9925/9.9204)-1</f>
        <v>7.2678521027376153E-3</v>
      </c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70" t="e">
        <f>LOOKUP(1000000000,P9:AA9)</f>
        <v>#N/A</v>
      </c>
      <c r="AC9" s="271"/>
      <c r="AD9" s="269" t="e">
        <f t="shared" si="0"/>
        <v>#DIV/0!</v>
      </c>
      <c r="AE9" s="272" t="s">
        <v>13</v>
      </c>
      <c r="AF9" s="273">
        <v>9.6100000000000005E-3</v>
      </c>
      <c r="AG9" s="274" t="str">
        <f>IF($K$9="Sube",IF(ISERROR(AB9/$O$9)=TRUE,"",IF(AB9&gt;$O$9,AF9,AB9/$O$9*AF9)),IF(ISERROR($O$9/AB9)=TRUE,"",IF($O$9&lt;AB9,$O$9/AB9*AF9,AF9)))</f>
        <v/>
      </c>
      <c r="AH9" s="275" t="str">
        <f>IF($K$9="Sube",IF(ISERROR(AB9/$O$9)=TRUE,"",IF(AB9&gt;=$O$9,1,0)),IF(ISERROR($O$9/AB9)=TRUE,"",IF($O$9&lt;AB9,0,1)))</f>
        <v/>
      </c>
      <c r="AI9" s="276"/>
      <c r="AJ9" s="277"/>
      <c r="AK9" s="449"/>
      <c r="AL9" s="449"/>
      <c r="AM9" s="226"/>
      <c r="AN9" s="138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898"/>
      <c r="B10" s="260">
        <v>3</v>
      </c>
      <c r="C10" s="261" t="s">
        <v>117</v>
      </c>
      <c r="D10" s="262" t="s">
        <v>112</v>
      </c>
      <c r="E10" s="263"/>
      <c r="F10" s="264"/>
      <c r="G10" s="261" t="s">
        <v>203</v>
      </c>
      <c r="H10" s="261" t="s">
        <v>119</v>
      </c>
      <c r="I10" s="278" t="s">
        <v>204</v>
      </c>
      <c r="J10" s="279" t="s">
        <v>108</v>
      </c>
      <c r="K10" s="267"/>
      <c r="L10" s="267"/>
      <c r="M10" s="267"/>
      <c r="N10" s="267"/>
      <c r="O10" s="280" t="s">
        <v>314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70" t="e">
        <f t="shared" ref="AB10:AB48" si="1">LOOKUP(1000000000,P10:AA10)</f>
        <v>#N/A</v>
      </c>
      <c r="AC10" s="271"/>
      <c r="AD10" s="269" t="e">
        <f t="shared" si="0"/>
        <v>#DIV/0!</v>
      </c>
      <c r="AE10" s="272" t="s">
        <v>13</v>
      </c>
      <c r="AF10" s="273">
        <v>9.6100000000000005E-3</v>
      </c>
      <c r="AG10" s="274" t="str">
        <f>IF($K$10="Sube",IF(ISERROR(AB10/$O$10)=TRUE,"",IF(AB10&gt;$O$10,AF10,AB10/$O$10*AF10)),IF(ISERROR($O$10/AB10)=TRUE,"",IF($O$10&lt;AB10,$O$10/AB10*AF10,AF10)))</f>
        <v/>
      </c>
      <c r="AH10" s="275" t="str">
        <f>IF($K$10="Sube",IF(ISERROR(AB10/$O$10)=TRUE,"",IF(AB10&gt;=$O$10,1,0)),IF(ISERROR($O$10/AB10)=TRUE,"",IF($O$10&lt;AB10,0,1)))</f>
        <v/>
      </c>
      <c r="AI10" s="276"/>
      <c r="AJ10" s="277"/>
      <c r="AK10" s="449"/>
      <c r="AL10" s="449"/>
      <c r="AM10" s="226"/>
      <c r="AN10" s="138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898"/>
      <c r="B11" s="260"/>
      <c r="C11" s="261" t="s">
        <v>312</v>
      </c>
      <c r="D11" s="262" t="s">
        <v>121</v>
      </c>
      <c r="E11" s="265"/>
      <c r="F11" s="281"/>
      <c r="G11" s="261" t="s">
        <v>205</v>
      </c>
      <c r="H11" s="261" t="s">
        <v>206</v>
      </c>
      <c r="I11" s="282">
        <v>0.94169999999999998</v>
      </c>
      <c r="J11" s="279" t="s">
        <v>207</v>
      </c>
      <c r="K11" s="267"/>
      <c r="L11" s="267"/>
      <c r="M11" s="267"/>
      <c r="N11" s="267"/>
      <c r="O11" s="280">
        <v>1</v>
      </c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 t="e">
        <f t="shared" si="1"/>
        <v>#N/A</v>
      </c>
      <c r="AC11" s="271"/>
      <c r="AD11" s="269" t="e">
        <f t="shared" si="0"/>
        <v>#DIV/0!</v>
      </c>
      <c r="AE11" s="272" t="s">
        <v>13</v>
      </c>
      <c r="AF11" s="273">
        <v>9.6100000000000005E-3</v>
      </c>
      <c r="AG11" s="274" t="str">
        <f>IF($K$11="Sube",IF(ISERROR(AB11/$O$11)=TRUE,"",IF(AB11&gt;$O$11,AF11,AB11/$O$11*AF11)),IF(ISERROR($O$11/AB11)=TRUE,"",IF($O$11&lt;AB11,$O$11/AB11*AF11,AF11)))</f>
        <v/>
      </c>
      <c r="AH11" s="275" t="str">
        <f>IF($K$11="Sube",IF(ISERROR(AB11/$O$11)=TRUE,"",IF(AB11&gt;=$O$11,1,0)),IF(ISERROR($O$11/AB11)=TRUE,"",IF($O$11&lt;AB11,0,1)))</f>
        <v/>
      </c>
      <c r="AI11" s="276"/>
      <c r="AJ11" s="283">
        <v>0.96</v>
      </c>
      <c r="AK11" s="505"/>
      <c r="AL11" s="450" t="s">
        <v>347</v>
      </c>
      <c r="AM11" s="232" t="s">
        <v>317</v>
      </c>
      <c r="AN11" s="138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4" customFormat="1" ht="102" hidden="1" thickBot="1">
      <c r="A12" s="899"/>
      <c r="B12" s="284"/>
      <c r="C12" s="285" t="s">
        <v>208</v>
      </c>
      <c r="D12" s="286" t="s">
        <v>121</v>
      </c>
      <c r="E12" s="285"/>
      <c r="F12" s="285"/>
      <c r="G12" s="287" t="s">
        <v>209</v>
      </c>
      <c r="H12" s="287" t="s">
        <v>210</v>
      </c>
      <c r="I12" s="288">
        <v>0.97</v>
      </c>
      <c r="J12" s="289" t="s">
        <v>211</v>
      </c>
      <c r="K12" s="290"/>
      <c r="L12" s="290"/>
      <c r="M12" s="290"/>
      <c r="N12" s="290"/>
      <c r="O12" s="291">
        <v>0.98</v>
      </c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 t="e">
        <f t="shared" si="1"/>
        <v>#N/A</v>
      </c>
      <c r="AC12" s="294"/>
      <c r="AD12" s="292" t="e">
        <f t="shared" si="0"/>
        <v>#DIV/0!</v>
      </c>
      <c r="AE12" s="295" t="s">
        <v>13</v>
      </c>
      <c r="AF12" s="296">
        <v>9.6100000000000005E-3</v>
      </c>
      <c r="AG12" s="297" t="str">
        <f>IF($K$12="Sube",IF(ISERROR(AB12/$O$12)=TRUE,"",IF(AB12&gt;$O$12,AF12,AB12/$O$12*AF12)),IF(ISERROR($O$12/AB12)=TRUE,"",IF($O$12&lt;AB12,$O$12/AB12*AF12,AF12)))</f>
        <v/>
      </c>
      <c r="AH12" s="298" t="str">
        <f>IF($K$12="Sube",IF(ISERROR(AB12/$O$12)=TRUE,"",IF(AB12&gt;=$O$12,1,0)),IF(ISERROR($O$12/AB12)=TRUE,"",IF($O$12&lt;AB12,0,1)))</f>
        <v/>
      </c>
      <c r="AI12" s="299"/>
      <c r="AJ12" s="300"/>
      <c r="AK12" s="451"/>
      <c r="AL12" s="451"/>
      <c r="AM12" s="227"/>
      <c r="AN12" s="177"/>
      <c r="AV12" s="175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5"/>
      <c r="BJ12" s="175"/>
      <c r="BK12" s="175"/>
    </row>
    <row r="13" spans="1:64" ht="61.5" hidden="1" thickBot="1">
      <c r="A13" s="929" t="s">
        <v>72</v>
      </c>
      <c r="B13" s="260">
        <v>5</v>
      </c>
      <c r="C13" s="262" t="s">
        <v>279</v>
      </c>
      <c r="D13" s="262" t="s">
        <v>113</v>
      </c>
      <c r="E13" s="301"/>
      <c r="F13" s="301"/>
      <c r="G13" s="262" t="s">
        <v>280</v>
      </c>
      <c r="H13" s="262" t="s">
        <v>281</v>
      </c>
      <c r="I13" s="302" t="s">
        <v>278</v>
      </c>
      <c r="J13" s="279" t="s">
        <v>143</v>
      </c>
      <c r="K13" s="267" t="s">
        <v>100</v>
      </c>
      <c r="L13" s="267"/>
      <c r="M13" s="267"/>
      <c r="N13" s="267"/>
      <c r="O13" s="280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 t="e">
        <f t="shared" si="1"/>
        <v>#N/A</v>
      </c>
      <c r="AC13" s="271"/>
      <c r="AD13" s="269" t="e">
        <f t="shared" si="0"/>
        <v>#DIV/0!</v>
      </c>
      <c r="AE13" s="272" t="s">
        <v>13</v>
      </c>
      <c r="AF13" s="303">
        <v>9.6100000000000005E-3</v>
      </c>
      <c r="AG13" s="274" t="str">
        <f>IF($K$13="Sube",IF(ISERROR(AB13/$O$13)=TRUE,"",IF(AB13&gt;$O$13,AF13,AB13/$O$13*AF13)),IF(ISERROR($O$13/AB13)=TRUE,"",IF($O$13&lt;AB13,$O$13/AB13*AF13,AF13)))</f>
        <v/>
      </c>
      <c r="AH13" s="275" t="str">
        <f>IF($K$13="Sube",IF(ISERROR(AB13/$O$13)=TRUE,"",IF(AB13&gt;=$O$13,1,0)),IF(ISERROR($O$13/AB13)=TRUE,"",IF($O$13&lt;AB13,0,1)))</f>
        <v/>
      </c>
      <c r="AI13" s="276"/>
      <c r="AJ13" s="277"/>
      <c r="AK13" s="449"/>
      <c r="AL13" s="449"/>
      <c r="AM13" s="226"/>
      <c r="AN13" s="138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930"/>
      <c r="B14" s="260">
        <v>6</v>
      </c>
      <c r="C14" s="262" t="s">
        <v>212</v>
      </c>
      <c r="D14" s="262" t="s">
        <v>121</v>
      </c>
      <c r="E14" s="301"/>
      <c r="F14" s="301"/>
      <c r="G14" s="262" t="s">
        <v>348</v>
      </c>
      <c r="H14" s="262" t="s">
        <v>213</v>
      </c>
      <c r="I14" s="302" t="s">
        <v>278</v>
      </c>
      <c r="J14" s="279" t="s">
        <v>143</v>
      </c>
      <c r="K14" s="267" t="s">
        <v>100</v>
      </c>
      <c r="L14" s="267"/>
      <c r="M14" s="267"/>
      <c r="N14" s="267"/>
      <c r="O14" s="280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 t="e">
        <f t="shared" si="1"/>
        <v>#N/A</v>
      </c>
      <c r="AC14" s="271"/>
      <c r="AD14" s="269" t="e">
        <f t="shared" si="0"/>
        <v>#DIV/0!</v>
      </c>
      <c r="AE14" s="272" t="s">
        <v>13</v>
      </c>
      <c r="AF14" s="303">
        <v>9.6100000000000005E-3</v>
      </c>
      <c r="AG14" s="274" t="str">
        <f>IF($K$14="Sube",IF(ISERROR(AB14/$O$14)=TRUE,"",IF(AB14&gt;$O$14,AF14,AB14/$O$14*AF14)),IF(ISERROR($O$14/AB14)=TRUE,"",IF($O$14&lt;AB14,$O$14/AB14*AF14,AF14)))</f>
        <v/>
      </c>
      <c r="AH14" s="275" t="str">
        <f>IF($K$14="Sube",IF(ISERROR(AB14/$O$14)=TRUE,"",IF(AB14&gt;=$O$14,1,0)),IF(ISERROR($O$14/AB14)=TRUE,"",IF($O$14&lt;AB14,0,1)))</f>
        <v/>
      </c>
      <c r="AI14" s="276"/>
      <c r="AJ14" s="277"/>
      <c r="AK14" s="449"/>
      <c r="AL14" s="449"/>
      <c r="AM14" s="226"/>
      <c r="AN14" s="138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930"/>
      <c r="B15" s="260"/>
      <c r="C15" s="304" t="s">
        <v>282</v>
      </c>
      <c r="D15" s="304" t="s">
        <v>113</v>
      </c>
      <c r="E15" s="305"/>
      <c r="F15" s="305"/>
      <c r="G15" s="304" t="s">
        <v>283</v>
      </c>
      <c r="H15" s="304" t="s">
        <v>284</v>
      </c>
      <c r="I15" s="302" t="s">
        <v>278</v>
      </c>
      <c r="J15" s="279" t="s">
        <v>143</v>
      </c>
      <c r="K15" s="306"/>
      <c r="L15" s="306"/>
      <c r="M15" s="306"/>
      <c r="N15" s="306"/>
      <c r="O15" s="307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9"/>
      <c r="AC15" s="310"/>
      <c r="AD15" s="308"/>
      <c r="AE15" s="311"/>
      <c r="AF15" s="312"/>
      <c r="AG15" s="313"/>
      <c r="AH15" s="314"/>
      <c r="AI15" s="315"/>
      <c r="AJ15" s="316"/>
      <c r="AK15" s="452"/>
      <c r="AL15" s="452"/>
      <c r="AM15" s="228"/>
      <c r="AN15" s="179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931"/>
      <c r="B16" s="317">
        <v>7</v>
      </c>
      <c r="C16" s="286" t="s">
        <v>120</v>
      </c>
      <c r="D16" s="286" t="s">
        <v>112</v>
      </c>
      <c r="E16" s="318"/>
      <c r="F16" s="318"/>
      <c r="G16" s="286" t="s">
        <v>171</v>
      </c>
      <c r="H16" s="286" t="s">
        <v>151</v>
      </c>
      <c r="I16" s="319">
        <f>44099470/60000000</f>
        <v>0.73499116666666664</v>
      </c>
      <c r="J16" s="289" t="s">
        <v>146</v>
      </c>
      <c r="K16" s="290" t="s">
        <v>100</v>
      </c>
      <c r="L16" s="290"/>
      <c r="M16" s="290"/>
      <c r="N16" s="290"/>
      <c r="O16" s="320">
        <v>0.8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 t="e">
        <f t="shared" si="1"/>
        <v>#N/A</v>
      </c>
      <c r="AC16" s="323"/>
      <c r="AD16" s="321" t="e">
        <f t="shared" si="0"/>
        <v>#DIV/0!</v>
      </c>
      <c r="AE16" s="295" t="s">
        <v>13</v>
      </c>
      <c r="AF16" s="324">
        <v>9.6100000000000005E-3</v>
      </c>
      <c r="AG16" s="325" t="str">
        <f>IF($K$16="Sube",IF(ISERROR(AB16/$O$16)=TRUE,"",IF(AB16&gt;$O$16,AF16,AB16/$O$16*AF16)),IF(ISERROR($O$16/AB16)=TRUE,"",IF($O$16&lt;AB16,$O$16/AB16*AF16,AF16)))</f>
        <v/>
      </c>
      <c r="AH16" s="326" t="str">
        <f>IF($K$16="Sube",IF(ISERROR(AB16/$O$16)=TRUE,"",IF(AB16&gt;=$O$16,1,0)),IF(ISERROR($O$16/AB16)=TRUE,"",IF($O$16&lt;AB16,0,1)))</f>
        <v/>
      </c>
      <c r="AI16" s="327"/>
      <c r="AJ16" s="328"/>
      <c r="AK16" s="453"/>
      <c r="AL16" s="453"/>
      <c r="AM16" s="180"/>
      <c r="AN16" s="151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926" t="s">
        <v>73</v>
      </c>
      <c r="B17" s="329">
        <v>8</v>
      </c>
      <c r="C17" s="244" t="s">
        <v>215</v>
      </c>
      <c r="D17" s="244" t="s">
        <v>121</v>
      </c>
      <c r="E17" s="330"/>
      <c r="F17" s="331"/>
      <c r="G17" s="244" t="s">
        <v>216</v>
      </c>
      <c r="H17" s="244" t="s">
        <v>217</v>
      </c>
      <c r="I17" s="332" t="s">
        <v>278</v>
      </c>
      <c r="J17" s="248" t="s">
        <v>144</v>
      </c>
      <c r="K17" s="249" t="s">
        <v>100</v>
      </c>
      <c r="L17" s="249"/>
      <c r="M17" s="249"/>
      <c r="N17" s="249"/>
      <c r="O17" s="250">
        <v>1</v>
      </c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2" t="e">
        <f t="shared" si="1"/>
        <v>#N/A</v>
      </c>
      <c r="AC17" s="253"/>
      <c r="AD17" s="251" t="e">
        <f t="shared" si="0"/>
        <v>#DIV/0!</v>
      </c>
      <c r="AE17" s="254" t="s">
        <v>13</v>
      </c>
      <c r="AF17" s="333">
        <v>9.6100000000000005E-3</v>
      </c>
      <c r="AG17" s="256" t="str">
        <f>IF($K$17="Sube",IF(ISERROR(AB17/$O$17)=TRUE,"",IF(AB17&gt;$O$17,AF17,AB17/$O$17*AF17)),IF(ISERROR($O$17/AB17)=TRUE,"",IF($O$17&lt;AB17,$O$17/AB17*AF17,AF17)))</f>
        <v/>
      </c>
      <c r="AH17" s="257" t="str">
        <f>IF($K$17="Sube",IF(ISERROR(AB17/$O$17)=TRUE,"",IF(AB17&gt;=$O$17,1,0)),IF(ISERROR($O$17/AB17)=TRUE,"",IF($O$17&lt;AB17,0,1)))</f>
        <v/>
      </c>
      <c r="AI17" s="258"/>
      <c r="AJ17" s="259"/>
      <c r="AK17" s="448"/>
      <c r="AL17" s="448"/>
      <c r="AM17" s="178"/>
      <c r="AN17" s="137"/>
      <c r="AO17" t="s">
        <v>296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927"/>
      <c r="B18" s="334">
        <v>10</v>
      </c>
      <c r="C18" s="335" t="s">
        <v>218</v>
      </c>
      <c r="D18" s="262" t="s">
        <v>121</v>
      </c>
      <c r="E18" s="301"/>
      <c r="F18" s="336"/>
      <c r="G18" s="262" t="s">
        <v>300</v>
      </c>
      <c r="H18" s="262" t="s">
        <v>219</v>
      </c>
      <c r="I18" s="337" t="s">
        <v>278</v>
      </c>
      <c r="J18" s="279" t="s">
        <v>144</v>
      </c>
      <c r="K18" s="267" t="s">
        <v>100</v>
      </c>
      <c r="L18" s="267"/>
      <c r="M18" s="267"/>
      <c r="N18" s="267"/>
      <c r="O18" s="280">
        <v>1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70" t="e">
        <f t="shared" si="1"/>
        <v>#N/A</v>
      </c>
      <c r="AC18" s="271"/>
      <c r="AD18" s="269" t="e">
        <f t="shared" si="0"/>
        <v>#DIV/0!</v>
      </c>
      <c r="AE18" s="272" t="s">
        <v>13</v>
      </c>
      <c r="AF18" s="303">
        <v>9.6100000000000005E-3</v>
      </c>
      <c r="AG18" s="274" t="str">
        <f>IF($K$18="Sube",IF(ISERROR(AB18/$O$18)=TRUE,"",IF(AB18&gt;$O$18,AF18,AB18/$O$18*AF18)),IF(ISERROR($O$18/AB18)=TRUE,"",IF($O$18&lt;AB18,$O$18/AB18*AF18,AF18)))</f>
        <v/>
      </c>
      <c r="AH18" s="275" t="str">
        <f>IF($K$18="Sube",IF(ISERROR(AB18/$O$18)=TRUE,"",IF(AB18&gt;=$O$18,1,0)),IF(ISERROR($O$18/AB18)=TRUE,"",IF($O$18&lt;AB18,0,1)))</f>
        <v/>
      </c>
      <c r="AI18" s="276"/>
      <c r="AJ18" s="277"/>
      <c r="AK18" s="449"/>
      <c r="AL18" s="449"/>
      <c r="AM18" s="226"/>
      <c r="AN18" s="138"/>
      <c r="AO18" s="181" t="s">
        <v>297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927"/>
      <c r="B19" s="334">
        <v>11</v>
      </c>
      <c r="C19" s="338" t="s">
        <v>220</v>
      </c>
      <c r="D19" s="262" t="s">
        <v>113</v>
      </c>
      <c r="E19" s="301"/>
      <c r="F19" s="336"/>
      <c r="G19" s="262" t="s">
        <v>295</v>
      </c>
      <c r="H19" s="262" t="s">
        <v>298</v>
      </c>
      <c r="I19" s="337" t="s">
        <v>278</v>
      </c>
      <c r="J19" s="279" t="s">
        <v>108</v>
      </c>
      <c r="K19" s="267" t="s">
        <v>100</v>
      </c>
      <c r="L19" s="267"/>
      <c r="M19" s="267"/>
      <c r="N19" s="267"/>
      <c r="O19" s="280">
        <v>1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70" t="e">
        <f t="shared" si="1"/>
        <v>#N/A</v>
      </c>
      <c r="AC19" s="271"/>
      <c r="AD19" s="269" t="e">
        <f t="shared" si="0"/>
        <v>#DIV/0!</v>
      </c>
      <c r="AE19" s="272" t="s">
        <v>13</v>
      </c>
      <c r="AF19" s="303">
        <v>9.6100000000000005E-3</v>
      </c>
      <c r="AG19" s="274" t="str">
        <f>IF($K$19="Sube",IF(ISERROR(AB19/$O$19)=TRUE,"",IF(AB19&gt;$O$19,AF19,AB19/$O$19*AF19)),IF(ISERROR($O$19/AB19)=TRUE,"",IF($O$19&lt;AB19,$O$19/AB19*AF19,AF19)))</f>
        <v/>
      </c>
      <c r="AH19" s="275" t="str">
        <f>IF($K$19="Sube",IF(ISERROR(AB19/$O$19)=TRUE,"",IF(AB19&gt;=$O$19,1,0)),IF(ISERROR($O$19/AB19)=TRUE,"",IF($O$19&lt;AB19,0,1)))</f>
        <v/>
      </c>
      <c r="AI19" s="276"/>
      <c r="AJ19" s="277"/>
      <c r="AK19" s="449"/>
      <c r="AL19" s="449"/>
      <c r="AM19" s="226"/>
      <c r="AN19" s="138"/>
      <c r="AO19" t="s">
        <v>299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927"/>
      <c r="B20" s="334"/>
      <c r="C20" s="262" t="s">
        <v>122</v>
      </c>
      <c r="D20" s="304" t="s">
        <v>121</v>
      </c>
      <c r="E20" s="305"/>
      <c r="F20" s="339"/>
      <c r="G20" s="262" t="s">
        <v>123</v>
      </c>
      <c r="H20" s="262" t="s">
        <v>124</v>
      </c>
      <c r="I20" s="340" t="s">
        <v>313</v>
      </c>
      <c r="J20" s="279" t="s">
        <v>108</v>
      </c>
      <c r="K20" s="267" t="s">
        <v>100</v>
      </c>
      <c r="L20" s="267"/>
      <c r="M20" s="267"/>
      <c r="N20" s="267"/>
      <c r="O20" s="280">
        <v>0.9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70" t="e">
        <f t="shared" ref="AB20" si="2">LOOKUP(1000000000,P20:AA20)</f>
        <v>#N/A</v>
      </c>
      <c r="AC20" s="271"/>
      <c r="AD20" s="269" t="e">
        <f t="shared" ref="AD20" si="3">+IF(SLOPE(P20:AA20,$P$7:$AA$7)&gt;0,"Al alza",IF(SLOPE(P20:AA20,$P$7:$AA$7)&lt;0,"A la baja","Sin cambio"))</f>
        <v>#DIV/0!</v>
      </c>
      <c r="AE20" s="272" t="s">
        <v>13</v>
      </c>
      <c r="AF20" s="303">
        <v>9.6100000000000005E-3</v>
      </c>
      <c r="AG20" s="274"/>
      <c r="AH20" s="275"/>
      <c r="AI20" s="276"/>
      <c r="AJ20" s="277"/>
      <c r="AK20" s="449"/>
      <c r="AL20" s="449"/>
      <c r="AM20" s="226"/>
      <c r="AN20" s="138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927"/>
      <c r="B21" s="334"/>
      <c r="C21" s="262" t="s">
        <v>221</v>
      </c>
      <c r="D21" s="304" t="s">
        <v>112</v>
      </c>
      <c r="E21" s="305"/>
      <c r="F21" s="339"/>
      <c r="G21" s="262" t="s">
        <v>222</v>
      </c>
      <c r="H21" s="262" t="s">
        <v>223</v>
      </c>
      <c r="I21" s="265" t="s">
        <v>277</v>
      </c>
      <c r="J21" s="279" t="s">
        <v>144</v>
      </c>
      <c r="K21" s="267" t="s">
        <v>100</v>
      </c>
      <c r="L21" s="267"/>
      <c r="M21" s="267"/>
      <c r="N21" s="267"/>
      <c r="O21" s="268">
        <f>+(9.9925/9.9204)-1</f>
        <v>7.2678521027376153E-3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70"/>
      <c r="AC21" s="271"/>
      <c r="AD21" s="269"/>
      <c r="AE21" s="272"/>
      <c r="AF21" s="303"/>
      <c r="AG21" s="274"/>
      <c r="AH21" s="275"/>
      <c r="AI21" s="276"/>
      <c r="AJ21" s="277"/>
      <c r="AK21" s="449"/>
      <c r="AL21" s="449"/>
      <c r="AM21" s="226"/>
      <c r="AN21" s="138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928"/>
      <c r="B22" s="341">
        <v>12</v>
      </c>
      <c r="C22" s="286" t="s">
        <v>224</v>
      </c>
      <c r="D22" s="286" t="s">
        <v>112</v>
      </c>
      <c r="E22" s="318"/>
      <c r="F22" s="342"/>
      <c r="G22" s="286" t="s">
        <v>225</v>
      </c>
      <c r="H22" s="286" t="s">
        <v>226</v>
      </c>
      <c r="I22" s="278" t="s">
        <v>204</v>
      </c>
      <c r="J22" s="279" t="s">
        <v>108</v>
      </c>
      <c r="K22" s="267"/>
      <c r="L22" s="267"/>
      <c r="M22" s="267"/>
      <c r="N22" s="267"/>
      <c r="O22" s="280" t="s">
        <v>276</v>
      </c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323"/>
      <c r="AD22" s="321"/>
      <c r="AE22" s="295"/>
      <c r="AF22" s="324"/>
      <c r="AG22" s="325" t="str">
        <f>IF($K$22="Sube",IF(ISERROR(AB22/$O$22)=TRUE,"",IF(AB22&gt;$O$22,AF22,AB22/$O$22*AF22)),IF(ISERROR($O$22/AB22)=TRUE,"",IF($O$22&lt;AB22,$O$22/AB22*AF22,AF22)))</f>
        <v/>
      </c>
      <c r="AH22" s="326" t="str">
        <f>IF($K$22="Sube",IF(ISERROR(AB22/$O$22)=TRUE,"",IF(AB22&gt;=$O$22,1,0)),IF(ISERROR($O$22/AB22)=TRUE,"",IF($O$22&lt;AB22,0,1)))</f>
        <v/>
      </c>
      <c r="AI22" s="327"/>
      <c r="AJ22" s="328"/>
      <c r="AK22" s="453"/>
      <c r="AL22" s="453"/>
      <c r="AM22" s="180"/>
      <c r="AN22" s="151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913" t="s">
        <v>74</v>
      </c>
      <c r="B23" s="242">
        <f>+B22+1</f>
        <v>13</v>
      </c>
      <c r="C23" s="244" t="s">
        <v>227</v>
      </c>
      <c r="D23" s="244" t="s">
        <v>114</v>
      </c>
      <c r="E23" s="343"/>
      <c r="F23" s="331"/>
      <c r="G23" s="244" t="s">
        <v>228</v>
      </c>
      <c r="H23" s="244" t="s">
        <v>229</v>
      </c>
      <c r="I23" s="344" t="s">
        <v>278</v>
      </c>
      <c r="J23" s="345" t="s">
        <v>145</v>
      </c>
      <c r="K23" s="249" t="s">
        <v>100</v>
      </c>
      <c r="L23" s="249"/>
      <c r="M23" s="249"/>
      <c r="N23" s="249"/>
      <c r="O23" s="250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 t="e">
        <f t="shared" si="1"/>
        <v>#N/A</v>
      </c>
      <c r="AC23" s="253"/>
      <c r="AD23" s="251" t="e">
        <f t="shared" si="0"/>
        <v>#DIV/0!</v>
      </c>
      <c r="AE23" s="254" t="s">
        <v>13</v>
      </c>
      <c r="AF23" s="333">
        <v>9.6100000000000005E-3</v>
      </c>
      <c r="AG23" s="256" t="str">
        <f>IF($K$23="Sube",IF(ISERROR(AB23/$O$23)=TRUE,"",IF(AB23&gt;$O$23,AF23,AB23/$O$23*AF23)),IF(ISERROR($O$23/AB23)=TRUE,"",IF($O$23&lt;AB23,$O$23/AB23*AF23,AF23)))</f>
        <v/>
      </c>
      <c r="AH23" s="257" t="str">
        <f>IF($K$23="Sube",IF(ISERROR(AB23/$O$23)=TRUE,"",IF(AB23&gt;=$O$23,1,0)),IF(ISERROR($O$23/AB23)=TRUE,"",IF($O$23&lt;AB23,0,1)))</f>
        <v/>
      </c>
      <c r="AI23" s="258"/>
      <c r="AJ23" s="346">
        <v>3.64</v>
      </c>
      <c r="AK23" s="506"/>
      <c r="AL23" s="454" t="s">
        <v>322</v>
      </c>
      <c r="AM23" s="178"/>
      <c r="AN23" s="137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915"/>
      <c r="B24" s="347">
        <f t="shared" ref="B24:B49" si="4">+B23+1</f>
        <v>14</v>
      </c>
      <c r="C24" s="262" t="s">
        <v>125</v>
      </c>
      <c r="D24" s="348" t="s">
        <v>112</v>
      </c>
      <c r="E24" s="301"/>
      <c r="F24" s="336"/>
      <c r="G24" s="349" t="s">
        <v>153</v>
      </c>
      <c r="H24" s="349" t="s">
        <v>154</v>
      </c>
      <c r="I24" s="350">
        <f>1152/1344</f>
        <v>0.8571428571428571</v>
      </c>
      <c r="J24" s="279" t="s">
        <v>144</v>
      </c>
      <c r="K24" s="267" t="s">
        <v>100</v>
      </c>
      <c r="L24" s="267"/>
      <c r="M24" s="267"/>
      <c r="N24" s="267"/>
      <c r="O24" s="280">
        <v>0.87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70" t="e">
        <f t="shared" si="1"/>
        <v>#N/A</v>
      </c>
      <c r="AC24" s="271"/>
      <c r="AD24" s="269" t="e">
        <f t="shared" si="0"/>
        <v>#DIV/0!</v>
      </c>
      <c r="AE24" s="272" t="s">
        <v>13</v>
      </c>
      <c r="AF24" s="303">
        <v>9.6100000000000005E-3</v>
      </c>
      <c r="AG24" s="274" t="str">
        <f>IF($K$24="Sube",IF(ISERROR(AB24/$O$24)=TRUE,"",IF(AB24&gt;$O$24,AF24,AB24/$O$24*AF24)),IF(ISERROR($O$24/AB24)=TRUE,"",IF($O$24&lt;AB24,$O$24/AB24*AF24,AF24)))</f>
        <v/>
      </c>
      <c r="AH24" s="275" t="str">
        <f>IF($K$24="Sube",IF(ISERROR(AB24/$O$24)=TRUE,"",IF(AB24&gt;=$O$24,1,0)),IF(ISERROR($O$24/AB24)=TRUE,"",IF($O$24&lt;AB24,0,1)))</f>
        <v/>
      </c>
      <c r="AI24" s="276"/>
      <c r="AJ24" s="277"/>
      <c r="AK24" s="449"/>
      <c r="AL24" s="449"/>
      <c r="AM24" s="226"/>
      <c r="AN24" s="138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914"/>
      <c r="B25" s="351">
        <f t="shared" si="4"/>
        <v>15</v>
      </c>
      <c r="C25" s="286" t="s">
        <v>230</v>
      </c>
      <c r="D25" s="352" t="s">
        <v>112</v>
      </c>
      <c r="E25" s="318"/>
      <c r="F25" s="342"/>
      <c r="G25" s="353" t="s">
        <v>176</v>
      </c>
      <c r="H25" s="353" t="s">
        <v>192</v>
      </c>
      <c r="I25" s="354">
        <f>7.218/9.426-1</f>
        <v>-0.23424570337364736</v>
      </c>
      <c r="J25" s="289" t="s">
        <v>146</v>
      </c>
      <c r="K25" s="290" t="s">
        <v>100</v>
      </c>
      <c r="L25" s="290"/>
      <c r="M25" s="290"/>
      <c r="N25" s="290"/>
      <c r="O25" s="291">
        <f>+'Tablero Estratégico'!M10</f>
        <v>7.22</v>
      </c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 t="e">
        <f t="shared" si="1"/>
        <v>#N/A</v>
      </c>
      <c r="AC25" s="323"/>
      <c r="AD25" s="321" t="e">
        <f t="shared" si="0"/>
        <v>#DIV/0!</v>
      </c>
      <c r="AE25" s="295" t="s">
        <v>13</v>
      </c>
      <c r="AF25" s="324">
        <v>9.6100000000000005E-3</v>
      </c>
      <c r="AG25" s="325" t="str">
        <f>IF($K$25="Sube",IF(ISERROR(AB25/$O$25)=TRUE,"",IF(AB25&gt;$O$25,AF25,AB25/$O$25*AF25)),IF(ISERROR($O$25/AB25)=TRUE,"",IF($O$25&lt;AB25,$O$25/AB25*AF25,AF25)))</f>
        <v/>
      </c>
      <c r="AH25" s="326" t="str">
        <f>IF($K$25="Sube",IF(ISERROR(AB25/$O$25)=TRUE,"",IF(AB25&gt;=$O$25,1,0)),IF(ISERROR($O$25/AB25)=TRUE,"",IF($O$25&lt;AB25,0,1)))</f>
        <v/>
      </c>
      <c r="AI25" s="327"/>
      <c r="AJ25" s="328"/>
      <c r="AK25" s="453"/>
      <c r="AL25" s="453"/>
      <c r="AM25" s="180"/>
      <c r="AN25" s="151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913" t="s">
        <v>48</v>
      </c>
      <c r="B26" s="242" t="e">
        <f>+#REF!+1</f>
        <v>#REF!</v>
      </c>
      <c r="C26" s="243" t="s">
        <v>126</v>
      </c>
      <c r="D26" s="243" t="s">
        <v>121</v>
      </c>
      <c r="E26" s="355"/>
      <c r="F26" s="355"/>
      <c r="G26" s="243" t="s">
        <v>231</v>
      </c>
      <c r="H26" s="243" t="s">
        <v>129</v>
      </c>
      <c r="I26" s="356">
        <v>1</v>
      </c>
      <c r="J26" s="345" t="s">
        <v>144</v>
      </c>
      <c r="K26" s="249"/>
      <c r="L26" s="249"/>
      <c r="M26" s="249"/>
      <c r="N26" s="249"/>
      <c r="O26" s="250">
        <v>1</v>
      </c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2" t="e">
        <f t="shared" si="1"/>
        <v>#N/A</v>
      </c>
      <c r="AC26" s="253"/>
      <c r="AD26" s="251" t="e">
        <f t="shared" si="0"/>
        <v>#DIV/0!</v>
      </c>
      <c r="AE26" s="254" t="s">
        <v>13</v>
      </c>
      <c r="AF26" s="333">
        <v>9.6100000000000005E-3</v>
      </c>
      <c r="AG26" s="256" t="str">
        <f>IF($K$26="Sube",IF(ISERROR(AB26/$O$26)=TRUE,"",IF(AB26&gt;$O$26,AF26,AB26/$O$26*AF26)),IF(ISERROR($O$26/AB26)=TRUE,"",IF($O$26&lt;AB26,$O$26/AB26*AF26,AF26)))</f>
        <v/>
      </c>
      <c r="AH26" s="257" t="str">
        <f>IF($K$26="Sube",IF(ISERROR(AB26/$O$26)=TRUE,"",IF(AB26&gt;=$O$26,1,0)),IF(ISERROR($O$26/AB26)=TRUE,"",IF($O$26&lt;AB26,0,1)))</f>
        <v/>
      </c>
      <c r="AI26" s="258"/>
      <c r="AJ26" s="259"/>
      <c r="AK26" s="448"/>
      <c r="AL26" s="448"/>
      <c r="AM26" s="178"/>
      <c r="AN26" s="137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915"/>
      <c r="B27" s="260" t="e">
        <f t="shared" si="4"/>
        <v>#REF!</v>
      </c>
      <c r="C27" s="261" t="s">
        <v>127</v>
      </c>
      <c r="D27" s="261" t="s">
        <v>121</v>
      </c>
      <c r="E27" s="357"/>
      <c r="F27" s="357"/>
      <c r="G27" s="335" t="s">
        <v>320</v>
      </c>
      <c r="H27" s="261" t="s">
        <v>232</v>
      </c>
      <c r="I27" s="358">
        <v>0.9</v>
      </c>
      <c r="J27" s="279" t="s">
        <v>108</v>
      </c>
      <c r="K27" s="267"/>
      <c r="L27" s="267"/>
      <c r="M27" s="267"/>
      <c r="N27" s="267"/>
      <c r="O27" s="280">
        <v>1</v>
      </c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70" t="e">
        <f t="shared" si="1"/>
        <v>#N/A</v>
      </c>
      <c r="AC27" s="271"/>
      <c r="AD27" s="269" t="e">
        <f t="shared" si="0"/>
        <v>#DIV/0!</v>
      </c>
      <c r="AE27" s="272" t="s">
        <v>13</v>
      </c>
      <c r="AF27" s="303">
        <v>9.6100000000000005E-3</v>
      </c>
      <c r="AG27" s="274" t="str">
        <f>IF($K$27="Sube",IF(ISERROR(AB27/$O$27)=TRUE,"",IF(AB27&gt;$O$27,AF27,AB27/$O$27*AF27)),IF(ISERROR($O$27/AB27)=TRUE,"",IF($O$27&lt;AB27,$O$27/AB27*AF27,AF27)))</f>
        <v/>
      </c>
      <c r="AH27" s="275" t="str">
        <f>IF($K$27="Sube",IF(ISERROR(AB27/$O$27)=TRUE,"",IF(AB27&gt;=$O$27,1,0)),IF(ISERROR($O$27/AB27)=TRUE,"",IF($O$27&lt;AB27,0,1)))</f>
        <v/>
      </c>
      <c r="AI27" s="276"/>
      <c r="AJ27" s="359">
        <f>+'Tablero Estratégico'!Y16</f>
        <v>0</v>
      </c>
      <c r="AK27" s="507"/>
      <c r="AL27" s="450" t="s">
        <v>321</v>
      </c>
      <c r="AM27" s="226"/>
      <c r="AN27" s="138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915"/>
      <c r="B28" s="260" t="e">
        <f t="shared" si="4"/>
        <v>#REF!</v>
      </c>
      <c r="C28" s="261" t="s">
        <v>128</v>
      </c>
      <c r="D28" s="261" t="s">
        <v>121</v>
      </c>
      <c r="E28" s="357"/>
      <c r="F28" s="357"/>
      <c r="G28" s="261" t="s">
        <v>233</v>
      </c>
      <c r="H28" s="261" t="s">
        <v>234</v>
      </c>
      <c r="I28" s="272" t="s">
        <v>278</v>
      </c>
      <c r="J28" s="279"/>
      <c r="K28" s="267"/>
      <c r="L28" s="267"/>
      <c r="M28" s="267"/>
      <c r="N28" s="267"/>
      <c r="O28" s="280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271"/>
      <c r="AD28" s="269"/>
      <c r="AE28" s="272"/>
      <c r="AF28" s="303"/>
      <c r="AG28" s="274"/>
      <c r="AH28" s="275"/>
      <c r="AI28" s="276"/>
      <c r="AJ28" s="277"/>
      <c r="AK28" s="449"/>
      <c r="AL28" s="449"/>
      <c r="AM28" s="226"/>
      <c r="AN28" s="138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914"/>
      <c r="B29" s="317" t="e">
        <f t="shared" si="4"/>
        <v>#REF!</v>
      </c>
      <c r="C29" s="360" t="s">
        <v>235</v>
      </c>
      <c r="D29" s="361" t="s">
        <v>114</v>
      </c>
      <c r="E29" s="362"/>
      <c r="F29" s="362"/>
      <c r="G29" s="361" t="s">
        <v>214</v>
      </c>
      <c r="H29" s="286" t="s">
        <v>236</v>
      </c>
      <c r="I29" s="363">
        <v>0.878</v>
      </c>
      <c r="J29" s="289" t="s">
        <v>108</v>
      </c>
      <c r="K29" s="290" t="s">
        <v>100</v>
      </c>
      <c r="L29" s="290"/>
      <c r="M29" s="290"/>
      <c r="N29" s="290"/>
      <c r="O29" s="291">
        <v>0.93</v>
      </c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2" t="e">
        <f t="shared" si="1"/>
        <v>#N/A</v>
      </c>
      <c r="AC29" s="323"/>
      <c r="AD29" s="321" t="e">
        <f t="shared" ref="AD29:AD48" si="5">+IF(SLOPE(P29:AA29,$P$7:$AA$7)&gt;0,"Al alza",IF(SLOPE(P29:AA29,$P$7:$AA$7)&lt;0,"A la baja","Sin cambio"))</f>
        <v>#DIV/0!</v>
      </c>
      <c r="AE29" s="295" t="s">
        <v>13</v>
      </c>
      <c r="AF29" s="324">
        <v>9.6100000000000005E-3</v>
      </c>
      <c r="AG29" s="325" t="str">
        <f t="shared" ref="AG29" si="6">IF(K29="Sube",IF(ISERROR(AB29/O29)=TRUE,"",IF(AB29&gt;O29,AF29,AB29/O29*AF29)),IF(ISERROR(O29/AB29)=TRUE,"",IF(O29&lt;AB29,O29/AB29*AF29,AF29)))</f>
        <v/>
      </c>
      <c r="AH29" s="326" t="str">
        <f>IF($K$29="Sube",IF(ISERROR(AB29/$O$29)=TRUE,"",IF(AB29&gt;=$O$29,1,0)),IF(ISERROR($O$29/AB29)=TRUE,"",IF($O$29&lt;AB29,0,1)))</f>
        <v/>
      </c>
      <c r="AI29" s="327"/>
      <c r="AJ29" s="364">
        <f>236943151/1000000000</f>
        <v>0.23694315099999999</v>
      </c>
      <c r="AK29" s="508"/>
      <c r="AL29" s="451" t="s">
        <v>345</v>
      </c>
      <c r="AM29" s="180"/>
      <c r="AN29" s="151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913" t="s">
        <v>75</v>
      </c>
      <c r="B30" s="365" t="e">
        <f t="shared" si="4"/>
        <v>#REF!</v>
      </c>
      <c r="C30" s="244" t="s">
        <v>109</v>
      </c>
      <c r="D30" s="244" t="s">
        <v>121</v>
      </c>
      <c r="E30" s="330"/>
      <c r="F30" s="331"/>
      <c r="G30" s="366" t="s">
        <v>304</v>
      </c>
      <c r="H30" s="244" t="s">
        <v>130</v>
      </c>
      <c r="I30" s="367">
        <v>0.97599999999999998</v>
      </c>
      <c r="J30" s="248" t="s">
        <v>108</v>
      </c>
      <c r="K30" s="249" t="s">
        <v>100</v>
      </c>
      <c r="L30" s="249"/>
      <c r="M30" s="249"/>
      <c r="N30" s="249"/>
      <c r="O30" s="250" t="s">
        <v>301</v>
      </c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2" t="e">
        <f t="shared" si="1"/>
        <v>#N/A</v>
      </c>
      <c r="AC30" s="253"/>
      <c r="AD30" s="251" t="e">
        <f t="shared" si="5"/>
        <v>#DIV/0!</v>
      </c>
      <c r="AE30" s="254" t="s">
        <v>13</v>
      </c>
      <c r="AF30" s="333">
        <v>9.6100000000000005E-3</v>
      </c>
      <c r="AG30" s="256" t="str">
        <f>IF($K$30="Sube",IF(ISERROR(AB30/$O$30)=TRUE,"",IF(AB30&gt;$O$30,AF30,AB30/$O$30*AF30)),IF(ISERROR($O$30/AB30)=TRUE,"",IF($O$30&lt;AB30,$O$30/AB30*AF30,AF30)))</f>
        <v/>
      </c>
      <c r="AH30" s="257" t="str">
        <f>IF($K$30="Sube",IF(ISERROR(AB30/$O$30)=TRUE,"",IF(AB30&gt;=$O$30,1,0)),IF(ISERROR($O$30/AB30)=TRUE,"",IF($O$30&lt;AB30,0,1)))</f>
        <v/>
      </c>
      <c r="AI30" s="258"/>
      <c r="AJ30" s="368" t="e">
        <f>+'Tablero Estratégico'!#REF!</f>
        <v>#REF!</v>
      </c>
      <c r="AK30" s="509"/>
      <c r="AL30" s="454" t="s">
        <v>335</v>
      </c>
      <c r="AM30" s="178"/>
      <c r="AN30" s="137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915"/>
      <c r="B31" s="369" t="e">
        <f t="shared" si="4"/>
        <v>#REF!</v>
      </c>
      <c r="C31" s="262" t="s">
        <v>110</v>
      </c>
      <c r="D31" s="262" t="s">
        <v>112</v>
      </c>
      <c r="E31" s="301"/>
      <c r="F31" s="301"/>
      <c r="G31" s="262" t="s">
        <v>302</v>
      </c>
      <c r="H31" s="262" t="s">
        <v>303</v>
      </c>
      <c r="I31" s="370" t="s">
        <v>278</v>
      </c>
      <c r="J31" s="266" t="s">
        <v>108</v>
      </c>
      <c r="K31" s="267" t="s">
        <v>100</v>
      </c>
      <c r="L31" s="267"/>
      <c r="M31" s="267"/>
      <c r="N31" s="267"/>
      <c r="O31" s="280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 t="e">
        <f t="shared" si="1"/>
        <v>#N/A</v>
      </c>
      <c r="AC31" s="271"/>
      <c r="AD31" s="269" t="e">
        <f t="shared" si="5"/>
        <v>#DIV/0!</v>
      </c>
      <c r="AE31" s="272" t="s">
        <v>13</v>
      </c>
      <c r="AF31" s="303">
        <v>9.6100000000000005E-3</v>
      </c>
      <c r="AG31" s="274" t="str">
        <f>IF($K$31="Sube",IF(ISERROR(AB31/$O$31)=TRUE,"",IF(AB31&gt;$O$31,AF31,AB31/$O$31*AF31)),IF(ISERROR($O$31/AB31)=TRUE,"",IF($O$31&lt;AB31,$O$31/AB31*AF31,AF31)))</f>
        <v/>
      </c>
      <c r="AH31" s="275" t="str">
        <f>IF($K$31="Sube",IF(ISERROR(AB31/$O$31)=TRUE,"",IF(AB31&gt;=$O$31,1,0)),IF(ISERROR($O$31/AB31)=TRUE,"",IF($O$31&lt;AB31,0,1)))</f>
        <v/>
      </c>
      <c r="AI31" s="276"/>
      <c r="AJ31" s="277">
        <v>17702</v>
      </c>
      <c r="AK31" s="449"/>
      <c r="AL31" s="450" t="s">
        <v>336</v>
      </c>
      <c r="AM31" s="226"/>
      <c r="AN31" s="138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914"/>
      <c r="B32" s="371" t="e">
        <f t="shared" si="4"/>
        <v>#REF!</v>
      </c>
      <c r="C32" s="304" t="s">
        <v>111</v>
      </c>
      <c r="D32" s="304" t="s">
        <v>121</v>
      </c>
      <c r="E32" s="305"/>
      <c r="F32" s="305"/>
      <c r="G32" s="304" t="s">
        <v>305</v>
      </c>
      <c r="H32" s="304" t="s">
        <v>237</v>
      </c>
      <c r="I32" s="372">
        <v>0.98</v>
      </c>
      <c r="J32" s="373" t="s">
        <v>108</v>
      </c>
      <c r="K32" s="306" t="s">
        <v>100</v>
      </c>
      <c r="L32" s="306"/>
      <c r="M32" s="306"/>
      <c r="N32" s="306"/>
      <c r="O32" s="307">
        <v>1</v>
      </c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9" t="e">
        <f t="shared" si="1"/>
        <v>#N/A</v>
      </c>
      <c r="AC32" s="310"/>
      <c r="AD32" s="308" t="e">
        <f t="shared" si="5"/>
        <v>#DIV/0!</v>
      </c>
      <c r="AE32" s="311" t="s">
        <v>13</v>
      </c>
      <c r="AF32" s="312">
        <v>9.6100000000000005E-3</v>
      </c>
      <c r="AG32" s="313" t="str">
        <f>IF($K$32="Sube",IF(ISERROR(AB32/$O$32)=TRUE,"",IF(AB32&gt;$O$32,AF32,AB32/$O$32*AF32)),IF(ISERROR($O$32/AB32)=TRUE,"",IF($O$32&lt;AB32,$O$32/AB32*AF32,AF32)))</f>
        <v/>
      </c>
      <c r="AH32" s="314" t="str">
        <f>IF($K$32="Sube",IF(ISERROR(AB32/$O$32)=TRUE,"",IF(AB32&gt;=$O$32,1,0)),IF(ISERROR($O$32/AB32)=TRUE,"",IF($O$32&lt;AB32,0,1)))</f>
        <v/>
      </c>
      <c r="AI32" s="315"/>
      <c r="AJ32" s="374">
        <v>0.81</v>
      </c>
      <c r="AK32" s="510"/>
      <c r="AL32" s="455" t="s">
        <v>337</v>
      </c>
      <c r="AM32" s="228"/>
      <c r="AN32" s="179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1.5" hidden="1" thickBot="1">
      <c r="A33" s="913" t="s">
        <v>77</v>
      </c>
      <c r="B33" s="365" t="e">
        <f>+#REF!+1</f>
        <v>#REF!</v>
      </c>
      <c r="C33" s="244" t="s">
        <v>131</v>
      </c>
      <c r="D33" s="244" t="s">
        <v>114</v>
      </c>
      <c r="E33" s="343"/>
      <c r="F33" s="343"/>
      <c r="G33" s="244" t="s">
        <v>132</v>
      </c>
      <c r="H33" s="244" t="s">
        <v>133</v>
      </c>
      <c r="I33" s="367">
        <f>+'Tablero Estratégico'!K29</f>
        <v>0.88935026868588196</v>
      </c>
      <c r="J33" s="248" t="s">
        <v>147</v>
      </c>
      <c r="K33" s="249" t="s">
        <v>141</v>
      </c>
      <c r="L33" s="462"/>
      <c r="M33" s="462"/>
      <c r="N33" s="462"/>
      <c r="O33" s="461">
        <f>+'Tablero Estratégico'!M29</f>
        <v>1</v>
      </c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2" t="e">
        <f t="shared" si="1"/>
        <v>#N/A</v>
      </c>
      <c r="AC33" s="253"/>
      <c r="AD33" s="251" t="e">
        <f t="shared" si="5"/>
        <v>#DIV/0!</v>
      </c>
      <c r="AE33" s="254" t="s">
        <v>13</v>
      </c>
      <c r="AF33" s="333">
        <v>9.6100000000000005E-3</v>
      </c>
      <c r="AG33" s="256" t="str">
        <f>IF($K$33="Sube",IF(ISERROR(AB33/$O$33)=TRUE,"",IF(AB33&gt;$O$33,AF33,AB33/$O$33*AF33)),IF(ISERROR($O$33/AB33)=TRUE,"",IF($O$33&lt;AB33,$O$33/AB33*AF33,AF33)))</f>
        <v/>
      </c>
      <c r="AH33" s="257" t="str">
        <f>IF($K$33="Sube",IF(ISERROR(AB33/$O$33)=TRUE,"",IF(AB33&gt;=$O$33,1,0)),IF(ISERROR($O$33/AB33)=TRUE,"",IF($O$33&lt;AB33,0,1)))</f>
        <v/>
      </c>
      <c r="AI33" s="258"/>
      <c r="AJ33" s="375">
        <f>+'Tablero Estratégico'!Y29</f>
        <v>0</v>
      </c>
      <c r="AK33" s="511"/>
      <c r="AL33" s="456" t="str">
        <f>+'Tablero Estratégico'!AF29</f>
        <v>Se revibieron 169 PQRSD en el periodo comprendido entre el 16 de diciembre de 2017 y 15 de enero de 2018, de las cuales se contestaron 152 en términos y 17 con respuestas parciales con aplazamiento en tiempo.
De igual manera se inició con la divulgación del proceso de PQRSD en 2018, mediante comunicaciones formales a los líderes de procesos</v>
      </c>
      <c r="AM33" s="178"/>
      <c r="AN33" s="127"/>
      <c r="AO33" s="224" t="s">
        <v>306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898"/>
      <c r="B34" s="376"/>
      <c r="C34" s="377" t="s">
        <v>341</v>
      </c>
      <c r="D34" s="377" t="s">
        <v>114</v>
      </c>
      <c r="E34" s="378"/>
      <c r="F34" s="378"/>
      <c r="G34" s="379" t="s">
        <v>342</v>
      </c>
      <c r="H34" s="377" t="s">
        <v>343</v>
      </c>
      <c r="I34" s="380" t="s">
        <v>278</v>
      </c>
      <c r="J34" s="381" t="s">
        <v>108</v>
      </c>
      <c r="K34" s="382"/>
      <c r="L34" s="382"/>
      <c r="M34" s="382"/>
      <c r="N34" s="382"/>
      <c r="O34" s="280" t="s">
        <v>344</v>
      </c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C34" s="385"/>
      <c r="AD34" s="383"/>
      <c r="AE34" s="386"/>
      <c r="AF34" s="387"/>
      <c r="AG34" s="388"/>
      <c r="AH34" s="389"/>
      <c r="AI34" s="390"/>
      <c r="AJ34" s="391">
        <v>0.9</v>
      </c>
      <c r="AK34" s="512"/>
      <c r="AL34" s="456" t="s">
        <v>354</v>
      </c>
      <c r="AM34" s="234"/>
      <c r="AN34" s="233"/>
      <c r="AO34" s="224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914"/>
      <c r="B35" s="392" t="e">
        <f>+#REF!+1</f>
        <v>#REF!</v>
      </c>
      <c r="C35" s="286" t="s">
        <v>238</v>
      </c>
      <c r="D35" s="286" t="s">
        <v>114</v>
      </c>
      <c r="E35" s="318"/>
      <c r="F35" s="318"/>
      <c r="G35" s="393" t="s">
        <v>307</v>
      </c>
      <c r="H35" s="286" t="s">
        <v>239</v>
      </c>
      <c r="I35" s="394" t="s">
        <v>278</v>
      </c>
      <c r="J35" s="395" t="s">
        <v>108</v>
      </c>
      <c r="K35" s="290" t="s">
        <v>100</v>
      </c>
      <c r="L35" s="290"/>
      <c r="M35" s="290"/>
      <c r="N35" s="290"/>
      <c r="O35" s="29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 t="e">
        <f t="shared" si="1"/>
        <v>#N/A</v>
      </c>
      <c r="AC35" s="323"/>
      <c r="AD35" s="321" t="e">
        <f t="shared" si="5"/>
        <v>#DIV/0!</v>
      </c>
      <c r="AE35" s="295" t="s">
        <v>13</v>
      </c>
      <c r="AF35" s="324">
        <v>9.6100000000000005E-3</v>
      </c>
      <c r="AG35" s="325" t="str">
        <f>IF($K$35="Sube",IF(ISERROR(AB35/$O$35)=TRUE,"",IF(AB35&gt;$O$35,AF35,AB35/$O$35*AF35)),IF(ISERROR($O$35/AB35)=TRUE,"",IF($O$35&lt;AB35,$O$35/AB35*AF35,AF35)))</f>
        <v/>
      </c>
      <c r="AH35" s="326" t="str">
        <f>IF($K$35="Sube",IF(ISERROR(AB35/$O$35)=TRUE,"",IF(AB35&gt;=$O$35,1,0)),IF(ISERROR($O$35/AB35)=TRUE,"",IF($O$35&lt;AB35,0,1)))</f>
        <v/>
      </c>
      <c r="AI35" s="327"/>
      <c r="AJ35" s="364">
        <v>1</v>
      </c>
      <c r="AK35" s="508"/>
      <c r="AL35" s="451" t="s">
        <v>353</v>
      </c>
      <c r="AM35" s="180"/>
      <c r="AN35" s="150"/>
      <c r="AO35" s="224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9" customFormat="1" ht="63.75" customHeight="1">
      <c r="A36" s="911" t="s">
        <v>78</v>
      </c>
      <c r="B36" s="396" t="e">
        <f t="shared" si="4"/>
        <v>#REF!</v>
      </c>
      <c r="C36" s="243" t="s">
        <v>308</v>
      </c>
      <c r="D36" s="243" t="s">
        <v>121</v>
      </c>
      <c r="E36" s="355"/>
      <c r="F36" s="355"/>
      <c r="G36" s="243" t="s">
        <v>309</v>
      </c>
      <c r="H36" s="243" t="s">
        <v>310</v>
      </c>
      <c r="I36" s="397">
        <v>0.75</v>
      </c>
      <c r="J36" s="248" t="s">
        <v>108</v>
      </c>
      <c r="K36" s="249" t="s">
        <v>100</v>
      </c>
      <c r="L36" s="249"/>
      <c r="M36" s="249"/>
      <c r="N36" s="249"/>
      <c r="O36" s="250" t="s">
        <v>351</v>
      </c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 t="e">
        <f t="shared" si="1"/>
        <v>#N/A</v>
      </c>
      <c r="AC36" s="253"/>
      <c r="AD36" s="251" t="e">
        <f t="shared" si="5"/>
        <v>#DIV/0!</v>
      </c>
      <c r="AE36" s="254" t="s">
        <v>13</v>
      </c>
      <c r="AF36" s="333">
        <v>9.6100000000000005E-3</v>
      </c>
      <c r="AG36" s="256" t="str">
        <f>IF($K$36="Sube",IF(ISERROR(AB36/$O$36)=TRUE,"",IF(AB36&gt;$O$36,AF36,AB36/$O$36*AF36)),IF(ISERROR($O$36/AB36)=TRUE,"",IF($O$36&lt;AB36,$O$36/AB36*AF36,AF36)))</f>
        <v/>
      </c>
      <c r="AH36" s="257" t="str">
        <f>IF($K$36="Sube",IF(ISERROR(AB36/$O$36)=TRUE,"",IF(AB36&gt;=$O$36,1,0)),IF(ISERROR($O$36/AB36)=TRUE,"",IF($O$36&lt;AB36,0,1)))</f>
        <v/>
      </c>
      <c r="AI36" s="258"/>
      <c r="AJ36" s="391">
        <v>0.75</v>
      </c>
      <c r="AK36" s="512"/>
      <c r="AL36" s="457" t="s">
        <v>352</v>
      </c>
      <c r="AM36" s="173"/>
      <c r="AN36" s="218"/>
      <c r="AV36" s="220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0"/>
      <c r="BJ36" s="220"/>
      <c r="BK36" s="220"/>
    </row>
    <row r="37" spans="1:63" s="219" customFormat="1" ht="61.5" hidden="1" thickBot="1">
      <c r="A37" s="912"/>
      <c r="B37" s="398" t="e">
        <f>+B36+1</f>
        <v>#REF!</v>
      </c>
      <c r="C37" s="361" t="s">
        <v>134</v>
      </c>
      <c r="D37" s="361" t="s">
        <v>135</v>
      </c>
      <c r="E37" s="362"/>
      <c r="F37" s="362"/>
      <c r="G37" s="361" t="s">
        <v>240</v>
      </c>
      <c r="H37" s="361" t="s">
        <v>136</v>
      </c>
      <c r="I37" s="399" t="s">
        <v>278</v>
      </c>
      <c r="J37" s="395" t="s">
        <v>241</v>
      </c>
      <c r="K37" s="290" t="s">
        <v>100</v>
      </c>
      <c r="L37" s="290"/>
      <c r="M37" s="290"/>
      <c r="N37" s="290"/>
      <c r="O37" s="29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2" t="e">
        <f t="shared" si="1"/>
        <v>#N/A</v>
      </c>
      <c r="AC37" s="323"/>
      <c r="AD37" s="321" t="e">
        <f t="shared" si="5"/>
        <v>#DIV/0!</v>
      </c>
      <c r="AE37" s="295" t="s">
        <v>13</v>
      </c>
      <c r="AF37" s="324">
        <v>9.6100000000000005E-3</v>
      </c>
      <c r="AG37" s="325" t="str">
        <f>IF($K$37="Sube",IF(ISERROR(AB37/$O$37)=TRUE,"",IF(AB37&gt;$O$37,AF37,AB37/$O$37*AF37)),IF(ISERROR($O$37/AB37)=TRUE,"",IF($O$37&lt;AB37,$O$37/AB37*AF37,AF37)))</f>
        <v/>
      </c>
      <c r="AH37" s="326" t="str">
        <f>IF($K$37="Sube",IF(ISERROR(AB37/$O$37)=TRUE,"",IF(AB37&gt;=$O$37,1,0)),IF(ISERROR($O$37/AB37)=TRUE,"",IF($O$37&lt;AB37,0,1)))</f>
        <v/>
      </c>
      <c r="AI37" s="327"/>
      <c r="AJ37" s="400"/>
      <c r="AK37" s="458"/>
      <c r="AL37" s="458"/>
      <c r="AM37" s="229"/>
      <c r="AN37" s="222"/>
      <c r="AV37" s="220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0"/>
      <c r="BJ37" s="220"/>
      <c r="BK37" s="220"/>
    </row>
    <row r="38" spans="1:63" ht="63" hidden="1">
      <c r="A38" s="913" t="s">
        <v>242</v>
      </c>
      <c r="B38" s="242" t="e">
        <f t="shared" si="4"/>
        <v>#REF!</v>
      </c>
      <c r="C38" s="401" t="s">
        <v>243</v>
      </c>
      <c r="D38" s="243" t="s">
        <v>121</v>
      </c>
      <c r="E38" s="245"/>
      <c r="F38" s="355"/>
      <c r="G38" s="470" t="s">
        <v>244</v>
      </c>
      <c r="H38" s="470" t="s">
        <v>368</v>
      </c>
      <c r="I38" s="471">
        <v>0</v>
      </c>
      <c r="J38" s="472" t="s">
        <v>245</v>
      </c>
      <c r="K38" s="473" t="s">
        <v>100</v>
      </c>
      <c r="L38" s="467" t="s">
        <v>364</v>
      </c>
      <c r="M38" s="468" t="s">
        <v>370</v>
      </c>
      <c r="N38" s="469" t="s">
        <v>369</v>
      </c>
      <c r="O38" s="250">
        <v>1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 t="e">
        <f t="shared" si="1"/>
        <v>#N/A</v>
      </c>
      <c r="AC38" s="253"/>
      <c r="AD38" s="251" t="e">
        <f t="shared" si="5"/>
        <v>#DIV/0!</v>
      </c>
      <c r="AE38" s="254" t="s">
        <v>13</v>
      </c>
      <c r="AF38" s="333">
        <v>9.6100000000000005E-3</v>
      </c>
      <c r="AG38" s="256" t="str">
        <f>IF($K$38="Sube",IF(ISERROR(AB38/$O$38)=TRUE,"",IF(AB38&gt;$O$38,AF38,AB38/$O$38*AF38)),IF(ISERROR($O$38/AB38)=TRUE,"",IF($O$38&lt;AB38,$O$38/AB38*AF38,AF38)))</f>
        <v/>
      </c>
      <c r="AH38" s="257" t="str">
        <f>IF($K$38="Sube",IF(ISERROR(AB38/$O$38)=TRUE,"",IF(AB38&gt;=$O$38,1,0)),IF(ISERROR($O$38/AB38)=TRUE,"",IF($O$38&lt;AB38,0,1)))</f>
        <v/>
      </c>
      <c r="AI38" s="258"/>
      <c r="AJ38" s="259"/>
      <c r="AK38" s="448"/>
      <c r="AL38" s="454" t="s">
        <v>346</v>
      </c>
      <c r="AM38" s="178"/>
      <c r="AN38" s="137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914"/>
      <c r="B39" s="317" t="e">
        <f>+#REF!+1</f>
        <v>#REF!</v>
      </c>
      <c r="C39" s="393" t="s">
        <v>246</v>
      </c>
      <c r="D39" s="286" t="s">
        <v>113</v>
      </c>
      <c r="E39" s="402"/>
      <c r="F39" s="318"/>
      <c r="G39" s="474" t="s">
        <v>247</v>
      </c>
      <c r="H39" s="349" t="s">
        <v>248</v>
      </c>
      <c r="I39" s="475">
        <v>0.85</v>
      </c>
      <c r="J39" s="476" t="s">
        <v>241</v>
      </c>
      <c r="K39" s="477" t="s">
        <v>100</v>
      </c>
      <c r="L39" s="289"/>
      <c r="M39" s="289"/>
      <c r="N39" s="289"/>
      <c r="O39" s="291">
        <v>0.92</v>
      </c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 t="e">
        <f t="shared" si="1"/>
        <v>#N/A</v>
      </c>
      <c r="AC39" s="323">
        <f>+(4*100)/4</f>
        <v>100</v>
      </c>
      <c r="AD39" s="321" t="e">
        <f t="shared" si="5"/>
        <v>#DIV/0!</v>
      </c>
      <c r="AE39" s="295" t="s">
        <v>13</v>
      </c>
      <c r="AF39" s="324">
        <v>9.6100000000000005E-3</v>
      </c>
      <c r="AG39" s="325" t="str">
        <f>IF($K$39="Sube",IF(ISERROR(AB39/$O$39)=TRUE,"",IF(AB39&gt;$O$39,AF39,AB39/$O$39*AF39)),IF(ISERROR($O$39/AB39)=TRUE,"",IF($O$39&lt;AB39,$O$39/AB39*AF39,AF39)))</f>
        <v/>
      </c>
      <c r="AH39" s="326" t="str">
        <f>IF($K$39="Sube",IF(ISERROR(AB39/$O$39)=TRUE,"",IF(AB39&gt;=$O$39,1,0)),IF(ISERROR($O$39/AB39)=TRUE,"",IF($O$39&lt;AB39,0,1)))</f>
        <v/>
      </c>
      <c r="AI39" s="327"/>
      <c r="AJ39" s="328"/>
      <c r="AK39" s="453"/>
      <c r="AL39" s="453"/>
      <c r="AM39" s="180"/>
      <c r="AN39" s="151"/>
      <c r="AO39" s="181" t="s">
        <v>249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913" t="s">
        <v>79</v>
      </c>
      <c r="B40" s="403" t="e">
        <f t="shared" si="4"/>
        <v>#REF!</v>
      </c>
      <c r="C40" s="404" t="s">
        <v>137</v>
      </c>
      <c r="D40" s="404" t="s">
        <v>112</v>
      </c>
      <c r="E40" s="405"/>
      <c r="F40" s="406"/>
      <c r="G40" s="407" t="str">
        <f>+'Tablero Estratégico'!G20</f>
        <v>Resultado de la medición del clima laboral en el período</v>
      </c>
      <c r="H40" s="407" t="s">
        <v>157</v>
      </c>
      <c r="I40" s="478">
        <f>+'Tablero Estratégico'!K20</f>
        <v>0.41299999999999998</v>
      </c>
      <c r="J40" s="478" t="s">
        <v>146</v>
      </c>
      <c r="K40" s="473" t="s">
        <v>100</v>
      </c>
      <c r="L40" s="345"/>
      <c r="M40" s="345"/>
      <c r="N40" s="345"/>
      <c r="O40" s="408">
        <f>+'Tablero Estratégico'!M20</f>
        <v>0.75</v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2" t="e">
        <f t="shared" si="1"/>
        <v>#N/A</v>
      </c>
      <c r="AC40" s="253"/>
      <c r="AD40" s="251" t="e">
        <f t="shared" si="5"/>
        <v>#DIV/0!</v>
      </c>
      <c r="AE40" s="254" t="s">
        <v>13</v>
      </c>
      <c r="AF40" s="333">
        <v>9.6100000000000005E-3</v>
      </c>
      <c r="AG40" s="256" t="str">
        <f>IF($K$40="Sube",IF(ISERROR(AB40/$O$40)=TRUE,"",IF(AB40&gt;$O$40,AF40,AB40/$O$40*AF40)),IF(ISERROR($O$40/AB40)=TRUE,"",IF($O$40&lt;AB40,$O$40/AB40*AF40,AF40)))</f>
        <v/>
      </c>
      <c r="AH40" s="257" t="str">
        <f>IF($K$40="Sube",IF(ISERROR(AB40/$O$40)=TRUE,"",IF(AB40&gt;=$O$40,1,0)),IF(ISERROR($O$40/AB40)=TRUE,"",IF($O$40&lt;AB40,0,1)))</f>
        <v/>
      </c>
      <c r="AI40" s="258"/>
      <c r="AJ40" s="259"/>
      <c r="AK40" s="448"/>
      <c r="AL40" s="448"/>
      <c r="AM40" s="178"/>
      <c r="AN40" s="137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915"/>
      <c r="B41" s="409" t="e">
        <f t="shared" si="4"/>
        <v>#REF!</v>
      </c>
      <c r="C41" s="335" t="s">
        <v>138</v>
      </c>
      <c r="D41" s="335" t="s">
        <v>112</v>
      </c>
      <c r="E41" s="410"/>
      <c r="F41" s="411"/>
      <c r="G41" s="412" t="s">
        <v>162</v>
      </c>
      <c r="H41" s="412" t="s">
        <v>158</v>
      </c>
      <c r="I41" s="479"/>
      <c r="J41" s="479" t="s">
        <v>146</v>
      </c>
      <c r="K41" s="480" t="s">
        <v>100</v>
      </c>
      <c r="L41" s="279"/>
      <c r="M41" s="279"/>
      <c r="N41" s="279"/>
      <c r="O41" s="280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70" t="e">
        <f t="shared" si="1"/>
        <v>#N/A</v>
      </c>
      <c r="AC41" s="271"/>
      <c r="AD41" s="269" t="e">
        <f t="shared" si="5"/>
        <v>#DIV/0!</v>
      </c>
      <c r="AE41" s="272" t="s">
        <v>13</v>
      </c>
      <c r="AF41" s="303">
        <v>9.6100000000000005E-3</v>
      </c>
      <c r="AG41" s="274" t="str">
        <f>IF($K$41="Sube",IF(ISERROR(AB41/$O$41)=TRUE,"",IF(AB41&gt;$O$41,AF41,AB41/$O$41*AF41)),IF(ISERROR($O$41/AB41)=TRUE,"",IF($O$41&lt;AB41,$O$41/AB41*AF41,AF41)))</f>
        <v/>
      </c>
      <c r="AH41" s="275" t="str">
        <f>IF($K$41="Sube",IF(ISERROR(AB41/$O$41)=TRUE,"",IF(AB41&gt;=$O$41,1,0)),IF(ISERROR($O$41/AB41)=TRUE,"",IF($O$41&lt;AB41,0,1)))</f>
        <v/>
      </c>
      <c r="AI41" s="276"/>
      <c r="AJ41" s="277"/>
      <c r="AK41" s="449"/>
      <c r="AL41" s="449"/>
      <c r="AM41" s="226"/>
      <c r="AN41" s="138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915"/>
      <c r="B42" s="409" t="e">
        <f>+#REF!+1</f>
        <v>#REF!</v>
      </c>
      <c r="C42" s="335" t="s">
        <v>250</v>
      </c>
      <c r="D42" s="335" t="s">
        <v>112</v>
      </c>
      <c r="E42" s="410"/>
      <c r="F42" s="411"/>
      <c r="G42" s="412" t="s">
        <v>251</v>
      </c>
      <c r="H42" s="412" t="s">
        <v>252</v>
      </c>
      <c r="I42" s="479" t="s">
        <v>278</v>
      </c>
      <c r="J42" s="481" t="s">
        <v>245</v>
      </c>
      <c r="K42" s="480" t="s">
        <v>100</v>
      </c>
      <c r="L42" s="279"/>
      <c r="M42" s="279"/>
      <c r="N42" s="279"/>
      <c r="O42" s="28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70" t="e">
        <f t="shared" si="1"/>
        <v>#N/A</v>
      </c>
      <c r="AC42" s="271"/>
      <c r="AD42" s="269" t="e">
        <f t="shared" si="5"/>
        <v>#DIV/0!</v>
      </c>
      <c r="AE42" s="272" t="s">
        <v>13</v>
      </c>
      <c r="AF42" s="303">
        <v>9.6100000000000005E-3</v>
      </c>
      <c r="AG42" s="274" t="str">
        <f>IF($K$42="Sube",IF(ISERROR(AB42/$O$42)=TRUE,"",IF(AB42&gt;$O$42,AF42,AB42/$O$42*AF42)),IF(ISERROR($O$42/AB42)=TRUE,"",IF($O$42&lt;AB42,$O$42/AB42*AF42,AF42)))</f>
        <v/>
      </c>
      <c r="AH42" s="275" t="str">
        <f>IF($K$42="Sube",IF(ISERROR(AB42/$O$42)=TRUE,"",IF(AB42&gt;=$O$42,1,0)),IF(ISERROR($O$42/AB42)=TRUE,"",IF($O$42&lt;AB42,0,1)))</f>
        <v/>
      </c>
      <c r="AI42" s="276"/>
      <c r="AJ42" s="277"/>
      <c r="AK42" s="449"/>
      <c r="AL42" s="449"/>
      <c r="AM42" s="226"/>
      <c r="AN42" s="138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915"/>
      <c r="B43" s="409" t="e">
        <f t="shared" si="4"/>
        <v>#REF!</v>
      </c>
      <c r="C43" s="335" t="s">
        <v>253</v>
      </c>
      <c r="D43" s="335" t="s">
        <v>121</v>
      </c>
      <c r="E43" s="410"/>
      <c r="F43" s="411"/>
      <c r="G43" s="412" t="s">
        <v>254</v>
      </c>
      <c r="H43" s="412" t="s">
        <v>255</v>
      </c>
      <c r="I43" s="482">
        <v>1</v>
      </c>
      <c r="J43" s="479" t="s">
        <v>108</v>
      </c>
      <c r="K43" s="480" t="s">
        <v>100</v>
      </c>
      <c r="L43" s="279"/>
      <c r="M43" s="279"/>
      <c r="N43" s="279"/>
      <c r="O43" s="280">
        <v>1</v>
      </c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70" t="e">
        <f t="shared" si="1"/>
        <v>#N/A</v>
      </c>
      <c r="AC43" s="271"/>
      <c r="AD43" s="269" t="e">
        <f t="shared" si="5"/>
        <v>#DIV/0!</v>
      </c>
      <c r="AE43" s="272" t="s">
        <v>13</v>
      </c>
      <c r="AF43" s="303">
        <v>9.6100000000000005E-3</v>
      </c>
      <c r="AG43" s="274" t="str">
        <f>IF($K$43="Sube",IF(ISERROR(AB43/$O$43)=TRUE,"",IF(AB43&gt;$O$43,AF43,AB43/$O$43*AF43)),IF(ISERROR($O$43/AB43)=TRUE,"",IF($O$43&lt;AB43,$O$43/AB43*AF43,AF43)))</f>
        <v/>
      </c>
      <c r="AH43" s="275" t="str">
        <f>IF($K$43="Sube",IF(ISERROR(AB43/$O$43)=TRUE,"",IF(AB43&gt;=$O$43,1,0)),IF(ISERROR($O$43/AB43)=TRUE,"",IF($O$43&lt;AB43,0,1)))</f>
        <v/>
      </c>
      <c r="AI43" s="276"/>
      <c r="AJ43" s="277"/>
      <c r="AK43" s="449"/>
      <c r="AL43" s="449"/>
      <c r="AM43" s="226"/>
      <c r="AN43" s="138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915"/>
      <c r="B44" s="409" t="e">
        <f t="shared" si="4"/>
        <v>#REF!</v>
      </c>
      <c r="C44" s="335" t="s">
        <v>256</v>
      </c>
      <c r="D44" s="335" t="s">
        <v>121</v>
      </c>
      <c r="E44" s="411"/>
      <c r="F44" s="411"/>
      <c r="G44" s="412" t="s">
        <v>257</v>
      </c>
      <c r="H44" s="412" t="s">
        <v>258</v>
      </c>
      <c r="I44" s="479" t="s">
        <v>278</v>
      </c>
      <c r="J44" s="481" t="s">
        <v>146</v>
      </c>
      <c r="K44" s="480" t="s">
        <v>100</v>
      </c>
      <c r="L44" s="279"/>
      <c r="M44" s="279"/>
      <c r="N44" s="279"/>
      <c r="O44" s="280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70" t="e">
        <f t="shared" si="1"/>
        <v>#N/A</v>
      </c>
      <c r="AC44" s="271"/>
      <c r="AD44" s="269" t="e">
        <f t="shared" si="5"/>
        <v>#DIV/0!</v>
      </c>
      <c r="AE44" s="272" t="s">
        <v>13</v>
      </c>
      <c r="AF44" s="303">
        <v>9.6100000000000005E-3</v>
      </c>
      <c r="AG44" s="274" t="str">
        <f>IF($K$44="Sube",IF(ISERROR(AB44/$O$44)=TRUE,"",IF(AB44&gt;$O$44,AF44,AB44/$O$44*AF44)),IF(ISERROR($O$44/AB44)=TRUE,"",IF($O$44&lt;AB44,$O$44/AB44*AF44,AF44)))</f>
        <v/>
      </c>
      <c r="AH44" s="275" t="str">
        <f>IF($K$44="Sube",IF(ISERROR(AB44/$O$44)=TRUE,"",IF(AB44&gt;=$O$44,1,0)),IF(ISERROR($O$44/AB44)=TRUE,"",IF($O$44&lt;AB44,0,1)))</f>
        <v/>
      </c>
      <c r="AI44" s="276"/>
      <c r="AJ44" s="277"/>
      <c r="AK44" s="449"/>
      <c r="AL44" s="449"/>
      <c r="AM44" s="226"/>
      <c r="AN44" s="138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914"/>
      <c r="B45" s="347"/>
      <c r="C45" s="413" t="s">
        <v>259</v>
      </c>
      <c r="D45" s="413" t="s">
        <v>121</v>
      </c>
      <c r="E45" s="414"/>
      <c r="F45" s="414"/>
      <c r="G45" s="483" t="s">
        <v>260</v>
      </c>
      <c r="H45" s="483" t="s">
        <v>261</v>
      </c>
      <c r="I45" s="484">
        <v>1</v>
      </c>
      <c r="J45" s="485" t="s">
        <v>146</v>
      </c>
      <c r="K45" s="486" t="s">
        <v>141</v>
      </c>
      <c r="L45" s="463"/>
      <c r="M45" s="463"/>
      <c r="N45" s="463"/>
      <c r="O45" s="307">
        <v>1</v>
      </c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9"/>
      <c r="AC45" s="310"/>
      <c r="AD45" s="308"/>
      <c r="AE45" s="311"/>
      <c r="AF45" s="312"/>
      <c r="AG45" s="313"/>
      <c r="AH45" s="314"/>
      <c r="AI45" s="315"/>
      <c r="AJ45" s="316"/>
      <c r="AK45" s="452"/>
      <c r="AL45" s="452"/>
      <c r="AM45" s="228"/>
      <c r="AN45" s="179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365.25" hidden="1" thickBot="1">
      <c r="A46" s="415" t="s">
        <v>80</v>
      </c>
      <c r="B46" s="416" t="e">
        <f>+#REF!+1</f>
        <v>#REF!</v>
      </c>
      <c r="C46" s="417" t="s">
        <v>139</v>
      </c>
      <c r="D46" s="417" t="s">
        <v>121</v>
      </c>
      <c r="E46" s="418"/>
      <c r="F46" s="418"/>
      <c r="G46" s="487" t="s">
        <v>262</v>
      </c>
      <c r="H46" s="487" t="s">
        <v>263</v>
      </c>
      <c r="I46" s="488" t="str">
        <f>+'Tablero Estratégico'!K24</f>
        <v>NA</v>
      </c>
      <c r="J46" s="489" t="str">
        <f>+'Tablero Estratégico'!J24</f>
        <v>Mensual</v>
      </c>
      <c r="K46" s="490" t="s">
        <v>100</v>
      </c>
      <c r="L46" s="464"/>
      <c r="M46" s="464"/>
      <c r="N46" s="464"/>
      <c r="O46" s="419">
        <v>1</v>
      </c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1" t="e">
        <f t="shared" si="1"/>
        <v>#N/A</v>
      </c>
      <c r="AC46" s="422"/>
      <c r="AD46" s="420" t="e">
        <f t="shared" si="5"/>
        <v>#DIV/0!</v>
      </c>
      <c r="AE46" s="423" t="s">
        <v>13</v>
      </c>
      <c r="AF46" s="424">
        <v>9.6100000000000005E-3</v>
      </c>
      <c r="AG46" s="425" t="str">
        <f>IF($K$46="Sube",IF(ISERROR(AB46/$O$46)=TRUE,"",IF(AB46&gt;$O$46,AF46,AB46/$O$46*AF46)),IF(ISERROR($O$46/AB46)=TRUE,"",IF($O$46&lt;AB46,$O$46/AB46*AF46,AF46)))</f>
        <v/>
      </c>
      <c r="AH46" s="426" t="str">
        <f>IF($K$46="Sube",IF(ISERROR(AB46/$O$46)=TRUE,"",IF(AB46&gt;=$O$46,1,0)),IF(ISERROR($O$46/AB46)=TRUE,"",IF($O$46&lt;AB46,0,1)))</f>
        <v/>
      </c>
      <c r="AI46" s="427"/>
      <c r="AJ46" s="428">
        <f>+'Tablero Estratégico'!Y24</f>
        <v>0</v>
      </c>
      <c r="AK46" s="459"/>
      <c r="AL46" s="459" t="str">
        <f>+'Tablero Estratégico'!AF24</f>
        <v>Para cumplir con la meta acumualada y de acuerdo con los históricos:
Ene:   $ 2.217.931.658      (20,07%)   
                Real a Ene: $ 2.101.993.441,28 (19,02% en el acumulado o 94,77% del mes)
Metas para los demás meses:
Feb:   $ 2.815.469.050       (25,48%)
Mar:   $ 3.166.449.610       (28,65%)
Abr:   $ 3.538.975.396        (32,02%)
May:   $ 3.834.524.764      (34,70%)
Jun:   $ 4.226.109.249        (38,24%)
Jun:   $ 6.536.325.721        (59,15%)
Abr:   $ 7.589.971.626        (68,68%)
Sep:   $ 8.238.680.187        (74,55%)
Oct:   $ 8.853.291.139         (80,11%)
Nov:   $ 10.445.752.039      (94,52%)
Dic:   $ 11.050.804.592       (100,00%)</v>
      </c>
      <c r="AM46" s="230"/>
      <c r="AN46" s="182"/>
      <c r="AO46" s="224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913" t="s">
        <v>81</v>
      </c>
      <c r="B47" s="365" t="e">
        <f>+#REF!+1</f>
        <v>#REF!</v>
      </c>
      <c r="C47" s="243" t="s">
        <v>264</v>
      </c>
      <c r="D47" s="244" t="s">
        <v>114</v>
      </c>
      <c r="E47" s="343"/>
      <c r="F47" s="343"/>
      <c r="G47" s="491" t="s">
        <v>265</v>
      </c>
      <c r="H47" s="491" t="s">
        <v>266</v>
      </c>
      <c r="I47" s="492"/>
      <c r="J47" s="472" t="s">
        <v>147</v>
      </c>
      <c r="K47" s="473" t="s">
        <v>141</v>
      </c>
      <c r="L47" s="345"/>
      <c r="M47" s="345"/>
      <c r="N47" s="345"/>
      <c r="O47" s="250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2" t="e">
        <f t="shared" si="1"/>
        <v>#N/A</v>
      </c>
      <c r="AC47" s="253"/>
      <c r="AD47" s="251" t="e">
        <f t="shared" si="5"/>
        <v>#DIV/0!</v>
      </c>
      <c r="AE47" s="254" t="s">
        <v>13</v>
      </c>
      <c r="AF47" s="333">
        <v>9.6100000000000005E-3</v>
      </c>
      <c r="AG47" s="256" t="str">
        <f>IF($K$47="Sube",IF(ISERROR(AB47/$O$47)=TRUE,"",IF(AB47&gt;$O$47,AF47,AB47/$O$47*AF47)),IF(ISERROR($O$47/AB47)=TRUE,"",IF($O$47&lt;AB47,$O$47/AB47*AF47,AF47)))</f>
        <v/>
      </c>
      <c r="AH47" s="257" t="str">
        <f>IF($K$47="Sube",IF(ISERROR(AB47/$O$47)=TRUE,"",IF(AB47&gt;=$O$47,1,0)),IF(ISERROR($O$47/AB47)=TRUE,"",IF($O$47&lt;AB47,0,1)))</f>
        <v/>
      </c>
      <c r="AI47" s="258"/>
      <c r="AJ47" s="259"/>
      <c r="AK47" s="448"/>
      <c r="AL47" s="448"/>
      <c r="AM47" s="178"/>
      <c r="AN47" s="137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42" hidden="1">
      <c r="A48" s="915"/>
      <c r="B48" s="369" t="e">
        <f t="shared" si="4"/>
        <v>#REF!</v>
      </c>
      <c r="C48" s="262" t="s">
        <v>267</v>
      </c>
      <c r="D48" s="262" t="s">
        <v>121</v>
      </c>
      <c r="E48" s="301"/>
      <c r="F48" s="301"/>
      <c r="G48" s="493" t="s">
        <v>268</v>
      </c>
      <c r="H48" s="493" t="s">
        <v>269</v>
      </c>
      <c r="I48" s="494"/>
      <c r="J48" s="481" t="s">
        <v>147</v>
      </c>
      <c r="K48" s="480" t="s">
        <v>100</v>
      </c>
      <c r="L48" s="279"/>
      <c r="M48" s="279"/>
      <c r="N48" s="279"/>
      <c r="O48" s="280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70" t="e">
        <f t="shared" si="1"/>
        <v>#N/A</v>
      </c>
      <c r="AC48" s="271"/>
      <c r="AD48" s="269" t="e">
        <f t="shared" si="5"/>
        <v>#DIV/0!</v>
      </c>
      <c r="AE48" s="272" t="s">
        <v>13</v>
      </c>
      <c r="AF48" s="303">
        <v>9.6100000000000005E-3</v>
      </c>
      <c r="AG48" s="274" t="str">
        <f>IF($K$48="Sube",IF(ISERROR(AB48/$O$48)=TRUE,"",IF(AB48&gt;$O$48,AF48,AB48/$O$48*AF48)),IF(ISERROR($O$48/AB48)=TRUE,"",IF($O$48&lt;AB48,$O$48/AB48*AF48,AF48)))</f>
        <v/>
      </c>
      <c r="AH48" s="275" t="str">
        <f>IF($K$48="Sube",IF(ISERROR(AB48/$O$48)=TRUE,"",IF(AB48&gt;=$O$48,1,0)),IF(ISERROR($O$48/AB48)=TRUE,"",IF($O$48&lt;AB48,0,1)))</f>
        <v/>
      </c>
      <c r="AI48" s="276"/>
      <c r="AJ48" s="429">
        <f>+'Tablero Estratégico'!Y26</f>
        <v>0</v>
      </c>
      <c r="AK48" s="513"/>
      <c r="AL48" s="450" t="str">
        <f>+'Tablero Estratégico'!AF26</f>
        <v>En enero se recaudaron $3.000.445.702,00 (incluídos recursos Nación) y se comprometieron $3.891.078.889,97</v>
      </c>
      <c r="AM48" s="226"/>
      <c r="AN48" s="138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914"/>
      <c r="B49" s="392" t="e">
        <f t="shared" si="4"/>
        <v>#REF!</v>
      </c>
      <c r="C49" s="286" t="s">
        <v>140</v>
      </c>
      <c r="D49" s="286" t="s">
        <v>112</v>
      </c>
      <c r="E49" s="318"/>
      <c r="F49" s="318"/>
      <c r="G49" s="349" t="s">
        <v>173</v>
      </c>
      <c r="H49" s="349" t="s">
        <v>165</v>
      </c>
      <c r="I49" s="495">
        <f>+'Tablero Estratégico'!K26</f>
        <v>1.0374939776423666</v>
      </c>
      <c r="J49" s="476" t="s">
        <v>147</v>
      </c>
      <c r="K49" s="477" t="s">
        <v>100</v>
      </c>
      <c r="L49" s="289"/>
      <c r="M49" s="289"/>
      <c r="N49" s="289"/>
      <c r="O49" s="291" t="str">
        <f>+'Tablero Estratégico'!M26</f>
        <v>≥  1,00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C49" s="323"/>
      <c r="AD49" s="321"/>
      <c r="AE49" s="295"/>
      <c r="AF49" s="324"/>
      <c r="AG49" s="325"/>
      <c r="AH49" s="326"/>
      <c r="AI49" s="327"/>
      <c r="AJ49" s="328"/>
      <c r="AK49" s="453"/>
      <c r="AL49" s="453"/>
      <c r="AM49" s="180"/>
      <c r="AN49" s="151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898" t="s">
        <v>270</v>
      </c>
      <c r="B50" s="430" t="e">
        <f>+#REF!+1</f>
        <v>#REF!</v>
      </c>
      <c r="C50" s="431" t="s">
        <v>311</v>
      </c>
      <c r="D50" s="432" t="s">
        <v>113</v>
      </c>
      <c r="E50" s="433"/>
      <c r="F50" s="433"/>
      <c r="G50" s="496" t="s">
        <v>271</v>
      </c>
      <c r="H50" s="496" t="s">
        <v>272</v>
      </c>
      <c r="I50" s="497">
        <v>0.4</v>
      </c>
      <c r="J50" s="498" t="s">
        <v>108</v>
      </c>
      <c r="K50" s="499" t="s">
        <v>100</v>
      </c>
      <c r="L50" s="465"/>
      <c r="M50" s="465"/>
      <c r="N50" s="465"/>
      <c r="O50" s="434">
        <v>0.85</v>
      </c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6"/>
      <c r="AC50" s="437"/>
      <c r="AD50" s="435"/>
      <c r="AE50" s="438"/>
      <c r="AF50" s="439"/>
      <c r="AG50" s="440"/>
      <c r="AH50" s="441"/>
      <c r="AI50" s="442"/>
      <c r="AJ50" s="443">
        <v>0.4</v>
      </c>
      <c r="AK50" s="514"/>
      <c r="AL50" s="460" t="s">
        <v>349</v>
      </c>
      <c r="AM50" s="226"/>
      <c r="AN50" s="138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899"/>
      <c r="B51" s="444"/>
      <c r="C51" s="287" t="s">
        <v>273</v>
      </c>
      <c r="D51" s="445" t="s">
        <v>113</v>
      </c>
      <c r="E51" s="318"/>
      <c r="F51" s="318"/>
      <c r="G51" s="500" t="s">
        <v>274</v>
      </c>
      <c r="H51" s="500" t="s">
        <v>275</v>
      </c>
      <c r="I51" s="501">
        <v>0.4</v>
      </c>
      <c r="J51" s="502" t="s">
        <v>108</v>
      </c>
      <c r="K51" s="503" t="s">
        <v>100</v>
      </c>
      <c r="L51" s="466"/>
      <c r="M51" s="466"/>
      <c r="N51" s="466"/>
      <c r="O51" s="291">
        <v>0.85</v>
      </c>
      <c r="P51" s="446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2"/>
      <c r="AC51" s="323"/>
      <c r="AD51" s="321"/>
      <c r="AE51" s="295"/>
      <c r="AF51" s="324"/>
      <c r="AG51" s="325"/>
      <c r="AH51" s="326"/>
      <c r="AI51" s="327"/>
      <c r="AJ51" s="364">
        <v>0.4</v>
      </c>
      <c r="AK51" s="508"/>
      <c r="AL51" s="451" t="s">
        <v>350</v>
      </c>
      <c r="AM51" s="180"/>
      <c r="AN51" s="151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O52" s="223"/>
      <c r="AE52" s="70" t="s">
        <v>14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83"/>
      <c r="AJ52" s="183"/>
      <c r="AK52" s="183"/>
      <c r="AL52" s="183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O53" s="223"/>
      <c r="AE53" s="22" t="s">
        <v>15</v>
      </c>
      <c r="AF53" s="172" t="s">
        <v>16</v>
      </c>
      <c r="AG53" s="23" t="s">
        <v>17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G54" s="63"/>
      <c r="O54" s="223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O55" s="223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O56" s="223"/>
      <c r="AE56" s="27" t="s">
        <v>18</v>
      </c>
      <c r="AF56" s="28" t="s">
        <v>19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O57" s="223"/>
      <c r="AE57" s="29" t="s">
        <v>20</v>
      </c>
      <c r="AF57" s="30" t="s">
        <v>21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O58" s="223"/>
      <c r="AE58" s="31" t="s">
        <v>22</v>
      </c>
      <c r="AF58" s="32" t="s">
        <v>23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O59" s="223"/>
    </row>
    <row r="60" spans="1:64">
      <c r="O60" s="223"/>
    </row>
  </sheetData>
  <autoFilter ref="A7:BL54">
    <filterColumn colId="0">
      <filters>
        <filter val="Gestión de recursos fisicos"/>
      </filters>
    </filterColumn>
  </autoFilter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81" bestFit="1" customWidth="1"/>
    <col min="6" max="6" width="10.42578125" customWidth="1"/>
  </cols>
  <sheetData>
    <row r="2" spans="3:6" ht="15.75" thickBot="1"/>
    <row r="3" spans="3:6" ht="15.75" thickBot="1">
      <c r="C3" s="167" t="s">
        <v>315</v>
      </c>
      <c r="D3" s="186" t="s">
        <v>292</v>
      </c>
      <c r="E3" s="186" t="s">
        <v>293</v>
      </c>
      <c r="F3" s="192" t="s">
        <v>40</v>
      </c>
    </row>
    <row r="4" spans="3:6" ht="28.5" customHeight="1">
      <c r="C4" s="935" t="s">
        <v>285</v>
      </c>
      <c r="D4" s="194" t="str">
        <f>+'Tablero Eficacia - Eficiencia'!C31</f>
        <v xml:space="preserve">Beneficiados de actividad </v>
      </c>
      <c r="E4" s="195" t="str">
        <f>+'Tablero Eficacia - Eficiencia'!I31</f>
        <v>No tiene, es la primera vez que se mide este impacto</v>
      </c>
      <c r="F4" s="207">
        <f>+'Tablero Eficacia - Eficiencia'!O31</f>
        <v>0</v>
      </c>
    </row>
    <row r="5" spans="3:6" ht="27" customHeight="1" thickBot="1">
      <c r="C5" s="936"/>
      <c r="D5" s="196" t="str">
        <f>+'Tablero Eficacia - Eficiencia'!C32</f>
        <v>Actividades de formación integral</v>
      </c>
      <c r="E5" s="215">
        <f>+'Tablero Eficacia - Eficiencia'!I32</f>
        <v>0.98</v>
      </c>
      <c r="F5" s="206">
        <f>+'Tablero Eficacia - Eficiencia'!O32</f>
        <v>1</v>
      </c>
    </row>
    <row r="6" spans="3:6" ht="38.25" customHeight="1">
      <c r="C6" s="935" t="s">
        <v>286</v>
      </c>
      <c r="D6" s="194" t="str">
        <f>+'Tablero Eficacia - Eficiencia'!C9</f>
        <v xml:space="preserve">Variación de pruebas saber pro </v>
      </c>
      <c r="E6" s="193" t="str">
        <f>+'Tablero Eficacia - Eficiencia'!I9</f>
        <v>9.9925(2016)/9,9204(2015)</v>
      </c>
      <c r="F6" s="211">
        <f>+'Tablero Eficacia - Eficiencia'!O9</f>
        <v>7.2678521027376153E-3</v>
      </c>
    </row>
    <row r="7" spans="3:6">
      <c r="C7" s="937"/>
      <c r="D7" s="191" t="str">
        <f>+'Tablero Eficacia - Eficiencia'!C10</f>
        <v>Índice de empleabilidad</v>
      </c>
      <c r="E7" s="187" t="str">
        <f>+'Tablero Eficacia - Eficiencia'!I10</f>
        <v>95,7% (Medición del 2015, no hay datos 2016)</v>
      </c>
      <c r="F7" s="205" t="str">
        <f>+'Tablero Eficacia - Eficiencia'!O10</f>
        <v>&gt;= 96%</v>
      </c>
    </row>
    <row r="8" spans="3:6">
      <c r="C8" s="937"/>
      <c r="D8" s="191" t="str">
        <f>+'Tablero Eficacia - Eficiencia'!C13</f>
        <v>Satisfacción de los cursos de extensión</v>
      </c>
      <c r="E8" s="188" t="str">
        <f>+'Tablero Eficacia - Eficiencia'!I13</f>
        <v>No tiene, es la primera vez que se mide este impacto</v>
      </c>
      <c r="F8" s="205">
        <f>+'Tablero Eficacia - Eficiencia'!O13</f>
        <v>0</v>
      </c>
    </row>
    <row r="9" spans="3:6">
      <c r="C9" s="937"/>
      <c r="D9" s="191" t="str">
        <f>+'Tablero Eficacia - Eficiencia'!C15</f>
        <v>Permanencia en los cursos de extensión</v>
      </c>
      <c r="E9" s="188" t="str">
        <f>+'Tablero Eficacia - Eficiencia'!I15</f>
        <v>No tiene, es la primera vez que se mide este impacto</v>
      </c>
      <c r="F9" s="205">
        <f>+'Tablero Eficacia - Eficiencia'!O15</f>
        <v>0</v>
      </c>
    </row>
    <row r="10" spans="3:6">
      <c r="C10" s="937"/>
      <c r="D10" s="191" t="str">
        <f>+'Tablero Eficacia - Eficiencia'!C17</f>
        <v xml:space="preserve">Trabajos de grado con reconocimiento </v>
      </c>
      <c r="E10" s="188" t="str">
        <f>+'Tablero Eficacia - Eficiencia'!I17</f>
        <v>No tiene, es la primera vez que se mide este impacto</v>
      </c>
      <c r="F10" s="205">
        <f>+'Tablero Eficacia - Eficiencia'!O17</f>
        <v>1</v>
      </c>
    </row>
    <row r="11" spans="3:6">
      <c r="C11" s="937"/>
      <c r="D11" s="191" t="str">
        <f>+'Tablero Eficacia - Eficiencia'!C20</f>
        <v>Revisión de syllabus</v>
      </c>
      <c r="E11" s="189" t="str">
        <f>+'Tablero Eficacia - Eficiencia'!I20</f>
        <v>75% (11/15)</v>
      </c>
      <c r="F11" s="205">
        <f>+'Tablero Eficacia - Eficiencia'!O20</f>
        <v>0.9</v>
      </c>
    </row>
    <row r="12" spans="3:6">
      <c r="C12" s="937"/>
      <c r="D12" s="197" t="str">
        <f>+'Tablero Eficacia - Eficiencia'!C23</f>
        <v>Rendimiento académico periódico</v>
      </c>
      <c r="E12" s="188" t="str">
        <f>+'Tablero Eficacia - Eficiencia'!I23</f>
        <v>No tiene, es la primera vez que se mide este impacto</v>
      </c>
      <c r="F12" s="205">
        <f>+'Tablero Eficacia - Eficiencia'!O23</f>
        <v>0</v>
      </c>
    </row>
    <row r="13" spans="3:6">
      <c r="C13" s="937"/>
      <c r="D13" s="197" t="str">
        <f>+'Tablero Eficacia - Eficiencia'!C24</f>
        <v xml:space="preserve">Promoción escolar </v>
      </c>
      <c r="E13" s="187">
        <f>+'Tablero Eficacia - Eficiencia'!I24</f>
        <v>0.8571428571428571</v>
      </c>
      <c r="F13" s="205">
        <f>+'Tablero Eficacia - Eficiencia'!O24</f>
        <v>0.87</v>
      </c>
    </row>
    <row r="14" spans="3:6" ht="15.75" thickBot="1">
      <c r="C14" s="936"/>
      <c r="D14" s="198" t="str">
        <f>+'Tablero Eficacia - Eficiencia'!C25</f>
        <v xml:space="preserve">Desempeño pruebas saber </v>
      </c>
      <c r="E14" s="212">
        <f>+'Tablero Eficacia - Eficiencia'!I25</f>
        <v>-0.23424570337364736</v>
      </c>
      <c r="F14" s="206">
        <f>+'Tablero Eficacia - Eficiencia'!O25</f>
        <v>7.22</v>
      </c>
    </row>
    <row r="15" spans="3:6">
      <c r="C15" s="932" t="s">
        <v>287</v>
      </c>
      <c r="D15" s="200" t="str">
        <f>+'Tablero Eficacia - Eficiencia'!C26</f>
        <v>Proyectos de formación en actividades</v>
      </c>
      <c r="E15" s="213">
        <f>+'Tablero Eficacia - Eficiencia'!I26</f>
        <v>1</v>
      </c>
      <c r="F15" s="207">
        <f>+'Tablero Eficacia - Eficiencia'!O26</f>
        <v>1</v>
      </c>
    </row>
    <row r="16" spans="3:6">
      <c r="C16" s="933"/>
      <c r="D16" s="197" t="str">
        <f>+'Tablero Eficacia - Eficiencia'!C27</f>
        <v>Proyectos  de  apoyo a las actividades</v>
      </c>
      <c r="E16" s="216">
        <f>+'Tablero Eficacia - Eficiencia'!I27</f>
        <v>0.9</v>
      </c>
      <c r="F16" s="205">
        <f>+'Tablero Eficacia - Eficiencia'!O27</f>
        <v>1</v>
      </c>
    </row>
    <row r="17" spans="3:6" ht="15.75" thickBot="1">
      <c r="C17" s="934"/>
      <c r="D17" s="198" t="str">
        <f>+'Tablero Eficacia - Eficiencia'!C28</f>
        <v>Programa  de transferencia de conocimiento</v>
      </c>
      <c r="E17" s="199" t="str">
        <f>+'Tablero Eficacia - Eficiencia'!I28</f>
        <v>No tiene, es la primera vez que se mide este impacto</v>
      </c>
      <c r="F17" s="206">
        <f>+'Tablero Eficacia - Eficiencia'!O28</f>
        <v>0</v>
      </c>
    </row>
    <row r="18" spans="3:6" ht="26.25" thickBot="1">
      <c r="C18" s="204" t="s">
        <v>288</v>
      </c>
      <c r="D18" s="202" t="str">
        <f>+'Tablero Eficacia - Eficiencia'!C8</f>
        <v>Programas acreditados</v>
      </c>
      <c r="E18" s="203">
        <f>+'Tablero Eficacia - Eficiencia'!I8</f>
        <v>0.1111111111111111</v>
      </c>
      <c r="F18" s="208">
        <f>+'Tablero Eficacia - Eficiencia'!O8</f>
        <v>0.1111111111111111</v>
      </c>
    </row>
    <row r="19" spans="3:6" ht="30.75" customHeight="1">
      <c r="C19" s="932" t="s">
        <v>289</v>
      </c>
      <c r="D19" s="194" t="str">
        <f>+'Tablero Eficacia - Eficiencia'!C11</f>
        <v>Cumplimiento de actividades de movilidad</v>
      </c>
      <c r="E19" s="217">
        <f>+'Tablero Eficacia - Eficiencia'!I11</f>
        <v>0.94169999999999998</v>
      </c>
      <c r="F19" s="207">
        <f>+'Tablero Eficacia - Eficiencia'!O11</f>
        <v>1</v>
      </c>
    </row>
    <row r="20" spans="3:6" ht="15.75" thickBot="1">
      <c r="C20" s="934"/>
      <c r="D20" s="198" t="str">
        <f>+'Tablero Eficacia - Eficiencia'!C18</f>
        <v>Participación en comunidades académicas</v>
      </c>
      <c r="E20" s="199" t="str">
        <f>+'Tablero Eficacia - Eficiencia'!I18</f>
        <v>No tiene, es la primera vez que se mide este impacto</v>
      </c>
      <c r="F20" s="206">
        <f>+'Tablero Eficacia - Eficiencia'!O18</f>
        <v>1</v>
      </c>
    </row>
    <row r="21" spans="3:6">
      <c r="C21" s="932" t="s">
        <v>290</v>
      </c>
      <c r="D21" s="200" t="str">
        <f>+'Tablero Eficacia - Eficiencia'!C12</f>
        <v>Cumplimiento del Plan de Desarrollo Institucional</v>
      </c>
      <c r="E21" s="213">
        <f>+'Tablero Eficacia - Eficiencia'!I12</f>
        <v>0.97</v>
      </c>
      <c r="F21" s="207">
        <f>+'Tablero Eficacia - Eficiencia'!O12</f>
        <v>0.98</v>
      </c>
    </row>
    <row r="22" spans="3:6">
      <c r="C22" s="933"/>
      <c r="D22" s="197" t="str">
        <f>+'Tablero Eficacia - Eficiencia'!C38</f>
        <v>Seguimiento a las hojas de vida de los funcionarios</v>
      </c>
      <c r="E22" s="189">
        <f>+'Tablero Eficacia - Eficiencia'!I38</f>
        <v>0</v>
      </c>
      <c r="F22" s="205">
        <f>+'Tablero Eficacia - Eficiencia'!O38</f>
        <v>1</v>
      </c>
    </row>
    <row r="23" spans="3:6">
      <c r="C23" s="933"/>
      <c r="D23" s="197" t="str">
        <f>+'Tablero Eficacia - Eficiencia'!C39</f>
        <v xml:space="preserve">Seguimiento al servicio permanente </v>
      </c>
      <c r="E23" s="216">
        <f>+'Tablero Eficacia - Eficiencia'!I39</f>
        <v>0.85</v>
      </c>
      <c r="F23" s="205">
        <f>+'Tablero Eficacia - Eficiencia'!O39</f>
        <v>0.92</v>
      </c>
    </row>
    <row r="24" spans="3:6">
      <c r="C24" s="933"/>
      <c r="D24" s="197" t="str">
        <f>+'Tablero Eficacia - Eficiencia'!C40</f>
        <v xml:space="preserve">Clima laboral </v>
      </c>
      <c r="E24" s="231">
        <f>+'Tablero Eficacia - Eficiencia'!I40</f>
        <v>0.41299999999999998</v>
      </c>
      <c r="F24" s="209">
        <f>+'Tablero Eficacia - Eficiencia'!O40</f>
        <v>0.75</v>
      </c>
    </row>
    <row r="25" spans="3:6" ht="36.75" customHeight="1">
      <c r="C25" s="933"/>
      <c r="D25" s="191" t="str">
        <f>+'Tablero Eficacia - Eficiencia'!C43</f>
        <v xml:space="preserve">Cumplimiento del programa de bienestar laboral </v>
      </c>
      <c r="E25" s="214">
        <f>+'Tablero Eficacia - Eficiencia'!I43</f>
        <v>1</v>
      </c>
      <c r="F25" s="210">
        <f>+'Tablero Eficacia - Eficiencia'!O43</f>
        <v>1</v>
      </c>
    </row>
    <row r="26" spans="3:6" ht="15.75" thickBot="1">
      <c r="C26" s="934"/>
      <c r="D26" s="198" t="str">
        <f>+'Tablero Eficacia - Eficiencia'!C45</f>
        <v>Cumplimiento del plan de capacitación</v>
      </c>
      <c r="E26" s="215">
        <f>+'Tablero Eficacia - Eficiencia'!I45</f>
        <v>1</v>
      </c>
      <c r="F26" s="206">
        <f>+'Tablero Eficacia - Eficiencia'!O45</f>
        <v>1</v>
      </c>
    </row>
    <row r="27" spans="3:6">
      <c r="C27" s="932" t="s">
        <v>291</v>
      </c>
      <c r="D27" s="200" t="str">
        <f>+'Tablero Eficacia - Eficiencia'!C19</f>
        <v>Uso de talleres y laboratorios</v>
      </c>
      <c r="E27" s="201" t="str">
        <f>+'Tablero Eficacia - Eficiencia'!I19</f>
        <v>No tiene, es la primera vez que se mide este impacto</v>
      </c>
      <c r="F27" s="207">
        <f>+'Tablero Eficacia - Eficiencia'!O19</f>
        <v>1</v>
      </c>
    </row>
    <row r="28" spans="3:6">
      <c r="C28" s="933"/>
      <c r="D28" s="197" t="str">
        <f>+'Tablero Eficacia - Eficiencia'!C31</f>
        <v xml:space="preserve">Beneficiados de actividad </v>
      </c>
      <c r="E28" s="190" t="str">
        <f>+'Tablero Eficacia - Eficiencia'!I31</f>
        <v>No tiene, es la primera vez que se mide este impacto</v>
      </c>
      <c r="F28" s="205">
        <f>+'Tablero Eficacia - Eficiencia'!O31</f>
        <v>0</v>
      </c>
    </row>
    <row r="29" spans="3:6" ht="15.75" thickBot="1">
      <c r="C29" s="934"/>
      <c r="D29" s="198" t="str">
        <f>+'Tablero Eficacia - Eficiencia'!C32</f>
        <v>Actividades de formación integral</v>
      </c>
      <c r="E29" s="215">
        <f>+'Tablero Eficacia - Eficiencia'!I32</f>
        <v>0.98</v>
      </c>
      <c r="F29" s="206">
        <f>+'Tablero Eficacia - Eficiencia'!O32</f>
        <v>1</v>
      </c>
    </row>
    <row r="37" spans="11:14">
      <c r="N37" s="184"/>
    </row>
    <row r="38" spans="11:14">
      <c r="K38" s="185"/>
      <c r="N38" s="185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RowHeight="15"/>
  <sheetData>
    <row r="6" spans="4:13">
      <c r="L6" s="938" t="s">
        <v>334</v>
      </c>
      <c r="M6" s="938"/>
    </row>
    <row r="7" spans="4:13">
      <c r="E7" t="s">
        <v>323</v>
      </c>
      <c r="F7" t="s">
        <v>324</v>
      </c>
      <c r="L7" t="s">
        <v>332</v>
      </c>
      <c r="M7" t="s">
        <v>333</v>
      </c>
    </row>
    <row r="8" spans="4:13">
      <c r="D8" t="s">
        <v>325</v>
      </c>
      <c r="E8" s="185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326</v>
      </c>
      <c r="E9" s="185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327</v>
      </c>
      <c r="E10" s="235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328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329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330</v>
      </c>
      <c r="H13" s="168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331</v>
      </c>
      <c r="M14" s="168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70">
        <v>1</v>
      </c>
      <c r="F9" s="171">
        <v>0.9</v>
      </c>
      <c r="G9" s="169" t="s">
        <v>193</v>
      </c>
    </row>
    <row r="10" spans="5:7" ht="252.75" thickBot="1">
      <c r="E10" s="170">
        <v>1</v>
      </c>
      <c r="F10" s="171">
        <v>0.9</v>
      </c>
      <c r="G10" s="169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900" t="s">
        <v>47</v>
      </c>
      <c r="B1" s="900"/>
      <c r="C1" s="901"/>
      <c r="D1" s="902" t="s">
        <v>56</v>
      </c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3"/>
      <c r="AB1" s="903"/>
      <c r="AC1" s="904"/>
      <c r="AD1" s="916" t="s">
        <v>31</v>
      </c>
      <c r="AE1" s="916"/>
    </row>
    <row r="2" spans="1:58" ht="15" customHeight="1">
      <c r="A2" s="901"/>
      <c r="B2" s="901"/>
      <c r="C2" s="901"/>
      <c r="D2" s="905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7"/>
      <c r="AD2" s="916"/>
      <c r="AE2" s="916"/>
    </row>
    <row r="3" spans="1:58" ht="15" customHeight="1">
      <c r="A3" s="901"/>
      <c r="B3" s="901"/>
      <c r="C3" s="901"/>
      <c r="D3" s="908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09"/>
      <c r="T3" s="909"/>
      <c r="U3" s="909"/>
      <c r="V3" s="909"/>
      <c r="W3" s="909"/>
      <c r="X3" s="909"/>
      <c r="Y3" s="909"/>
      <c r="Z3" s="909"/>
      <c r="AA3" s="909"/>
      <c r="AB3" s="909"/>
      <c r="AC3" s="910"/>
      <c r="AD3" s="916"/>
      <c r="AE3" s="916"/>
    </row>
    <row r="4" spans="1:58" ht="15" customHeight="1">
      <c r="A4" s="901"/>
      <c r="B4" s="901"/>
      <c r="C4" s="901"/>
      <c r="D4" s="917" t="s">
        <v>44</v>
      </c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9"/>
      <c r="AD4" s="923" t="s">
        <v>32</v>
      </c>
      <c r="AE4" s="923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901"/>
      <c r="B5" s="901"/>
      <c r="C5" s="901"/>
      <c r="D5" s="920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2"/>
      <c r="AD5" s="924">
        <v>42731</v>
      </c>
      <c r="AE5" s="92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940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941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942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939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939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939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939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939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939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946" t="s">
        <v>47</v>
      </c>
      <c r="C1" s="947"/>
      <c r="D1" s="950" t="s">
        <v>0</v>
      </c>
      <c r="E1" s="951"/>
      <c r="F1" s="951"/>
      <c r="G1" s="951"/>
      <c r="H1" s="951"/>
      <c r="I1" s="952"/>
      <c r="J1" s="959" t="s">
        <v>31</v>
      </c>
      <c r="K1" s="960"/>
    </row>
    <row r="2" spans="2:12" ht="15" customHeight="1">
      <c r="B2" s="948"/>
      <c r="C2" s="949"/>
      <c r="D2" s="953"/>
      <c r="E2" s="954"/>
      <c r="F2" s="954"/>
      <c r="G2" s="954"/>
      <c r="H2" s="954"/>
      <c r="I2" s="955"/>
      <c r="J2" s="961"/>
      <c r="K2" s="962"/>
    </row>
    <row r="3" spans="2:12" ht="15" customHeight="1">
      <c r="B3" s="948"/>
      <c r="C3" s="949"/>
      <c r="D3" s="956"/>
      <c r="E3" s="957"/>
      <c r="F3" s="957"/>
      <c r="G3" s="957"/>
      <c r="H3" s="957"/>
      <c r="I3" s="958"/>
      <c r="J3" s="961"/>
      <c r="K3" s="962"/>
    </row>
    <row r="4" spans="2:12" ht="15" customHeight="1">
      <c r="B4" s="948"/>
      <c r="C4" s="949"/>
      <c r="D4" s="963" t="s">
        <v>44</v>
      </c>
      <c r="E4" s="963"/>
      <c r="F4" s="963"/>
      <c r="G4" s="963"/>
      <c r="H4" s="963"/>
      <c r="I4" s="963"/>
      <c r="J4" s="965" t="s">
        <v>32</v>
      </c>
      <c r="K4" s="966"/>
    </row>
    <row r="5" spans="2:12" ht="15.75" customHeight="1" thickBot="1">
      <c r="B5" s="948"/>
      <c r="C5" s="949"/>
      <c r="D5" s="964"/>
      <c r="E5" s="964"/>
      <c r="F5" s="964"/>
      <c r="G5" s="964"/>
      <c r="H5" s="964"/>
      <c r="I5" s="964"/>
      <c r="J5" s="967">
        <v>42664</v>
      </c>
      <c r="K5" s="968"/>
    </row>
    <row r="6" spans="2:12" ht="15.75" thickBot="1">
      <c r="B6" s="943"/>
      <c r="C6" s="944"/>
      <c r="D6" s="944"/>
      <c r="E6" s="944"/>
      <c r="F6" s="944"/>
      <c r="G6" s="944"/>
      <c r="H6" s="944"/>
      <c r="I6" s="945"/>
      <c r="J6" s="971"/>
      <c r="K6" s="972"/>
      <c r="L6" s="4"/>
    </row>
    <row r="7" spans="2:12" ht="48">
      <c r="B7" s="973" t="s">
        <v>33</v>
      </c>
      <c r="C7" s="976" t="s">
        <v>90</v>
      </c>
      <c r="D7" s="973" t="s">
        <v>34</v>
      </c>
      <c r="E7" s="82" t="s">
        <v>61</v>
      </c>
      <c r="F7" s="973" t="s">
        <v>52</v>
      </c>
      <c r="G7" s="976" t="s">
        <v>51</v>
      </c>
      <c r="H7" s="973" t="s">
        <v>35</v>
      </c>
      <c r="I7" s="83" t="s">
        <v>63</v>
      </c>
      <c r="J7" s="973" t="s">
        <v>36</v>
      </c>
      <c r="K7" s="88"/>
      <c r="L7" s="5"/>
    </row>
    <row r="8" spans="2:12" ht="60">
      <c r="B8" s="974"/>
      <c r="C8" s="977"/>
      <c r="D8" s="974"/>
      <c r="E8" s="82" t="s">
        <v>83</v>
      </c>
      <c r="F8" s="974"/>
      <c r="G8" s="977"/>
      <c r="H8" s="974"/>
      <c r="I8" s="83" t="s">
        <v>82</v>
      </c>
      <c r="J8" s="974"/>
      <c r="K8" s="88"/>
      <c r="L8" s="5"/>
    </row>
    <row r="9" spans="2:12" ht="36">
      <c r="B9" s="974"/>
      <c r="C9" s="977"/>
      <c r="D9" s="974"/>
      <c r="E9" s="82" t="s">
        <v>68</v>
      </c>
      <c r="F9" s="974"/>
      <c r="G9" s="977"/>
      <c r="H9" s="974"/>
      <c r="I9" s="83" t="s">
        <v>66</v>
      </c>
      <c r="J9" s="974"/>
      <c r="K9" s="88"/>
      <c r="L9" s="5"/>
    </row>
    <row r="10" spans="2:12" ht="48">
      <c r="B10" s="974"/>
      <c r="C10" s="977"/>
      <c r="D10" s="974"/>
      <c r="E10" s="82" t="s">
        <v>69</v>
      </c>
      <c r="F10" s="974"/>
      <c r="G10" s="977"/>
      <c r="H10" s="974"/>
      <c r="I10" s="83" t="s">
        <v>67</v>
      </c>
      <c r="J10" s="974"/>
      <c r="K10" s="88"/>
      <c r="L10" s="5"/>
    </row>
    <row r="11" spans="2:12" ht="36">
      <c r="B11" s="974"/>
      <c r="C11" s="977"/>
      <c r="D11" s="974"/>
      <c r="E11" s="82" t="s">
        <v>84</v>
      </c>
      <c r="F11" s="974"/>
      <c r="G11" s="977"/>
      <c r="H11" s="974"/>
      <c r="I11" s="83" t="s">
        <v>85</v>
      </c>
      <c r="J11" s="974"/>
      <c r="K11" s="88"/>
      <c r="L11" s="5"/>
    </row>
    <row r="12" spans="2:12" ht="48.75" thickBot="1">
      <c r="B12" s="975"/>
      <c r="C12" s="978"/>
      <c r="D12" s="974"/>
      <c r="E12" s="82" t="s">
        <v>70</v>
      </c>
      <c r="F12" s="974"/>
      <c r="G12" s="977"/>
      <c r="H12" s="974"/>
      <c r="I12" s="83" t="s">
        <v>64</v>
      </c>
      <c r="J12" s="974"/>
      <c r="K12" s="88"/>
      <c r="L12" s="6"/>
    </row>
    <row r="13" spans="2:12" ht="24.75" thickBot="1">
      <c r="B13" s="85" t="s">
        <v>37</v>
      </c>
      <c r="C13" s="84"/>
      <c r="D13" s="974"/>
      <c r="E13" s="82" t="s">
        <v>71</v>
      </c>
      <c r="F13" s="974"/>
      <c r="G13" s="977"/>
      <c r="H13" s="974"/>
      <c r="I13" s="83" t="s">
        <v>65</v>
      </c>
      <c r="J13" s="974"/>
      <c r="K13" s="88"/>
      <c r="L13" s="6"/>
    </row>
    <row r="14" spans="2:12" ht="48" customHeight="1" thickBot="1">
      <c r="B14" s="85" t="s">
        <v>38</v>
      </c>
      <c r="C14" s="84"/>
      <c r="D14" s="974"/>
      <c r="E14" s="82" t="s">
        <v>89</v>
      </c>
      <c r="F14" s="974"/>
      <c r="G14" s="977"/>
      <c r="H14" s="974"/>
      <c r="I14" s="83" t="s">
        <v>87</v>
      </c>
      <c r="J14" s="974"/>
      <c r="K14" s="88"/>
      <c r="L14" s="6"/>
    </row>
    <row r="15" spans="2:12" ht="42.95" customHeight="1" thickBot="1">
      <c r="B15" s="86" t="s">
        <v>39</v>
      </c>
      <c r="C15" s="87">
        <v>42734</v>
      </c>
      <c r="D15" s="975"/>
      <c r="E15" s="82" t="s">
        <v>88</v>
      </c>
      <c r="F15" s="975"/>
      <c r="G15" s="979"/>
      <c r="H15" s="975"/>
      <c r="I15" s="83" t="s">
        <v>86</v>
      </c>
      <c r="J15" s="975"/>
      <c r="K15" s="89"/>
      <c r="L15" s="6"/>
    </row>
    <row r="16" spans="2:12" ht="15.75" thickBot="1">
      <c r="B16" s="983"/>
      <c r="C16" s="984"/>
      <c r="D16" s="984"/>
      <c r="E16" s="985"/>
      <c r="F16" s="986"/>
      <c r="G16" s="985"/>
      <c r="H16" s="986"/>
      <c r="I16" s="985"/>
      <c r="J16" s="986"/>
      <c r="K16" s="987"/>
    </row>
    <row r="17" spans="2:11">
      <c r="B17" s="988" t="s">
        <v>40</v>
      </c>
      <c r="C17" s="42" t="s">
        <v>91</v>
      </c>
      <c r="D17" s="33">
        <v>0.1</v>
      </c>
      <c r="E17" s="988" t="s">
        <v>41</v>
      </c>
      <c r="F17" s="34"/>
      <c r="G17" s="991" t="s">
        <v>42</v>
      </c>
      <c r="H17" s="35"/>
      <c r="I17" s="991" t="s">
        <v>45</v>
      </c>
      <c r="J17" s="90"/>
      <c r="K17" s="94" t="s">
        <v>43</v>
      </c>
    </row>
    <row r="18" spans="2:11">
      <c r="B18" s="989"/>
      <c r="C18" s="43" t="s">
        <v>92</v>
      </c>
      <c r="D18" s="36">
        <v>0.1</v>
      </c>
      <c r="E18" s="989"/>
      <c r="F18" s="37"/>
      <c r="G18" s="992"/>
      <c r="H18" s="38"/>
      <c r="I18" s="992"/>
      <c r="J18" s="91"/>
      <c r="K18" s="95" t="s">
        <v>43</v>
      </c>
    </row>
    <row r="19" spans="2:11">
      <c r="B19" s="989"/>
      <c r="C19" s="43" t="s">
        <v>93</v>
      </c>
      <c r="D19" s="36">
        <v>0.1</v>
      </c>
      <c r="E19" s="989"/>
      <c r="F19" s="37"/>
      <c r="G19" s="992"/>
      <c r="H19" s="38"/>
      <c r="I19" s="992"/>
      <c r="J19" s="91"/>
      <c r="K19" s="95" t="s">
        <v>43</v>
      </c>
    </row>
    <row r="20" spans="2:11">
      <c r="B20" s="989"/>
      <c r="C20" s="43" t="s">
        <v>94</v>
      </c>
      <c r="D20" s="36">
        <v>0.1</v>
      </c>
      <c r="E20" s="989"/>
      <c r="F20" s="37"/>
      <c r="G20" s="992"/>
      <c r="H20" s="38"/>
      <c r="I20" s="992"/>
      <c r="J20" s="91"/>
      <c r="K20" s="95" t="s">
        <v>43</v>
      </c>
    </row>
    <row r="21" spans="2:11">
      <c r="B21" s="989"/>
      <c r="C21" s="43" t="s">
        <v>95</v>
      </c>
      <c r="D21" s="36">
        <v>0.1</v>
      </c>
      <c r="E21" s="989"/>
      <c r="F21" s="37"/>
      <c r="G21" s="992"/>
      <c r="H21" s="38"/>
      <c r="I21" s="992"/>
      <c r="J21" s="91"/>
      <c r="K21" s="95" t="s">
        <v>43</v>
      </c>
    </row>
    <row r="22" spans="2:11">
      <c r="B22" s="989"/>
      <c r="C22" s="43" t="s">
        <v>96</v>
      </c>
      <c r="D22" s="36">
        <v>0.1</v>
      </c>
      <c r="E22" s="989"/>
      <c r="F22" s="37"/>
      <c r="G22" s="992"/>
      <c r="H22" s="38"/>
      <c r="I22" s="992"/>
      <c r="J22" s="91"/>
      <c r="K22" s="95" t="s">
        <v>43</v>
      </c>
    </row>
    <row r="23" spans="2:11">
      <c r="B23" s="989"/>
      <c r="C23" s="43" t="s">
        <v>97</v>
      </c>
      <c r="D23" s="36">
        <v>0.1</v>
      </c>
      <c r="E23" s="989"/>
      <c r="F23" s="37"/>
      <c r="G23" s="992"/>
      <c r="H23" s="38"/>
      <c r="I23" s="992"/>
      <c r="J23" s="91"/>
      <c r="K23" s="95" t="s">
        <v>43</v>
      </c>
    </row>
    <row r="24" spans="2:11">
      <c r="B24" s="989"/>
      <c r="C24" s="43" t="s">
        <v>98</v>
      </c>
      <c r="D24" s="36">
        <v>0.1</v>
      </c>
      <c r="E24" s="989"/>
      <c r="F24" s="37"/>
      <c r="G24" s="992"/>
      <c r="H24" s="38"/>
      <c r="I24" s="992"/>
      <c r="J24" s="91"/>
      <c r="K24" s="95" t="s">
        <v>43</v>
      </c>
    </row>
    <row r="25" spans="2:11" ht="15.75" thickBot="1">
      <c r="B25" s="990"/>
      <c r="C25" s="44" t="s">
        <v>99</v>
      </c>
      <c r="D25" s="39">
        <v>0.1</v>
      </c>
      <c r="E25" s="990"/>
      <c r="F25" s="40"/>
      <c r="G25" s="993"/>
      <c r="H25" s="41"/>
      <c r="I25" s="993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Estratégico'!$K$6:$K$28),1)</f>
        <v>0</v>
      </c>
      <c r="D39" s="10" t="e">
        <f>'Tablero Estratégico'!#REF!</f>
        <v>#REF!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980" t="s">
        <v>60</v>
      </c>
      <c r="C40" s="981"/>
      <c r="D40" s="982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969"/>
      <c r="B44" s="943" t="s">
        <v>49</v>
      </c>
      <c r="C44" s="944"/>
      <c r="D44" s="944"/>
      <c r="E44" s="944"/>
      <c r="F44" s="944"/>
      <c r="G44" s="944"/>
      <c r="H44" s="944"/>
      <c r="I44" s="944"/>
      <c r="J44" s="944"/>
      <c r="K44" s="945"/>
    </row>
    <row r="45" spans="1:11" ht="15.75" thickBot="1">
      <c r="A45" s="970"/>
      <c r="B45" s="12">
        <v>42736</v>
      </c>
      <c r="C45" s="1006"/>
      <c r="D45" s="1007"/>
      <c r="E45" s="1007"/>
      <c r="F45" s="1007"/>
      <c r="G45" s="1007"/>
      <c r="H45" s="1007"/>
      <c r="I45" s="1007"/>
      <c r="J45" s="1007"/>
      <c r="K45" s="1008"/>
    </row>
    <row r="46" spans="1:11" ht="15.75" thickBot="1">
      <c r="A46" s="7"/>
      <c r="B46" s="12">
        <v>42767</v>
      </c>
      <c r="C46" s="1006"/>
      <c r="D46" s="1007"/>
      <c r="E46" s="1007"/>
      <c r="F46" s="1007"/>
      <c r="G46" s="1007"/>
      <c r="H46" s="1007"/>
      <c r="I46" s="1007"/>
      <c r="J46" s="1007"/>
      <c r="K46" s="1008"/>
    </row>
    <row r="47" spans="1:11" ht="15.75" thickBot="1">
      <c r="A47" s="8"/>
      <c r="B47" s="12">
        <v>42795</v>
      </c>
      <c r="C47" s="1006"/>
      <c r="D47" s="1007"/>
      <c r="E47" s="1007"/>
      <c r="F47" s="1007"/>
      <c r="G47" s="1007"/>
      <c r="H47" s="1007"/>
      <c r="I47" s="1007"/>
      <c r="J47" s="1007"/>
      <c r="K47" s="1008"/>
    </row>
    <row r="48" spans="1:11" ht="15.75" thickBot="1">
      <c r="A48" s="8"/>
      <c r="B48" s="12">
        <v>42826</v>
      </c>
      <c r="C48" s="1006"/>
      <c r="D48" s="1007"/>
      <c r="E48" s="1007"/>
      <c r="F48" s="1007"/>
      <c r="G48" s="1007"/>
      <c r="H48" s="1007"/>
      <c r="I48" s="1007"/>
      <c r="J48" s="1007"/>
      <c r="K48" s="1008"/>
    </row>
    <row r="49" spans="1:11" ht="15.75" thickBot="1">
      <c r="A49" s="8"/>
      <c r="B49" s="12">
        <v>42856</v>
      </c>
      <c r="C49" s="1006"/>
      <c r="D49" s="1007"/>
      <c r="E49" s="1007"/>
      <c r="F49" s="1007"/>
      <c r="G49" s="1007"/>
      <c r="H49" s="1007"/>
      <c r="I49" s="1007"/>
      <c r="J49" s="1007"/>
      <c r="K49" s="1008"/>
    </row>
    <row r="50" spans="1:11" ht="15.75" thickBot="1">
      <c r="A50" s="8"/>
      <c r="B50" s="12">
        <v>42887</v>
      </c>
      <c r="C50" s="1006"/>
      <c r="D50" s="1007"/>
      <c r="E50" s="1007"/>
      <c r="F50" s="1007"/>
      <c r="G50" s="1007"/>
      <c r="H50" s="1007"/>
      <c r="I50" s="1007"/>
      <c r="J50" s="1007"/>
      <c r="K50" s="1008"/>
    </row>
    <row r="51" spans="1:11" ht="15.75" thickBot="1">
      <c r="B51" s="12">
        <v>42917</v>
      </c>
      <c r="C51" s="1006"/>
      <c r="D51" s="1007"/>
      <c r="E51" s="1007"/>
      <c r="F51" s="1007"/>
      <c r="G51" s="1007"/>
      <c r="H51" s="1007"/>
      <c r="I51" s="1007"/>
      <c r="J51" s="1007"/>
      <c r="K51" s="1008"/>
    </row>
    <row r="52" spans="1:11" ht="15.75" thickBot="1">
      <c r="B52" s="12">
        <v>42948</v>
      </c>
      <c r="C52" s="1006"/>
      <c r="D52" s="1007"/>
      <c r="E52" s="1007"/>
      <c r="F52" s="1007"/>
      <c r="G52" s="1007"/>
      <c r="H52" s="1007"/>
      <c r="I52" s="1007"/>
      <c r="J52" s="1007"/>
      <c r="K52" s="1008"/>
    </row>
    <row r="53" spans="1:11" ht="15.75" thickBot="1">
      <c r="B53" s="12">
        <v>42979</v>
      </c>
      <c r="C53" s="1006"/>
      <c r="D53" s="1007"/>
      <c r="E53" s="1007"/>
      <c r="F53" s="1007"/>
      <c r="G53" s="1007"/>
      <c r="H53" s="1007"/>
      <c r="I53" s="1007"/>
      <c r="J53" s="1007"/>
      <c r="K53" s="1008"/>
    </row>
    <row r="54" spans="1:11" ht="15.75" thickBot="1">
      <c r="B54" s="12">
        <v>43009</v>
      </c>
      <c r="C54" s="1006"/>
      <c r="D54" s="1007"/>
      <c r="E54" s="1007"/>
      <c r="F54" s="1007"/>
      <c r="G54" s="1007"/>
      <c r="H54" s="1007"/>
      <c r="I54" s="1007"/>
      <c r="J54" s="1007"/>
      <c r="K54" s="1008"/>
    </row>
    <row r="55" spans="1:11" ht="15.75" thickBot="1">
      <c r="B55" s="12">
        <v>43040</v>
      </c>
      <c r="C55" s="1006"/>
      <c r="D55" s="1007"/>
      <c r="E55" s="1007"/>
      <c r="F55" s="1007"/>
      <c r="G55" s="1007"/>
      <c r="H55" s="1007"/>
      <c r="I55" s="1007"/>
      <c r="J55" s="1007"/>
      <c r="K55" s="1008"/>
    </row>
    <row r="56" spans="1:11" ht="15.75" thickBot="1">
      <c r="B56" s="68">
        <v>43070</v>
      </c>
      <c r="C56" s="1006"/>
      <c r="D56" s="1007"/>
      <c r="E56" s="1007"/>
      <c r="F56" s="1007"/>
      <c r="G56" s="1007"/>
      <c r="H56" s="1007"/>
      <c r="I56" s="1007"/>
      <c r="J56" s="1007"/>
      <c r="K56" s="1008"/>
    </row>
    <row r="57" spans="1:11" ht="15.75" thickBot="1">
      <c r="B57" s="45" t="s">
        <v>46</v>
      </c>
      <c r="C57" s="943" t="s">
        <v>27</v>
      </c>
      <c r="D57" s="944"/>
      <c r="E57" s="944"/>
      <c r="F57" s="944"/>
      <c r="G57" s="945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997"/>
      <c r="D58" s="998"/>
      <c r="E58" s="998"/>
      <c r="F58" s="998"/>
      <c r="G58" s="999"/>
      <c r="H58" s="55"/>
      <c r="I58" s="58"/>
      <c r="J58" s="52"/>
      <c r="K58" s="49"/>
    </row>
    <row r="59" spans="1:11">
      <c r="B59" s="47"/>
      <c r="C59" s="1000"/>
      <c r="D59" s="1001"/>
      <c r="E59" s="1001"/>
      <c r="F59" s="1001"/>
      <c r="G59" s="1002"/>
      <c r="H59" s="56"/>
      <c r="I59" s="59"/>
      <c r="J59" s="53"/>
      <c r="K59" s="50"/>
    </row>
    <row r="60" spans="1:11">
      <c r="B60" s="47"/>
      <c r="C60" s="1000"/>
      <c r="D60" s="1001"/>
      <c r="E60" s="1001"/>
      <c r="F60" s="1001"/>
      <c r="G60" s="1002"/>
      <c r="H60" s="56"/>
      <c r="I60" s="59"/>
      <c r="J60" s="53"/>
      <c r="K60" s="50"/>
    </row>
    <row r="61" spans="1:11">
      <c r="B61" s="47"/>
      <c r="C61" s="1000"/>
      <c r="D61" s="1001"/>
      <c r="E61" s="1001"/>
      <c r="F61" s="1001"/>
      <c r="G61" s="1002"/>
      <c r="H61" s="56"/>
      <c r="I61" s="59"/>
      <c r="J61" s="53"/>
      <c r="K61" s="50"/>
    </row>
    <row r="62" spans="1:11">
      <c r="B62" s="47"/>
      <c r="C62" s="1000"/>
      <c r="D62" s="1001"/>
      <c r="E62" s="1001"/>
      <c r="F62" s="1001"/>
      <c r="G62" s="1002"/>
      <c r="H62" s="56"/>
      <c r="I62" s="59"/>
      <c r="J62" s="53"/>
      <c r="K62" s="50"/>
    </row>
    <row r="63" spans="1:11">
      <c r="B63" s="47"/>
      <c r="C63" s="1000"/>
      <c r="D63" s="1001"/>
      <c r="E63" s="1001"/>
      <c r="F63" s="1001"/>
      <c r="G63" s="1002"/>
      <c r="H63" s="56"/>
      <c r="I63" s="59"/>
      <c r="J63" s="53"/>
      <c r="K63" s="50"/>
    </row>
    <row r="64" spans="1:11">
      <c r="B64" s="47"/>
      <c r="C64" s="1000"/>
      <c r="D64" s="1001"/>
      <c r="E64" s="1001"/>
      <c r="F64" s="1001"/>
      <c r="G64" s="1002"/>
      <c r="H64" s="56"/>
      <c r="I64" s="59"/>
      <c r="J64" s="53"/>
      <c r="K64" s="50"/>
    </row>
    <row r="65" spans="2:11">
      <c r="B65" s="47"/>
      <c r="C65" s="1003"/>
      <c r="D65" s="1004"/>
      <c r="E65" s="1004"/>
      <c r="F65" s="1004"/>
      <c r="G65" s="1005"/>
      <c r="H65" s="56"/>
      <c r="I65" s="59"/>
      <c r="J65" s="53"/>
      <c r="K65" s="50"/>
    </row>
    <row r="66" spans="2:11" ht="15.75" thickBot="1">
      <c r="B66" s="48"/>
      <c r="C66" s="994"/>
      <c r="D66" s="995"/>
      <c r="E66" s="995"/>
      <c r="F66" s="995"/>
      <c r="G66" s="996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Inicio</vt:lpstr>
      <vt:lpstr>Tablero Estratégico</vt:lpstr>
      <vt:lpstr>Hoja1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2018-02-14T17:05:53Z</dcterms:modified>
</cp:coreProperties>
</file>