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4000" windowHeight="9330" activeTab="1"/>
  </bookViews>
  <sheets>
    <sheet name="Inicio" sheetId="19" r:id="rId1"/>
    <sheet name="Tablero Estratégico" sheetId="8" r:id="rId2"/>
    <sheet name="Hoja9" sheetId="25" r:id="rId3"/>
    <sheet name="Hoja8" sheetId="24" state="hidden" r:id="rId4"/>
    <sheet name="Hoja1" sheetId="23" state="hidden" r:id="rId5"/>
    <sheet name="Hoja7" sheetId="22" state="hidden" r:id="rId6"/>
    <sheet name="Hoja6" sheetId="21" state="hidden" r:id="rId7"/>
    <sheet name="Hoja5" sheetId="20" state="hidden" r:id="rId8"/>
    <sheet name="CALCULOS" sheetId="18" state="hidden" r:id="rId9"/>
    <sheet name="Hoja2" sheetId="17" state="hidden" r:id="rId10"/>
    <sheet name="Tablero Eficacia - Eficiencia" sheetId="12" state="hidden" r:id="rId11"/>
    <sheet name="Tablero Objeivos de Calidad" sheetId="13" state="hidden" r:id="rId12"/>
    <sheet name="Hoja3" sheetId="16" state="hidden" r:id="rId13"/>
    <sheet name="Hoja4" sheetId="14" state="hidden" r:id="rId14"/>
    <sheet name="Tablero Maestro (2)" sheetId="11" state="hidden" r:id="rId15"/>
    <sheet name="DE" sheetId="9" state="hidden" r:id="rId16"/>
  </sheets>
  <externalReferences>
    <externalReference r:id="rId17"/>
    <externalReference r:id="rId18"/>
  </externalReferences>
  <definedNames>
    <definedName name="_xlnm._FilterDatabase" localSheetId="10" hidden="1">'Tablero Eficacia - Eficiencia'!$A$7:$BL$54</definedName>
    <definedName name="_xlnm._FilterDatabase" localSheetId="1" hidden="1">'Tablero Estratégico'!$A$4:$CC$31</definedName>
    <definedName name="_xlnm.Print_Area" localSheetId="10">'Tablero Eficacia - Eficiencia'!$A$1:$AL$51</definedName>
    <definedName name="_xlnm.Print_Area" localSheetId="1">'Tablero Estratégico'!$A$1:$AU$29</definedName>
    <definedName name="_xlnm.Print_Area" localSheetId="11">'Tablero Objeivos de Calidad'!$C$3:$F$29</definedName>
    <definedName name="CUMPLIMIENTO_METAS" localSheetId="15">#REF!</definedName>
    <definedName name="CUMPLIMIENTO_METAS" localSheetId="14">#REF!</definedName>
    <definedName name="CUMPLIMIENTO_METAS">#REF!</definedName>
    <definedName name="Datos_Nutricional" localSheetId="15">#REF!</definedName>
    <definedName name="Datos_Nutricional" localSheetId="14">#REF!</definedName>
    <definedName name="Datos_Nutricional">#REF!</definedName>
    <definedName name="EFICACIA_DEL_SGC" localSheetId="15">#REF!</definedName>
    <definedName name="EFICACIA_DEL_SGC" localSheetId="14">#REF!</definedName>
    <definedName name="EFICACIA_DEL_SGC">#REF!</definedName>
    <definedName name="Tabla_de_datos" localSheetId="15">'[1]Cubrimiento Cupos'!#REF!</definedName>
    <definedName name="Tabla_de_datos" localSheetId="14">'[1]Cubrimiento Cupos'!#REF!</definedName>
    <definedName name="Tabla_de_datos">'[1]Cubrimiento Cupos'!#REF!</definedName>
    <definedName name="Tabla_Logros" localSheetId="15">'[1]Logros alcanzados'!#REF!</definedName>
    <definedName name="Tabla_Logros" localSheetId="14">'[1]Logros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V7" i="8" l="1"/>
  <c r="AV27" i="8"/>
  <c r="AV26" i="8"/>
  <c r="AV24" i="8"/>
  <c r="AT26" i="8"/>
  <c r="AT24" i="8"/>
  <c r="G9" i="25"/>
  <c r="G10" i="25"/>
  <c r="AT27" i="8"/>
  <c r="AV28" i="8" l="1"/>
  <c r="AS24" i="8"/>
  <c r="AS26" i="8"/>
  <c r="AS27" i="8"/>
  <c r="AV29" i="8" l="1"/>
  <c r="AV22" i="8"/>
  <c r="AV12" i="8"/>
  <c r="AR24" i="8" l="1"/>
  <c r="AR27" i="8" l="1"/>
  <c r="AR26" i="8"/>
  <c r="AQ26" i="8" l="1"/>
  <c r="AQ24" i="8" l="1"/>
  <c r="AP24" i="8"/>
  <c r="AQ27" i="8" l="1"/>
  <c r="AV23" i="8" l="1"/>
  <c r="AV21" i="8"/>
  <c r="AV20" i="8"/>
  <c r="AV19" i="8"/>
  <c r="AV18" i="8"/>
  <c r="AV13" i="8"/>
  <c r="AV11" i="8"/>
  <c r="AV10" i="8"/>
  <c r="AV9" i="8"/>
  <c r="AV8" i="8"/>
  <c r="AV6" i="8"/>
  <c r="AP27" i="8" l="1"/>
  <c r="AO26" i="8"/>
  <c r="AO24" i="8"/>
  <c r="AO16" i="8"/>
  <c r="AO14" i="8"/>
  <c r="AP26" i="8" l="1"/>
  <c r="AO11" i="8" l="1"/>
  <c r="AO8" i="8"/>
  <c r="Y11" i="24" l="1"/>
  <c r="Y10" i="24" l="1"/>
  <c r="N8" i="24" l="1"/>
  <c r="P8" i="24" s="1"/>
  <c r="N7" i="24"/>
  <c r="P7" i="24" s="1"/>
  <c r="E15" i="24" l="1"/>
  <c r="AO27" i="8" l="1"/>
  <c r="BX27" i="8"/>
  <c r="AN26" i="8" l="1"/>
  <c r="F17" i="23"/>
  <c r="E17" i="23"/>
  <c r="H8" i="23"/>
  <c r="H7" i="23"/>
  <c r="AN29" i="8"/>
  <c r="AN27" i="8"/>
  <c r="AM24" i="8" l="1"/>
  <c r="I12" i="18"/>
  <c r="I13" i="18"/>
  <c r="G28" i="22"/>
  <c r="G19" i="22"/>
  <c r="G21" i="22" s="1"/>
  <c r="F19" i="22"/>
  <c r="F21" i="22" s="1"/>
  <c r="AM26" i="8"/>
  <c r="AL26" i="8"/>
  <c r="AM27" i="8" l="1"/>
  <c r="AM29" i="8" l="1"/>
  <c r="H12" i="21" l="1"/>
  <c r="I12" i="21"/>
  <c r="H11" i="21"/>
  <c r="I11" i="21" s="1"/>
  <c r="AL24" i="8" l="1"/>
  <c r="E16" i="20"/>
  <c r="AL29" i="8"/>
  <c r="AL27" i="8"/>
  <c r="AK24" i="8" l="1"/>
  <c r="AK29" i="8" l="1"/>
  <c r="AK27" i="8" l="1"/>
  <c r="AY27" i="8"/>
  <c r="AK26" i="8" l="1"/>
  <c r="BJ24" i="8" l="1"/>
  <c r="AJ24" i="8" l="1"/>
  <c r="BC26" i="8"/>
  <c r="BD26" i="8"/>
  <c r="BE26" i="8"/>
  <c r="BF26" i="8"/>
  <c r="BG26" i="8"/>
  <c r="BH26" i="8"/>
  <c r="BI26" i="8"/>
  <c r="AJ26" i="8"/>
  <c r="BE31" i="8" l="1"/>
  <c r="AJ29" i="8"/>
  <c r="AI29" i="8"/>
  <c r="BK24" i="8"/>
  <c r="AJ27" i="8"/>
  <c r="J28" i="8" l="1"/>
  <c r="F18" i="8" l="1"/>
  <c r="I18" i="8" s="1"/>
  <c r="E20" i="8"/>
  <c r="J20" i="8" s="1"/>
  <c r="B13" i="19"/>
  <c r="AI24" i="8"/>
  <c r="BC22" i="8"/>
  <c r="C12" i="8" l="1"/>
  <c r="E12" i="8" s="1"/>
  <c r="F12" i="8" s="1"/>
  <c r="H12" i="8" s="1"/>
  <c r="J12" i="8" s="1"/>
  <c r="AI26" i="8"/>
  <c r="E26" i="8" s="1"/>
  <c r="G26" i="8" s="1"/>
  <c r="H26" i="8" s="1"/>
  <c r="J26" i="8" s="1"/>
  <c r="L26" i="8" s="1"/>
  <c r="AI27" i="8"/>
  <c r="C27" i="8" s="1"/>
  <c r="D27" i="8" s="1"/>
  <c r="E27" i="8" s="1"/>
  <c r="F27" i="8" s="1"/>
  <c r="H27" i="8" s="1"/>
  <c r="J27" i="8" s="1"/>
  <c r="K27" i="8" s="1"/>
  <c r="AI22" i="8" l="1"/>
  <c r="B15" i="19" l="1"/>
  <c r="C22" i="8"/>
  <c r="L22" i="8" s="1"/>
  <c r="J29" i="8" l="1"/>
  <c r="F29" i="8"/>
  <c r="C29" i="8"/>
  <c r="AH24" i="8"/>
  <c r="AH26" i="8"/>
  <c r="BB26" i="8" l="1"/>
  <c r="BA26" i="8"/>
  <c r="BO25" i="8"/>
  <c r="AH27" i="8" l="1"/>
  <c r="AH29" i="8" l="1"/>
  <c r="AG26" i="8" l="1"/>
  <c r="AG27" i="8"/>
  <c r="BS26" i="8" l="1"/>
  <c r="BS27" i="8"/>
  <c r="BS28" i="8"/>
  <c r="BS29" i="8"/>
  <c r="BS30" i="8"/>
  <c r="BS31" i="8"/>
  <c r="BS32" i="8"/>
  <c r="BS25" i="8"/>
  <c r="BM25" i="8"/>
  <c r="BL25" i="8"/>
  <c r="AE24" i="8"/>
  <c r="AF24" i="8"/>
  <c r="AD26" i="8" l="1"/>
  <c r="AD27" i="8" l="1"/>
  <c r="AZ27" i="8"/>
  <c r="AD24" i="8"/>
  <c r="AZ26" i="8"/>
  <c r="AY26" i="8"/>
  <c r="AX26" i="8"/>
  <c r="AX27" i="8"/>
  <c r="AX29" i="8"/>
  <c r="BA27" i="8" l="1"/>
  <c r="BB25" i="8" s="1"/>
  <c r="AV17" i="8"/>
  <c r="AV16" i="8"/>
  <c r="AV15" i="8"/>
  <c r="AV14" i="8"/>
  <c r="B7" i="19"/>
  <c r="C6" i="8"/>
  <c r="AC10" i="8"/>
  <c r="AB10" i="8"/>
  <c r="AA10" i="8"/>
  <c r="AA7" i="8"/>
  <c r="AB7" i="8"/>
  <c r="AH6" i="12"/>
  <c r="AG6" i="12"/>
  <c r="AE6" i="12"/>
  <c r="N6" i="12"/>
  <c r="L6" i="12"/>
  <c r="G40" i="12"/>
  <c r="AJ48" i="12"/>
  <c r="AJ46" i="12"/>
  <c r="AL48" i="12"/>
  <c r="AL46" i="12"/>
  <c r="J46" i="12"/>
  <c r="I46" i="12"/>
  <c r="AL33" i="12"/>
  <c r="AJ33" i="12"/>
  <c r="O33" i="12"/>
  <c r="AB33" i="12"/>
  <c r="AJ29" i="12"/>
  <c r="G15" i="17"/>
  <c r="G17" i="17" s="1"/>
  <c r="E15" i="17"/>
  <c r="F15" i="17"/>
  <c r="F17" i="17" s="1"/>
  <c r="AJ30" i="12"/>
  <c r="L13" i="16"/>
  <c r="M14" i="16" s="1"/>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s="1"/>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s="1"/>
  <c r="AD40" i="12"/>
  <c r="AB40" i="12"/>
  <c r="AD39" i="12"/>
  <c r="AC39" i="12"/>
  <c r="AB39" i="12"/>
  <c r="AH39" i="12" s="1"/>
  <c r="AD38" i="12"/>
  <c r="AB38" i="12"/>
  <c r="AH38" i="12" s="1"/>
  <c r="AD37" i="12"/>
  <c r="AB37" i="12"/>
  <c r="AH37" i="12" s="1"/>
  <c r="AD35" i="12"/>
  <c r="AB35" i="12"/>
  <c r="AH35" i="12" s="1"/>
  <c r="AD33" i="12"/>
  <c r="B33" i="12"/>
  <c r="B35" i="12"/>
  <c r="AD32" i="12"/>
  <c r="AB32" i="12"/>
  <c r="AH32" i="12" s="1"/>
  <c r="AD31" i="12"/>
  <c r="AB31" i="12"/>
  <c r="AH31" i="12"/>
  <c r="AD30" i="12"/>
  <c r="AB30" i="12"/>
  <c r="AH30" i="12" s="1"/>
  <c r="AD29" i="12"/>
  <c r="AB29" i="12"/>
  <c r="AG29" i="12" s="1"/>
  <c r="AD27" i="12"/>
  <c r="AB27" i="12"/>
  <c r="AH27" i="12" s="1"/>
  <c r="AD26" i="12"/>
  <c r="AB26" i="12"/>
  <c r="AH26" i="12"/>
  <c r="B26" i="12"/>
  <c r="B27" i="12" s="1"/>
  <c r="B28" i="12" s="1"/>
  <c r="B29" i="12" s="1"/>
  <c r="B30" i="12" s="1"/>
  <c r="B31" i="12" s="1"/>
  <c r="B32" i="12" s="1"/>
  <c r="AD25" i="12"/>
  <c r="AB25" i="12"/>
  <c r="AD24" i="12"/>
  <c r="AB24" i="12"/>
  <c r="AG24" i="12" s="1"/>
  <c r="AD23" i="12"/>
  <c r="AB23" i="12"/>
  <c r="AG23" i="12" s="1"/>
  <c r="B23" i="12"/>
  <c r="B24" i="12" s="1"/>
  <c r="B25" i="12" s="1"/>
  <c r="AH22" i="12"/>
  <c r="AG22" i="12"/>
  <c r="AD20" i="12"/>
  <c r="AB20" i="12"/>
  <c r="AD18" i="12"/>
  <c r="AB18" i="12"/>
  <c r="AH18" i="12" s="1"/>
  <c r="AD17" i="12"/>
  <c r="AB17" i="12"/>
  <c r="AG17" i="12" s="1"/>
  <c r="AD16" i="12"/>
  <c r="AB16" i="12"/>
  <c r="AG16" i="12" s="1"/>
  <c r="AD14" i="12"/>
  <c r="AB14" i="12"/>
  <c r="AG14" i="12" s="1"/>
  <c r="AD13" i="12"/>
  <c r="AB13" i="12"/>
  <c r="AG13" i="12" s="1"/>
  <c r="AD12" i="12"/>
  <c r="AB12" i="12"/>
  <c r="AG12" i="12" s="1"/>
  <c r="AD11" i="12"/>
  <c r="AB11" i="12"/>
  <c r="AH11" i="12" s="1"/>
  <c r="AG11" i="12"/>
  <c r="AD10" i="12"/>
  <c r="AB10" i="12"/>
  <c r="AH10" i="12" s="1"/>
  <c r="AD9" i="12"/>
  <c r="AB9" i="12"/>
  <c r="AD8" i="12"/>
  <c r="AB8" i="12"/>
  <c r="AG8" i="12" s="1"/>
  <c r="B36" i="12"/>
  <c r="B37" i="12" s="1"/>
  <c r="B38" i="12" s="1"/>
  <c r="B39" i="12"/>
  <c r="B40" i="12" s="1"/>
  <c r="B41" i="12" s="1"/>
  <c r="B42" i="12"/>
  <c r="B43" i="12" s="1"/>
  <c r="B44" i="12" s="1"/>
  <c r="AG37" i="12"/>
  <c r="AH47" i="12"/>
  <c r="AG31" i="12"/>
  <c r="AG41" i="12"/>
  <c r="AH12" i="12"/>
  <c r="AG43" i="12"/>
  <c r="AG46" i="12"/>
  <c r="AH13" i="12"/>
  <c r="AG26" i="12"/>
  <c r="AG42" i="12"/>
  <c r="AG48" i="12"/>
  <c r="I49" i="12"/>
  <c r="AC19" i="11"/>
  <c r="AD17" i="11"/>
  <c r="AB16" i="11"/>
  <c r="Z16" i="11"/>
  <c r="AF16" i="11"/>
  <c r="AB15" i="11"/>
  <c r="Z15" i="11"/>
  <c r="AE15" i="11" s="1"/>
  <c r="AB14" i="11"/>
  <c r="Z14" i="11"/>
  <c r="AF14" i="11" s="1"/>
  <c r="AB13" i="11"/>
  <c r="Z13" i="11"/>
  <c r="AF13" i="11" s="1"/>
  <c r="AB12" i="11"/>
  <c r="Z12" i="11"/>
  <c r="AF12" i="11" s="1"/>
  <c r="AB11" i="11"/>
  <c r="Z11" i="11"/>
  <c r="AE11" i="11" s="1"/>
  <c r="AB10" i="11"/>
  <c r="Z10" i="11"/>
  <c r="AE10" i="11" s="1"/>
  <c r="AB9" i="11"/>
  <c r="Z9" i="11"/>
  <c r="AB8" i="11"/>
  <c r="Z8" i="11"/>
  <c r="AF8" i="11" s="1"/>
  <c r="B8" i="11"/>
  <c r="B9" i="11" s="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H36" i="12"/>
  <c r="D36" i="9"/>
  <c r="E36" i="9" s="1"/>
  <c r="D29" i="9"/>
  <c r="E29" i="9" s="1"/>
  <c r="D30" i="9"/>
  <c r="E30" i="9" s="1"/>
  <c r="D35" i="9"/>
  <c r="E35" i="9" s="1"/>
  <c r="AE9" i="11"/>
  <c r="AH14" i="12"/>
  <c r="D28" i="9"/>
  <c r="E28" i="9" s="1"/>
  <c r="D34" i="9"/>
  <c r="E34" i="9" s="1"/>
  <c r="AF9" i="11"/>
  <c r="D38" i="9"/>
  <c r="E38" i="9" s="1"/>
  <c r="D33" i="9"/>
  <c r="E33" i="9" s="1"/>
  <c r="D31" i="9"/>
  <c r="E31" i="9" s="1"/>
  <c r="D32" i="9"/>
  <c r="E32" i="9" s="1"/>
  <c r="D39" i="9"/>
  <c r="B8" i="19" l="1"/>
  <c r="E12" i="19"/>
  <c r="E11" i="19"/>
  <c r="E5" i="19"/>
  <c r="E10" i="19"/>
  <c r="E9" i="19"/>
  <c r="B9" i="19"/>
  <c r="E13" i="19"/>
  <c r="E6" i="19"/>
  <c r="B10" i="19"/>
  <c r="E14" i="19"/>
  <c r="E7" i="19"/>
  <c r="B11" i="19"/>
  <c r="E8" i="19"/>
  <c r="AG30" i="12"/>
  <c r="AG18" i="12"/>
  <c r="AE13" i="11"/>
  <c r="AG38" i="12"/>
  <c r="AG19" i="12"/>
  <c r="AF11" i="11"/>
  <c r="AF15" i="11"/>
  <c r="AF17" i="11" s="1"/>
  <c r="AH24" i="12"/>
  <c r="AH29" i="12"/>
  <c r="AD19" i="11"/>
  <c r="AE19" i="11" s="1"/>
  <c r="AH9" i="12"/>
  <c r="AE8" i="11"/>
  <c r="AE12" i="11"/>
  <c r="AG32" i="12"/>
  <c r="AH16" i="12"/>
  <c r="AG9" i="12"/>
  <c r="AH23" i="12"/>
  <c r="AG39" i="12"/>
  <c r="AG27" i="12"/>
  <c r="AG33" i="12"/>
  <c r="D6" i="8"/>
  <c r="C30" i="8"/>
  <c r="BE25" i="8"/>
  <c r="BF25" i="8"/>
  <c r="BH25" i="8"/>
  <c r="BD25" i="8"/>
  <c r="BA25" i="8"/>
  <c r="BC25" i="8"/>
  <c r="BI25" i="8"/>
  <c r="BG25" i="8"/>
  <c r="I13" i="16"/>
  <c r="AH40" i="12"/>
  <c r="AH25" i="12"/>
  <c r="AG40" i="12"/>
  <c r="G30" i="9"/>
  <c r="E39" i="9"/>
  <c r="E40" i="9" s="1"/>
  <c r="B5" i="19"/>
  <c r="G29" i="9"/>
  <c r="G33" i="9"/>
  <c r="B12" i="19"/>
  <c r="G32" i="9"/>
  <c r="G35" i="9"/>
  <c r="B18" i="19"/>
  <c r="B17" i="19"/>
  <c r="G34" i="9"/>
  <c r="G36" i="9"/>
  <c r="AH33" i="12"/>
  <c r="E4" i="19"/>
  <c r="G31" i="9"/>
  <c r="G37" i="9"/>
  <c r="G38" i="9"/>
  <c r="AH8" i="12"/>
  <c r="E1" i="19"/>
  <c r="AE14" i="11"/>
  <c r="AF54" i="12"/>
  <c r="AG54" i="12" s="1"/>
  <c r="AG25" i="12"/>
  <c r="AH44" i="12"/>
  <c r="B4" i="19"/>
  <c r="B6" i="19"/>
  <c r="AG10" i="12"/>
  <c r="AG35" i="12"/>
  <c r="AE17" i="11" l="1"/>
  <c r="AG52" i="12"/>
  <c r="D30" i="8"/>
  <c r="E6" i="8"/>
  <c r="G39" i="9"/>
  <c r="AH52" i="12"/>
  <c r="F6" i="8" l="1"/>
  <c r="E30" i="8"/>
  <c r="G6" i="8" l="1"/>
  <c r="F30" i="8"/>
  <c r="G30" i="8" l="1"/>
  <c r="H6" i="8"/>
  <c r="I6" i="8" l="1"/>
  <c r="H30" i="8"/>
  <c r="J6" i="8" l="1"/>
  <c r="I30" i="8"/>
  <c r="K6" i="8" l="1"/>
  <c r="J30" i="8"/>
  <c r="L6" i="8" l="1"/>
  <c r="L30" i="8" s="1"/>
  <c r="K30" i="8"/>
  <c r="H4" i="19" l="1" a="1"/>
  <c r="H4" i="19" s="1"/>
  <c r="H9" i="19" l="1"/>
  <c r="J9" i="19" s="1"/>
  <c r="K9" i="19" s="1"/>
  <c r="H10" i="19"/>
  <c r="J10" i="19" s="1"/>
  <c r="K10" i="19" s="1"/>
  <c r="H8" i="19"/>
  <c r="J8" i="19" s="1"/>
  <c r="K8" i="19" s="1"/>
  <c r="H5" i="19"/>
  <c r="J5" i="19" s="1"/>
  <c r="K5" i="19" s="1"/>
  <c r="H13" i="19"/>
  <c r="J13" i="19" s="1"/>
  <c r="K13" i="19" s="1"/>
  <c r="H11" i="19"/>
  <c r="J11" i="19" s="1"/>
  <c r="K11" i="19" s="1"/>
  <c r="H7" i="19"/>
  <c r="J7" i="19" s="1"/>
  <c r="K7" i="19" s="1"/>
  <c r="H6" i="19"/>
  <c r="J6" i="19" s="1"/>
  <c r="K6" i="19" s="1"/>
  <c r="H12" i="19"/>
  <c r="J12" i="19" s="1"/>
  <c r="K12" i="19" s="1"/>
  <c r="J4" i="19"/>
  <c r="K4" i="19" s="1"/>
  <c r="J1" i="19" l="1"/>
</calcChain>
</file>

<file path=xl/sharedStrings.xml><?xml version="1.0" encoding="utf-8"?>
<sst xmlns="http://schemas.openxmlformats.org/spreadsheetml/2006/main" count="888" uniqueCount="512">
  <si>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</si>
  <si>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</si>
  <si>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</si>
  <si>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</si>
  <si>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</si>
  <si>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</si>
  <si>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</si>
  <si>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</si>
  <si>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</si>
  <si>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</si>
  <si>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</si>
  <si>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</si>
  <si>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</si>
  <si>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</si>
  <si>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</si>
  <si>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</si>
  <si>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</si>
  <si>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</si>
  <si>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</si>
  <si>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</si>
  <si>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</si>
  <si>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</si>
  <si>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</si>
  <si>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</si>
  <si>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</si>
  <si>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</si>
  <si>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</si>
  <si>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</si>
  <si>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</si>
  <si>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</si>
  <si>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</si>
  <si>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</si>
  <si>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</si>
  <si>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</si>
  <si>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</si>
  <si>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</si>
  <si>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</si>
  <si>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</si>
  <si>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</si>
  <si>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</si>
  <si>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</si>
  <si>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</si>
  <si>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</si>
  <si>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</si>
  <si>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</si>
  <si>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</si>
  <si>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</si>
  <si>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</si>
  <si>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</si>
  <si>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</si>
  <si>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</si>
  <si>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</si>
  <si>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</si>
  <si>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</si>
  <si>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</si>
  <si>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</si>
  <si>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</si>
  <si>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</si>
  <si>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</si>
  <si>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</si>
  <si>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</si>
  <si>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</si>
  <si>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</si>
  <si>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</si>
  <si>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</si>
  <si>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</si>
  <si>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</si>
  <si>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</si>
  <si>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</si>
  <si>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</si>
  <si>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</si>
  <si>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</si>
  <si>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</si>
  <si>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</si>
  <si>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</si>
  <si>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</si>
  <si>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</si>
  <si>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</si>
  <si>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</si>
  <si>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</si>
  <si>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</si>
  <si>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</si>
  <si>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</si>
  <si>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</si>
  <si>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</si>
  <si>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</si>
  <si>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</si>
  <si>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</si>
  <si>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</si>
  <si>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</si>
  <si>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</si>
  <si>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</si>
  <si>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</si>
  <si>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</si>
  <si>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</si>
  <si>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</si>
  <si>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</si>
  <si>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</si>
  <si>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</si>
  <si>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</si>
  <si>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</si>
  <si>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</si>
  <si>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</si>
  <si>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</si>
  <si>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</si>
  <si>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</si>
  <si>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</si>
  <si>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</si>
  <si>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</si>
  <si>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</si>
  <si>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</si>
  <si>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</si>
  <si>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</si>
  <si>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</si>
  <si>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</si>
  <si>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</si>
  <si>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</si>
  <si>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</si>
  <si>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</si>
  <si>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</si>
  <si>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</si>
  <si>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</si>
  <si>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</si>
  <si>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</si>
  <si>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</si>
  <si>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</si>
  <si>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</si>
  <si>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</si>
  <si>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</si>
  <si>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</si>
  <si>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</si>
  <si>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</si>
  <si>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</si>
  <si>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</si>
  <si>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</si>
  <si>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</si>
  <si>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</si>
  <si>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</si>
  <si>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</si>
  <si>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</si>
  <si>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</si>
  <si>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</si>
  <si>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</si>
  <si>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</si>
  <si>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</si>
  <si>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</si>
  <si>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</si>
  <si>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</si>
  <si>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</si>
  <si>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</si>
  <si>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</si>
  <si>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</si>
  <si>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</si>
  <si>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</si>
  <si>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</si>
  <si>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</si>
  <si>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</si>
  <si>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</si>
  <si>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</si>
  <si>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</si>
  <si>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</si>
  <si>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</si>
  <si>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</si>
  <si>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</si>
  <si>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</si>
  <si>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</si>
  <si>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</si>
  <si>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</si>
  <si>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</si>
  <si>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</si>
  <si>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</si>
  <si>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</si>
  <si>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</si>
  <si>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</si>
  <si>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</si>
  <si>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</si>
  <si>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</si>
  <si>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</si>
  <si>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</si>
  <si>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</si>
  <si>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</si>
  <si>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</si>
  <si>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</si>
  <si>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</si>
  <si>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</si>
  <si>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</si>
  <si>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</si>
  <si>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</si>
  <si>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</si>
  <si>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</si>
  <si>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</si>
  <si>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</si>
  <si>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</si>
  <si>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</si>
  <si>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</si>
  <si>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</si>
  <si>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</si>
  <si>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</si>
  <si>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</si>
  <si>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</si>
  <si>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</si>
  <si>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</si>
  <si>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</si>
  <si>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</si>
  <si>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</si>
  <si>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</si>
  <si>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</si>
  <si>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</si>
  <si>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</si>
  <si>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</si>
  <si>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</si>
  <si>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</si>
  <si>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</si>
  <si>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</si>
  <si>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</si>
  <si>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</si>
  <si>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</si>
  <si>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</si>
  <si>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</si>
  <si>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</si>
  <si>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</si>
  <si>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</si>
  <si>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</si>
  <si>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</si>
  <si>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</si>
  <si>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</si>
  <si>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</si>
  <si>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</si>
  <si>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</si>
  <si>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</si>
  <si>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</si>
  <si>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</si>
  <si>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</si>
  <si>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</si>
  <si>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</si>
  <si>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</si>
  <si>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</si>
  <si>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</si>
  <si>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</si>
  <si>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</si>
  <si>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</si>
  <si>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</si>
  <si>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</si>
  <si>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</si>
  <si>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</si>
  <si>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</si>
  <si>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</si>
  <si>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</si>
  <si>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</si>
  <si>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</si>
  <si>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</si>
  <si>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</si>
  <si>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</si>
  <si>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</si>
  <si>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</si>
  <si>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</si>
  <si>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</si>
  <si>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</si>
  <si>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</si>
  <si>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</si>
  <si>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</si>
  <si>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</si>
  <si>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</si>
  <si>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</si>
  <si>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</si>
  <si>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</si>
  <si>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</si>
  <si>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</si>
  <si>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</si>
  <si>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</si>
  <si>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</si>
  <si>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</si>
  <si>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</si>
  <si>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</si>
  <si>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</si>
  <si>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</si>
  <si>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</si>
  <si>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</si>
  <si>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</si>
  <si>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</si>
  <si>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</si>
  <si>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</si>
  <si>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</si>
  <si>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</si>
  <si>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</si>
  <si>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</si>
  <si>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</si>
  <si>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</si>
  <si>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</si>
  <si>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</si>
  <si>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</si>
  <si>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</si>
  <si>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</si>
  <si>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</si>
  <si>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</si>
  <si>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</si>
  <si>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</si>
  <si>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</si>
  <si>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</si>
  <si>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</si>
  <si>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</si>
  <si>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</si>
  <si>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</si>
  <si>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</si>
  <si>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</si>
  <si>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</si>
  <si>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</si>
  <si>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</si>
  <si>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</si>
  <si>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</si>
  <si>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</si>
  <si>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</si>
  <si>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</si>
  <si>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</si>
  <si>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</si>
  <si>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</si>
  <si>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</si>
  <si>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</si>
  <si>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</si>
  <si>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</si>
  <si>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</si>
  <si>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</si>
  <si>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</si>
  <si>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</si>
  <si>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</si>
  <si>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</si>
  <si>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</si>
  <si>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</si>
  <si>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</si>
  <si>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</si>
  <si>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</si>
  <si>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</si>
  <si>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</si>
  <si>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</si>
  <si>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</si>
  <si>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</si>
  <si>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</si>
  <si>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</si>
  <si>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</si>
  <si>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</si>
  <si>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</si>
  <si>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</si>
  <si>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</si>
  <si>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</si>
  <si>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</si>
  <si>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</si>
  <si>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</si>
  <si>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</si>
  <si>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</si>
  <si>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</si>
  <si>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</si>
  <si>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</si>
  <si>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</si>
  <si>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</si>
  <si>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</si>
  <si>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</si>
  <si>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</si>
  <si>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</si>
  <si>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</si>
  <si>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</si>
  <si>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</si>
  <si>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</si>
  <si>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</si>
  <si>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</si>
  <si>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</si>
  <si>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</si>
  <si>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</si>
  <si>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</si>
  <si>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</si>
  <si>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</si>
  <si>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</si>
  <si>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</si>
  <si>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</si>
  <si>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</si>
  <si>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</si>
  <si>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</si>
  <si>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</si>
  <si>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</si>
  <si>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</si>
  <si>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</si>
  <si>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</si>
  <si>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</si>
  <si>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</si>
  <si>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</si>
  <si>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</si>
  <si>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</si>
  <si>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</si>
  <si>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</si>
  <si>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</si>
  <si>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</si>
  <si>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</si>
  <si>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</si>
  <si>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</si>
  <si>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</si>
  <si>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</si>
  <si>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</si>
  <si>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</si>
  <si>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</si>
  <si>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50%
&lt;=x&lt;
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</si>
  <si>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</si>
  <si>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</si>
  <si>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</si>
  <si>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</si>
  <si>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t>Medir oportunamente el nivel de recaudo con el fin de revisar el cumplimiento del plan de acción del año</t>
  </si>
  <si>
    <t>50%
&lt;=x&lt;
75%</t>
  </si>
  <si>
    <t>x&lt;50%</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</si>
  <si>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</si>
  <si>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</si>
  <si>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</si>
  <si>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</si>
  <si>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</si>
  <si>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</si>
  <si>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</si>
  <si>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</si>
  <si>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</si>
  <si>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</si>
  <si>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</si>
  <si>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</si>
  <si>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</si>
  <si>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</si>
  <si>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</si>
  <si>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</si>
  <si>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</si>
  <si>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</si>
  <si>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</si>
  <si>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</si>
  <si>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</si>
  <si>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</si>
  <si>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</si>
  <si>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</si>
  <si>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</si>
  <si>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</si>
  <si>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Noviembre</t>
  </si>
  <si>
    <t>Diciembre</t>
  </si>
  <si>
    <t>Septiembre</t>
  </si>
  <si>
    <t>Octubre</t>
  </si>
  <si>
    <t>x&gt;90%</t>
  </si>
  <si>
    <t>x&gt;91%</t>
  </si>
  <si>
    <t>Desviación estándar año 2018</t>
  </si>
  <si>
    <t>78%
&lt;=x&lt;=
91%</t>
  </si>
  <si>
    <t>Bianual</t>
  </si>
  <si>
    <t>73%
&lt;=x&lt;
95%</t>
  </si>
  <si>
    <t>OBJETIVOS ESTRATÉGICOS</t>
  </si>
  <si>
    <t>PROCESOS</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</si>
  <si>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</si>
  <si>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</si>
  <si>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</si>
  <si>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</si>
  <si>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</si>
  <si>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</si>
  <si>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</si>
  <si>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</si>
  <si>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</si>
  <si>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</si>
  <si>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</si>
  <si>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</si>
  <si>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</si>
  <si>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Agosto</t>
  </si>
  <si>
    <t xml:space="preserve">8238680187   
</t>
  </si>
  <si>
    <t>?</t>
  </si>
  <si>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</si>
  <si>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</si>
  <si>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</si>
  <si>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</si>
  <si>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HOY</t>
  </si>
  <si>
    <t>ESPERADO</t>
  </si>
  <si>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</si>
  <si>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</si>
  <si>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</si>
  <si>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</si>
  <si>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r>
      <t>Pagos:                   </t>
    </r>
    <r>
      <rPr>
        <b/>
        <sz val="9"/>
        <color rgb="FF000000"/>
        <rFont val="Times New Roman"/>
        <family val="1"/>
      </rPr>
      <t>$ 24,471,762,296.92</t>
    </r>
  </si>
  <si>
    <t>Ingreso:               </t>
  </si>
  <si>
    <t>24,910,188,203,78</t>
  </si>
  <si>
    <t>25,526,515,027,59</t>
  </si>
  <si>
    <t>24910188203,78/25526515027,59</t>
  </si>
  <si>
    <t>Recaudo</t>
  </si>
  <si>
    <t>Compromiso</t>
  </si>
  <si>
    <t>Dic</t>
  </si>
  <si>
    <t>nov</t>
  </si>
  <si>
    <t>meta</t>
  </si>
  <si>
    <t>diciembre</t>
  </si>
  <si>
    <t>noviembre</t>
  </si>
  <si>
    <t>respecto a meta</t>
  </si>
  <si>
    <t>MEDICIÓN AUTOEVALUACIÓN A DICIEMBRE</t>
  </si>
  <si>
    <t>(Participantes de las actividades de bienestar semestre actual / Participantes semestre anterior )- 1</t>
  </si>
  <si>
    <t>Vice Investigación</t>
  </si>
  <si>
    <t>x&gt;96%</t>
  </si>
  <si>
    <t xml:space="preserve"> </t>
  </si>
  <si>
    <t># Proyectos  de apoyo a las actic  en ejecución/ # de planes de apoyo a las actic  programados</t>
  </si>
  <si>
    <t>Enero</t>
  </si>
  <si>
    <t>RESULTADO
2018</t>
  </si>
  <si>
    <t>≥ 95,0%</t>
  </si>
  <si>
    <t xml:space="preserve">Medir el número  de egresados laborando del nivel profesional </t>
  </si>
  <si>
    <t>LÍNEA BASE
(2017)</t>
  </si>
  <si>
    <t>x&gt;=85%</t>
  </si>
  <si>
    <t>&gt;=90%</t>
  </si>
  <si>
    <t>&gt;=900%</t>
  </si>
  <si>
    <t>x&gt;=97%</t>
  </si>
  <si>
    <t>≥ 95,00%</t>
  </si>
  <si>
    <t>$ 7.586.109.350,53 de un proyectado de 
$ 8.000.000.000
(94,83%)</t>
  </si>
  <si>
    <t>Mantener y dar continuidad al link de transparencia ley 1712</t>
  </si>
  <si>
    <t>Promedio de ccumplimiento del link de transparencia</t>
  </si>
  <si>
    <t>Se designó un responsable para el monitoreo constante del link de transparecncia. Como estrategía se realizar reuniones periódicas con las áreas para que la eficiencia en la información sea la más óptima.</t>
  </si>
  <si>
    <t>Se realiza mantenimeinto a los equipos y talleres de los laboratorios, teniendo un 100%  de operación  304 equipos de computo y  230 equipos de los demás talleres.</t>
  </si>
  <si>
    <r>
      <t xml:space="preserve">Convenios Internacionales:
</t>
    </r>
    <r>
      <rPr>
        <sz val="20"/>
        <color rgb="FF000000"/>
        <rFont val="Calibri"/>
        <family val="2"/>
        <scheme val="minor"/>
      </rPr>
      <t xml:space="preserve">1. National Instruments (Estados Unidos) - se recibió la invitación  para participar en NI Week en Austin, en trámite  comisión para el Hno. José Gregorio y decano Nelson Castañeda. En revisión: estudios previos para compra de laboratorio a cargo del coordinador de Especializaciones.
2. Bosch: En formulación estudios previos para laboratorio y capacitación a cargo de la decanatura de Mecánica.
</t>
    </r>
    <r>
      <rPr>
        <b/>
        <sz val="20"/>
        <color rgb="FF000000"/>
        <rFont val="Calibri"/>
        <family val="2"/>
        <scheme val="minor"/>
      </rPr>
      <t>Convenios Nacionales:
1.</t>
    </r>
    <r>
      <rPr>
        <sz val="20"/>
        <color rgb="FF000000"/>
        <rFont val="Calibri"/>
        <family val="2"/>
        <scheme val="minor"/>
      </rPr>
      <t xml:space="preserve">Uniminuto - asistencia a reuniones de seguimiento y planeación del Séptimo congreso Internacional Nuevas tendencias de las Gestión del conocimiento en Ingeniería. Se realizará del 8 al 10 de mayo de 2019. Visita del Hno. José Gregorio a la Vicerrectoría Regional Orinoquia, en formulación proyectos para extensión y proyección social.
2. Corporación Tecnológica de Bogotá - en formulación - capacitaciones a la medida (francés) a cargo del Centro de Lenguas.
</t>
    </r>
    <r>
      <rPr>
        <b/>
        <sz val="20"/>
        <color rgb="FF000000"/>
        <rFont val="Calibri"/>
        <family val="2"/>
        <scheme val="minor"/>
      </rPr>
      <t xml:space="preserve">Participación en redes y asociaciones:
1. </t>
    </r>
    <r>
      <rPr>
        <sz val="20"/>
        <color rgb="FF000000"/>
        <rFont val="Calibri"/>
        <family val="2"/>
        <scheme val="minor"/>
      </rPr>
      <t>Asociación Colombiana de Facultades de Ingeniería - ACOFI. Participación del Hno. José Gregorio en la Asmablea General 2019. Participación de la decana de Procesos Industriales Fabiola Mejía en la red de decanos de Ingeniería Industrial. 
2. Red Colombiana de Internacionalización - RCI - en proceso pago de membresía.</t>
    </r>
  </si>
  <si>
    <r>
      <t xml:space="preserve">
El estado actual del proceso de acreditación de los programas se encuentra:
</t>
    </r>
    <r>
      <rPr>
        <sz val="20"/>
        <color theme="8"/>
        <rFont val="Calibri"/>
        <family val="2"/>
        <scheme val="minor"/>
      </rPr>
      <t>Técnica Profesional en Mantenimiento Industrial           Para ponencia a concejero CNA
Tecnología en Montajes Industriales                                        Para ponencia a concejero CNA
Ingeniería Electromecánica                                                             Para ponencia a concejero CNA</t>
    </r>
    <r>
      <rPr>
        <sz val="20"/>
        <color theme="1"/>
        <rFont val="Calibri"/>
        <family val="2"/>
        <scheme val="minor"/>
      </rPr>
      <t xml:space="preserve">
</t>
    </r>
    <r>
      <rPr>
        <sz val="20"/>
        <color theme="9"/>
        <rFont val="Calibri"/>
        <family val="2"/>
        <scheme val="minor"/>
      </rPr>
      <t>Técnica Profesional en Electrónica Industrial                     Para ponencia a concejero CNA
Tecnología en Automatización Industrial                               Para ponencia a concejero CNA
Ingeniería Mecatrónica                                                                      Para ponencia a concejero CNA</t>
    </r>
    <r>
      <rPr>
        <sz val="20"/>
        <color theme="1"/>
        <rFont val="Calibri"/>
        <family val="2"/>
        <scheme val="minor"/>
      </rPr>
      <t xml:space="preserve">
</t>
    </r>
    <r>
      <rPr>
        <sz val="20"/>
        <color theme="7" tint="-0.249977111117893"/>
        <rFont val="Calibri"/>
        <family val="2"/>
        <scheme val="minor"/>
      </rPr>
      <t>Tecnología en Desarrollo de Software                                       Con concepto por parte de la sala
Ingeniería de Sistemas                                                                         Con concepto por parte de la sala</t>
    </r>
    <r>
      <rPr>
        <sz val="20"/>
        <color theme="1"/>
        <rFont val="Calibri"/>
        <family val="2"/>
        <scheme val="minor"/>
      </rPr>
      <t xml:space="preserve">
</t>
    </r>
    <r>
      <rPr>
        <sz val="20"/>
        <color theme="6" tint="-0.499984740745262"/>
        <rFont val="Calibri"/>
        <family val="2"/>
        <scheme val="minor"/>
      </rPr>
      <t xml:space="preserve">Técnica Profesional en Procesos de Manufactura            Para comentarios del Rector
Tecnología en Producción Industrial                                          Para comentarios del Rector
Ingeniería de Procesos Industriales                                           Para comentarios del Rector
</t>
    </r>
    <r>
      <rPr>
        <sz val="20"/>
        <rFont val="Calibri"/>
        <family val="2"/>
        <scheme val="minor"/>
      </rPr>
      <t xml:space="preserve">Para el mes de abril, se actualizan los estados para los programas de Elctromecánica y mecátronica.
</t>
    </r>
  </si>
  <si>
    <t>Se han realizado 5 auditorias de 20 las cuales son:
Direccionamiento
Calidad
Seguridad y salud en el trabajo
Seguridad de la información 
Recursos Físicos</t>
  </si>
  <si>
    <t>MEDICIÓN GESTIÓN  MAYO</t>
  </si>
  <si>
    <t>Idiomas: $ 68.284.128
Preingeniero: $ 20.371.355
Seminarios: $180.504.515
TOTAL: $ 269.159.998
META: $1.100.000.000</t>
  </si>
  <si>
    <t>x</t>
  </si>
  <si>
    <r>
      <t>Para cumplir con la meta acumualada y de acuerdo con los históricos:
Ene:   $ 2.217.931.658     (26,09%)   
 - Real a Ene: $ 2.101.993.441,28 (</t>
    </r>
    <r>
      <rPr>
        <sz val="20"/>
        <color theme="6" tint="-0.249977111117893"/>
        <rFont val="Calibri"/>
        <family val="2"/>
        <scheme val="minor"/>
      </rPr>
      <t>25,23%</t>
    </r>
    <r>
      <rPr>
        <sz val="20"/>
        <color theme="1"/>
        <rFont val="Calibri"/>
        <family val="2"/>
        <scheme val="minor"/>
      </rPr>
      <t xml:space="preserve"> en el acumulado  </t>
    </r>
    <r>
      <rPr>
        <sz val="20"/>
        <color theme="6" tint="-0.249977111117893"/>
        <rFont val="Calibri"/>
        <family val="2"/>
        <scheme val="minor"/>
      </rPr>
      <t>98,60%</t>
    </r>
    <r>
      <rPr>
        <sz val="20"/>
        <color theme="1"/>
        <rFont val="Calibri"/>
        <family val="2"/>
        <scheme val="minor"/>
      </rPr>
      <t xml:space="preserve"> del mes)
Feb:   $ 2.815.469.050     (33,12%) 
- Real a Feb: $ 2.498.382.229,20 (</t>
    </r>
    <r>
      <rPr>
        <sz val="20"/>
        <color theme="9" tint="-0.249977111117893"/>
        <rFont val="Calibri"/>
        <family val="2"/>
        <scheme val="minor"/>
      </rPr>
      <t>29,39%</t>
    </r>
    <r>
      <rPr>
        <sz val="20"/>
        <color theme="1"/>
        <rFont val="Calibri"/>
        <family val="2"/>
        <scheme val="minor"/>
      </rPr>
      <t xml:space="preserve"> en el acumulado </t>
    </r>
    <r>
      <rPr>
        <sz val="20"/>
        <color theme="9" tint="-0.249977111117893"/>
        <rFont val="Calibri"/>
        <family val="2"/>
        <scheme val="minor"/>
      </rPr>
      <t xml:space="preserve"> 88,73%</t>
    </r>
    <r>
      <rPr>
        <sz val="20"/>
        <color theme="1"/>
        <rFont val="Calibri"/>
        <family val="2"/>
        <scheme val="minor"/>
      </rPr>
      <t xml:space="preserve"> del mes)
Mar:   $ 3.166.449.610     (37,25%)
- Real a Mar $2.702.501.945,46 (  </t>
    </r>
    <r>
      <rPr>
        <sz val="20"/>
        <color theme="9" tint="-0.249977111117893"/>
        <rFont val="Calibri"/>
        <family val="2"/>
        <scheme val="minor"/>
      </rPr>
      <t>31,83%</t>
    </r>
    <r>
      <rPr>
        <sz val="20"/>
        <color theme="1"/>
        <rFont val="Calibri"/>
        <family val="2"/>
        <scheme val="minor"/>
      </rPr>
      <t xml:space="preserve"> en el acumulado  </t>
    </r>
    <r>
      <rPr>
        <sz val="20"/>
        <color theme="9" tint="-0.249977111117893"/>
        <rFont val="Calibri"/>
        <family val="2"/>
        <scheme val="minor"/>
      </rPr>
      <t>85,44%</t>
    </r>
    <r>
      <rPr>
        <sz val="20"/>
        <color theme="1"/>
        <rFont val="Calibri"/>
        <family val="2"/>
        <scheme val="minor"/>
      </rPr>
      <t xml:space="preserve"> del mes)
Abr:   $ 3.538.975.396      (41,64%)
- Real a Abr $ 2.897.201.901,46 ( </t>
    </r>
    <r>
      <rPr>
        <sz val="20"/>
        <color theme="9" tint="-0.249977111117893"/>
        <rFont val="Calibri"/>
        <family val="2"/>
        <scheme val="minor"/>
      </rPr>
      <t>34,084%</t>
    </r>
    <r>
      <rPr>
        <sz val="20"/>
        <color theme="1"/>
        <rFont val="Calibri"/>
        <family val="2"/>
        <scheme val="minor"/>
      </rPr>
      <t xml:space="preserve"> en el acumulado  </t>
    </r>
    <r>
      <rPr>
        <sz val="20"/>
        <color theme="9" tint="-0.249977111117893"/>
        <rFont val="Calibri"/>
        <family val="2"/>
        <scheme val="minor"/>
      </rPr>
      <t>81,86%</t>
    </r>
    <r>
      <rPr>
        <sz val="20"/>
        <color theme="1"/>
        <rFont val="Calibri"/>
        <family val="2"/>
        <scheme val="minor"/>
      </rPr>
      <t xml:space="preserve"> del mes)
May: $ 3.834.524.769      (45,11%)
- Real a May: $3.013.011.054,46 ( </t>
    </r>
    <r>
      <rPr>
        <sz val="20"/>
        <color theme="9" tint="-0.249977111117893"/>
        <rFont val="Calibri"/>
        <family val="2"/>
        <scheme val="minor"/>
      </rPr>
      <t>35,47%</t>
    </r>
    <r>
      <rPr>
        <sz val="20"/>
        <color theme="1"/>
        <rFont val="Calibri"/>
        <family val="2"/>
        <scheme val="minor"/>
      </rPr>
      <t xml:space="preserve"> en el acumulado  </t>
    </r>
    <r>
      <rPr>
        <sz val="20"/>
        <color theme="9" tint="-0.249977111117893"/>
        <rFont val="Calibri"/>
        <family val="2"/>
        <scheme val="minor"/>
      </rPr>
      <t>78,57</t>
    </r>
    <r>
      <rPr>
        <sz val="20"/>
        <color theme="1"/>
        <rFont val="Calibri"/>
        <family val="2"/>
        <scheme val="minor"/>
      </rPr>
      <t xml:space="preserve">% del mes)
Jun:   $ 4.226.109.249      (49,72%)    
Jul:    $4.836.325.721        (56,90%)
Ago: $6.589.971.626         (77,53%)
Sep:   $ 7.138.680.187      (83,98%) 
Oct:   $7,700,000,000       (90,50%)
Nov:   $ 8,200,000,000     (96,47%) 
Dic:   $ 8,500,000,000      (100%) 
</t>
    </r>
  </si>
  <si>
    <t xml:space="preserve">Acumulado con corte a Mayo, se recaudaron $9.282.406.184,00 (incluídos recursos Nación) y se comprometieron $12.094.839.381,42 . Pagos acumulados están en $8.587.945.511,16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</si>
</sst>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
      <sz val="11"/>
      <color rgb="FF212121"/>
      <name val="Calibri"/>
      <family val="2"/>
      <scheme val="minor"/>
    </font>
    <font>
      <b/>
      <sz val="9"/>
      <color rgb="FF000000"/>
      <name val="Times New Roman"/>
      <family val="1"/>
    </font>
    <font>
      <sz val="20"/>
      <color theme="9" tint="-0.249977111117893"/>
      <name val="Calibri"/>
      <family val="2"/>
      <scheme val="minor"/>
    </font>
    <font>
      <b/>
      <sz val="20"/>
      <color rgb="FF000000"/>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109">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169" fontId="36" fillId="2" borderId="59" xfId="40" applyNumberFormat="1" applyFont="1" applyFill="1" applyBorder="1" applyAlignment="1">
      <alignment horizontal="center" vertical="center"/>
    </xf>
    <xf numFmtId="0" fontId="43" fillId="8" borderId="33" xfId="0" applyFont="1" applyFill="1" applyBorder="1" applyAlignment="1">
      <alignment horizontal="left" vertical="center" wrapText="1"/>
    </xf>
    <xf numFmtId="0" fontId="43" fillId="0" borderId="33" xfId="0" applyFont="1" applyBorder="1" applyAlignment="1">
      <alignment horizontal="left" vertical="center" wrapText="1"/>
    </xf>
    <xf numFmtId="0" fontId="43" fillId="0" borderId="33" xfId="0" applyFont="1" applyBorder="1" applyAlignment="1">
      <alignment vertical="center" wrapText="1"/>
    </xf>
    <xf numFmtId="0" fontId="43" fillId="8" borderId="33" xfId="0" applyFont="1" applyFill="1" applyBorder="1" applyAlignment="1">
      <alignment vertical="center" wrapText="1"/>
    </xf>
    <xf numFmtId="10" fontId="0" fillId="0" borderId="0" xfId="0" applyNumberFormat="1"/>
    <xf numFmtId="0" fontId="44"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36" fillId="0" borderId="61" xfId="1" applyNumberFormat="1" applyFont="1" applyBorder="1" applyAlignment="1">
      <alignment horizontal="center" vertical="center"/>
    </xf>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10" fontId="36" fillId="0" borderId="61" xfId="1" applyNumberFormat="1" applyFont="1" applyBorder="1" applyAlignment="1">
      <alignment horizontal="center" vertical="center"/>
    </xf>
    <xf numFmtId="2" fontId="0" fillId="0" borderId="0" xfId="0" applyNumberFormat="1"/>
    <xf numFmtId="10" fontId="36" fillId="0" borderId="61"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8" borderId="3" xfId="0" applyFont="1" applyFill="1" applyBorder="1" applyAlignment="1">
      <alignment vertical="center" wrapText="1"/>
    </xf>
    <xf numFmtId="0" fontId="51" fillId="0" borderId="0" xfId="0" applyFont="1" applyAlignment="1">
      <alignment vertical="center" wrapText="1"/>
    </xf>
    <xf numFmtId="0" fontId="50" fillId="0" borderId="0" xfId="0" applyFont="1" applyAlignment="1">
      <alignment vertical="center" wrapText="1"/>
    </xf>
    <xf numFmtId="4" fontId="0" fillId="0" borderId="0" xfId="0" applyNumberFormat="1"/>
    <xf numFmtId="10" fontId="36" fillId="12" borderId="68" xfId="1" applyNumberFormat="1" applyFont="1" applyFill="1" applyBorder="1" applyAlignment="1">
      <alignment horizontal="center" vertical="center"/>
    </xf>
    <xf numFmtId="9" fontId="36" fillId="0" borderId="68"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9" fontId="36" fillId="0" borderId="68" xfId="1" applyFont="1" applyBorder="1" applyAlignment="1">
      <alignment horizontal="center" vertical="center"/>
    </xf>
    <xf numFmtId="166" fontId="37" fillId="13" borderId="75" xfId="0" applyNumberFormat="1" applyFont="1" applyFill="1" applyBorder="1" applyAlignment="1">
      <alignment horizontal="center" vertical="center"/>
    </xf>
    <xf numFmtId="10" fontId="36" fillId="0" borderId="28"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10" fontId="36" fillId="0" borderId="30" xfId="1" applyNumberFormat="1" applyFont="1" applyBorder="1" applyAlignment="1">
      <alignment horizontal="center" vertical="center"/>
    </xf>
    <xf numFmtId="10" fontId="36" fillId="0" borderId="3" xfId="1" applyNumberFormat="1" applyFont="1" applyBorder="1" applyAlignment="1">
      <alignment horizontal="center" vertical="center"/>
    </xf>
    <xf numFmtId="9" fontId="36" fillId="0" borderId="75" xfId="1" applyNumberFormat="1" applyFont="1" applyBorder="1" applyAlignment="1">
      <alignment horizontal="center" vertical="center"/>
    </xf>
    <xf numFmtId="0" fontId="36" fillId="0" borderId="3" xfId="1" applyNumberFormat="1" applyFont="1" applyBorder="1" applyAlignment="1">
      <alignment horizontal="center" vertical="center"/>
    </xf>
    <xf numFmtId="10" fontId="36" fillId="0" borderId="58" xfId="1" applyNumberFormat="1" applyFont="1" applyBorder="1" applyAlignment="1">
      <alignment horizontal="center" vertical="center"/>
    </xf>
    <xf numFmtId="10" fontId="36" fillId="8" borderId="3" xfId="1" applyNumberFormat="1" applyFont="1" applyFill="1" applyBorder="1" applyAlignment="1">
      <alignment horizontal="center" vertical="center"/>
    </xf>
    <xf numFmtId="9" fontId="36" fillId="0" borderId="30" xfId="1" applyNumberFormat="1" applyFont="1" applyBorder="1" applyAlignment="1">
      <alignment horizontal="center" vertical="center"/>
    </xf>
    <xf numFmtId="9" fontId="36" fillId="0" borderId="58" xfId="1" applyNumberFormat="1" applyFont="1" applyBorder="1" applyAlignment="1">
      <alignment horizontal="center" vertical="center"/>
    </xf>
    <xf numFmtId="9" fontId="36" fillId="0" borderId="3" xfId="1" applyFont="1" applyBorder="1" applyAlignment="1">
      <alignment horizontal="center" vertical="center"/>
    </xf>
    <xf numFmtId="10" fontId="36" fillId="0" borderId="75" xfId="1" applyNumberFormat="1" applyFont="1" applyBorder="1" applyAlignment="1">
      <alignment horizontal="center" vertical="center"/>
    </xf>
    <xf numFmtId="9" fontId="36" fillId="8" borderId="30" xfId="1" applyFont="1" applyFill="1" applyBorder="1" applyAlignment="1">
      <alignment horizontal="center" vertical="center"/>
    </xf>
    <xf numFmtId="9" fontId="36" fillId="0" borderId="58" xfId="1" applyFont="1" applyBorder="1" applyAlignment="1">
      <alignment horizontal="center" vertical="center"/>
    </xf>
    <xf numFmtId="9" fontId="36" fillId="0" borderId="75" xfId="1" applyFont="1" applyBorder="1" applyAlignment="1">
      <alignment horizontal="center" vertical="center"/>
    </xf>
    <xf numFmtId="166" fontId="37" fillId="12" borderId="30" xfId="0" applyNumberFormat="1" applyFont="1" applyFill="1" applyBorder="1" applyAlignment="1">
      <alignment horizontal="center" vertical="center"/>
    </xf>
    <xf numFmtId="2" fontId="36" fillId="0" borderId="62" xfId="1" applyNumberFormat="1" applyFont="1" applyBorder="1" applyAlignment="1">
      <alignment horizontal="center" vertical="center"/>
    </xf>
    <xf numFmtId="2" fontId="36" fillId="0" borderId="33"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0" fontId="53" fillId="0" borderId="3" xfId="0" applyFont="1" applyBorder="1" applyAlignment="1">
      <alignment horizontal="left" vertical="top" wrapText="1"/>
    </xf>
    <xf numFmtId="166" fontId="37" fillId="12" borderId="30" xfId="0" applyNumberFormat="1" applyFont="1" applyFill="1" applyBorder="1" applyAlignment="1">
      <alignment horizontal="center" vertical="center"/>
    </xf>
    <xf numFmtId="3" fontId="36" fillId="0" borderId="0" xfId="0" applyNumberFormat="1" applyFont="1" applyAlignment="1">
      <alignment wrapText="1"/>
    </xf>
    <xf numFmtId="4" fontId="36" fillId="0" borderId="0" xfId="0" applyNumberFormat="1" applyFont="1" applyAlignment="1">
      <alignment wrapText="1"/>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2"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10" fontId="36" fillId="10" borderId="11" xfId="1" applyNumberFormat="1" applyFont="1" applyFill="1" applyBorder="1" applyAlignment="1">
      <alignment horizontal="center"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169" fontId="36" fillId="0" borderId="31" xfId="40" applyNumberFormat="1" applyFont="1" applyBorder="1" applyAlignment="1">
      <alignment horizontal="center" vertical="center" wrapText="1"/>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0" fontId="38" fillId="11" borderId="38" xfId="0" applyFont="1" applyFill="1" applyBorder="1" applyAlignment="1">
      <alignment horizontal="center" vertical="center"/>
    </xf>
    <xf numFmtId="0" fontId="38" fillId="11" borderId="19" xfId="0"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0" fontId="36" fillId="0" borderId="61" xfId="1" applyNumberFormat="1" applyFont="1" applyBorder="1" applyAlignment="1">
      <alignment horizontal="center" vertical="center"/>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0" xfId="1" applyNumberFormat="1" applyFont="1" applyFill="1" applyBorder="1" applyAlignment="1">
      <alignment horizontal="center" vertical="center" wrapText="1"/>
    </xf>
    <xf numFmtId="10" fontId="36" fillId="3" borderId="13" xfId="1" applyNumberFormat="1" applyFont="1" applyFill="1" applyBorder="1" applyAlignment="1">
      <alignment horizontal="center" vertical="center" wrapText="1"/>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10" fontId="36" fillId="0" borderId="63" xfId="1" applyNumberFormat="1" applyFont="1" applyBorder="1" applyAlignment="1">
      <alignment horizontal="center" vertical="center"/>
    </xf>
    <xf numFmtId="10" fontId="36" fillId="0" borderId="66" xfId="1" applyNumberFormat="1" applyFont="1" applyBorder="1" applyAlignment="1">
      <alignment horizontal="center" vertical="center"/>
    </xf>
    <xf numFmtId="9" fontId="36" fillId="0" borderId="71" xfId="1" applyNumberFormat="1" applyFont="1" applyBorder="1" applyAlignment="1">
      <alignment horizontal="center" vertical="center"/>
    </xf>
    <xf numFmtId="9" fontId="36" fillId="0" borderId="46" xfId="1" applyNumberFormat="1" applyFont="1" applyBorder="1" applyAlignment="1">
      <alignment horizontal="center" vertical="center"/>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6" fillId="0" borderId="29" xfId="0" applyFont="1" applyBorder="1" applyAlignment="1">
      <alignment horizontal="left" vertical="center" wrapText="1"/>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39"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31" xfId="0" applyFont="1" applyBorder="1" applyAlignment="1">
      <alignment horizontal="left" vertical="center" wrapText="1"/>
    </xf>
    <xf numFmtId="0" fontId="36" fillId="0" borderId="29" xfId="0" quotePrefix="1" applyFont="1" applyBorder="1" applyAlignment="1">
      <alignment horizontal="left" vertical="center" wrapText="1"/>
    </xf>
    <xf numFmtId="0" fontId="36" fillId="0" borderId="58" xfId="0" applyFont="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40" xfId="0" applyNumberFormat="1" applyFont="1" applyBorder="1" applyAlignment="1">
      <alignment horizontal="center" vertical="center" wrapText="1"/>
    </xf>
    <xf numFmtId="1" fontId="36" fillId="0" borderId="8" xfId="0" applyNumberFormat="1" applyFont="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3"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9" xfId="1" applyNumberFormat="1" applyFont="1" applyFill="1" applyBorder="1" applyAlignment="1">
      <alignment horizontal="center" vertical="center" wrapText="1"/>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32" xfId="0" quotePrefix="1"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6" fillId="8" borderId="30"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9" fontId="36" fillId="8" borderId="71" xfId="1" applyFont="1" applyFill="1" applyBorder="1" applyAlignment="1">
      <alignment horizontal="center" vertical="center"/>
    </xf>
    <xf numFmtId="9" fontId="36" fillId="0" borderId="46"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166" fontId="36" fillId="0" borderId="76" xfId="0" applyNumberFormat="1" applyFont="1" applyBorder="1" applyAlignment="1">
      <alignment horizontal="center"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10" fontId="36" fillId="0" borderId="76" xfId="1" applyNumberFormat="1" applyFont="1" applyBorder="1" applyAlignment="1">
      <alignment horizontal="center" vertical="center"/>
    </xf>
    <xf numFmtId="10" fontId="36" fillId="10" borderId="67" xfId="1" applyNumberFormat="1" applyFont="1" applyFill="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58" xfId="0" applyFont="1" applyFill="1" applyBorder="1" applyAlignment="1">
      <alignment horizontal="left" vertical="center" wrapText="1"/>
    </xf>
    <xf numFmtId="0" fontId="36" fillId="0" borderId="24" xfId="0" applyFont="1" applyFill="1" applyBorder="1" applyAlignment="1">
      <alignment horizontal="center" vertical="center" wrapText="1"/>
    </xf>
    <xf numFmtId="2" fontId="36" fillId="8" borderId="71" xfId="1" applyNumberFormat="1" applyFont="1" applyFill="1" applyBorder="1" applyAlignment="1">
      <alignment horizontal="center" vertical="center"/>
    </xf>
    <xf numFmtId="0" fontId="28" fillId="0" borderId="53" xfId="0" applyFont="1" applyBorder="1" applyAlignment="1">
      <alignment horizontal="left" vertical="center" wrapText="1"/>
    </xf>
    <xf numFmtId="0" fontId="28"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51"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2" fontId="36" fillId="0" borderId="3" xfId="1" applyNumberFormat="1" applyFont="1" applyBorder="1" applyAlignment="1">
      <alignment horizontal="center" vertical="center"/>
    </xf>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1">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xdr:col>
      <xdr:colOff>961559</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zoomScale="85" zoomScaleNormal="85" workbookViewId="0">
      <selection activeCell="F6" sqref="F6"/>
    </sheetView>
  </sheetViews>
  <sheetFormatPr baseColWidth="10" defaultColWidth="11.42578125" defaultRowHeight="15"/>
  <cols>
    <col min="1" max="1" width="54.85546875" customWidth="1"/>
    <col min="2" max="2" width="15.42578125" bestFit="1" customWidth="1"/>
    <col min="3" max="3" width="4" customWidth="1"/>
    <col min="4" max="4" width="36.85546875" customWidth="1"/>
    <col min="5" max="5" width="13.42578125" bestFit="1" customWidth="1"/>
    <col min="7" max="7" width="54.140625" hidden="1" customWidth="1"/>
    <col min="8" max="8" width="0" hidden="1" customWidth="1"/>
    <col min="9" max="10" width="13.42578125" hidden="1" customWidth="1"/>
    <col min="11" max="11" width="18.42578125" customWidth="1"/>
  </cols>
  <sheetData>
    <row r="1" spans="1:11" ht="27" thickBot="1">
      <c r="A1" s="807" t="s">
        <v>507</v>
      </c>
      <c r="B1" s="808"/>
      <c r="C1" s="808"/>
      <c r="D1" s="809"/>
      <c r="E1" s="714">
        <f>+AVERAGE('Tablero Estratégico'!AV6:AV29)</f>
        <v>0.95142707272403582</v>
      </c>
      <c r="G1" s="807" t="s">
        <v>483</v>
      </c>
      <c r="H1" s="808"/>
      <c r="I1" s="809"/>
      <c r="J1" s="714">
        <f>+SUMPRODUCT(H4:H13,I4:I13)</f>
        <v>0.96356342483348056</v>
      </c>
    </row>
    <row r="2" spans="1:11" ht="15.75" thickBot="1">
      <c r="B2" s="711"/>
    </row>
    <row r="3" spans="1:11" ht="38.25" customHeight="1" thickBot="1">
      <c r="A3" s="811" t="s">
        <v>442</v>
      </c>
      <c r="B3" s="811"/>
      <c r="D3" s="810" t="s">
        <v>443</v>
      </c>
      <c r="E3" s="810"/>
      <c r="G3" s="806" t="s">
        <v>444</v>
      </c>
      <c r="H3" s="806"/>
      <c r="I3" s="730" t="s">
        <v>454</v>
      </c>
      <c r="J3" s="731" t="s">
        <v>455</v>
      </c>
    </row>
    <row r="4" spans="1:11" ht="32.25" thickBot="1">
      <c r="A4" s="709" t="s">
        <v>179</v>
      </c>
      <c r="B4" s="713">
        <f>+IFERROR(AVERAGE('Tablero Estratégico'!AV6:AV7),0)</f>
        <v>1</v>
      </c>
      <c r="D4" s="710" t="s">
        <v>73</v>
      </c>
      <c r="E4" s="713">
        <f>+IFERROR(AVERAGE('Tablero Estratégico'!AV6:AV9,'Tablero Estratégico'!AV13),"")</f>
        <v>1</v>
      </c>
      <c r="G4" s="740" t="s">
        <v>456</v>
      </c>
      <c r="H4" s="741">
        <f t="array" ref="H4:H13">+TRANSPOSE('Tablero Estratégico'!C30:L30)</f>
        <v>0.96542287635133572</v>
      </c>
      <c r="I4" s="741">
        <v>0.16</v>
      </c>
      <c r="J4" s="741">
        <f>+I4*H4</f>
        <v>0.15446766021621372</v>
      </c>
      <c r="K4" s="742" t="str">
        <f>TEXT(J4,"0,00%")&amp;"
"&amp;" "&amp;G4&amp;"
(Avance "&amp;TEXT(H4,"0,00%")&amp;")"</f>
        <v>15,45%
 FACTOR 1. MISIÓN, VISIÓN Y PROYECTO INSTITUCIONAL Y DE PROGRAMA
(Avance 96,54%)</v>
      </c>
    </row>
    <row r="5" spans="1:11" ht="79.5" thickBot="1">
      <c r="A5" s="709" t="s">
        <v>180</v>
      </c>
      <c r="B5" s="713">
        <f>+IFERROR(AVERAGE('Tablero Estratégico'!AV8:AV11),"")</f>
        <v>1</v>
      </c>
      <c r="D5" s="709" t="s">
        <v>74</v>
      </c>
      <c r="E5" s="796">
        <f>+IFERROR(AVERAGE('Tablero Estratégico'!AV7:AV10,'Tablero Estratégico'!AV14),"")</f>
        <v>1</v>
      </c>
      <c r="G5" s="740" t="s">
        <v>445</v>
      </c>
      <c r="H5" s="741">
        <v>0.95677859543916965</v>
      </c>
      <c r="I5" s="741">
        <v>0.15</v>
      </c>
      <c r="J5" s="741">
        <f t="shared" ref="J5:J13" si="0">+I5*H5</f>
        <v>0.14351678931587544</v>
      </c>
      <c r="K5" s="742" t="str">
        <f t="shared" ref="K5:K13" si="1">TEXT(J5,"0,00%")&amp;"
"&amp;" "&amp;G5&amp;"
(Avance "&amp;TEXT(H5,"0,00%")&amp;")"</f>
        <v>14,35%
 FACTOR 2. LOS ESTUDIANTES.
(Avance 95,68%)</v>
      </c>
    </row>
    <row r="6" spans="1:11" ht="48" thickBot="1">
      <c r="A6" s="707" t="s">
        <v>189</v>
      </c>
      <c r="B6" s="713">
        <f>+IFERROR(AVERAGE('Tablero Estratégico'!AV12),"")</f>
        <v>1</v>
      </c>
      <c r="D6" s="710" t="s">
        <v>418</v>
      </c>
      <c r="E6" s="796">
        <f>+IFERROR(AVERAGE('Tablero Estratégico'!AV8:AV11,'Tablero Estratégico'!AV15),"")</f>
        <v>1</v>
      </c>
      <c r="G6" s="740" t="s">
        <v>446</v>
      </c>
      <c r="H6" s="741">
        <v>0.96542287635133572</v>
      </c>
      <c r="I6" s="741">
        <v>0.11</v>
      </c>
      <c r="J6" s="741">
        <f t="shared" si="0"/>
        <v>0.10619651639864693</v>
      </c>
      <c r="K6" s="742" t="str">
        <f t="shared" si="1"/>
        <v>10,62%
 FACTOR 3. PROFESORES
(Avance 96,54%)</v>
      </c>
    </row>
    <row r="7" spans="1:11" ht="63.75" thickBot="1">
      <c r="A7" s="708" t="s">
        <v>177</v>
      </c>
      <c r="B7" s="713">
        <f>+IFERROR(AVERAGE('Tablero Estratégico'!AV13),"")</f>
        <v>1</v>
      </c>
      <c r="D7" s="709" t="s">
        <v>485</v>
      </c>
      <c r="E7" s="796">
        <f>+IFERROR(AVERAGE('Tablero Estratégico'!AV9:AV12,'Tablero Estratégico'!AV16),"")</f>
        <v>1</v>
      </c>
      <c r="G7" s="740" t="s">
        <v>447</v>
      </c>
      <c r="H7" s="741">
        <v>0.96542287635133572</v>
      </c>
      <c r="I7" s="741">
        <v>0.13</v>
      </c>
      <c r="J7" s="741">
        <f t="shared" si="0"/>
        <v>0.12550497392567364</v>
      </c>
      <c r="K7" s="742" t="str">
        <f t="shared" si="1"/>
        <v>12,55%
 FACTOR 4. PROCESOS ACADÉMICOS
(Avance 96,54%)</v>
      </c>
    </row>
    <row r="8" spans="1:11" ht="63.75" thickBot="1">
      <c r="A8" s="708" t="s">
        <v>181</v>
      </c>
      <c r="B8" s="778" t="str">
        <f>+IFERROR(AVERAGE('Tablero Estratégico'!AV14),"")</f>
        <v/>
      </c>
      <c r="D8" s="712" t="s">
        <v>75</v>
      </c>
      <c r="E8" s="796">
        <f>+IFERROR(AVERAGE('Tablero Estratégico'!AV10:AV13,'Tablero Estratégico'!AV17),"")</f>
        <v>1</v>
      </c>
      <c r="G8" s="740" t="s">
        <v>448</v>
      </c>
      <c r="H8" s="741">
        <v>1</v>
      </c>
      <c r="I8" s="741">
        <v>0.05</v>
      </c>
      <c r="J8" s="741">
        <f t="shared" si="0"/>
        <v>0.05</v>
      </c>
      <c r="K8" s="742" t="str">
        <f t="shared" si="1"/>
        <v>5,00%
 FACTOR 5. VISIBILIDAD NACIONAL E INTERNACIONAL
(Avance 100,00%)</v>
      </c>
    </row>
    <row r="9" spans="1:11" ht="32.25" thickBot="1">
      <c r="A9" s="708" t="s">
        <v>182</v>
      </c>
      <c r="B9" s="778" t="str">
        <f>+IFERROR(AVERAGE('Tablero Estratégico'!AV15),"")</f>
        <v/>
      </c>
      <c r="D9" s="709" t="s">
        <v>79</v>
      </c>
      <c r="E9" s="796">
        <f>+IFERROR(AVERAGE('Tablero Estratégico'!AV11:AV14,'Tablero Estratégico'!AV18),"")</f>
        <v>1</v>
      </c>
      <c r="G9" s="740" t="s">
        <v>449</v>
      </c>
      <c r="H9" s="741">
        <v>0.95677859543916965</v>
      </c>
      <c r="I9" s="741">
        <v>0.09</v>
      </c>
      <c r="J9" s="741">
        <f t="shared" si="0"/>
        <v>8.6110073589525271E-2</v>
      </c>
      <c r="K9" s="742" t="str">
        <f t="shared" si="1"/>
        <v>8,61%
 FACTOR 6. INVESTIGACIÓN, INNOVACIÓN Y CREACIÓN ARTÍSTICA Y CULTURAL.
(Avance 95,68%)</v>
      </c>
    </row>
    <row r="10" spans="1:11" ht="32.25" thickBot="1">
      <c r="A10" s="709" t="s">
        <v>183</v>
      </c>
      <c r="B10" s="778" t="str">
        <f>+IFERROR(AVERAGE('Tablero Estratégico'!AV16),"")</f>
        <v/>
      </c>
      <c r="D10" s="709" t="s">
        <v>420</v>
      </c>
      <c r="E10" s="796">
        <f>+IFERROR(AVERAGE('Tablero Estratégico'!AV12:AV15,'Tablero Estratégico'!AV19),"")</f>
        <v>1</v>
      </c>
      <c r="G10" s="740" t="s">
        <v>450</v>
      </c>
      <c r="H10" s="741">
        <v>1</v>
      </c>
      <c r="I10" s="741">
        <v>0.08</v>
      </c>
      <c r="J10" s="741">
        <f t="shared" si="0"/>
        <v>0.08</v>
      </c>
      <c r="K10" s="742" t="str">
        <f t="shared" si="1"/>
        <v>8,00%
 FACTOR 7. BIENESTAR INSTITUCIONAL
(Avance 100,00%)</v>
      </c>
    </row>
    <row r="11" spans="1:11" ht="32.25" thickBot="1">
      <c r="A11" s="709" t="s">
        <v>184</v>
      </c>
      <c r="B11" s="778" t="str">
        <f>+IFERROR(AVERAGE('Tablero Estratégico'!AV17),"")</f>
        <v/>
      </c>
      <c r="D11" s="709" t="s">
        <v>72</v>
      </c>
      <c r="E11" s="796">
        <f>+IFERROR(AVERAGE('Tablero Estratégico'!AV13:AV16,'Tablero Estratégico'!AV20),"")</f>
        <v>1</v>
      </c>
      <c r="G11" s="740" t="s">
        <v>451</v>
      </c>
      <c r="H11" s="741">
        <v>0.8681591973938112</v>
      </c>
      <c r="I11" s="741">
        <v>0.06</v>
      </c>
      <c r="J11" s="741">
        <f t="shared" si="0"/>
        <v>5.2089551843628672E-2</v>
      </c>
      <c r="K11" s="742" t="str">
        <f t="shared" si="1"/>
        <v>5,21%
 FACTOR 8. ORGANIZACIÓN, ADMINISTRACION Y GESTION.
(Avance 86,82%)</v>
      </c>
    </row>
    <row r="12" spans="1:11" ht="63.75" thickBot="1">
      <c r="A12" s="712" t="s">
        <v>176</v>
      </c>
      <c r="B12" s="713">
        <f>+IFERROR(AVERAGE('Tablero Estratégico'!AV18:AV19),"")</f>
        <v>1</v>
      </c>
      <c r="D12" s="708" t="s">
        <v>81</v>
      </c>
      <c r="E12" s="796">
        <f>+IFERROR(AVERAGE('Tablero Estratégico'!AV14:AV17,'Tablero Estratégico'!AV21),"")</f>
        <v>1</v>
      </c>
      <c r="G12" s="740" t="s">
        <v>452</v>
      </c>
      <c r="H12" s="741">
        <v>0.95677859543916965</v>
      </c>
      <c r="I12" s="741">
        <v>0.1</v>
      </c>
      <c r="J12" s="741">
        <f t="shared" si="0"/>
        <v>9.5677859543916971E-2</v>
      </c>
      <c r="K12" s="742" t="str">
        <f t="shared" si="1"/>
        <v>9,57%
 FACTOR 9. IMPACTO DE LOS EGRESADOS EN EL MEDIO.
(Avance 95,68%)</v>
      </c>
    </row>
    <row r="13" spans="1:11" ht="16.5" thickBot="1">
      <c r="A13" s="803" t="s">
        <v>186</v>
      </c>
      <c r="B13" s="802">
        <f>+IFERROR(AVERAGE('Tablero Estratégico'!AV20:AV21),"")</f>
        <v>1</v>
      </c>
      <c r="D13" s="708" t="s">
        <v>142</v>
      </c>
      <c r="E13" s="796">
        <f>+IFERROR(AVERAGE('Tablero Estratégico'!AV15:AV18,'Tablero Estratégico'!AV22),"")</f>
        <v>1</v>
      </c>
      <c r="G13" s="740" t="s">
        <v>453</v>
      </c>
      <c r="H13" s="741">
        <v>1</v>
      </c>
      <c r="I13" s="741">
        <v>7.0000000000000007E-2</v>
      </c>
      <c r="J13" s="741">
        <f t="shared" si="0"/>
        <v>7.0000000000000007E-2</v>
      </c>
      <c r="K13" s="742" t="str">
        <f t="shared" si="1"/>
        <v>7,00%
 FACTOR 10. RECURSOS FÍSICOS Y FINANCIEROS.
(Avance 100,00%)</v>
      </c>
    </row>
    <row r="14" spans="1:11" ht="32.25" thickBot="1">
      <c r="A14" s="803"/>
      <c r="B14" s="802"/>
      <c r="D14" s="708" t="s">
        <v>77</v>
      </c>
      <c r="E14" s="796">
        <f>+IFERROR(AVERAGE('Tablero Estratégico'!AV16:AV19,'Tablero Estratégico'!AV23),"")</f>
        <v>1</v>
      </c>
    </row>
    <row r="15" spans="1:11" ht="48" thickBot="1">
      <c r="A15" s="708" t="s">
        <v>178</v>
      </c>
      <c r="B15" s="804">
        <f>+IFERROR(AVERAGE('Tablero Estratégico'!AV22:AV22),"")</f>
        <v>1</v>
      </c>
    </row>
    <row r="16" spans="1:11" ht="16.5" thickBot="1">
      <c r="A16" s="708" t="s">
        <v>187</v>
      </c>
      <c r="B16" s="805"/>
    </row>
    <row r="17" spans="1:2" ht="32.25" thickBot="1">
      <c r="A17" s="709" t="s">
        <v>185</v>
      </c>
      <c r="B17" s="713">
        <f>+IFERROR(AVERAGE('Tablero Estratégico'!AV24:AV27),"")</f>
        <v>0.94237146058555954</v>
      </c>
    </row>
    <row r="18" spans="1:2" ht="63.75" thickBot="1">
      <c r="A18" s="709" t="s">
        <v>188</v>
      </c>
      <c r="B18" s="713">
        <f>+IFERROR(AVERAGE('Tablero Estratégico'!AV28:AV29),"")</f>
        <v>0.625</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CA43"/>
  <sheetViews>
    <sheetView tabSelected="1" topLeftCell="A3" zoomScale="40" zoomScaleNormal="40" zoomScalePageLayoutView="40" workbookViewId="0">
      <pane xSplit="17" ySplit="3" topLeftCell="R6" activePane="bottomRight" state="frozen"/>
      <selection activeCell="A3" sqref="A3"/>
      <selection pane="topRight" activeCell="I3" sqref="I3"/>
      <selection pane="bottomLeft" activeCell="A6" sqref="A6"/>
      <selection pane="bottomRight" sqref="A1:AU1"/>
    </sheetView>
  </sheetViews>
  <sheetFormatPr baseColWidth="10" defaultColWidth="10.85546875" defaultRowHeight="26.25"/>
  <cols>
    <col min="1" max="1" width="62.5703125" style="515" customWidth="1"/>
    <col min="2" max="2" width="48" style="515" customWidth="1"/>
    <col min="3" max="9" width="23.42578125" style="515" hidden="1" customWidth="1"/>
    <col min="10" max="10" width="56.85546875" style="515" hidden="1" customWidth="1"/>
    <col min="11" max="11" width="57.7109375" style="515" hidden="1" customWidth="1"/>
    <col min="12" max="12" width="76.140625" style="515" hidden="1" customWidth="1"/>
    <col min="13" max="13" width="73.5703125" style="517" hidden="1" customWidth="1"/>
    <col min="14" max="14" width="6.42578125" style="515" hidden="1" customWidth="1"/>
    <col min="15" max="15" width="35.85546875" style="515" hidden="1" customWidth="1"/>
    <col min="16" max="16" width="23.42578125" style="516" hidden="1" customWidth="1"/>
    <col min="17" max="17" width="70.7109375" style="515" customWidth="1"/>
    <col min="18" max="18" width="60.28515625" style="515" customWidth="1"/>
    <col min="19" max="19" width="14.140625" style="515" customWidth="1"/>
    <col min="20" max="20" width="19.7109375" style="515" customWidth="1"/>
    <col min="21" max="21" width="23.28515625" style="515" customWidth="1"/>
    <col min="22" max="22" width="34.85546875" style="515" customWidth="1"/>
    <col min="23" max="23" width="20.42578125" style="515" customWidth="1"/>
    <col min="24" max="24" width="18.85546875" style="517" customWidth="1"/>
    <col min="25" max="25" width="23.42578125" style="517" customWidth="1"/>
    <col min="26" max="26" width="20.7109375" style="517" customWidth="1"/>
    <col min="27" max="28" width="17.42578125" style="515" customWidth="1"/>
    <col min="29" max="29" width="27.140625" style="515" customWidth="1"/>
    <col min="30" max="30" width="32.7109375" style="515" hidden="1" customWidth="1"/>
    <col min="31" max="32" width="31.7109375" style="515" hidden="1" customWidth="1"/>
    <col min="33" max="34" width="15" style="515" hidden="1" customWidth="1"/>
    <col min="35" max="35" width="18.5703125" style="515" hidden="1" customWidth="1"/>
    <col min="36" max="36" width="31.28515625" style="515" hidden="1" customWidth="1"/>
    <col min="37" max="37" width="50.7109375" style="515" hidden="1" customWidth="1"/>
    <col min="38" max="38" width="42.140625" style="515" hidden="1" customWidth="1"/>
    <col min="39" max="39" width="53.5703125" style="515" hidden="1" customWidth="1"/>
    <col min="40" max="40" width="45.140625" style="515" hidden="1" customWidth="1"/>
    <col min="41" max="41" width="20" style="515" hidden="1" customWidth="1"/>
    <col min="42" max="42" width="50.140625" style="515" customWidth="1"/>
    <col min="43" max="46" width="35.85546875" style="515" customWidth="1"/>
    <col min="47" max="47" width="192.5703125" style="517" customWidth="1"/>
    <col min="48" max="48" width="13.140625" style="515" hidden="1" customWidth="1"/>
    <col min="49" max="49" width="13" style="515" hidden="1" customWidth="1"/>
    <col min="50" max="50" width="27.7109375" style="515" hidden="1" customWidth="1"/>
    <col min="51" max="51" width="40.7109375" style="515" hidden="1" customWidth="1"/>
    <col min="52" max="52" width="27.7109375" style="515" hidden="1" customWidth="1"/>
    <col min="53" max="53" width="65" style="515" hidden="1" customWidth="1"/>
    <col min="54" max="54" width="35.7109375" style="515" hidden="1" customWidth="1"/>
    <col min="55" max="55" width="34" style="515" hidden="1" customWidth="1"/>
    <col min="56" max="56" width="36.85546875" style="515" hidden="1" customWidth="1"/>
    <col min="57" max="57" width="31.42578125" style="515" hidden="1" customWidth="1"/>
    <col min="58" max="58" width="49.7109375" style="515" hidden="1" customWidth="1"/>
    <col min="59" max="59" width="65" style="515" hidden="1" customWidth="1"/>
    <col min="60" max="60" width="58.5703125" style="515" hidden="1" customWidth="1"/>
    <col min="61" max="61" width="72.5703125" style="515" hidden="1" customWidth="1"/>
    <col min="62" max="62" width="78.28515625" style="515" hidden="1" customWidth="1"/>
    <col min="63" max="63" width="11.42578125" style="515" hidden="1" customWidth="1"/>
    <col min="64" max="65" width="40.85546875" style="515" customWidth="1"/>
    <col min="66" max="66" width="50.140625" style="515" customWidth="1"/>
    <col min="67" max="67" width="24.42578125" style="515" customWidth="1"/>
    <col min="68" max="69" width="50.140625" style="515" customWidth="1"/>
    <col min="70" max="71" width="50.140625" style="515" hidden="1" customWidth="1"/>
    <col min="72" max="72" width="50.140625" style="515" customWidth="1"/>
    <col min="73" max="74" width="32.28515625" style="515" customWidth="1"/>
    <col min="75" max="75" width="27.140625" style="515" customWidth="1"/>
    <col min="76" max="76" width="32.28515625" style="515" hidden="1" customWidth="1"/>
    <col min="77" max="79" width="32.28515625" style="515" bestFit="1" customWidth="1"/>
    <col min="80" max="80" width="10.85546875" style="515"/>
    <col min="81" max="81" width="17.5703125" style="515" customWidth="1"/>
    <col min="82" max="16384" width="10.85546875" style="515"/>
  </cols>
  <sheetData>
    <row r="1" spans="1:58" ht="409.5" customHeight="1" thickBot="1">
      <c r="A1" s="911" t="s">
        <v>190</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c r="AJ1" s="912"/>
      <c r="AK1" s="912"/>
      <c r="AL1" s="912"/>
      <c r="AM1" s="912"/>
      <c r="AN1" s="912"/>
      <c r="AO1" s="912"/>
      <c r="AP1" s="912"/>
      <c r="AQ1" s="912"/>
      <c r="AR1" s="912"/>
      <c r="AS1" s="912"/>
      <c r="AT1" s="912"/>
      <c r="AU1" s="913"/>
    </row>
    <row r="2" spans="1:58" ht="27" thickBot="1">
      <c r="AV2" s="518"/>
      <c r="AW2" s="518"/>
      <c r="AX2" s="518"/>
      <c r="AY2" s="518"/>
      <c r="AZ2" s="518"/>
      <c r="BA2" s="518"/>
      <c r="BB2" s="518"/>
      <c r="BC2" s="518"/>
      <c r="BD2" s="518"/>
      <c r="BE2" s="518"/>
      <c r="BF2" s="518"/>
    </row>
    <row r="3" spans="1:58" s="519" customFormat="1" ht="27" thickBot="1">
      <c r="A3" s="855" t="s">
        <v>390</v>
      </c>
      <c r="B3" s="943" t="s">
        <v>33</v>
      </c>
      <c r="C3" s="954" t="s">
        <v>444</v>
      </c>
      <c r="D3" s="955"/>
      <c r="E3" s="955"/>
      <c r="F3" s="955"/>
      <c r="G3" s="955"/>
      <c r="H3" s="955"/>
      <c r="I3" s="955"/>
      <c r="J3" s="955"/>
      <c r="K3" s="955"/>
      <c r="L3" s="956"/>
      <c r="M3" s="945" t="s">
        <v>413</v>
      </c>
      <c r="N3" s="843" t="s">
        <v>291</v>
      </c>
      <c r="O3" s="934"/>
      <c r="P3" s="836" t="s">
        <v>412</v>
      </c>
      <c r="Q3" s="834" t="s">
        <v>389</v>
      </c>
      <c r="R3" s="843" t="s">
        <v>388</v>
      </c>
      <c r="S3" s="855" t="s">
        <v>431</v>
      </c>
      <c r="T3" s="845" t="s">
        <v>387</v>
      </c>
      <c r="U3" s="847" t="s">
        <v>493</v>
      </c>
      <c r="V3" s="877" t="s">
        <v>490</v>
      </c>
      <c r="W3" s="845" t="s">
        <v>40</v>
      </c>
      <c r="X3" s="849" t="s">
        <v>391</v>
      </c>
      <c r="Y3" s="850"/>
      <c r="Z3" s="851"/>
      <c r="AA3" s="860"/>
      <c r="AB3" s="861"/>
      <c r="AC3" s="862"/>
      <c r="AD3" s="858" t="s">
        <v>395</v>
      </c>
      <c r="AE3" s="859"/>
      <c r="AF3" s="859"/>
      <c r="AG3" s="859"/>
      <c r="AH3" s="859"/>
      <c r="AI3" s="859"/>
      <c r="AJ3" s="859"/>
      <c r="AK3" s="859"/>
      <c r="AL3" s="859"/>
      <c r="AM3" s="859"/>
      <c r="AN3" s="859"/>
      <c r="AO3" s="859"/>
      <c r="AP3" s="859"/>
      <c r="AQ3" s="859"/>
      <c r="AR3" s="859"/>
      <c r="AS3" s="859"/>
      <c r="AT3" s="859"/>
      <c r="AU3" s="851"/>
      <c r="AV3" s="521"/>
      <c r="AW3" s="521"/>
      <c r="AX3" s="521"/>
      <c r="AY3" s="521"/>
      <c r="AZ3" s="521"/>
      <c r="BA3" s="521"/>
      <c r="BB3" s="521"/>
      <c r="BC3" s="521"/>
      <c r="BD3" s="520"/>
      <c r="BE3" s="520"/>
    </row>
    <row r="4" spans="1:58" s="519" customFormat="1" ht="27" thickBot="1">
      <c r="A4" s="856"/>
      <c r="B4" s="944"/>
      <c r="C4" s="957">
        <v>1</v>
      </c>
      <c r="D4" s="957">
        <v>2</v>
      </c>
      <c r="E4" s="957">
        <v>3</v>
      </c>
      <c r="F4" s="957">
        <v>4</v>
      </c>
      <c r="G4" s="957">
        <v>5</v>
      </c>
      <c r="H4" s="957">
        <v>6</v>
      </c>
      <c r="I4" s="957">
        <v>7</v>
      </c>
      <c r="J4" s="957">
        <v>8</v>
      </c>
      <c r="K4" s="957">
        <v>9</v>
      </c>
      <c r="L4" s="957">
        <v>10</v>
      </c>
      <c r="M4" s="946"/>
      <c r="N4" s="844"/>
      <c r="O4" s="935"/>
      <c r="P4" s="837"/>
      <c r="Q4" s="835"/>
      <c r="R4" s="844"/>
      <c r="S4" s="856"/>
      <c r="T4" s="846"/>
      <c r="U4" s="848"/>
      <c r="V4" s="878"/>
      <c r="W4" s="846"/>
      <c r="X4" s="522" t="s">
        <v>392</v>
      </c>
      <c r="Y4" s="523" t="s">
        <v>393</v>
      </c>
      <c r="Z4" s="524" t="s">
        <v>394</v>
      </c>
      <c r="AA4" s="863"/>
      <c r="AB4" s="864"/>
      <c r="AC4" s="865"/>
      <c r="AD4" s="522" t="s">
        <v>194</v>
      </c>
      <c r="AE4" s="523" t="s">
        <v>193</v>
      </c>
      <c r="AF4" s="523" t="s">
        <v>194</v>
      </c>
      <c r="AG4" s="523" t="s">
        <v>195</v>
      </c>
      <c r="AH4" s="523" t="s">
        <v>317</v>
      </c>
      <c r="AI4" s="523" t="s">
        <v>318</v>
      </c>
      <c r="AJ4" s="523" t="s">
        <v>372</v>
      </c>
      <c r="AK4" s="523" t="s">
        <v>457</v>
      </c>
      <c r="AL4" s="523" t="s">
        <v>434</v>
      </c>
      <c r="AM4" s="523" t="s">
        <v>435</v>
      </c>
      <c r="AN4" s="523" t="s">
        <v>432</v>
      </c>
      <c r="AO4" s="524" t="s">
        <v>433</v>
      </c>
      <c r="AP4" s="774" t="s">
        <v>489</v>
      </c>
      <c r="AQ4" s="779" t="s">
        <v>193</v>
      </c>
      <c r="AR4" s="793" t="s">
        <v>194</v>
      </c>
      <c r="AS4" s="797" t="s">
        <v>195</v>
      </c>
      <c r="AT4" s="799" t="s">
        <v>317</v>
      </c>
      <c r="AU4" s="841" t="s">
        <v>163</v>
      </c>
      <c r="AV4" s="521"/>
      <c r="AW4" s="521"/>
      <c r="AX4" s="521"/>
      <c r="AY4" s="521"/>
      <c r="AZ4" s="521"/>
      <c r="BA4" s="521"/>
      <c r="BB4" s="521"/>
      <c r="BC4" s="521"/>
      <c r="BD4" s="520"/>
      <c r="BE4" s="520"/>
    </row>
    <row r="5" spans="1:58" s="519" customFormat="1" ht="27" hidden="1" thickBot="1">
      <c r="A5" s="857"/>
      <c r="B5" s="944"/>
      <c r="C5" s="958"/>
      <c r="D5" s="958"/>
      <c r="E5" s="958"/>
      <c r="F5" s="958"/>
      <c r="G5" s="958"/>
      <c r="H5" s="958"/>
      <c r="I5" s="958"/>
      <c r="J5" s="958"/>
      <c r="K5" s="958"/>
      <c r="L5" s="958"/>
      <c r="M5" s="946"/>
      <c r="N5" s="844"/>
      <c r="O5" s="935"/>
      <c r="P5" s="837"/>
      <c r="Q5" s="835"/>
      <c r="R5" s="844"/>
      <c r="S5" s="857"/>
      <c r="T5" s="846"/>
      <c r="U5" s="848"/>
      <c r="V5" s="878"/>
      <c r="W5" s="846"/>
      <c r="X5" s="881"/>
      <c r="Y5" s="882"/>
      <c r="Z5" s="883"/>
      <c r="AA5" s="866"/>
      <c r="AB5" s="867"/>
      <c r="AC5" s="868"/>
      <c r="AD5" s="669"/>
      <c r="AE5" s="670"/>
      <c r="AF5" s="670"/>
      <c r="AG5" s="670"/>
      <c r="AH5" s="670"/>
      <c r="AI5" s="670"/>
      <c r="AJ5" s="670"/>
      <c r="AK5" s="670"/>
      <c r="AL5" s="670"/>
      <c r="AM5" s="670"/>
      <c r="AN5" s="670"/>
      <c r="AO5" s="671"/>
      <c r="AP5" s="776"/>
      <c r="AQ5" s="776"/>
      <c r="AR5" s="776"/>
      <c r="AS5" s="776"/>
      <c r="AT5" s="776"/>
      <c r="AU5" s="842"/>
      <c r="AV5" s="521"/>
      <c r="AW5" s="521"/>
      <c r="AX5" s="521"/>
      <c r="AY5" s="521"/>
      <c r="AZ5" s="521"/>
      <c r="BA5" s="521"/>
      <c r="BB5" s="521"/>
      <c r="BC5" s="521"/>
      <c r="BD5" s="520"/>
      <c r="BE5" s="520"/>
    </row>
    <row r="6" spans="1:58" ht="129.75" hidden="1" customHeight="1" thickBot="1">
      <c r="A6" s="884" t="s">
        <v>179</v>
      </c>
      <c r="B6" s="888" t="s">
        <v>73</v>
      </c>
      <c r="C6" s="832">
        <f>+AVERAGE($AV$6:$AV$9,AV13)</f>
        <v>1</v>
      </c>
      <c r="D6" s="832">
        <f>+C6</f>
        <v>1</v>
      </c>
      <c r="E6" s="832">
        <f t="shared" ref="E6:L6" si="0">+D6</f>
        <v>1</v>
      </c>
      <c r="F6" s="832">
        <f t="shared" si="0"/>
        <v>1</v>
      </c>
      <c r="G6" s="832">
        <f t="shared" si="0"/>
        <v>1</v>
      </c>
      <c r="H6" s="832">
        <f t="shared" si="0"/>
        <v>1</v>
      </c>
      <c r="I6" s="832">
        <f t="shared" si="0"/>
        <v>1</v>
      </c>
      <c r="J6" s="832">
        <f t="shared" si="0"/>
        <v>1</v>
      </c>
      <c r="K6" s="832">
        <f t="shared" si="0"/>
        <v>1</v>
      </c>
      <c r="L6" s="832">
        <f t="shared" si="0"/>
        <v>1</v>
      </c>
      <c r="M6" s="903" t="s">
        <v>415</v>
      </c>
      <c r="N6" s="582">
        <v>1</v>
      </c>
      <c r="O6" s="583" t="s">
        <v>116</v>
      </c>
      <c r="P6" s="584" t="s">
        <v>112</v>
      </c>
      <c r="Q6" s="584" t="s">
        <v>411</v>
      </c>
      <c r="R6" s="655" t="s">
        <v>156</v>
      </c>
      <c r="S6" s="662" t="s">
        <v>100</v>
      </c>
      <c r="T6" s="604" t="s">
        <v>108</v>
      </c>
      <c r="U6" s="597" t="s">
        <v>152</v>
      </c>
      <c r="V6" s="626">
        <v>0</v>
      </c>
      <c r="W6" s="551">
        <v>1</v>
      </c>
      <c r="X6" s="627">
        <v>0.94</v>
      </c>
      <c r="Y6" s="686">
        <v>0.96</v>
      </c>
      <c r="Z6" s="687">
        <v>1</v>
      </c>
      <c r="AA6" s="674">
        <v>0.95</v>
      </c>
      <c r="AB6" s="676">
        <v>0.96</v>
      </c>
      <c r="AC6" s="685">
        <v>1</v>
      </c>
      <c r="AD6" s="578"/>
      <c r="AE6" s="579"/>
      <c r="AF6" s="579"/>
      <c r="AG6" s="580"/>
      <c r="AH6" s="580"/>
      <c r="AI6" s="580">
        <v>0</v>
      </c>
      <c r="AJ6" s="580"/>
      <c r="AK6" s="580"/>
      <c r="AL6" s="580"/>
      <c r="AM6" s="580"/>
      <c r="AN6" s="580">
        <v>0</v>
      </c>
      <c r="AO6" s="596">
        <v>0</v>
      </c>
      <c r="AP6" s="596"/>
      <c r="AQ6" s="780"/>
      <c r="AR6" s="780"/>
      <c r="AS6" s="780"/>
      <c r="AT6" s="780"/>
      <c r="AU6" s="628"/>
      <c r="AV6" s="525">
        <f>+IF(IF(AP6="","",IFERROR(AP6/AC6,0))&gt;1,1,IF(AP6="","",IFERROR(AP6/AC6,0)))</f>
        <v>1</v>
      </c>
      <c r="AW6" s="525"/>
      <c r="AX6" s="525"/>
      <c r="AY6" s="525"/>
      <c r="AZ6" s="525"/>
      <c r="BA6" s="525"/>
      <c r="BB6" s="525"/>
      <c r="BC6" s="518"/>
      <c r="BD6" s="518"/>
      <c r="BE6" s="518"/>
    </row>
    <row r="7" spans="1:58" ht="408.75" customHeight="1" thickBot="1">
      <c r="A7" s="940"/>
      <c r="B7" s="925"/>
      <c r="C7" s="840"/>
      <c r="D7" s="840"/>
      <c r="E7" s="840"/>
      <c r="F7" s="840"/>
      <c r="G7" s="840"/>
      <c r="H7" s="840"/>
      <c r="I7" s="840"/>
      <c r="J7" s="840"/>
      <c r="K7" s="840"/>
      <c r="L7" s="840"/>
      <c r="M7" s="947"/>
      <c r="N7" s="566">
        <v>2</v>
      </c>
      <c r="O7" s="589" t="s">
        <v>376</v>
      </c>
      <c r="P7" s="590" t="s">
        <v>113</v>
      </c>
      <c r="Q7" s="590" t="s">
        <v>402</v>
      </c>
      <c r="R7" s="645" t="s">
        <v>377</v>
      </c>
      <c r="S7" s="663" t="s">
        <v>100</v>
      </c>
      <c r="T7" s="567" t="s">
        <v>107</v>
      </c>
      <c r="U7" s="576" t="s">
        <v>152</v>
      </c>
      <c r="V7" s="533">
        <v>1</v>
      </c>
      <c r="W7" s="577">
        <v>1</v>
      </c>
      <c r="X7" s="688">
        <v>0.5</v>
      </c>
      <c r="Y7" s="689">
        <v>0.63</v>
      </c>
      <c r="Z7" s="690">
        <v>1</v>
      </c>
      <c r="AA7" s="675">
        <f>+X7</f>
        <v>0.5</v>
      </c>
      <c r="AB7" s="676">
        <f>+Y7</f>
        <v>0.63</v>
      </c>
      <c r="AC7" s="677">
        <v>1</v>
      </c>
      <c r="AD7" s="578">
        <v>0.73333333333333295</v>
      </c>
      <c r="AE7" s="579"/>
      <c r="AF7" s="579"/>
      <c r="AG7" s="580">
        <v>0.8</v>
      </c>
      <c r="AH7" s="580">
        <v>0.8</v>
      </c>
      <c r="AI7" s="580">
        <v>0.8</v>
      </c>
      <c r="AJ7" s="580">
        <v>0.85</v>
      </c>
      <c r="AK7" s="748">
        <v>0.9</v>
      </c>
      <c r="AL7" s="580">
        <v>0.92</v>
      </c>
      <c r="AM7" s="580">
        <v>0.94</v>
      </c>
      <c r="AN7" s="580">
        <v>0.95</v>
      </c>
      <c r="AO7" s="596">
        <v>1</v>
      </c>
      <c r="AP7" s="596">
        <v>1</v>
      </c>
      <c r="AQ7" s="781">
        <v>1</v>
      </c>
      <c r="AR7" s="781">
        <v>1</v>
      </c>
      <c r="AS7" s="781">
        <v>1</v>
      </c>
      <c r="AT7" s="781">
        <v>1</v>
      </c>
      <c r="AU7" s="581" t="s">
        <v>505</v>
      </c>
      <c r="AV7" s="525">
        <f>+IF(IF(AT7="","",IFERROR(AT7/AC7,0))&gt;1,1,IF(AT7="","",IFERROR(AT7/AC7,0)))</f>
        <v>1</v>
      </c>
      <c r="AW7" s="525"/>
      <c r="AX7" s="525"/>
      <c r="AY7" s="525"/>
      <c r="AZ7" s="525"/>
      <c r="BA7" s="525"/>
      <c r="BB7" s="525"/>
      <c r="BC7" s="518"/>
      <c r="BD7" s="518"/>
      <c r="BE7" s="518"/>
    </row>
    <row r="8" spans="1:58" ht="246.75" hidden="1" customHeight="1" thickBot="1">
      <c r="A8" s="928" t="s">
        <v>180</v>
      </c>
      <c r="B8" s="924"/>
      <c r="C8" s="840"/>
      <c r="D8" s="840"/>
      <c r="E8" s="840"/>
      <c r="F8" s="840"/>
      <c r="G8" s="840"/>
      <c r="H8" s="840"/>
      <c r="I8" s="840"/>
      <c r="J8" s="840"/>
      <c r="K8" s="840"/>
      <c r="L8" s="840"/>
      <c r="M8" s="902" t="s">
        <v>414</v>
      </c>
      <c r="N8" s="600">
        <v>3</v>
      </c>
      <c r="O8" s="583" t="s">
        <v>149</v>
      </c>
      <c r="P8" s="584" t="s">
        <v>112</v>
      </c>
      <c r="Q8" s="584" t="s">
        <v>150</v>
      </c>
      <c r="R8" s="655" t="s">
        <v>118</v>
      </c>
      <c r="S8" s="662" t="s">
        <v>100</v>
      </c>
      <c r="T8" s="605" t="s">
        <v>144</v>
      </c>
      <c r="U8" s="585" t="s">
        <v>152</v>
      </c>
      <c r="V8" s="586">
        <v>0.99</v>
      </c>
      <c r="W8" s="587">
        <v>1</v>
      </c>
      <c r="X8" s="592" t="s">
        <v>373</v>
      </c>
      <c r="Y8" s="689">
        <v>0.95</v>
      </c>
      <c r="Z8" s="593" t="s">
        <v>486</v>
      </c>
      <c r="AA8" s="674">
        <v>0</v>
      </c>
      <c r="AB8" s="676">
        <v>0.85</v>
      </c>
      <c r="AC8" s="677">
        <v>0.91</v>
      </c>
      <c r="AD8" s="598"/>
      <c r="AE8" s="580"/>
      <c r="AF8" s="580"/>
      <c r="AG8" s="580"/>
      <c r="AH8" s="580"/>
      <c r="AI8" s="580"/>
      <c r="AJ8" s="580"/>
      <c r="AK8" s="580"/>
      <c r="AL8" s="580"/>
      <c r="AM8" s="580"/>
      <c r="AN8" s="580"/>
      <c r="AO8" s="773">
        <f>+(0.993197278911565)</f>
        <v>0.99319727891156495</v>
      </c>
      <c r="AP8" s="773"/>
      <c r="AQ8" s="782"/>
      <c r="AR8" s="782"/>
      <c r="AS8" s="782"/>
      <c r="AT8" s="782"/>
      <c r="AU8" s="588"/>
      <c r="AV8" s="525">
        <f t="shared" ref="AV8:AV13" si="1">+IF(IF(AP8="","",IFERROR(AP8/AC8,0))&gt;1,1,IF(AP8="","",IFERROR(AP8/AC8,0)))</f>
        <v>1</v>
      </c>
      <c r="AW8" s="525"/>
      <c r="AX8" s="525"/>
      <c r="AY8" s="525"/>
      <c r="AZ8" s="525"/>
      <c r="BA8" s="525"/>
      <c r="BB8" s="525"/>
      <c r="BC8" s="518"/>
      <c r="BD8" s="518"/>
      <c r="BE8" s="518"/>
    </row>
    <row r="9" spans="1:58" ht="141.75" hidden="1" customHeight="1" thickBot="1">
      <c r="A9" s="929"/>
      <c r="B9" s="926"/>
      <c r="C9" s="833"/>
      <c r="D9" s="833"/>
      <c r="E9" s="833"/>
      <c r="F9" s="833"/>
      <c r="G9" s="833"/>
      <c r="H9" s="833"/>
      <c r="I9" s="833"/>
      <c r="J9" s="833"/>
      <c r="K9" s="833"/>
      <c r="L9" s="833"/>
      <c r="M9" s="885"/>
      <c r="N9" s="615">
        <v>4</v>
      </c>
      <c r="O9" s="589" t="s">
        <v>117</v>
      </c>
      <c r="P9" s="590" t="s">
        <v>112</v>
      </c>
      <c r="Q9" s="590" t="s">
        <v>171</v>
      </c>
      <c r="R9" s="645" t="s">
        <v>492</v>
      </c>
      <c r="S9" s="663" t="s">
        <v>100</v>
      </c>
      <c r="T9" s="567" t="s">
        <v>108</v>
      </c>
      <c r="U9" s="576">
        <v>0.88200000000000001</v>
      </c>
      <c r="V9" s="533">
        <v>0.95</v>
      </c>
      <c r="W9" s="591" t="s">
        <v>491</v>
      </c>
      <c r="X9" s="592" t="s">
        <v>373</v>
      </c>
      <c r="Y9" s="689">
        <v>0.7</v>
      </c>
      <c r="Z9" s="593" t="s">
        <v>436</v>
      </c>
      <c r="AA9" s="674">
        <v>0</v>
      </c>
      <c r="AB9" s="676">
        <v>0.7</v>
      </c>
      <c r="AC9" s="677">
        <v>0.9</v>
      </c>
      <c r="AD9" s="691"/>
      <c r="AE9" s="595"/>
      <c r="AF9" s="595"/>
      <c r="AG9" s="580"/>
      <c r="AH9" s="580"/>
      <c r="AI9" s="580">
        <v>0.95</v>
      </c>
      <c r="AJ9" s="580"/>
      <c r="AK9" s="580"/>
      <c r="AL9" s="580"/>
      <c r="AM9" s="580"/>
      <c r="AN9" s="580"/>
      <c r="AO9" s="596">
        <v>0.95</v>
      </c>
      <c r="AP9" s="596"/>
      <c r="AQ9" s="781"/>
      <c r="AR9" s="781"/>
      <c r="AS9" s="781"/>
      <c r="AT9" s="781"/>
      <c r="AU9" s="725"/>
      <c r="AV9" s="525">
        <f t="shared" si="1"/>
        <v>1</v>
      </c>
      <c r="AW9" s="525"/>
      <c r="AX9" s="525"/>
      <c r="AY9" s="525"/>
      <c r="AZ9" s="525"/>
      <c r="BA9" s="525"/>
      <c r="BB9" s="525"/>
      <c r="BC9" s="518"/>
      <c r="BD9" s="518"/>
      <c r="BE9" s="518"/>
    </row>
    <row r="10" spans="1:58" ht="153" hidden="1" customHeight="1" thickBot="1">
      <c r="A10" s="929"/>
      <c r="B10" s="925" t="s">
        <v>74</v>
      </c>
      <c r="C10" s="732"/>
      <c r="D10" s="732"/>
      <c r="E10" s="732"/>
      <c r="F10" s="732"/>
      <c r="G10" s="732"/>
      <c r="H10" s="732"/>
      <c r="I10" s="732"/>
      <c r="J10" s="732"/>
      <c r="K10" s="732"/>
      <c r="L10" s="732"/>
      <c r="M10" s="603" t="s">
        <v>416</v>
      </c>
      <c r="N10" s="615">
        <v>5</v>
      </c>
      <c r="O10" s="634" t="s">
        <v>174</v>
      </c>
      <c r="P10" s="635" t="s">
        <v>112</v>
      </c>
      <c r="Q10" s="636" t="s">
        <v>438</v>
      </c>
      <c r="R10" s="656" t="s">
        <v>191</v>
      </c>
      <c r="S10" s="663" t="s">
        <v>115</v>
      </c>
      <c r="T10" s="637" t="s">
        <v>144</v>
      </c>
      <c r="U10" s="692">
        <v>7.22</v>
      </c>
      <c r="V10" s="693">
        <v>7.2</v>
      </c>
      <c r="W10" s="694">
        <v>7</v>
      </c>
      <c r="X10" s="592">
        <v>7.71</v>
      </c>
      <c r="Y10" s="638">
        <v>7.29</v>
      </c>
      <c r="Z10" s="593">
        <v>7</v>
      </c>
      <c r="AA10" s="698">
        <f>+X10</f>
        <v>7.71</v>
      </c>
      <c r="AB10" s="699">
        <f>+Y10</f>
        <v>7.29</v>
      </c>
      <c r="AC10" s="700">
        <f>+Z10</f>
        <v>7</v>
      </c>
      <c r="AD10" s="695"/>
      <c r="AE10" s="696"/>
      <c r="AF10" s="696"/>
      <c r="AG10" s="696"/>
      <c r="AH10" s="696"/>
      <c r="AI10" s="696"/>
      <c r="AJ10" s="696"/>
      <c r="AK10" s="696"/>
      <c r="AL10" s="696"/>
      <c r="AM10" s="696"/>
      <c r="AN10" s="696"/>
      <c r="AO10" s="697">
        <v>7.2</v>
      </c>
      <c r="AP10" s="697"/>
      <c r="AQ10" s="783"/>
      <c r="AR10" s="783"/>
      <c r="AS10" s="783"/>
      <c r="AT10" s="783"/>
      <c r="AU10" s="581"/>
      <c r="AV10" s="525">
        <f t="shared" si="1"/>
        <v>1</v>
      </c>
      <c r="AW10" s="525"/>
      <c r="AX10" s="525"/>
      <c r="AY10" s="525"/>
      <c r="AZ10" s="525"/>
      <c r="BA10" s="525"/>
      <c r="BB10" s="525"/>
      <c r="BC10" s="518"/>
      <c r="BD10" s="518"/>
      <c r="BE10" s="518"/>
    </row>
    <row r="11" spans="1:58" ht="79.5" hidden="1" thickBot="1">
      <c r="A11" s="930"/>
      <c r="B11" s="926"/>
      <c r="C11" s="733"/>
      <c r="D11" s="733"/>
      <c r="E11" s="733"/>
      <c r="F11" s="733"/>
      <c r="G11" s="733"/>
      <c r="H11" s="733"/>
      <c r="I11" s="733"/>
      <c r="J11" s="733"/>
      <c r="K11" s="733"/>
      <c r="L11" s="733"/>
      <c r="M11" s="629" t="s">
        <v>417</v>
      </c>
      <c r="N11" s="602">
        <v>6</v>
      </c>
      <c r="O11" s="559" t="s">
        <v>125</v>
      </c>
      <c r="P11" s="560" t="s">
        <v>112</v>
      </c>
      <c r="Q11" s="560" t="s">
        <v>153</v>
      </c>
      <c r="R11" s="657" t="s">
        <v>154</v>
      </c>
      <c r="S11" s="664" t="s">
        <v>100</v>
      </c>
      <c r="T11" s="606" t="s">
        <v>144</v>
      </c>
      <c r="U11" s="561">
        <v>0.91</v>
      </c>
      <c r="V11" s="607">
        <v>0.86980000000000002</v>
      </c>
      <c r="W11" s="630" t="s">
        <v>370</v>
      </c>
      <c r="X11" s="703">
        <v>0.78</v>
      </c>
      <c r="Y11" s="631" t="s">
        <v>439</v>
      </c>
      <c r="Z11" s="632" t="s">
        <v>437</v>
      </c>
      <c r="AA11" s="674">
        <v>0</v>
      </c>
      <c r="AB11" s="676">
        <v>0.78</v>
      </c>
      <c r="AC11" s="677">
        <v>0.91</v>
      </c>
      <c r="AD11" s="701"/>
      <c r="AE11" s="702"/>
      <c r="AF11" s="702"/>
      <c r="AG11" s="702"/>
      <c r="AH11" s="702"/>
      <c r="AI11" s="702"/>
      <c r="AJ11" s="702"/>
      <c r="AK11" s="702"/>
      <c r="AL11" s="702"/>
      <c r="AM11" s="702"/>
      <c r="AN11" s="702"/>
      <c r="AO11" s="596">
        <f>+(0.869755244755245%)*100</f>
        <v>0.86975524475524502</v>
      </c>
      <c r="AP11" s="596"/>
      <c r="AQ11" s="784"/>
      <c r="AR11" s="784"/>
      <c r="AS11" s="784"/>
      <c r="AT11" s="784"/>
      <c r="AU11" s="633"/>
      <c r="AV11" s="525">
        <f t="shared" si="1"/>
        <v>1</v>
      </c>
      <c r="AW11" s="525" t="s">
        <v>487</v>
      </c>
      <c r="AX11" s="525"/>
      <c r="AY11" s="525"/>
      <c r="AZ11" s="525"/>
      <c r="BA11" s="525"/>
      <c r="BB11" s="525"/>
      <c r="BC11" s="518"/>
      <c r="BD11" s="518"/>
      <c r="BE11" s="518"/>
    </row>
    <row r="12" spans="1:58" s="542" customFormat="1" ht="319.5" hidden="1" customHeight="1" thickBot="1">
      <c r="A12" s="526" t="s">
        <v>189</v>
      </c>
      <c r="B12" s="527" t="s">
        <v>418</v>
      </c>
      <c r="C12" s="734">
        <f>+AVERAGE($AV$12,AV24)</f>
        <v>0.91355719087833931</v>
      </c>
      <c r="D12" s="734"/>
      <c r="E12" s="734">
        <f>+C12</f>
        <v>0.91355719087833931</v>
      </c>
      <c r="F12" s="734">
        <f>+E12</f>
        <v>0.91355719087833931</v>
      </c>
      <c r="G12" s="734"/>
      <c r="H12" s="734">
        <f>+F12</f>
        <v>0.91355719087833931</v>
      </c>
      <c r="I12" s="734"/>
      <c r="J12" s="734">
        <f>+H12</f>
        <v>0.91355719087833931</v>
      </c>
      <c r="K12" s="734"/>
      <c r="L12" s="734"/>
      <c r="M12" s="616" t="s">
        <v>419</v>
      </c>
      <c r="N12" s="528">
        <v>7</v>
      </c>
      <c r="O12" s="529" t="s">
        <v>357</v>
      </c>
      <c r="P12" s="530" t="s">
        <v>113</v>
      </c>
      <c r="Q12" s="530" t="s">
        <v>354</v>
      </c>
      <c r="R12" s="658" t="s">
        <v>293</v>
      </c>
      <c r="S12" s="664" t="s">
        <v>100</v>
      </c>
      <c r="T12" s="531" t="s">
        <v>148</v>
      </c>
      <c r="U12" s="532">
        <v>0.9</v>
      </c>
      <c r="V12" s="533">
        <v>0.9</v>
      </c>
      <c r="W12" s="534">
        <v>0.95</v>
      </c>
      <c r="X12" s="535" t="s">
        <v>361</v>
      </c>
      <c r="Y12" s="536" t="s">
        <v>398</v>
      </c>
      <c r="Z12" s="537" t="s">
        <v>494</v>
      </c>
      <c r="AA12" s="674">
        <v>0</v>
      </c>
      <c r="AB12" s="676">
        <v>0.5</v>
      </c>
      <c r="AC12" s="677">
        <v>0.7</v>
      </c>
      <c r="AD12" s="538">
        <v>0.7</v>
      </c>
      <c r="AE12" s="539"/>
      <c r="AF12" s="539"/>
      <c r="AG12" s="540"/>
      <c r="AH12" s="540"/>
      <c r="AI12" s="540">
        <v>0.46</v>
      </c>
      <c r="AJ12" s="540"/>
      <c r="AK12" s="540"/>
      <c r="AL12" s="540">
        <v>0.7</v>
      </c>
      <c r="AM12" s="540"/>
      <c r="AN12" s="540"/>
      <c r="AO12" s="541">
        <v>0.9</v>
      </c>
      <c r="AP12" s="541"/>
      <c r="AQ12" s="785"/>
      <c r="AR12" s="785">
        <v>0.9</v>
      </c>
      <c r="AS12" s="785"/>
      <c r="AT12" s="785"/>
      <c r="AU12" s="798" t="s">
        <v>504</v>
      </c>
      <c r="AV12" s="525">
        <f>+IF(IF(AR12="","",IFERROR(AR12/AC12,0))&gt;1,1,IF(AR12="","",IFERROR(AR12/AC12,0)))</f>
        <v>1</v>
      </c>
      <c r="AW12" s="525"/>
      <c r="AX12" s="544"/>
      <c r="AY12" s="544"/>
      <c r="AZ12" s="544"/>
      <c r="BA12" s="544"/>
      <c r="BB12" s="544"/>
      <c r="BC12" s="543"/>
      <c r="BD12" s="543"/>
      <c r="BE12" s="543"/>
    </row>
    <row r="13" spans="1:58" ht="243.75" hidden="1" customHeight="1" thickBot="1">
      <c r="A13" s="545" t="s">
        <v>177</v>
      </c>
      <c r="B13" s="618" t="s">
        <v>73</v>
      </c>
      <c r="C13" s="735"/>
      <c r="D13" s="735"/>
      <c r="E13" s="735"/>
      <c r="F13" s="735"/>
      <c r="G13" s="735"/>
      <c r="H13" s="735"/>
      <c r="I13" s="735"/>
      <c r="J13" s="735"/>
      <c r="K13" s="735"/>
      <c r="L13" s="735"/>
      <c r="M13" s="603" t="s">
        <v>414</v>
      </c>
      <c r="N13" s="619">
        <v>8</v>
      </c>
      <c r="O13" s="546" t="s">
        <v>122</v>
      </c>
      <c r="P13" s="547" t="s">
        <v>121</v>
      </c>
      <c r="Q13" s="547" t="s">
        <v>123</v>
      </c>
      <c r="R13" s="659" t="s">
        <v>124</v>
      </c>
      <c r="S13" s="665" t="s">
        <v>100</v>
      </c>
      <c r="T13" s="548" t="s">
        <v>108</v>
      </c>
      <c r="U13" s="549">
        <v>90</v>
      </c>
      <c r="V13" s="550">
        <v>0.9</v>
      </c>
      <c r="W13" s="551">
        <v>1</v>
      </c>
      <c r="X13" s="552" t="s">
        <v>379</v>
      </c>
      <c r="Y13" s="536" t="s">
        <v>381</v>
      </c>
      <c r="Z13" s="553" t="s">
        <v>380</v>
      </c>
      <c r="AA13" s="674">
        <v>0.5</v>
      </c>
      <c r="AB13" s="676">
        <v>0.72</v>
      </c>
      <c r="AC13" s="677">
        <v>1</v>
      </c>
      <c r="AD13" s="578"/>
      <c r="AE13" s="579"/>
      <c r="AF13" s="579"/>
      <c r="AG13" s="580"/>
      <c r="AH13" s="580"/>
      <c r="AI13" s="580">
        <v>0.8</v>
      </c>
      <c r="AJ13" s="580"/>
      <c r="AK13" s="580"/>
      <c r="AL13" s="580"/>
      <c r="AM13" s="580"/>
      <c r="AN13" s="580"/>
      <c r="AO13" s="596">
        <v>0.9</v>
      </c>
      <c r="AP13" s="596"/>
      <c r="AQ13" s="780"/>
      <c r="AR13" s="780"/>
      <c r="AS13" s="780"/>
      <c r="AT13" s="780"/>
      <c r="AU13" s="726"/>
      <c r="AV13" s="525">
        <f t="shared" si="1"/>
        <v>1</v>
      </c>
      <c r="AW13" s="525"/>
      <c r="AX13" s="525"/>
      <c r="AY13" s="525"/>
      <c r="AZ13" s="525"/>
      <c r="BA13" s="525"/>
      <c r="BB13" s="525"/>
      <c r="BC13" s="518"/>
      <c r="BD13" s="518"/>
      <c r="BE13" s="518"/>
    </row>
    <row r="14" spans="1:58" ht="158.25" hidden="1" thickBot="1">
      <c r="A14" s="554" t="s">
        <v>181</v>
      </c>
      <c r="B14" s="888" t="s">
        <v>48</v>
      </c>
      <c r="C14" s="736"/>
      <c r="D14" s="736"/>
      <c r="E14" s="736"/>
      <c r="F14" s="736"/>
      <c r="G14" s="736"/>
      <c r="H14" s="736"/>
      <c r="I14" s="736"/>
      <c r="J14" s="736"/>
      <c r="K14" s="736"/>
      <c r="L14" s="736"/>
      <c r="M14" s="948" t="s">
        <v>421</v>
      </c>
      <c r="N14" s="820">
        <v>9</v>
      </c>
      <c r="O14" s="838" t="s">
        <v>126</v>
      </c>
      <c r="P14" s="931" t="s">
        <v>121</v>
      </c>
      <c r="Q14" s="922" t="s">
        <v>169</v>
      </c>
      <c r="R14" s="920" t="s">
        <v>129</v>
      </c>
      <c r="S14" s="871" t="s">
        <v>100</v>
      </c>
      <c r="T14" s="918" t="s">
        <v>144</v>
      </c>
      <c r="U14" s="916">
        <v>100</v>
      </c>
      <c r="V14" s="879">
        <v>1</v>
      </c>
      <c r="W14" s="914">
        <v>0.9</v>
      </c>
      <c r="X14" s="936" t="s">
        <v>371</v>
      </c>
      <c r="Y14" s="869" t="s">
        <v>382</v>
      </c>
      <c r="Z14" s="814" t="s">
        <v>495</v>
      </c>
      <c r="AA14" s="817">
        <v>0</v>
      </c>
      <c r="AB14" s="818">
        <v>0.6</v>
      </c>
      <c r="AC14" s="819">
        <v>0.8</v>
      </c>
      <c r="AD14" s="939"/>
      <c r="AE14" s="854"/>
      <c r="AF14" s="854"/>
      <c r="AG14" s="854"/>
      <c r="AH14" s="854"/>
      <c r="AI14" s="873"/>
      <c r="AJ14" s="873"/>
      <c r="AK14" s="873"/>
      <c r="AL14" s="873"/>
      <c r="AM14" s="873"/>
      <c r="AN14" s="873"/>
      <c r="AO14" s="875">
        <f>1*100%</f>
        <v>1</v>
      </c>
      <c r="AP14" s="875"/>
      <c r="AQ14" s="786"/>
      <c r="AR14" s="786"/>
      <c r="AS14" s="786"/>
      <c r="AT14" s="786"/>
      <c r="AU14" s="852"/>
      <c r="AV14" s="525" t="str">
        <f>+IF(AD14="","",IFERROR(AD14/AC14,0))</f>
        <v/>
      </c>
      <c r="AW14" s="525"/>
      <c r="AX14" s="525"/>
      <c r="AY14" s="525"/>
      <c r="AZ14" s="525"/>
      <c r="BA14" s="525"/>
      <c r="BB14" s="525"/>
      <c r="BC14" s="518"/>
      <c r="BD14" s="518"/>
      <c r="BE14" s="518"/>
    </row>
    <row r="15" spans="1:58" ht="167.25" hidden="1" customHeight="1" thickBot="1">
      <c r="A15" s="555" t="s">
        <v>182</v>
      </c>
      <c r="B15" s="924"/>
      <c r="C15" s="732"/>
      <c r="D15" s="732"/>
      <c r="E15" s="732"/>
      <c r="F15" s="732"/>
      <c r="G15" s="732"/>
      <c r="H15" s="732"/>
      <c r="I15" s="732"/>
      <c r="J15" s="732"/>
      <c r="K15" s="732"/>
      <c r="L15" s="732"/>
      <c r="M15" s="949"/>
      <c r="N15" s="821"/>
      <c r="O15" s="927"/>
      <c r="P15" s="932"/>
      <c r="Q15" s="923"/>
      <c r="R15" s="921"/>
      <c r="S15" s="872"/>
      <c r="T15" s="919"/>
      <c r="U15" s="917"/>
      <c r="V15" s="880"/>
      <c r="W15" s="915"/>
      <c r="X15" s="937"/>
      <c r="Y15" s="870"/>
      <c r="Z15" s="815"/>
      <c r="AA15" s="817"/>
      <c r="AB15" s="818"/>
      <c r="AC15" s="819"/>
      <c r="AD15" s="939"/>
      <c r="AE15" s="854"/>
      <c r="AF15" s="854"/>
      <c r="AG15" s="854"/>
      <c r="AH15" s="854"/>
      <c r="AI15" s="874"/>
      <c r="AJ15" s="874"/>
      <c r="AK15" s="874"/>
      <c r="AL15" s="874"/>
      <c r="AM15" s="874"/>
      <c r="AN15" s="874"/>
      <c r="AO15" s="876"/>
      <c r="AP15" s="876"/>
      <c r="AQ15" s="787"/>
      <c r="AR15" s="787"/>
      <c r="AS15" s="787"/>
      <c r="AT15" s="787"/>
      <c r="AU15" s="853"/>
      <c r="AV15" s="525" t="str">
        <f>+IF(AD15="","",IFERROR(AD15/AC15,0))</f>
        <v/>
      </c>
      <c r="AW15" s="525"/>
      <c r="AX15" s="525"/>
      <c r="AY15" s="525"/>
      <c r="AZ15" s="525"/>
      <c r="BA15" s="525"/>
      <c r="BB15" s="525"/>
      <c r="BC15" s="518"/>
      <c r="BD15" s="518"/>
      <c r="BE15" s="518"/>
    </row>
    <row r="16" spans="1:58" ht="79.5" hidden="1" thickBot="1">
      <c r="A16" s="556" t="s">
        <v>183</v>
      </c>
      <c r="B16" s="924"/>
      <c r="C16" s="732"/>
      <c r="D16" s="732"/>
      <c r="E16" s="732"/>
      <c r="F16" s="732"/>
      <c r="G16" s="732"/>
      <c r="H16" s="732"/>
      <c r="I16" s="732"/>
      <c r="J16" s="732"/>
      <c r="K16" s="732"/>
      <c r="L16" s="732"/>
      <c r="M16" s="903" t="s">
        <v>422</v>
      </c>
      <c r="N16" s="941">
        <v>10</v>
      </c>
      <c r="O16" s="838" t="s">
        <v>127</v>
      </c>
      <c r="P16" s="931" t="s">
        <v>121</v>
      </c>
      <c r="Q16" s="922" t="s">
        <v>488</v>
      </c>
      <c r="R16" s="920" t="s">
        <v>164</v>
      </c>
      <c r="S16" s="871" t="s">
        <v>100</v>
      </c>
      <c r="T16" s="918" t="s">
        <v>144</v>
      </c>
      <c r="U16" s="916" t="s">
        <v>152</v>
      </c>
      <c r="V16" s="985">
        <v>1</v>
      </c>
      <c r="W16" s="914">
        <v>1</v>
      </c>
      <c r="X16" s="936" t="s">
        <v>371</v>
      </c>
      <c r="Y16" s="869" t="s">
        <v>382</v>
      </c>
      <c r="Z16" s="814" t="s">
        <v>496</v>
      </c>
      <c r="AA16" s="817">
        <v>0</v>
      </c>
      <c r="AB16" s="818">
        <v>0.6</v>
      </c>
      <c r="AC16" s="819">
        <v>0.8</v>
      </c>
      <c r="AD16" s="816"/>
      <c r="AE16" s="854"/>
      <c r="AF16" s="854"/>
      <c r="AG16" s="854"/>
      <c r="AH16" s="854"/>
      <c r="AI16" s="854"/>
      <c r="AJ16" s="854"/>
      <c r="AK16" s="873"/>
      <c r="AL16" s="873"/>
      <c r="AM16" s="873"/>
      <c r="AN16" s="873"/>
      <c r="AO16" s="875">
        <f>1*100%</f>
        <v>1</v>
      </c>
      <c r="AP16" s="875"/>
      <c r="AQ16" s="786"/>
      <c r="AR16" s="786"/>
      <c r="AS16" s="786"/>
      <c r="AT16" s="786"/>
      <c r="AU16" s="992"/>
      <c r="AV16" s="525" t="str">
        <f>+IF(AD16="","",IFERROR(AD16/AC16,0))</f>
        <v/>
      </c>
      <c r="AW16" s="525"/>
      <c r="AX16" s="525"/>
      <c r="AY16" s="525"/>
      <c r="AZ16" s="525"/>
      <c r="BA16" s="525"/>
      <c r="BB16" s="525"/>
      <c r="BC16" s="518"/>
      <c r="BD16" s="518"/>
      <c r="BE16" s="518"/>
    </row>
    <row r="17" spans="1:79" ht="165.75" hidden="1" customHeight="1" thickBot="1">
      <c r="A17" s="557" t="s">
        <v>184</v>
      </c>
      <c r="B17" s="924"/>
      <c r="C17" s="732"/>
      <c r="D17" s="732"/>
      <c r="E17" s="732"/>
      <c r="F17" s="732"/>
      <c r="G17" s="732"/>
      <c r="H17" s="732"/>
      <c r="I17" s="732"/>
      <c r="J17" s="732"/>
      <c r="K17" s="732"/>
      <c r="L17" s="732"/>
      <c r="M17" s="885"/>
      <c r="N17" s="942"/>
      <c r="O17" s="839"/>
      <c r="P17" s="933"/>
      <c r="Q17" s="938"/>
      <c r="R17" s="984"/>
      <c r="S17" s="872"/>
      <c r="T17" s="983"/>
      <c r="U17" s="989"/>
      <c r="V17" s="986"/>
      <c r="W17" s="987"/>
      <c r="X17" s="990"/>
      <c r="Y17" s="991"/>
      <c r="Z17" s="988"/>
      <c r="AA17" s="817"/>
      <c r="AB17" s="818"/>
      <c r="AC17" s="819"/>
      <c r="AD17" s="816"/>
      <c r="AE17" s="854"/>
      <c r="AF17" s="854"/>
      <c r="AG17" s="854"/>
      <c r="AH17" s="854"/>
      <c r="AI17" s="854"/>
      <c r="AJ17" s="854"/>
      <c r="AK17" s="874"/>
      <c r="AL17" s="874"/>
      <c r="AM17" s="874"/>
      <c r="AN17" s="874"/>
      <c r="AO17" s="876"/>
      <c r="AP17" s="876"/>
      <c r="AQ17" s="782"/>
      <c r="AR17" s="782"/>
      <c r="AS17" s="782"/>
      <c r="AT17" s="782"/>
      <c r="AU17" s="993"/>
      <c r="AV17" s="525" t="str">
        <f>+IF(AD17="","",IFERROR(AD17/AC17,0))</f>
        <v/>
      </c>
      <c r="AW17" s="525"/>
      <c r="AX17" s="525"/>
      <c r="AY17" s="525"/>
      <c r="AZ17" s="525"/>
      <c r="BA17" s="525"/>
      <c r="BB17" s="525"/>
      <c r="BC17" s="518"/>
      <c r="BD17" s="518"/>
      <c r="BE17" s="518"/>
    </row>
    <row r="18" spans="1:79" ht="175.5" hidden="1" customHeight="1" thickBot="1">
      <c r="A18" s="812" t="s">
        <v>176</v>
      </c>
      <c r="B18" s="950" t="s">
        <v>75</v>
      </c>
      <c r="C18" s="830"/>
      <c r="D18" s="830"/>
      <c r="E18" s="830"/>
      <c r="F18" s="830">
        <f>+AVERAGE($AV$18:$AV$19)</f>
        <v>1</v>
      </c>
      <c r="G18" s="830"/>
      <c r="H18" s="830"/>
      <c r="I18" s="830">
        <f>+F18</f>
        <v>1</v>
      </c>
      <c r="J18" s="830"/>
      <c r="K18" s="830"/>
      <c r="L18" s="830"/>
      <c r="M18" s="953" t="s">
        <v>423</v>
      </c>
      <c r="N18" s="644">
        <v>11</v>
      </c>
      <c r="O18" s="589" t="s">
        <v>406</v>
      </c>
      <c r="P18" s="590" t="s">
        <v>113</v>
      </c>
      <c r="Q18" s="645" t="s">
        <v>484</v>
      </c>
      <c r="R18" s="645" t="s">
        <v>407</v>
      </c>
      <c r="S18" s="663" t="s">
        <v>100</v>
      </c>
      <c r="T18" s="646" t="s">
        <v>108</v>
      </c>
      <c r="U18" s="576" t="s">
        <v>152</v>
      </c>
      <c r="V18" s="533">
        <v>1.0800000000000001E-2</v>
      </c>
      <c r="W18" s="647">
        <v>0.05</v>
      </c>
      <c r="X18" s="535" t="s">
        <v>408</v>
      </c>
      <c r="Y18" s="571" t="s">
        <v>409</v>
      </c>
      <c r="Z18" s="537" t="s">
        <v>410</v>
      </c>
      <c r="AA18" s="674">
        <v>0</v>
      </c>
      <c r="AB18" s="676">
        <v>0.01</v>
      </c>
      <c r="AC18" s="677">
        <v>0.05</v>
      </c>
      <c r="AD18" s="594"/>
      <c r="AE18" s="595"/>
      <c r="AF18" s="595"/>
      <c r="AG18" s="580"/>
      <c r="AH18" s="580"/>
      <c r="AI18" s="580"/>
      <c r="AJ18" s="580"/>
      <c r="AK18" s="580"/>
      <c r="AL18" s="580"/>
      <c r="AM18" s="580"/>
      <c r="AN18" s="580"/>
      <c r="AO18" s="596">
        <v>1.0783418553688823E-2</v>
      </c>
      <c r="AP18" s="596"/>
      <c r="AQ18" s="781"/>
      <c r="AR18" s="781"/>
      <c r="AS18" s="781"/>
      <c r="AT18" s="781"/>
      <c r="AU18" s="728"/>
      <c r="AV18" s="525">
        <f t="shared" ref="AV18:AV23" si="2">+IF(IF(AP18="","",IFERROR(AP18/AC18,0))&gt;1,1,IF(AP18="","",IFERROR(AP18/AC18,0)))</f>
        <v>1</v>
      </c>
      <c r="AW18" s="525"/>
      <c r="AX18" s="525"/>
      <c r="AY18" s="525"/>
      <c r="AZ18" s="525"/>
      <c r="BA18" s="525"/>
      <c r="BB18" s="525"/>
      <c r="BC18" s="518"/>
      <c r="BD18" s="518"/>
      <c r="BE18" s="518"/>
    </row>
    <row r="19" spans="1:79" ht="79.5" hidden="1" thickBot="1">
      <c r="A19" s="813"/>
      <c r="B19" s="813"/>
      <c r="C19" s="831"/>
      <c r="D19" s="831"/>
      <c r="E19" s="831"/>
      <c r="F19" s="831"/>
      <c r="G19" s="831"/>
      <c r="H19" s="831"/>
      <c r="I19" s="831"/>
      <c r="J19" s="831"/>
      <c r="K19" s="831"/>
      <c r="L19" s="831"/>
      <c r="M19" s="813"/>
      <c r="N19" s="639">
        <v>12</v>
      </c>
      <c r="O19" s="640" t="s">
        <v>167</v>
      </c>
      <c r="P19" s="641" t="s">
        <v>121</v>
      </c>
      <c r="Q19" s="642" t="s">
        <v>168</v>
      </c>
      <c r="R19" s="642" t="s">
        <v>130</v>
      </c>
      <c r="S19" s="666" t="s">
        <v>100</v>
      </c>
      <c r="T19" s="646" t="s">
        <v>108</v>
      </c>
      <c r="U19" s="561">
        <v>0.97599999999999998</v>
      </c>
      <c r="V19" s="643">
        <v>0.99250000000000005</v>
      </c>
      <c r="W19" s="562">
        <v>0.97</v>
      </c>
      <c r="X19" s="613" t="s">
        <v>359</v>
      </c>
      <c r="Y19" s="611" t="s">
        <v>383</v>
      </c>
      <c r="Z19" s="609" t="s">
        <v>497</v>
      </c>
      <c r="AA19" s="674">
        <v>0</v>
      </c>
      <c r="AB19" s="676">
        <v>0.9</v>
      </c>
      <c r="AC19" s="677">
        <v>0.95</v>
      </c>
      <c r="AD19" s="594"/>
      <c r="AE19" s="595"/>
      <c r="AF19" s="595"/>
      <c r="AG19" s="580"/>
      <c r="AH19" s="580"/>
      <c r="AI19" s="729">
        <v>0.95</v>
      </c>
      <c r="AJ19" s="580"/>
      <c r="AK19" s="580"/>
      <c r="AL19" s="580"/>
      <c r="AM19" s="580"/>
      <c r="AN19" s="580"/>
      <c r="AO19" s="772">
        <v>0.95</v>
      </c>
      <c r="AP19" s="596"/>
      <c r="AQ19" s="784"/>
      <c r="AR19" s="784"/>
      <c r="AS19" s="784"/>
      <c r="AT19" s="784"/>
      <c r="AU19" s="724"/>
      <c r="AV19" s="525">
        <f t="shared" si="2"/>
        <v>1</v>
      </c>
      <c r="AW19" s="525"/>
      <c r="AX19" s="525"/>
      <c r="AY19" s="525"/>
      <c r="AZ19" s="525"/>
      <c r="BA19" s="525"/>
      <c r="BB19" s="525"/>
      <c r="BC19" s="518"/>
      <c r="BD19" s="518"/>
      <c r="BE19" s="518"/>
    </row>
    <row r="20" spans="1:79" ht="79.5" hidden="1" thickBot="1">
      <c r="A20" s="886" t="s">
        <v>186</v>
      </c>
      <c r="B20" s="888" t="s">
        <v>79</v>
      </c>
      <c r="C20" s="832"/>
      <c r="D20" s="832"/>
      <c r="E20" s="830">
        <f>+AVERAGE($AV$20:$AV$21)</f>
        <v>1</v>
      </c>
      <c r="F20" s="832"/>
      <c r="G20" s="832"/>
      <c r="H20" s="832"/>
      <c r="I20" s="832"/>
      <c r="J20" s="832">
        <f>+E20</f>
        <v>1</v>
      </c>
      <c r="K20" s="832"/>
      <c r="L20" s="832"/>
      <c r="M20" s="951" t="s">
        <v>424</v>
      </c>
      <c r="N20" s="566">
        <v>13</v>
      </c>
      <c r="O20" s="529" t="s">
        <v>137</v>
      </c>
      <c r="P20" s="530" t="s">
        <v>112</v>
      </c>
      <c r="Q20" s="530" t="s">
        <v>363</v>
      </c>
      <c r="R20" s="658" t="s">
        <v>364</v>
      </c>
      <c r="S20" s="667" t="s">
        <v>100</v>
      </c>
      <c r="T20" s="567" t="s">
        <v>144</v>
      </c>
      <c r="U20" s="576">
        <v>0.41299999999999998</v>
      </c>
      <c r="V20" s="533">
        <v>0.82</v>
      </c>
      <c r="W20" s="650">
        <v>0.85</v>
      </c>
      <c r="X20" s="535" t="s">
        <v>405</v>
      </c>
      <c r="Y20" s="571" t="s">
        <v>404</v>
      </c>
      <c r="Z20" s="537" t="s">
        <v>494</v>
      </c>
      <c r="AA20" s="674">
        <v>0.41299999999999998</v>
      </c>
      <c r="AB20" s="676">
        <v>0.5</v>
      </c>
      <c r="AC20" s="677">
        <v>0.75</v>
      </c>
      <c r="AD20" s="704"/>
      <c r="AE20" s="705"/>
      <c r="AF20" s="705"/>
      <c r="AG20" s="705"/>
      <c r="AH20" s="705"/>
      <c r="AI20" s="705">
        <v>0.75</v>
      </c>
      <c r="AJ20" s="705"/>
      <c r="AK20" s="705"/>
      <c r="AL20" s="705"/>
      <c r="AM20" s="705"/>
      <c r="AN20" s="705"/>
      <c r="AO20" s="775">
        <v>0.82</v>
      </c>
      <c r="AP20" s="775"/>
      <c r="AQ20" s="788"/>
      <c r="AR20" s="788"/>
      <c r="AS20" s="788"/>
      <c r="AT20" s="788"/>
      <c r="AU20" s="581"/>
      <c r="AV20" s="525">
        <f t="shared" si="2"/>
        <v>1</v>
      </c>
      <c r="AW20" s="525"/>
      <c r="AX20" s="525"/>
      <c r="AY20" s="525"/>
      <c r="AZ20" s="525"/>
      <c r="BA20" s="525"/>
      <c r="BB20" s="525"/>
      <c r="BC20" s="518"/>
      <c r="BD20" s="518"/>
      <c r="BE20" s="518"/>
    </row>
    <row r="21" spans="1:79" ht="79.5" hidden="1" thickBot="1">
      <c r="A21" s="887"/>
      <c r="B21" s="889"/>
      <c r="C21" s="833"/>
      <c r="D21" s="833"/>
      <c r="E21" s="831"/>
      <c r="F21" s="833"/>
      <c r="G21" s="833"/>
      <c r="H21" s="833"/>
      <c r="I21" s="833"/>
      <c r="J21" s="833"/>
      <c r="K21" s="833"/>
      <c r="L21" s="833"/>
      <c r="M21" s="952"/>
      <c r="N21" s="601">
        <v>14</v>
      </c>
      <c r="O21" s="620" t="s">
        <v>138</v>
      </c>
      <c r="P21" s="621" t="s">
        <v>112</v>
      </c>
      <c r="Q21" s="621" t="s">
        <v>315</v>
      </c>
      <c r="R21" s="660" t="s">
        <v>158</v>
      </c>
      <c r="S21" s="668" t="s">
        <v>100</v>
      </c>
      <c r="T21" s="605" t="s">
        <v>440</v>
      </c>
      <c r="U21" s="585">
        <v>0.92800000000000005</v>
      </c>
      <c r="V21" s="586">
        <v>5.9999999999999995E-4</v>
      </c>
      <c r="W21" s="622">
        <v>0.95</v>
      </c>
      <c r="X21" s="612" t="s">
        <v>397</v>
      </c>
      <c r="Y21" s="610" t="s">
        <v>396</v>
      </c>
      <c r="Z21" s="608" t="s">
        <v>360</v>
      </c>
      <c r="AA21" s="678">
        <v>0</v>
      </c>
      <c r="AB21" s="679">
        <v>0.92800000000000005</v>
      </c>
      <c r="AC21" s="680">
        <v>0.95</v>
      </c>
      <c r="AD21" s="704"/>
      <c r="AE21" s="705"/>
      <c r="AF21" s="705"/>
      <c r="AG21" s="705"/>
      <c r="AH21" s="705"/>
      <c r="AI21" s="705">
        <v>0.9</v>
      </c>
      <c r="AJ21" s="705"/>
      <c r="AK21" s="705"/>
      <c r="AL21" s="705"/>
      <c r="AM21" s="705"/>
      <c r="AN21" s="705"/>
      <c r="AO21" s="596">
        <v>5.9999999999999995E-4</v>
      </c>
      <c r="AP21" s="596"/>
      <c r="AQ21" s="789"/>
      <c r="AR21" s="789"/>
      <c r="AS21" s="789"/>
      <c r="AT21" s="789"/>
      <c r="AU21" s="649"/>
      <c r="AV21" s="525">
        <f t="shared" si="2"/>
        <v>1</v>
      </c>
      <c r="AW21" s="525"/>
      <c r="AX21" s="525"/>
      <c r="AY21" s="525"/>
      <c r="AZ21" s="525"/>
      <c r="BA21" s="525"/>
      <c r="BB21" s="525"/>
      <c r="BC21" s="518"/>
      <c r="BD21" s="518"/>
      <c r="BE21" s="518"/>
    </row>
    <row r="22" spans="1:79" ht="93" hidden="1" customHeight="1" thickBot="1">
      <c r="A22" s="599" t="s">
        <v>178</v>
      </c>
      <c r="B22" s="884" t="s">
        <v>420</v>
      </c>
      <c r="C22" s="830">
        <f>+AVERAGE($AV$22:$AV$23)</f>
        <v>1</v>
      </c>
      <c r="D22" s="830"/>
      <c r="E22" s="830"/>
      <c r="F22" s="830"/>
      <c r="G22" s="830"/>
      <c r="H22" s="830"/>
      <c r="I22" s="830"/>
      <c r="J22" s="830"/>
      <c r="K22" s="830"/>
      <c r="L22" s="830">
        <f>+C22</f>
        <v>1</v>
      </c>
      <c r="M22" s="903" t="s">
        <v>425</v>
      </c>
      <c r="N22" s="890">
        <v>15</v>
      </c>
      <c r="O22" s="900" t="s">
        <v>134</v>
      </c>
      <c r="P22" s="905" t="s">
        <v>114</v>
      </c>
      <c r="Q22" s="898" t="s">
        <v>155</v>
      </c>
      <c r="R22" s="896" t="s">
        <v>136</v>
      </c>
      <c r="S22" s="871" t="s">
        <v>100</v>
      </c>
      <c r="T22" s="894" t="s">
        <v>148</v>
      </c>
      <c r="U22" s="892" t="s">
        <v>152</v>
      </c>
      <c r="V22" s="966">
        <v>1</v>
      </c>
      <c r="W22" s="964" t="s">
        <v>498</v>
      </c>
      <c r="X22" s="962" t="s">
        <v>373</v>
      </c>
      <c r="Y22" s="960" t="s">
        <v>384</v>
      </c>
      <c r="Z22" s="972" t="s">
        <v>367</v>
      </c>
      <c r="AA22" s="822">
        <v>0</v>
      </c>
      <c r="AB22" s="826">
        <v>0.7</v>
      </c>
      <c r="AC22" s="824">
        <v>0.9</v>
      </c>
      <c r="AD22" s="828">
        <v>0.98</v>
      </c>
      <c r="AE22" s="976"/>
      <c r="AF22" s="976"/>
      <c r="AG22" s="976"/>
      <c r="AH22" s="976"/>
      <c r="AI22" s="873">
        <f>+(0.826771653543307%)*100</f>
        <v>0.82677165354330695</v>
      </c>
      <c r="AJ22" s="976"/>
      <c r="AK22" s="976"/>
      <c r="AL22" s="873">
        <v>8.4677419354838718E-3</v>
      </c>
      <c r="AM22" s="976"/>
      <c r="AN22" s="976"/>
      <c r="AO22" s="978">
        <v>1</v>
      </c>
      <c r="AP22" s="978"/>
      <c r="AQ22" s="790"/>
      <c r="AR22" s="790">
        <v>1</v>
      </c>
      <c r="AS22" s="790"/>
      <c r="AT22" s="790"/>
      <c r="AU22" s="959" t="s">
        <v>503</v>
      </c>
      <c r="AV22" s="525">
        <f>+IF(IF(AR22="","",IFERROR(AR22/AC22,0))&gt;1,1,IF(AR22="","",IFERROR(AR22/AC22,0)))</f>
        <v>1</v>
      </c>
      <c r="AW22" s="525"/>
      <c r="AX22" s="525"/>
      <c r="AY22" s="525"/>
      <c r="AZ22" s="525"/>
      <c r="BA22" s="525"/>
      <c r="BB22" s="525"/>
      <c r="BC22" s="727">
        <f>+(3743220528*100)/11050804592</f>
        <v>33.872832487779455</v>
      </c>
      <c r="BD22" s="518"/>
      <c r="BE22" s="518"/>
    </row>
    <row r="23" spans="1:79" ht="75.75" hidden="1" customHeight="1" thickBot="1">
      <c r="A23" s="558" t="s">
        <v>187</v>
      </c>
      <c r="B23" s="885"/>
      <c r="C23" s="831"/>
      <c r="D23" s="831"/>
      <c r="E23" s="831"/>
      <c r="F23" s="831"/>
      <c r="G23" s="831"/>
      <c r="H23" s="831"/>
      <c r="I23" s="831"/>
      <c r="J23" s="831"/>
      <c r="K23" s="831"/>
      <c r="L23" s="831"/>
      <c r="M23" s="885"/>
      <c r="N23" s="891"/>
      <c r="O23" s="901"/>
      <c r="P23" s="906"/>
      <c r="Q23" s="899"/>
      <c r="R23" s="897"/>
      <c r="S23" s="872"/>
      <c r="T23" s="895"/>
      <c r="U23" s="893"/>
      <c r="V23" s="967"/>
      <c r="W23" s="965"/>
      <c r="X23" s="963"/>
      <c r="Y23" s="961"/>
      <c r="Z23" s="973"/>
      <c r="AA23" s="823"/>
      <c r="AB23" s="827"/>
      <c r="AC23" s="825"/>
      <c r="AD23" s="829"/>
      <c r="AE23" s="977"/>
      <c r="AF23" s="977"/>
      <c r="AG23" s="977"/>
      <c r="AH23" s="977"/>
      <c r="AI23" s="977"/>
      <c r="AJ23" s="977"/>
      <c r="AK23" s="977"/>
      <c r="AL23" s="977"/>
      <c r="AM23" s="977"/>
      <c r="AN23" s="977"/>
      <c r="AO23" s="979"/>
      <c r="AP23" s="979"/>
      <c r="AQ23" s="791"/>
      <c r="AR23" s="791"/>
      <c r="AS23" s="791"/>
      <c r="AT23" s="791"/>
      <c r="AU23" s="994"/>
      <c r="AV23" s="525">
        <f t="shared" si="2"/>
        <v>1</v>
      </c>
      <c r="AW23" s="525"/>
      <c r="AX23" s="515">
        <v>1</v>
      </c>
      <c r="AY23" s="525">
        <v>2</v>
      </c>
      <c r="AZ23" s="525">
        <v>3</v>
      </c>
      <c r="BA23" s="525">
        <v>4</v>
      </c>
      <c r="BB23" s="525">
        <v>5</v>
      </c>
      <c r="BC23" s="518">
        <v>6</v>
      </c>
      <c r="BD23" s="518">
        <v>7</v>
      </c>
      <c r="BE23" s="518">
        <v>8</v>
      </c>
      <c r="BF23" s="515">
        <v>9</v>
      </c>
      <c r="BG23" s="515">
        <v>10</v>
      </c>
      <c r="BH23" s="515">
        <v>11</v>
      </c>
      <c r="BI23" s="515">
        <v>12</v>
      </c>
    </row>
    <row r="24" spans="1:79" ht="408.75" customHeight="1" thickBot="1">
      <c r="A24" s="902" t="s">
        <v>185</v>
      </c>
      <c r="B24" s="617" t="s">
        <v>418</v>
      </c>
      <c r="C24" s="832"/>
      <c r="D24" s="832"/>
      <c r="E24" s="832"/>
      <c r="F24" s="832"/>
      <c r="G24" s="832"/>
      <c r="H24" s="832"/>
      <c r="I24" s="832"/>
      <c r="J24" s="832"/>
      <c r="K24" s="832"/>
      <c r="L24" s="832"/>
      <c r="M24" s="903" t="s">
        <v>426</v>
      </c>
      <c r="N24" s="909">
        <v>16</v>
      </c>
      <c r="O24" s="907" t="s">
        <v>399</v>
      </c>
      <c r="P24" s="898" t="s">
        <v>114</v>
      </c>
      <c r="Q24" s="898" t="s">
        <v>400</v>
      </c>
      <c r="R24" s="896" t="s">
        <v>403</v>
      </c>
      <c r="S24" s="871" t="s">
        <v>100</v>
      </c>
      <c r="T24" s="894" t="s">
        <v>107</v>
      </c>
      <c r="U24" s="970" t="s">
        <v>152</v>
      </c>
      <c r="V24" s="968" t="s">
        <v>499</v>
      </c>
      <c r="W24" s="974">
        <v>0.98</v>
      </c>
      <c r="X24" s="962" t="s">
        <v>378</v>
      </c>
      <c r="Y24" s="960" t="s">
        <v>401</v>
      </c>
      <c r="Z24" s="972" t="s">
        <v>360</v>
      </c>
      <c r="AA24" s="822">
        <v>0.85</v>
      </c>
      <c r="AB24" s="826">
        <v>0.95</v>
      </c>
      <c r="AC24" s="824">
        <v>0.95</v>
      </c>
      <c r="AD24" s="980">
        <f>2987610735.88/3166449610</f>
        <v>0.94352069473797817</v>
      </c>
      <c r="AE24" s="980">
        <f t="shared" ref="AE24:AF24" si="3">2987610735.88/3166449610</f>
        <v>0.94352069473797817</v>
      </c>
      <c r="AF24" s="980">
        <f t="shared" si="3"/>
        <v>0.94352069473797817</v>
      </c>
      <c r="AG24" s="980">
        <v>0.88627529013767692</v>
      </c>
      <c r="AH24" s="982">
        <f>3260138254.98/3834524769</f>
        <v>0.85020659700425061</v>
      </c>
      <c r="AI24" s="976">
        <f>3743220527.98/4226109249</f>
        <v>0.88573681072389143</v>
      </c>
      <c r="AJ24" s="976">
        <f>4661515070/6536325721</f>
        <v>0.71317055926748241</v>
      </c>
      <c r="AK24" s="976">
        <f>6200463579.79/7589971626</f>
        <v>0.81692842678750743</v>
      </c>
      <c r="AL24" s="976">
        <f>6374026878.53/8238680187</f>
        <v>0.77367087128685019</v>
      </c>
      <c r="AM24" s="976">
        <f>6616024046.53/8000000000</f>
        <v>0.82700300581624997</v>
      </c>
      <c r="AN24" s="873">
        <v>0.9012</v>
      </c>
      <c r="AO24" s="996">
        <f>758610935053/8000000000</f>
        <v>94.826366881625006</v>
      </c>
      <c r="AP24" s="978">
        <f>2101993441.28/2217931658</f>
        <v>0.94772687593785176</v>
      </c>
      <c r="AQ24" s="790">
        <f>2498382229.2/2815469050</f>
        <v>0.88737691121129525</v>
      </c>
      <c r="AR24" s="790">
        <f>2702501945.46/3166449610</f>
        <v>0.85348016811169147</v>
      </c>
      <c r="AS24" s="790">
        <f>2897201901.46/3538975396</f>
        <v>0.81865556475318313</v>
      </c>
      <c r="AT24" s="790">
        <f>3013011054.46/3834524769</f>
        <v>0.78575866266884453</v>
      </c>
      <c r="AU24" s="959" t="s">
        <v>510</v>
      </c>
      <c r="AV24" s="995">
        <f>+IF(IF(AS24="","",IFERROR(AT24/AC24,0))&gt;1,1,IF(AT24="","",IFERROR(AT24/AC24,0)))</f>
        <v>0.82711438175667851</v>
      </c>
      <c r="AW24" s="525"/>
      <c r="AX24" s="717">
        <v>2217931658</v>
      </c>
      <c r="AY24" s="717">
        <v>2815469050</v>
      </c>
      <c r="AZ24" s="717">
        <v>3166449610</v>
      </c>
      <c r="BA24" s="717">
        <v>3538975396</v>
      </c>
      <c r="BB24" s="717">
        <v>3834524764</v>
      </c>
      <c r="BC24" s="717">
        <v>4226109249</v>
      </c>
      <c r="BD24" s="718">
        <v>6536325721</v>
      </c>
      <c r="BE24" s="718">
        <v>7589971626</v>
      </c>
      <c r="BF24" s="719">
        <v>8238680187</v>
      </c>
      <c r="BG24" s="719">
        <v>8853291139</v>
      </c>
      <c r="BH24" s="720">
        <v>10445752039</v>
      </c>
      <c r="BI24" s="720">
        <v>11050804592</v>
      </c>
      <c r="BJ24" s="716">
        <f>58/7*12</f>
        <v>99.428571428571445</v>
      </c>
      <c r="BK24" s="746">
        <f>450000000/ 6536325721</f>
        <v>6.8846018268984607E-2</v>
      </c>
      <c r="BL24" s="744"/>
      <c r="BM24" s="744"/>
    </row>
    <row r="25" spans="1:79" ht="309" hidden="1" customHeight="1" thickBot="1">
      <c r="A25" s="902"/>
      <c r="B25" s="623" t="s">
        <v>72</v>
      </c>
      <c r="C25" s="833"/>
      <c r="D25" s="833"/>
      <c r="E25" s="833"/>
      <c r="F25" s="833"/>
      <c r="G25" s="833"/>
      <c r="H25" s="833"/>
      <c r="I25" s="833"/>
      <c r="J25" s="833"/>
      <c r="K25" s="833"/>
      <c r="L25" s="833"/>
      <c r="M25" s="904"/>
      <c r="N25" s="910"/>
      <c r="O25" s="908"/>
      <c r="P25" s="899"/>
      <c r="Q25" s="899"/>
      <c r="R25" s="897"/>
      <c r="S25" s="872"/>
      <c r="T25" s="895"/>
      <c r="U25" s="971"/>
      <c r="V25" s="969"/>
      <c r="W25" s="975"/>
      <c r="X25" s="963"/>
      <c r="Y25" s="961"/>
      <c r="Z25" s="973"/>
      <c r="AA25" s="823"/>
      <c r="AB25" s="827"/>
      <c r="AC25" s="825"/>
      <c r="AD25" s="981"/>
      <c r="AE25" s="981"/>
      <c r="AF25" s="981"/>
      <c r="AG25" s="981"/>
      <c r="AH25" s="977"/>
      <c r="AI25" s="977"/>
      <c r="AJ25" s="977"/>
      <c r="AK25" s="977"/>
      <c r="AL25" s="977"/>
      <c r="AM25" s="977"/>
      <c r="AN25" s="976"/>
      <c r="AO25" s="979"/>
      <c r="AP25" s="979"/>
      <c r="AQ25" s="792"/>
      <c r="AR25" s="792"/>
      <c r="AS25" s="792"/>
      <c r="AT25" s="792"/>
      <c r="AU25" s="904"/>
      <c r="AV25" s="995"/>
      <c r="AW25" s="525"/>
      <c r="AX25" s="717">
        <v>2101993441.28</v>
      </c>
      <c r="AY25" s="717">
        <v>2787274448.8800001</v>
      </c>
      <c r="AZ25" s="717">
        <v>2987610735.8800001</v>
      </c>
      <c r="BA25" s="717">
        <f t="shared" ref="BA25:BI25" si="4">+BA24*$BA$27</f>
        <v>3399583964.8001056</v>
      </c>
      <c r="BB25" s="717">
        <f t="shared" si="4"/>
        <v>3683492378.9120655</v>
      </c>
      <c r="BC25" s="717">
        <f t="shared" si="4"/>
        <v>4059653325.827704</v>
      </c>
      <c r="BD25" s="717">
        <f t="shared" si="4"/>
        <v>6278876121.8678131</v>
      </c>
      <c r="BE25" s="717">
        <f t="shared" si="4"/>
        <v>7291021537.5335665</v>
      </c>
      <c r="BF25" s="717">
        <f t="shared" si="4"/>
        <v>7914179083.1601295</v>
      </c>
      <c r="BG25" s="717">
        <f t="shared" si="4"/>
        <v>8504582039.7252808</v>
      </c>
      <c r="BH25" s="717">
        <f t="shared" si="4"/>
        <v>10034319869.021889</v>
      </c>
      <c r="BI25" s="717">
        <f t="shared" si="4"/>
        <v>10615540908.129719</v>
      </c>
      <c r="BL25" s="515">
        <f>3136506445.88/3538975396</f>
        <v>0.88627529013767692</v>
      </c>
      <c r="BM25" s="515">
        <f>3136506445.88/8853291139</f>
        <v>0.35427575989941701</v>
      </c>
      <c r="BO25" s="515">
        <f>+(3260138254.98*100)/3834524769</f>
        <v>85.020659700425057</v>
      </c>
      <c r="BR25" s="515">
        <v>3834524764</v>
      </c>
      <c r="BS25" s="515">
        <f>+BR25*0.88</f>
        <v>3374381792.3200002</v>
      </c>
    </row>
    <row r="26" spans="1:79" ht="195" customHeight="1" thickBot="1">
      <c r="A26" s="902"/>
      <c r="B26" s="603" t="s">
        <v>81</v>
      </c>
      <c r="C26" s="737"/>
      <c r="D26" s="737"/>
      <c r="E26" s="737">
        <f>+AV26</f>
        <v>1</v>
      </c>
      <c r="F26" s="737"/>
      <c r="G26" s="737">
        <f>+E26</f>
        <v>1</v>
      </c>
      <c r="H26" s="737">
        <f>+G26</f>
        <v>1</v>
      </c>
      <c r="I26" s="737"/>
      <c r="J26" s="737">
        <f>+H26</f>
        <v>1</v>
      </c>
      <c r="K26" s="737"/>
      <c r="L26" s="737">
        <f>+J26</f>
        <v>1</v>
      </c>
      <c r="M26" s="625" t="s">
        <v>427</v>
      </c>
      <c r="N26" s="566">
        <v>17</v>
      </c>
      <c r="O26" s="529" t="s">
        <v>140</v>
      </c>
      <c r="P26" s="530" t="s">
        <v>114</v>
      </c>
      <c r="Q26" s="530" t="s">
        <v>172</v>
      </c>
      <c r="R26" s="658" t="s">
        <v>165</v>
      </c>
      <c r="S26" s="667" t="s">
        <v>100</v>
      </c>
      <c r="T26" s="567" t="s">
        <v>107</v>
      </c>
      <c r="U26" s="568">
        <v>1.0374939776423666</v>
      </c>
      <c r="V26" s="569">
        <v>1.0195417137892298</v>
      </c>
      <c r="W26" s="570" t="s">
        <v>173</v>
      </c>
      <c r="X26" s="535" t="s">
        <v>369</v>
      </c>
      <c r="Y26" s="571" t="s">
        <v>385</v>
      </c>
      <c r="Z26" s="537" t="s">
        <v>358</v>
      </c>
      <c r="AA26" s="706">
        <v>0.75</v>
      </c>
      <c r="AB26" s="681">
        <v>0.9</v>
      </c>
      <c r="AC26" s="682">
        <v>1</v>
      </c>
      <c r="AD26" s="572">
        <f>6019533060/7921345976</f>
        <v>0.75991290851806115</v>
      </c>
      <c r="AE26" s="574"/>
      <c r="AF26" s="574"/>
      <c r="AG26" s="572">
        <f>773707133088/1013123177192</f>
        <v>0.76368515744791066</v>
      </c>
      <c r="AH26" s="573">
        <f>9245083591.98/12319201593.26</f>
        <v>0.75046126341808617</v>
      </c>
      <c r="AI26" s="573">
        <f>9245083591.98/12319201593.26</f>
        <v>0.75046126341808617</v>
      </c>
      <c r="AJ26" s="575">
        <f>14793738212.1/16570616320.75</f>
        <v>0.892769340967423</v>
      </c>
      <c r="AK26" s="575">
        <f>14793738212.1/16570616320.75</f>
        <v>0.892769340967423</v>
      </c>
      <c r="AL26" s="575">
        <f>18214740191.8/20154761424.97</f>
        <v>0.90374377586199139</v>
      </c>
      <c r="AM26" s="575">
        <f>19554218548.53/21735135297.01</f>
        <v>0.89965938933998635</v>
      </c>
      <c r="AN26" s="575">
        <f>21456571434.48/23537620568.35</f>
        <v>0.91158625708036545</v>
      </c>
      <c r="AO26" s="575">
        <f>24910188203.78/25526515027.59</f>
        <v>0.97585542628346045</v>
      </c>
      <c r="AP26" s="575">
        <f>3153755757.88/3576105693.52</f>
        <v>0.88189668543485467</v>
      </c>
      <c r="AQ26" s="794">
        <f>4800597922.78/5345141971.13</f>
        <v>0.89812355756102025</v>
      </c>
      <c r="AR26" s="795">
        <f>6308548848.78/7157941413.57</f>
        <v>0.88133563608389909</v>
      </c>
      <c r="AS26" s="795">
        <f>6308548848.78/7157941413.57</f>
        <v>0.88133563608389909</v>
      </c>
      <c r="AT26" s="1108">
        <f>9282406184/12094839381.42</f>
        <v>0.76746833019209515</v>
      </c>
      <c r="AU26" s="768" t="s">
        <v>511</v>
      </c>
      <c r="AV26" s="763">
        <f>+IF(IF(ATN26="","",IFERROR(AT26/AC26,0))&gt;1,1,IF(AT26="","",IFERROR(AT26/AR26,0)))</f>
        <v>1</v>
      </c>
      <c r="AW26" s="525"/>
      <c r="AX26" s="525">
        <f>+AX24/$BI$24</f>
        <v>0.20070318315153499</v>
      </c>
      <c r="AY26" s="525">
        <f>+AY24/$BI$24</f>
        <v>0.25477502805888003</v>
      </c>
      <c r="AZ26" s="525">
        <f>+AZ24/$BI$24</f>
        <v>0.28653566205417164</v>
      </c>
      <c r="BA26" s="525">
        <f>+BA24/$BI$24</f>
        <v>0.32024594829610575</v>
      </c>
      <c r="BB26" s="525">
        <f>+BB24/$BI$24</f>
        <v>0.34699055006147916</v>
      </c>
      <c r="BC26" s="525">
        <f t="shared" ref="BC26:BI26" si="5">+BC24/$BI$24</f>
        <v>0.38242547986590986</v>
      </c>
      <c r="BD26" s="525">
        <f t="shared" si="5"/>
        <v>0.59147962183059832</v>
      </c>
      <c r="BE26" s="525">
        <f t="shared" si="5"/>
        <v>0.68682524994556526</v>
      </c>
      <c r="BF26" s="525">
        <f t="shared" si="5"/>
        <v>0.74552763270868272</v>
      </c>
      <c r="BG26" s="525">
        <f t="shared" si="5"/>
        <v>0.80114448367037061</v>
      </c>
      <c r="BH26" s="525">
        <f t="shared" si="5"/>
        <v>0.94524809954218036</v>
      </c>
      <c r="BI26" s="525">
        <f t="shared" si="5"/>
        <v>1</v>
      </c>
      <c r="BK26" s="744"/>
      <c r="BL26" s="744"/>
      <c r="BM26" s="744"/>
      <c r="BN26" s="565"/>
      <c r="BR26" s="716">
        <v>4226109249</v>
      </c>
      <c r="BS26" s="515">
        <f t="shared" ref="BS26:BS32" si="6">+BR26*0.88</f>
        <v>3718976139.1199999</v>
      </c>
    </row>
    <row r="27" spans="1:79" ht="225.75" customHeight="1" thickBot="1">
      <c r="A27" s="885"/>
      <c r="B27" s="654" t="s">
        <v>72</v>
      </c>
      <c r="C27" s="737">
        <f>+AVERAGE(AV24,AV27)</f>
        <v>0.91355719087833931</v>
      </c>
      <c r="D27" s="737">
        <f>+C27</f>
        <v>0.91355719087833931</v>
      </c>
      <c r="E27" s="737">
        <f>+D27</f>
        <v>0.91355719087833931</v>
      </c>
      <c r="F27" s="737">
        <f>+E27</f>
        <v>0.91355719087833931</v>
      </c>
      <c r="G27" s="737"/>
      <c r="H27" s="737">
        <f>+F27</f>
        <v>0.91355719087833931</v>
      </c>
      <c r="I27" s="737"/>
      <c r="J27" s="737">
        <f>+H27</f>
        <v>0.91355719087833931</v>
      </c>
      <c r="K27" s="737">
        <f>+J27</f>
        <v>0.91355719087833931</v>
      </c>
      <c r="L27" s="737"/>
      <c r="M27" s="624" t="s">
        <v>428</v>
      </c>
      <c r="N27" s="566">
        <v>18</v>
      </c>
      <c r="O27" s="529" t="s">
        <v>120</v>
      </c>
      <c r="P27" s="530" t="s">
        <v>114</v>
      </c>
      <c r="Q27" s="530" t="s">
        <v>170</v>
      </c>
      <c r="R27" s="658" t="s">
        <v>151</v>
      </c>
      <c r="S27" s="667" t="s">
        <v>100</v>
      </c>
      <c r="T27" s="567" t="s">
        <v>107</v>
      </c>
      <c r="U27" s="576">
        <v>0.73499078333333334</v>
      </c>
      <c r="V27" s="533">
        <v>0.7571</v>
      </c>
      <c r="W27" s="577">
        <v>0.9</v>
      </c>
      <c r="X27" s="535" t="s">
        <v>374</v>
      </c>
      <c r="Y27" s="571" t="s">
        <v>441</v>
      </c>
      <c r="Z27" s="537" t="s">
        <v>360</v>
      </c>
      <c r="AA27" s="674">
        <v>0</v>
      </c>
      <c r="AB27" s="683">
        <v>0.73</v>
      </c>
      <c r="AC27" s="684">
        <v>0.95</v>
      </c>
      <c r="AD27" s="578">
        <f>307987081/1100000000</f>
        <v>0.27998825545454548</v>
      </c>
      <c r="AE27" s="579"/>
      <c r="AF27" s="579"/>
      <c r="AG27" s="578">
        <f>338538937/1100000000</f>
        <v>0.30776267000000002</v>
      </c>
      <c r="AH27" s="580">
        <f>349580219/1100000000</f>
        <v>0.31780019909090906</v>
      </c>
      <c r="AI27" s="580">
        <f>(53351402+89807034+448215465)/1100000000</f>
        <v>0.53761263727272723</v>
      </c>
      <c r="AJ27" s="702">
        <f>(97808814+112756799+476691525)/1100000000</f>
        <v>0.62477921636363631</v>
      </c>
      <c r="AK27" s="702">
        <f>(106373501+112756799+531123432)/1100000000</f>
        <v>0.6820488472727273</v>
      </c>
      <c r="AL27" s="673">
        <f>(107135889+112756799+556366168)/1100000000</f>
        <v>0.70568986909090914</v>
      </c>
      <c r="AM27" s="673">
        <f>(107336189+112756799+558082571)/1100000000</f>
        <v>0.7074323263636364</v>
      </c>
      <c r="AN27" s="764">
        <f>(107386889+112756799+561242688)/1100000000</f>
        <v>0.7103512509090909</v>
      </c>
      <c r="AO27" s="672">
        <f>(832768898/1100000000)*100</f>
        <v>75.70626345454545</v>
      </c>
      <c r="AP27" s="672">
        <f>(131887174/1100000000)*100</f>
        <v>11.989743090909091</v>
      </c>
      <c r="AQ27" s="672">
        <f>(167402047/1100000000)*100</f>
        <v>15.21836790909091</v>
      </c>
      <c r="AR27" s="795">
        <f>(261182655/1100000000)*100</f>
        <v>23.743877727272729</v>
      </c>
      <c r="AS27" s="795">
        <f>(264043837/1100000000)*100</f>
        <v>24.003985181818184</v>
      </c>
      <c r="AT27" s="795">
        <f>(269159998/1100000000)*100</f>
        <v>24.469090727272729</v>
      </c>
      <c r="AU27" s="581" t="s">
        <v>508</v>
      </c>
      <c r="AV27" s="525">
        <f>+IF(IF(AT27="","",IFERROR(AT27/AC27,0))&gt;1,1,IF(AT27="","",IFERROR(AT27/AC27,0)))</f>
        <v>1</v>
      </c>
      <c r="AW27" s="525"/>
      <c r="AX27" s="525">
        <f>+AX25/AX24</f>
        <v>0.94772687593785176</v>
      </c>
      <c r="AY27" s="525">
        <f>+AY25/AY24</f>
        <v>0.98998582452185013</v>
      </c>
      <c r="AZ27" s="525">
        <f>+AZ25/AZ24</f>
        <v>0.94352069473797817</v>
      </c>
      <c r="BA27" s="721">
        <f>+SUMPRODUCT(AX24:AZ24,AX27:AZ27)/SUM(AX24:AZ24)</f>
        <v>0.96061248932178378</v>
      </c>
      <c r="BB27" s="525"/>
      <c r="BC27" s="518"/>
      <c r="BD27" s="518"/>
      <c r="BE27" s="518"/>
      <c r="BF27" s="747"/>
      <c r="BK27" s="745"/>
      <c r="BL27" s="745"/>
      <c r="BM27" s="745"/>
      <c r="BR27" s="722">
        <v>6536325721</v>
      </c>
      <c r="BS27" s="515">
        <f t="shared" si="6"/>
        <v>5751966634.4800005</v>
      </c>
      <c r="BT27" s="722"/>
      <c r="BU27" s="722"/>
      <c r="BV27" s="722"/>
      <c r="BW27" s="722"/>
      <c r="BX27" s="722">
        <f>107386889+162794045+562587964</f>
        <v>832768898</v>
      </c>
      <c r="BY27" s="722"/>
      <c r="BZ27" s="722"/>
      <c r="CA27" s="722"/>
    </row>
    <row r="28" spans="1:79" ht="162" hidden="1" customHeight="1" thickBot="1">
      <c r="A28" s="884" t="s">
        <v>188</v>
      </c>
      <c r="B28" s="653" t="s">
        <v>142</v>
      </c>
      <c r="C28" s="738"/>
      <c r="D28" s="738"/>
      <c r="E28" s="738"/>
      <c r="F28" s="738"/>
      <c r="G28" s="738"/>
      <c r="H28" s="738"/>
      <c r="I28" s="738"/>
      <c r="J28" s="738">
        <f>+AV28</f>
        <v>0.25</v>
      </c>
      <c r="K28" s="738"/>
      <c r="L28" s="738"/>
      <c r="M28" s="625" t="s">
        <v>429</v>
      </c>
      <c r="N28" s="615">
        <v>19</v>
      </c>
      <c r="O28" s="529" t="s">
        <v>160</v>
      </c>
      <c r="P28" s="530" t="s">
        <v>112</v>
      </c>
      <c r="Q28" s="530" t="s">
        <v>159</v>
      </c>
      <c r="R28" s="658" t="s">
        <v>161</v>
      </c>
      <c r="S28" s="667" t="s">
        <v>100</v>
      </c>
      <c r="T28" s="567" t="s">
        <v>166</v>
      </c>
      <c r="U28" s="576">
        <v>0.67</v>
      </c>
      <c r="V28" s="533">
        <v>0.98</v>
      </c>
      <c r="W28" s="577">
        <v>1</v>
      </c>
      <c r="X28" s="535" t="s">
        <v>378</v>
      </c>
      <c r="Y28" s="571" t="s">
        <v>386</v>
      </c>
      <c r="Z28" s="537" t="s">
        <v>375</v>
      </c>
      <c r="AA28" s="674">
        <v>0</v>
      </c>
      <c r="AB28" s="683">
        <v>0.85</v>
      </c>
      <c r="AC28" s="684">
        <v>1</v>
      </c>
      <c r="AD28" s="691">
        <v>0.93</v>
      </c>
      <c r="AE28" s="579"/>
      <c r="AF28" s="579"/>
      <c r="AG28" s="580">
        <v>0.93</v>
      </c>
      <c r="AH28" s="580"/>
      <c r="AI28" s="580">
        <v>0.93</v>
      </c>
      <c r="AJ28" s="580"/>
      <c r="AK28" s="748">
        <v>0.95</v>
      </c>
      <c r="AL28" s="580"/>
      <c r="AM28" s="580">
        <v>0.97</v>
      </c>
      <c r="AN28" s="580"/>
      <c r="AO28" s="596">
        <v>0.98</v>
      </c>
      <c r="AP28" s="596"/>
      <c r="AQ28" s="781">
        <v>0.91</v>
      </c>
      <c r="AR28" s="781"/>
      <c r="AS28" s="781">
        <v>0.25</v>
      </c>
      <c r="AT28" s="781"/>
      <c r="AU28" s="648" t="s">
        <v>506</v>
      </c>
      <c r="AV28" s="525">
        <f>+IF(IF(AS28="","",IFERROR(AS28/AC28,0))&gt;1,1,IF(AS28="","",IFERROR(AS28/AC28,0)))</f>
        <v>0.25</v>
      </c>
      <c r="AW28" s="525"/>
      <c r="AX28" s="525"/>
      <c r="AY28" s="525"/>
      <c r="AZ28" s="525"/>
      <c r="BA28" s="525"/>
      <c r="BB28" s="525"/>
      <c r="BC28" s="518"/>
      <c r="BD28" s="518"/>
      <c r="BE28" s="518"/>
      <c r="BR28" s="716">
        <v>7589971626</v>
      </c>
      <c r="BS28" s="515">
        <f t="shared" si="6"/>
        <v>6679175030.8800001</v>
      </c>
      <c r="BT28" s="723"/>
      <c r="BU28" s="723"/>
    </row>
    <row r="29" spans="1:79" ht="158.25" hidden="1" thickBot="1">
      <c r="A29" s="885"/>
      <c r="B29" s="614" t="s">
        <v>418</v>
      </c>
      <c r="C29" s="738">
        <f>+AV29</f>
        <v>1</v>
      </c>
      <c r="D29" s="738"/>
      <c r="E29" s="738"/>
      <c r="F29" s="738">
        <f>+AV29</f>
        <v>1</v>
      </c>
      <c r="G29" s="738"/>
      <c r="H29" s="738"/>
      <c r="I29" s="738"/>
      <c r="J29" s="738">
        <f>+AV29</f>
        <v>1</v>
      </c>
      <c r="K29" s="738"/>
      <c r="L29" s="738"/>
      <c r="M29" s="629" t="s">
        <v>430</v>
      </c>
      <c r="N29" s="602">
        <v>20</v>
      </c>
      <c r="O29" s="651" t="s">
        <v>131</v>
      </c>
      <c r="P29" s="652" t="s">
        <v>114</v>
      </c>
      <c r="Q29" s="530" t="s">
        <v>501</v>
      </c>
      <c r="R29" s="661" t="s">
        <v>500</v>
      </c>
      <c r="S29" s="664" t="s">
        <v>100</v>
      </c>
      <c r="T29" s="606" t="s">
        <v>148</v>
      </c>
      <c r="U29" s="561">
        <v>0</v>
      </c>
      <c r="V29" s="643">
        <v>0</v>
      </c>
      <c r="W29" s="562">
        <v>0.95</v>
      </c>
      <c r="X29" s="613" t="s">
        <v>359</v>
      </c>
      <c r="Y29" s="611" t="s">
        <v>383</v>
      </c>
      <c r="Z29" s="609" t="s">
        <v>360</v>
      </c>
      <c r="AA29" s="674">
        <v>0</v>
      </c>
      <c r="AB29" s="683">
        <v>0.85</v>
      </c>
      <c r="AC29" s="684">
        <v>0.95</v>
      </c>
      <c r="AD29" s="715">
        <v>0.95622895622895621</v>
      </c>
      <c r="AE29" s="579"/>
      <c r="AF29" s="579"/>
      <c r="AG29" s="580">
        <v>0.96250000000000002</v>
      </c>
      <c r="AH29" s="580">
        <f>0.913636363636364%*100</f>
        <v>0.91363636363636402</v>
      </c>
      <c r="AI29" s="580">
        <f>+(0.932885906040268)*100%</f>
        <v>0.932885906040268</v>
      </c>
      <c r="AJ29" s="743">
        <f>+(257/269)*100%</f>
        <v>0.95539033457249067</v>
      </c>
      <c r="AK29" s="748">
        <f>+(443/456)*100%</f>
        <v>0.97149122807017541</v>
      </c>
      <c r="AL29" s="749">
        <f>+(189/196)*100%</f>
        <v>0.9642857142857143</v>
      </c>
      <c r="AM29" s="757">
        <f>+(137/148)*100%</f>
        <v>0.92567567567567566</v>
      </c>
      <c r="AN29" s="764">
        <f>+(166/176)*100%</f>
        <v>0.94318181818181823</v>
      </c>
      <c r="AO29" s="766">
        <v>0.94318181818181801</v>
      </c>
      <c r="AP29" s="777">
        <v>0.95</v>
      </c>
      <c r="AQ29" s="777"/>
      <c r="AR29" s="650">
        <v>0.95</v>
      </c>
      <c r="AS29" s="784"/>
      <c r="AT29" s="784"/>
      <c r="AU29" s="767" t="s">
        <v>502</v>
      </c>
      <c r="AV29" s="762">
        <f>+IF(IF(AR29="","",IFERROR(AR29/AC29,0))&gt;1,1,IF(AR29="","",IFERROR(AR29/AC29,0)))</f>
        <v>1</v>
      </c>
      <c r="AW29" s="525"/>
      <c r="AX29" s="525">
        <f>+SUMPRODUCT(AX24:AZ24,AX28:AZ28)/SUM(AX24:AZ24)</f>
        <v>0</v>
      </c>
      <c r="AY29" s="525"/>
      <c r="AZ29" s="525"/>
      <c r="BA29" s="525"/>
      <c r="BB29" s="525"/>
      <c r="BC29" s="518"/>
      <c r="BD29" s="518"/>
      <c r="BE29" s="518">
        <v>100</v>
      </c>
      <c r="BR29" s="716">
        <v>8238680187</v>
      </c>
      <c r="BS29" s="515">
        <f t="shared" si="6"/>
        <v>7250038564.5600004</v>
      </c>
    </row>
    <row r="30" spans="1:79" hidden="1">
      <c r="C30" s="739">
        <f>+AVERAGE(C6:C29)</f>
        <v>0.96542287635133572</v>
      </c>
      <c r="D30" s="739">
        <f t="shared" ref="D30:L30" si="7">+AVERAGE(D6:D29)</f>
        <v>0.95677859543916965</v>
      </c>
      <c r="E30" s="739">
        <f t="shared" si="7"/>
        <v>0.96542287635133572</v>
      </c>
      <c r="F30" s="739">
        <f t="shared" si="7"/>
        <v>0.96542287635133572</v>
      </c>
      <c r="G30" s="739">
        <f t="shared" si="7"/>
        <v>1</v>
      </c>
      <c r="H30" s="739">
        <f t="shared" si="7"/>
        <v>0.95677859543916965</v>
      </c>
      <c r="I30" s="739">
        <f t="shared" si="7"/>
        <v>1</v>
      </c>
      <c r="J30" s="739">
        <f t="shared" si="7"/>
        <v>0.8681591973938112</v>
      </c>
      <c r="K30" s="739">
        <f t="shared" si="7"/>
        <v>0.95677859543916965</v>
      </c>
      <c r="L30" s="739">
        <f t="shared" si="7"/>
        <v>1</v>
      </c>
      <c r="AU30" s="515"/>
      <c r="AX30" s="525"/>
      <c r="AY30" s="525"/>
      <c r="AZ30" s="525"/>
      <c r="BA30" s="525"/>
      <c r="BB30" s="525"/>
      <c r="BC30" s="518"/>
      <c r="BD30" s="518"/>
      <c r="BE30" s="518"/>
      <c r="BR30" s="716">
        <v>8853291139</v>
      </c>
      <c r="BS30" s="515">
        <f t="shared" si="6"/>
        <v>7790896202.3199997</v>
      </c>
    </row>
    <row r="31" spans="1:79" hidden="1">
      <c r="Q31" s="564"/>
      <c r="R31" s="564"/>
      <c r="AG31" s="564"/>
      <c r="AH31" s="564"/>
      <c r="AI31" s="564"/>
      <c r="AJ31" s="564"/>
      <c r="AK31" s="564"/>
      <c r="AL31" s="564"/>
      <c r="AM31" s="564"/>
      <c r="AN31" s="564"/>
      <c r="AO31" s="564"/>
      <c r="AP31" s="564"/>
      <c r="AQ31" s="564"/>
      <c r="AR31" s="564"/>
      <c r="AS31" s="564"/>
      <c r="AT31" s="564"/>
      <c r="AU31" s="564"/>
      <c r="BE31" s="515">
        <f>+BE29-BE27</f>
        <v>100</v>
      </c>
      <c r="BR31" s="716">
        <v>10445752039</v>
      </c>
      <c r="BS31" s="515">
        <f t="shared" si="6"/>
        <v>9192261794.3199997</v>
      </c>
    </row>
    <row r="32" spans="1:79">
      <c r="Q32" s="563"/>
      <c r="R32" s="563"/>
      <c r="BR32" s="716">
        <v>11050804592</v>
      </c>
      <c r="BS32" s="515">
        <f t="shared" si="6"/>
        <v>9724708040.960001</v>
      </c>
    </row>
    <row r="33" spans="15:70">
      <c r="BR33" s="722"/>
    </row>
    <row r="34" spans="15:70">
      <c r="AU34" s="800"/>
      <c r="BR34" s="722"/>
    </row>
    <row r="35" spans="15:70">
      <c r="AU35" s="801"/>
      <c r="BR35" s="716"/>
    </row>
    <row r="36" spans="15:70">
      <c r="O36" s="565"/>
      <c r="BR36" s="716"/>
    </row>
    <row r="37" spans="15:70">
      <c r="BR37" s="716"/>
    </row>
    <row r="38" spans="15:70">
      <c r="BR38" s="716"/>
    </row>
    <row r="39" spans="15:70">
      <c r="BR39" s="716"/>
    </row>
    <row r="40" spans="15:70">
      <c r="BR40" s="716"/>
    </row>
    <row r="41" spans="15:70">
      <c r="BR41" s="716"/>
    </row>
    <row r="42" spans="15:70">
      <c r="BR42" s="716"/>
    </row>
    <row r="43" spans="15:70">
      <c r="BR43" s="716"/>
    </row>
  </sheetData>
  <autoFilter ref="A4:CC31">
    <filterColumn colId="13" showButton="0"/>
    <filterColumn colId="19">
      <filters>
        <filter val="Mensual"/>
      </filters>
    </filterColumn>
    <filterColumn colId="26" showButton="0"/>
    <filterColumn colId="27" showButton="0"/>
  </autoFilter>
  <mergeCells count="220">
    <mergeCell ref="AU16:AU17"/>
    <mergeCell ref="AU22:AU23"/>
    <mergeCell ref="Z22:Z23"/>
    <mergeCell ref="AA16:AA17"/>
    <mergeCell ref="AJ22:AJ23"/>
    <mergeCell ref="AI22:AI23"/>
    <mergeCell ref="AH22:AH23"/>
    <mergeCell ref="AG22:AG23"/>
    <mergeCell ref="AV24:AV25"/>
    <mergeCell ref="AM16:AM17"/>
    <mergeCell ref="AN16:AN17"/>
    <mergeCell ref="AO16:AO17"/>
    <mergeCell ref="AM24:AM25"/>
    <mergeCell ref="AN24:AN25"/>
    <mergeCell ref="AO24:AO25"/>
    <mergeCell ref="AA24:AA25"/>
    <mergeCell ref="AB24:AB25"/>
    <mergeCell ref="AC24:AC25"/>
    <mergeCell ref="AD24:AD25"/>
    <mergeCell ref="AP16:AP17"/>
    <mergeCell ref="AP22:AP23"/>
    <mergeCell ref="AO22:AO23"/>
    <mergeCell ref="AN22:AN23"/>
    <mergeCell ref="AM22:AM23"/>
    <mergeCell ref="W16:W17"/>
    <mergeCell ref="Z16:Z17"/>
    <mergeCell ref="U16:U17"/>
    <mergeCell ref="X16:X17"/>
    <mergeCell ref="Y16:Y17"/>
    <mergeCell ref="AF22:AF23"/>
    <mergeCell ref="AE22:AE23"/>
    <mergeCell ref="AK16:AK17"/>
    <mergeCell ref="AL16:AL17"/>
    <mergeCell ref="AB16:AB17"/>
    <mergeCell ref="AC16:AC17"/>
    <mergeCell ref="AJ16:AJ17"/>
    <mergeCell ref="AI16:AI17"/>
    <mergeCell ref="AE16:AE17"/>
    <mergeCell ref="AF16:AF17"/>
    <mergeCell ref="AH16:AH17"/>
    <mergeCell ref="AL22:AL23"/>
    <mergeCell ref="AK22:AK23"/>
    <mergeCell ref="L24:L25"/>
    <mergeCell ref="H22:H23"/>
    <mergeCell ref="I22:I23"/>
    <mergeCell ref="J22:J23"/>
    <mergeCell ref="K22:K23"/>
    <mergeCell ref="L22:L23"/>
    <mergeCell ref="T16:T17"/>
    <mergeCell ref="R16:R17"/>
    <mergeCell ref="V16:V17"/>
    <mergeCell ref="S16:S17"/>
    <mergeCell ref="C24:C25"/>
    <mergeCell ref="D24:D25"/>
    <mergeCell ref="E24:E25"/>
    <mergeCell ref="F24:F25"/>
    <mergeCell ref="G24:G25"/>
    <mergeCell ref="H24:H25"/>
    <mergeCell ref="I24:I25"/>
    <mergeCell ref="J24:J25"/>
    <mergeCell ref="K24:K25"/>
    <mergeCell ref="AU24:AU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AP24:AP25"/>
    <mergeCell ref="AE24:AE25"/>
    <mergeCell ref="AF24:AF25"/>
    <mergeCell ref="AG24:AG25"/>
    <mergeCell ref="AH24:AH25"/>
    <mergeCell ref="AI24:AI25"/>
    <mergeCell ref="B3:B5"/>
    <mergeCell ref="M3:M5"/>
    <mergeCell ref="M6:M7"/>
    <mergeCell ref="M8:M9"/>
    <mergeCell ref="M16:M17"/>
    <mergeCell ref="M14:M15"/>
    <mergeCell ref="B18:B19"/>
    <mergeCell ref="M20:M21"/>
    <mergeCell ref="M18:M19"/>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A1:AU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U4:AU5"/>
    <mergeCell ref="R3:R5"/>
    <mergeCell ref="T3:T5"/>
    <mergeCell ref="U3:U5"/>
    <mergeCell ref="W3:W5"/>
    <mergeCell ref="X3:Z3"/>
    <mergeCell ref="AU14:AU15"/>
    <mergeCell ref="AE14:AE15"/>
    <mergeCell ref="S3:S5"/>
    <mergeCell ref="AD3:AU3"/>
    <mergeCell ref="AA3:AC5"/>
    <mergeCell ref="Y14:Y15"/>
    <mergeCell ref="S14:S15"/>
    <mergeCell ref="AI14:AI15"/>
    <mergeCell ref="AJ14:AJ15"/>
    <mergeCell ref="AK14:AK15"/>
    <mergeCell ref="AL14:AL15"/>
    <mergeCell ref="AM14:AM15"/>
    <mergeCell ref="AN14:AN15"/>
    <mergeCell ref="AO14:AO15"/>
    <mergeCell ref="AP14:AP15"/>
    <mergeCell ref="V3:V5"/>
    <mergeCell ref="V14:V15"/>
    <mergeCell ref="X5:Z5"/>
    <mergeCell ref="Q3:Q5"/>
    <mergeCell ref="P3:P5"/>
    <mergeCell ref="O16:O17"/>
    <mergeCell ref="E18:E19"/>
    <mergeCell ref="F18:F19"/>
    <mergeCell ref="G18:G19"/>
    <mergeCell ref="H18:H19"/>
    <mergeCell ref="E6:E9"/>
    <mergeCell ref="F6:F9"/>
    <mergeCell ref="G6:G9"/>
    <mergeCell ref="H6:H9"/>
    <mergeCell ref="I6:I9"/>
    <mergeCell ref="J6:J9"/>
    <mergeCell ref="K6:K9"/>
    <mergeCell ref="L6:L9"/>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s>
  <conditionalFormatting sqref="AA7:AO7">
    <cfRule type="colorScale" priority="86">
      <colorScale>
        <cfvo type="num" val="$AA$7"/>
        <cfvo type="num" val="$AB$7"/>
        <cfvo type="num" val="$AC$7"/>
        <color rgb="FFFF0000"/>
        <color rgb="FFFFEB84"/>
        <color theme="6" tint="-0.249977111117893"/>
      </colorScale>
    </cfRule>
  </conditionalFormatting>
  <conditionalFormatting sqref="AA8:AO8">
    <cfRule type="colorScale" priority="80">
      <colorScale>
        <cfvo type="num" val="$AA$8"/>
        <cfvo type="num" val="$AB$8"/>
        <cfvo type="num" val="$AC$8"/>
        <color rgb="FFFF0000"/>
        <color rgb="FFFFEB84"/>
        <color theme="6" tint="-0.249977111117893"/>
      </colorScale>
    </cfRule>
  </conditionalFormatting>
  <conditionalFormatting sqref="AA9:AO9">
    <cfRule type="colorScale" priority="79">
      <colorScale>
        <cfvo type="num" val="$AA$9"/>
        <cfvo type="num" val="$AB$9"/>
        <cfvo type="num" val="$AC$9"/>
        <color rgb="FFFF0000"/>
        <color rgb="FFFFEB84"/>
        <color theme="6" tint="-0.249977111117893"/>
      </colorScale>
    </cfRule>
  </conditionalFormatting>
  <conditionalFormatting sqref="AD10:AO10">
    <cfRule type="colorScale" priority="78">
      <colorScale>
        <cfvo type="num" val="$AA$10"/>
        <cfvo type="num" val="$AB$10"/>
        <cfvo type="num" val="$AC$10"/>
        <color theme="6" tint="-0.249977111117893"/>
        <color rgb="FFFFEB84"/>
        <color rgb="FFFF0000"/>
      </colorScale>
    </cfRule>
  </conditionalFormatting>
  <conditionalFormatting sqref="AA11:AO11">
    <cfRule type="colorScale" priority="77">
      <colorScale>
        <cfvo type="num" val="$AA$11"/>
        <cfvo type="num" val="$AB$11"/>
        <cfvo type="num" val="$AC$11"/>
        <color rgb="FFFF0000"/>
        <color rgb="FFFFEB84"/>
        <color theme="6" tint="-0.249977111117893"/>
      </colorScale>
    </cfRule>
  </conditionalFormatting>
  <conditionalFormatting sqref="AA12:AO12">
    <cfRule type="colorScale" priority="76">
      <colorScale>
        <cfvo type="num" val="$AA$12"/>
        <cfvo type="num" val="$AB$12"/>
        <cfvo type="num" val="$AC$12"/>
        <color rgb="FFFF0000"/>
        <color rgb="FFFFEB84"/>
        <color theme="6" tint="-0.249977111117893"/>
      </colorScale>
    </cfRule>
  </conditionalFormatting>
  <conditionalFormatting sqref="AA13:AO13">
    <cfRule type="colorScale" priority="75">
      <colorScale>
        <cfvo type="num" val="$AA$13"/>
        <cfvo type="num" val="$AB$13"/>
        <cfvo type="num" val="$AC$13"/>
        <color rgb="FFFF0000"/>
        <color rgb="FFFFEB84"/>
        <color theme="6" tint="-0.249977111117893"/>
      </colorScale>
    </cfRule>
  </conditionalFormatting>
  <conditionalFormatting sqref="AA14:AN14 AA15:AH15">
    <cfRule type="colorScale" priority="74">
      <colorScale>
        <cfvo type="num" val="$AA$14"/>
        <cfvo type="num" val="$AB$14"/>
        <cfvo type="num" val="$AC$14"/>
        <color rgb="FFFF0000"/>
        <color rgb="FFFFEB84"/>
        <color theme="6" tint="-0.249977111117893"/>
      </colorScale>
    </cfRule>
  </conditionalFormatting>
  <conditionalFormatting sqref="AA16:AN16 AA17:AI17">
    <cfRule type="colorScale" priority="73">
      <colorScale>
        <cfvo type="num" val="$AA$16"/>
        <cfvo type="num" val="$AB$16"/>
        <cfvo type="num" val="$AC$16"/>
        <color rgb="FFFF0000"/>
        <color rgb="FFFFEB84"/>
        <color theme="6" tint="-0.249977111117893"/>
      </colorScale>
    </cfRule>
  </conditionalFormatting>
  <conditionalFormatting sqref="AA18:AO18">
    <cfRule type="colorScale" priority="72">
      <colorScale>
        <cfvo type="num" val="$AA$18"/>
        <cfvo type="num" val="$AB$18"/>
        <cfvo type="num" val="$AC$18"/>
        <color rgb="FFFF0000"/>
        <color rgb="FFFFEB84"/>
        <color theme="6" tint="-0.249977111117893"/>
      </colorScale>
    </cfRule>
  </conditionalFormatting>
  <conditionalFormatting sqref="AA20:AO20">
    <cfRule type="colorScale" priority="71">
      <colorScale>
        <cfvo type="num" val="$AA$20"/>
        <cfvo type="num" val="$AB$20"/>
        <cfvo type="num" val="$AC$20"/>
        <color rgb="FFFF0000"/>
        <color rgb="FFFFEB84"/>
        <color theme="6" tint="-0.249977111117893"/>
      </colorScale>
    </cfRule>
  </conditionalFormatting>
  <conditionalFormatting sqref="AA26:AI26">
    <cfRule type="colorScale" priority="68">
      <colorScale>
        <cfvo type="num" val="$AA$26"/>
        <cfvo type="num" val="$AB$26"/>
        <cfvo type="num" val="$AC$26"/>
        <color rgb="FFFF0000"/>
        <color rgb="FFFFEB84"/>
        <color theme="6" tint="-0.249977111117893"/>
      </colorScale>
    </cfRule>
  </conditionalFormatting>
  <conditionalFormatting sqref="AA27:AO27">
    <cfRule type="colorScale" priority="67">
      <colorScale>
        <cfvo type="num" val="$AA$27"/>
        <cfvo type="num" val="$AB$27"/>
        <cfvo type="num" val="$AC$27"/>
        <color rgb="FFFF0000"/>
        <color rgb="FFFFEB84"/>
        <color theme="6" tint="-0.249977111117893"/>
      </colorScale>
    </cfRule>
  </conditionalFormatting>
  <conditionalFormatting sqref="AA28:AO28">
    <cfRule type="colorScale" priority="66">
      <colorScale>
        <cfvo type="num" val="$AA$28"/>
        <cfvo type="num" val="$AB$28"/>
        <cfvo type="num" val="$AC$28"/>
        <color rgb="FFFF0000"/>
        <color rgb="FFFFEB84"/>
        <color theme="6" tint="-0.249977111117893"/>
      </colorScale>
    </cfRule>
  </conditionalFormatting>
  <conditionalFormatting sqref="AA29:AN29">
    <cfRule type="colorScale" priority="65">
      <colorScale>
        <cfvo type="num" val="$AA$29"/>
        <cfvo type="num" val="$AB$29"/>
        <cfvo type="num" val="$AC$29"/>
        <color rgb="FFFF0000"/>
        <color rgb="FFFFEB84"/>
        <color theme="6" tint="-0.249977111117893"/>
      </colorScale>
    </cfRule>
  </conditionalFormatting>
  <conditionalFormatting sqref="AC6:AO6 AA6">
    <cfRule type="colorScale" priority="60">
      <colorScale>
        <cfvo type="num" val="$X$6"/>
        <cfvo type="num" val="$Y$6"/>
        <cfvo type="num" val="$Z$6"/>
        <color rgb="FFFF0000"/>
        <color rgb="FFFFEB84"/>
        <color theme="6" tint="-0.249977111117893"/>
      </colorScale>
    </cfRule>
  </conditionalFormatting>
  <conditionalFormatting sqref="AJ26:AO26">
    <cfRule type="colorScale" priority="58">
      <colorScale>
        <cfvo type="num" val="$AA$27"/>
        <cfvo type="num" val="$AB$27"/>
        <cfvo type="num" val="$AC$27"/>
        <color rgb="FFFF0000"/>
        <color rgb="FFFFEB84"/>
        <color theme="6" tint="-0.249977111117893"/>
      </colorScale>
    </cfRule>
  </conditionalFormatting>
  <conditionalFormatting sqref="AG6:AL6">
    <cfRule type="cellIs" dxfId="20" priority="174" operator="greaterThan">
      <formula>AC6</formula>
    </cfRule>
  </conditionalFormatting>
  <conditionalFormatting sqref="AO6">
    <cfRule type="cellIs" dxfId="19" priority="176" operator="greaterThan">
      <formula>AH6</formula>
    </cfRule>
  </conditionalFormatting>
  <conditionalFormatting sqref="AN6">
    <cfRule type="cellIs" dxfId="18" priority="178" operator="greaterThan">
      <formula>AH6</formula>
    </cfRule>
  </conditionalFormatting>
  <conditionalFormatting sqref="AM6">
    <cfRule type="cellIs" dxfId="17" priority="180" operator="greaterThan">
      <formula>AH6</formula>
    </cfRule>
  </conditionalFormatting>
  <conditionalFormatting sqref="AB6">
    <cfRule type="colorScale" priority="33">
      <colorScale>
        <cfvo type="num" val="$AA$7"/>
        <cfvo type="num" val="$AB$7"/>
        <cfvo type="num" val="$AC$7"/>
        <color rgb="FFFF0000"/>
        <color rgb="FFFFEB84"/>
        <color theme="6" tint="-0.249977111117893"/>
      </colorScale>
    </cfRule>
  </conditionalFormatting>
  <conditionalFormatting sqref="AA10:AC10">
    <cfRule type="colorScale" priority="29">
      <colorScale>
        <cfvo type="min"/>
        <cfvo type="percentile" val="50"/>
        <cfvo type="max"/>
        <color theme="6" tint="-0.249977111117893"/>
        <color rgb="FFFFEB84"/>
        <color rgb="FFFF0000"/>
      </colorScale>
    </cfRule>
  </conditionalFormatting>
  <conditionalFormatting sqref="AA19:AC19">
    <cfRule type="colorScale" priority="28">
      <colorScale>
        <cfvo type="num" val="$AA$19"/>
        <cfvo type="num" val="$AB$19"/>
        <cfvo type="num" val="$AC$19"/>
        <color rgb="FFFF0000"/>
        <color rgb="FFFFEB84"/>
        <color theme="6" tint="-0.249977111117893"/>
      </colorScale>
    </cfRule>
  </conditionalFormatting>
  <conditionalFormatting sqref="AA21:AO21">
    <cfRule type="colorScale" priority="27">
      <colorScale>
        <cfvo type="num" val="$AA$21"/>
        <cfvo type="num" val="$AB$21"/>
        <cfvo type="num" val="$AC$21"/>
        <color rgb="FFFF0000"/>
        <color rgb="FFFFEB84"/>
        <color theme="6" tint="-0.249977111117893"/>
      </colorScale>
    </cfRule>
  </conditionalFormatting>
  <conditionalFormatting sqref="AA22:AO23">
    <cfRule type="colorScale" priority="26">
      <colorScale>
        <cfvo type="num" val="$AA$22"/>
        <cfvo type="num" val="$AB$22"/>
        <cfvo type="num" val="$AC$22"/>
        <color rgb="FFFF3300"/>
        <color rgb="FFFFEB84"/>
        <color theme="6" tint="-0.249977111117893"/>
      </colorScale>
    </cfRule>
  </conditionalFormatting>
  <conditionalFormatting sqref="AA24:AO25">
    <cfRule type="colorScale" priority="25">
      <colorScale>
        <cfvo type="num" val="$AA$24"/>
        <cfvo type="num" val="$AB$24"/>
        <cfvo type="num" val="$AC$24"/>
        <color rgb="FFFF3300"/>
        <color rgb="FFFFEB84"/>
        <color theme="6" tint="-0.249977111117893"/>
      </colorScale>
    </cfRule>
  </conditionalFormatting>
  <conditionalFormatting sqref="AI19">
    <cfRule type="colorScale" priority="24">
      <colorScale>
        <cfvo type="num" val="$AA$18"/>
        <cfvo type="num" val="$AB$18"/>
        <cfvo type="num" val="$AC$18"/>
        <color rgb="FFFF0000"/>
        <color rgb="FFFFEB84"/>
        <color theme="6" tint="-0.249977111117893"/>
      </colorScale>
    </cfRule>
  </conditionalFormatting>
  <conditionalFormatting sqref="AO29:AT29">
    <cfRule type="colorScale" priority="23">
      <colorScale>
        <cfvo type="num" val="$AA$29"/>
        <cfvo type="num" val="$AB$29"/>
        <cfvo type="num" val="$AC$29"/>
        <color rgb="FFFF0000"/>
        <color rgb="FFFFEB84"/>
        <color theme="6" tint="-0.249977111117893"/>
      </colorScale>
    </cfRule>
  </conditionalFormatting>
  <conditionalFormatting sqref="AP7:AT7">
    <cfRule type="colorScale" priority="21">
      <colorScale>
        <cfvo type="num" val="$AA$7"/>
        <cfvo type="num" val="$AB$7"/>
        <cfvo type="num" val="$AC$7"/>
        <color rgb="FFFF0000"/>
        <color rgb="FFFFEB84"/>
        <color theme="6" tint="-0.249977111117893"/>
      </colorScale>
    </cfRule>
  </conditionalFormatting>
  <conditionalFormatting sqref="AP8:AT8">
    <cfRule type="colorScale" priority="20">
      <colorScale>
        <cfvo type="num" val="$AA$8"/>
        <cfvo type="num" val="$AB$8"/>
        <cfvo type="num" val="$AC$8"/>
        <color rgb="FFFF0000"/>
        <color rgb="FFFFEB84"/>
        <color theme="6" tint="-0.249977111117893"/>
      </colorScale>
    </cfRule>
  </conditionalFormatting>
  <conditionalFormatting sqref="AP9:AT9">
    <cfRule type="colorScale" priority="19">
      <colorScale>
        <cfvo type="num" val="$AA$9"/>
        <cfvo type="num" val="$AB$9"/>
        <cfvo type="num" val="$AC$9"/>
        <color rgb="FFFF0000"/>
        <color rgb="FFFFEB84"/>
        <color theme="6" tint="-0.249977111117893"/>
      </colorScale>
    </cfRule>
  </conditionalFormatting>
  <conditionalFormatting sqref="AP10:AT10">
    <cfRule type="colorScale" priority="18">
      <colorScale>
        <cfvo type="num" val="$AA$10"/>
        <cfvo type="num" val="$AB$10"/>
        <cfvo type="num" val="$AC$10"/>
        <color theme="6" tint="-0.249977111117893"/>
        <color rgb="FFFFEB84"/>
        <color rgb="FFFF0000"/>
      </colorScale>
    </cfRule>
  </conditionalFormatting>
  <conditionalFormatting sqref="AP11:AT11">
    <cfRule type="colorScale" priority="17">
      <colorScale>
        <cfvo type="num" val="$AA$11"/>
        <cfvo type="num" val="$AB$11"/>
        <cfvo type="num" val="$AC$11"/>
        <color rgb="FFFF0000"/>
        <color rgb="FFFFEB84"/>
        <color theme="6" tint="-0.249977111117893"/>
      </colorScale>
    </cfRule>
  </conditionalFormatting>
  <conditionalFormatting sqref="AP12:AT12">
    <cfRule type="colorScale" priority="16">
      <colorScale>
        <cfvo type="num" val="$AA$12"/>
        <cfvo type="num" val="$AB$12"/>
        <cfvo type="num" val="$AC$12"/>
        <color rgb="FFFF0000"/>
        <color rgb="FFFFEB84"/>
        <color theme="6" tint="-0.249977111117893"/>
      </colorScale>
    </cfRule>
  </conditionalFormatting>
  <conditionalFormatting sqref="AP13:AT13">
    <cfRule type="colorScale" priority="15">
      <colorScale>
        <cfvo type="num" val="$AA$13"/>
        <cfvo type="num" val="$AB$13"/>
        <cfvo type="num" val="$AC$13"/>
        <color rgb="FFFF0000"/>
        <color rgb="FFFFEB84"/>
        <color theme="6" tint="-0.249977111117893"/>
      </colorScale>
    </cfRule>
  </conditionalFormatting>
  <conditionalFormatting sqref="AP14:AT14 AP16:AT16">
    <cfRule type="colorScale" priority="14">
      <colorScale>
        <cfvo type="num" val="$AA$14"/>
        <cfvo type="num" val="$AB$14"/>
        <cfvo type="num" val="$AC$14"/>
        <color rgb="FFFF0000"/>
        <color rgb="FFFFEB84"/>
        <color theme="6" tint="-0.249977111117893"/>
      </colorScale>
    </cfRule>
  </conditionalFormatting>
  <conditionalFormatting sqref="AP18:AT18">
    <cfRule type="colorScale" priority="12">
      <colorScale>
        <cfvo type="num" val="$AA$18"/>
        <cfvo type="num" val="$AB$18"/>
        <cfvo type="num" val="$AC$18"/>
        <color rgb="FFFF0000"/>
        <color rgb="FFFFEB84"/>
        <color theme="6" tint="-0.249977111117893"/>
      </colorScale>
    </cfRule>
  </conditionalFormatting>
  <conditionalFormatting sqref="AP20:AT20">
    <cfRule type="colorScale" priority="11">
      <colorScale>
        <cfvo type="num" val="$AA$20"/>
        <cfvo type="num" val="$AB$20"/>
        <cfvo type="num" val="$AC$20"/>
        <color rgb="FFFF0000"/>
        <color rgb="FFFFEB84"/>
        <color theme="6" tint="-0.249977111117893"/>
      </colorScale>
    </cfRule>
  </conditionalFormatting>
  <conditionalFormatting sqref="AP27:AT27">
    <cfRule type="colorScale" priority="10">
      <colorScale>
        <cfvo type="num" val="$AA$27"/>
        <cfvo type="num" val="$AB$27"/>
        <cfvo type="num" val="$AC$27"/>
        <color rgb="FFFF0000"/>
        <color rgb="FFFFEB84"/>
        <color theme="6" tint="-0.249977111117893"/>
      </colorScale>
    </cfRule>
  </conditionalFormatting>
  <conditionalFormatting sqref="AP28:AT28">
    <cfRule type="colorScale" priority="9">
      <colorScale>
        <cfvo type="num" val="$AA$28"/>
        <cfvo type="num" val="$AB$28"/>
        <cfvo type="num" val="$AC$28"/>
        <color rgb="FFFF0000"/>
        <color rgb="FFFFEB84"/>
        <color theme="6" tint="-0.249977111117893"/>
      </colorScale>
    </cfRule>
  </conditionalFormatting>
  <conditionalFormatting sqref="AP6:AT6">
    <cfRule type="colorScale" priority="8">
      <colorScale>
        <cfvo type="num" val="$X$6"/>
        <cfvo type="num" val="$Y$6"/>
        <cfvo type="num" val="$Z$6"/>
        <color rgb="FFFF0000"/>
        <color rgb="FFFFEB84"/>
        <color theme="6" tint="-0.249977111117893"/>
      </colorScale>
    </cfRule>
  </conditionalFormatting>
  <conditionalFormatting sqref="AP26:AT26">
    <cfRule type="colorScale" priority="7">
      <colorScale>
        <cfvo type="num" val="$AA$27"/>
        <cfvo type="num" val="$AB$27"/>
        <cfvo type="num" val="$AC$27"/>
        <color rgb="FFFF0000"/>
        <color rgb="FFFFEB84"/>
        <color theme="6" tint="-0.249977111117893"/>
      </colorScale>
    </cfRule>
  </conditionalFormatting>
  <conditionalFormatting sqref="AP6:AT6">
    <cfRule type="cellIs" dxfId="16" priority="22" operator="greaterThan">
      <formula>AI6</formula>
    </cfRule>
  </conditionalFormatting>
  <conditionalFormatting sqref="AP21:AT21">
    <cfRule type="colorScale" priority="6">
      <colorScale>
        <cfvo type="num" val="$AA$21"/>
        <cfvo type="num" val="$AB$21"/>
        <cfvo type="num" val="$AC$21"/>
        <color rgb="FFFF0000"/>
        <color rgb="FFFFEB84"/>
        <color theme="6" tint="-0.249977111117893"/>
      </colorScale>
    </cfRule>
  </conditionalFormatting>
  <conditionalFormatting sqref="AP22:AT23">
    <cfRule type="colorScale" priority="5">
      <colorScale>
        <cfvo type="num" val="$AA$22"/>
        <cfvo type="num" val="$AB$22"/>
        <cfvo type="num" val="$AC$22"/>
        <color rgb="FFFF3300"/>
        <color rgb="FFFFEB84"/>
        <color theme="6" tint="-0.249977111117893"/>
      </colorScale>
    </cfRule>
  </conditionalFormatting>
  <conditionalFormatting sqref="AP24:AT25">
    <cfRule type="colorScale" priority="4">
      <colorScale>
        <cfvo type="num" val="$AA$24"/>
        <cfvo type="num" val="$AB$24"/>
        <cfvo type="num" val="$AC$24"/>
        <color rgb="FFFF3300"/>
        <color rgb="FFFFEB84"/>
        <color theme="6" tint="-0.249977111117893"/>
      </colorScale>
    </cfRule>
  </conditionalFormatting>
  <conditionalFormatting sqref="AO14">
    <cfRule type="colorScale" priority="3">
      <colorScale>
        <cfvo type="num" val="$AA$14"/>
        <cfvo type="num" val="$AB$14"/>
        <cfvo type="num" val="$AC$14"/>
        <color rgb="FFFF0000"/>
        <color rgb="FFFFEB84"/>
        <color theme="6" tint="-0.249977111117893"/>
      </colorScale>
    </cfRule>
  </conditionalFormatting>
  <conditionalFormatting sqref="AO16">
    <cfRule type="colorScale" priority="2">
      <colorScale>
        <cfvo type="num" val="$AA$14"/>
        <cfvo type="num" val="$AB$14"/>
        <cfvo type="num" val="$AC$14"/>
        <color rgb="FFFF0000"/>
        <color rgb="FFFFEB84"/>
        <color theme="6" tint="-0.249977111117893"/>
      </colorScale>
    </cfRule>
  </conditionalFormatting>
  <conditionalFormatting sqref="AP19:AT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G11"/>
  <sheetViews>
    <sheetView workbookViewId="0">
      <selection activeCell="G14" sqref="G14"/>
    </sheetView>
  </sheetViews>
  <sheetFormatPr baseColWidth="10" defaultRowHeight="15"/>
  <cols>
    <col min="4" max="4" width="15.28515625" bestFit="1" customWidth="1"/>
  </cols>
  <sheetData>
    <row r="9" spans="4:7">
      <c r="D9" s="771">
        <v>8500000000</v>
      </c>
      <c r="E9">
        <v>100</v>
      </c>
      <c r="G9">
        <f>+(D11*E9)/D9</f>
        <v>35.447188875999998</v>
      </c>
    </row>
    <row r="10" spans="4:7">
      <c r="D10" s="771">
        <v>3834524769</v>
      </c>
      <c r="E10">
        <v>100</v>
      </c>
      <c r="G10">
        <f>+(D11*E10)/D10</f>
        <v>78.575866266884447</v>
      </c>
    </row>
    <row r="11" spans="4:7">
      <c r="D11" s="771">
        <v>3013011054.46</v>
      </c>
      <c r="E11" t="s">
        <v>509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Y17"/>
  <sheetViews>
    <sheetView topLeftCell="D1" workbookViewId="0">
      <selection activeCell="Y12" sqref="Y12"/>
    </sheetView>
  </sheetViews>
  <sheetFormatPr baseColWidth="10" defaultRowHeight="15"/>
  <cols>
    <col min="5" max="8" width="0" hidden="1" customWidth="1"/>
    <col min="9" max="9" width="34.140625" hidden="1" customWidth="1"/>
    <col min="10" max="11" width="0" hidden="1" customWidth="1"/>
    <col min="12" max="12" width="18.42578125" hidden="1" customWidth="1"/>
    <col min="13" max="13" width="12" hidden="1" customWidth="1"/>
    <col min="14" max="16" width="0" hidden="1" customWidth="1"/>
    <col min="23" max="23" width="15.28515625" bestFit="1" customWidth="1"/>
    <col min="25" max="25" width="15.140625" bestFit="1" customWidth="1"/>
  </cols>
  <sheetData>
    <row r="4" spans="5:25">
      <c r="I4" s="765" t="s">
        <v>474</v>
      </c>
    </row>
    <row r="6" spans="5:25">
      <c r="L6" t="s">
        <v>477</v>
      </c>
      <c r="M6" t="s">
        <v>478</v>
      </c>
    </row>
    <row r="7" spans="5:25">
      <c r="K7" t="s">
        <v>475</v>
      </c>
      <c r="L7">
        <v>24910188203.779999</v>
      </c>
      <c r="M7">
        <v>21456571434.48</v>
      </c>
      <c r="N7">
        <f>+(L7*100)/M7</f>
        <v>116.09584634640254</v>
      </c>
      <c r="O7">
        <v>100</v>
      </c>
      <c r="P7" s="765">
        <f>+N7-O7</f>
        <v>16.095846346402539</v>
      </c>
    </row>
    <row r="8" spans="5:25">
      <c r="K8" t="s">
        <v>476</v>
      </c>
      <c r="L8">
        <v>25526515027.59</v>
      </c>
      <c r="M8">
        <v>23537620568.959999</v>
      </c>
      <c r="N8">
        <f>+(L8*100)/M8</f>
        <v>108.44985351345511</v>
      </c>
      <c r="O8">
        <v>100</v>
      </c>
      <c r="P8">
        <f>+N8-O8</f>
        <v>8.4498535134551105</v>
      </c>
    </row>
    <row r="9" spans="5:25">
      <c r="V9">
        <v>100</v>
      </c>
      <c r="W9">
        <v>8000000000</v>
      </c>
      <c r="X9" t="s">
        <v>479</v>
      </c>
      <c r="Y9" t="s">
        <v>482</v>
      </c>
    </row>
    <row r="10" spans="5:25">
      <c r="W10" s="771">
        <v>7586109350.5299997</v>
      </c>
      <c r="X10" t="s">
        <v>480</v>
      </c>
      <c r="Y10">
        <f>+(W10*V9)/W9</f>
        <v>94.826366881625006</v>
      </c>
    </row>
    <row r="11" spans="5:25">
      <c r="W11" s="771">
        <v>7209690969.5299997</v>
      </c>
      <c r="X11" t="s">
        <v>481</v>
      </c>
      <c r="Y11">
        <f>+W11*100/W10</f>
        <v>95.038057539024251</v>
      </c>
    </row>
    <row r="12" spans="5:25">
      <c r="I12" s="769"/>
    </row>
    <row r="13" spans="5:25">
      <c r="E13" t="s">
        <v>472</v>
      </c>
      <c r="I13" s="770"/>
    </row>
    <row r="14" spans="5:25">
      <c r="E14" t="s">
        <v>473</v>
      </c>
      <c r="I14" s="770" t="s">
        <v>470</v>
      </c>
    </row>
    <row r="15" spans="5:25">
      <c r="E15" t="e">
        <f>+E13/E14</f>
        <v>#VALUE!</v>
      </c>
      <c r="I15" s="770"/>
    </row>
    <row r="16" spans="5:25">
      <c r="I16" s="770" t="s">
        <v>471</v>
      </c>
    </row>
    <row r="17" spans="9:9">
      <c r="I17" s="770"/>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7"/>
  <sheetViews>
    <sheetView topLeftCell="A4" workbookViewId="0">
      <selection activeCell="B15" sqref="B15"/>
    </sheetView>
  </sheetViews>
  <sheetFormatPr baseColWidth="10" defaultRowHeight="15"/>
  <cols>
    <col min="2" max="2" width="78.140625" customWidth="1"/>
    <col min="5" max="6" width="21.85546875" bestFit="1" customWidth="1"/>
    <col min="7" max="7" width="27.5703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81" t="s">
        <v>463</v>
      </c>
    </row>
    <row r="14" spans="2:8">
      <c r="E14" t="s">
        <v>466</v>
      </c>
      <c r="F14" t="s">
        <v>467</v>
      </c>
      <c r="G14" t="s">
        <v>468</v>
      </c>
    </row>
    <row r="15" spans="2:8" ht="90">
      <c r="B15" s="181" t="s">
        <v>469</v>
      </c>
      <c r="E15" s="765">
        <v>19554218548.529999</v>
      </c>
      <c r="F15" s="765">
        <v>21735135297.009998</v>
      </c>
      <c r="G15" s="765">
        <v>19227028885.700001</v>
      </c>
    </row>
    <row r="16" spans="2:8">
      <c r="E16" s="765">
        <v>21456571434.48</v>
      </c>
      <c r="F16" s="765">
        <v>23537620568.349998</v>
      </c>
      <c r="G16" s="765">
        <v>21013229068.959999</v>
      </c>
    </row>
    <row r="17" spans="5:6">
      <c r="E17">
        <f>+E15/E16</f>
        <v>0.91133938188777996</v>
      </c>
      <c r="F17">
        <f>+F15/F16</f>
        <v>0.9234210923697308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RowHeight="15"/>
  <cols>
    <col min="6" max="6" width="59.85546875" customWidth="1"/>
    <col min="7" max="7" width="43.42578125" customWidth="1"/>
  </cols>
  <sheetData>
    <row r="10" spans="6:7" ht="105">
      <c r="F10" s="758" t="s">
        <v>462</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460</v>
      </c>
      <c r="E11" s="753">
        <v>16690514730.530001</v>
      </c>
      <c r="F11" s="753">
        <v>18214740191.799999</v>
      </c>
      <c r="H11" s="754">
        <f>+(F11*100)/E11</f>
        <v>109.13228552791072</v>
      </c>
      <c r="I11" s="756">
        <f>+H11-100</f>
        <v>9.1322855279107245</v>
      </c>
    </row>
    <row r="12" spans="4:9">
      <c r="D12" t="s">
        <v>461</v>
      </c>
      <c r="E12" s="753">
        <v>14999781739.27</v>
      </c>
      <c r="F12" s="753">
        <v>20154761426.970001</v>
      </c>
      <c r="H12" s="754">
        <f>+(F12*100)/E12</f>
        <v>134.36703131622286</v>
      </c>
      <c r="I12" s="755">
        <f>+H12-100</f>
        <v>34.367031316222864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459</v>
      </c>
      <c r="F9" s="752" t="s">
        <v>459</v>
      </c>
    </row>
    <row r="10" spans="4:6" ht="45">
      <c r="D10" s="751">
        <v>11050804592</v>
      </c>
      <c r="E10" s="750" t="s">
        <v>458</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I13"/>
  <sheetViews>
    <sheetView workbookViewId="0">
      <selection activeCell="G13" sqref="G13"/>
    </sheetView>
  </sheetViews>
  <sheetFormatPr baseColWidth="10" defaultColWidth="11.42578125" defaultRowHeight="15"/>
  <cols>
    <col min="6" max="6" width="15.28515625" customWidth="1"/>
    <col min="7" max="7" width="15.28515625" bestFit="1" customWidth="1"/>
    <col min="9" max="9" width="12" bestFit="1" customWidth="1"/>
  </cols>
  <sheetData>
    <row r="11" spans="6:9">
      <c r="F11" t="s">
        <v>464</v>
      </c>
      <c r="G11" s="759">
        <v>6616024046.5299997</v>
      </c>
    </row>
    <row r="12" spans="6:9">
      <c r="F12" t="s">
        <v>465</v>
      </c>
      <c r="G12" s="759">
        <v>6700000000</v>
      </c>
      <c r="I12" s="761">
        <f>+(G11*100)/G12</f>
        <v>98.74662756014925</v>
      </c>
    </row>
    <row r="13" spans="6:9">
      <c r="F13" t="s">
        <v>14</v>
      </c>
      <c r="G13" s="759">
        <v>8000000000</v>
      </c>
      <c r="I13" s="760">
        <f>+(G11*100)/G13</f>
        <v>82.700300581625001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337</v>
      </c>
      <c r="F6" t="s">
        <v>338</v>
      </c>
      <c r="G6" t="s">
        <v>339</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99" t="s">
        <v>47</v>
      </c>
      <c r="B1" s="999"/>
      <c r="C1" s="1000"/>
      <c r="D1" s="1001" t="s">
        <v>56</v>
      </c>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3"/>
      <c r="AF1" s="1015" t="s">
        <v>31</v>
      </c>
      <c r="AG1" s="1015"/>
    </row>
    <row r="2" spans="1:64" ht="15" customHeight="1">
      <c r="A2" s="1000"/>
      <c r="B2" s="1000"/>
      <c r="C2" s="1000"/>
      <c r="D2" s="1004"/>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6"/>
      <c r="AF2" s="1015"/>
      <c r="AG2" s="1015"/>
    </row>
    <row r="3" spans="1:64" ht="15" customHeight="1">
      <c r="A3" s="1000"/>
      <c r="B3" s="1000"/>
      <c r="C3" s="1000"/>
      <c r="D3" s="1007"/>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9"/>
      <c r="AF3" s="1015"/>
      <c r="AG3" s="1015"/>
    </row>
    <row r="4" spans="1:64" ht="15" customHeight="1">
      <c r="A4" s="1000"/>
      <c r="B4" s="1000"/>
      <c r="C4" s="1000"/>
      <c r="D4" s="1016" t="s">
        <v>44</v>
      </c>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8"/>
      <c r="AF4" s="1022" t="s">
        <v>32</v>
      </c>
      <c r="AG4" s="1022"/>
      <c r="AW4" s="64"/>
      <c r="AX4" s="64"/>
      <c r="AY4" s="64"/>
      <c r="AZ4" s="64"/>
      <c r="BA4" s="64"/>
      <c r="BB4" s="64"/>
      <c r="BC4" s="64"/>
      <c r="BD4" s="64"/>
      <c r="BE4" s="64"/>
      <c r="BF4" s="64"/>
      <c r="BG4" s="64"/>
      <c r="BH4" s="64"/>
      <c r="BI4" s="64"/>
      <c r="BJ4" s="64"/>
      <c r="BK4" s="64"/>
      <c r="BL4" s="64"/>
    </row>
    <row r="5" spans="1:64" ht="15" customHeight="1">
      <c r="A5" s="1000"/>
      <c r="B5" s="1000"/>
      <c r="C5" s="1000"/>
      <c r="D5" s="1019"/>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1"/>
      <c r="AF5" s="1023">
        <v>42731</v>
      </c>
      <c r="AG5" s="1023"/>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196</v>
      </c>
      <c r="J7" s="237" t="s">
        <v>5</v>
      </c>
      <c r="K7" s="237" t="s">
        <v>6</v>
      </c>
      <c r="L7" s="237" t="s">
        <v>355</v>
      </c>
      <c r="M7" s="237" t="s">
        <v>356</v>
      </c>
      <c r="N7" s="237" t="s">
        <v>365</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317</v>
      </c>
      <c r="AJ7" s="240" t="s">
        <v>318</v>
      </c>
      <c r="AK7" s="504" t="s">
        <v>372</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1024" t="s">
        <v>197</v>
      </c>
      <c r="B8" s="242">
        <v>1</v>
      </c>
      <c r="C8" s="243" t="s">
        <v>116</v>
      </c>
      <c r="D8" s="244" t="s">
        <v>112</v>
      </c>
      <c r="E8" s="245"/>
      <c r="F8" s="246"/>
      <c r="G8" s="243" t="s">
        <v>198</v>
      </c>
      <c r="H8" s="243" t="s">
        <v>199</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97"/>
      <c r="B9" s="260">
        <v>2</v>
      </c>
      <c r="C9" s="261" t="s">
        <v>200</v>
      </c>
      <c r="D9" s="262" t="s">
        <v>112</v>
      </c>
      <c r="E9" s="263"/>
      <c r="F9" s="264"/>
      <c r="G9" s="261" t="s">
        <v>201</v>
      </c>
      <c r="H9" s="261" t="s">
        <v>118</v>
      </c>
      <c r="I9" s="265" t="s">
        <v>276</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97"/>
      <c r="B10" s="260">
        <v>3</v>
      </c>
      <c r="C10" s="261" t="s">
        <v>117</v>
      </c>
      <c r="D10" s="262" t="s">
        <v>112</v>
      </c>
      <c r="E10" s="263"/>
      <c r="F10" s="264"/>
      <c r="G10" s="261" t="s">
        <v>202</v>
      </c>
      <c r="H10" s="261" t="s">
        <v>119</v>
      </c>
      <c r="I10" s="278" t="s">
        <v>203</v>
      </c>
      <c r="J10" s="279" t="s">
        <v>108</v>
      </c>
      <c r="K10" s="267"/>
      <c r="L10" s="267"/>
      <c r="M10" s="267"/>
      <c r="N10" s="267"/>
      <c r="O10" s="280" t="s">
        <v>313</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97"/>
      <c r="B11" s="260"/>
      <c r="C11" s="261" t="s">
        <v>311</v>
      </c>
      <c r="D11" s="262" t="s">
        <v>121</v>
      </c>
      <c r="E11" s="265"/>
      <c r="F11" s="281"/>
      <c r="G11" s="261" t="s">
        <v>204</v>
      </c>
      <c r="H11" s="261" t="s">
        <v>205</v>
      </c>
      <c r="I11" s="282">
        <v>0.94169999999999998</v>
      </c>
      <c r="J11" s="279" t="s">
        <v>206</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346</v>
      </c>
      <c r="AM11" s="232" t="s">
        <v>316</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98"/>
      <c r="B12" s="284"/>
      <c r="C12" s="285" t="s">
        <v>207</v>
      </c>
      <c r="D12" s="286" t="s">
        <v>121</v>
      </c>
      <c r="E12" s="285"/>
      <c r="F12" s="285"/>
      <c r="G12" s="287" t="s">
        <v>208</v>
      </c>
      <c r="H12" s="287" t="s">
        <v>209</v>
      </c>
      <c r="I12" s="288">
        <v>0.97</v>
      </c>
      <c r="J12" s="289" t="s">
        <v>210</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1028" t="s">
        <v>72</v>
      </c>
      <c r="B13" s="260">
        <v>5</v>
      </c>
      <c r="C13" s="262" t="s">
        <v>278</v>
      </c>
      <c r="D13" s="262" t="s">
        <v>113</v>
      </c>
      <c r="E13" s="301"/>
      <c r="F13" s="301"/>
      <c r="G13" s="262" t="s">
        <v>279</v>
      </c>
      <c r="H13" s="262" t="s">
        <v>280</v>
      </c>
      <c r="I13" s="302" t="s">
        <v>277</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1029"/>
      <c r="B14" s="260">
        <v>6</v>
      </c>
      <c r="C14" s="262" t="s">
        <v>211</v>
      </c>
      <c r="D14" s="262" t="s">
        <v>121</v>
      </c>
      <c r="E14" s="301"/>
      <c r="F14" s="301"/>
      <c r="G14" s="262" t="s">
        <v>347</v>
      </c>
      <c r="H14" s="262" t="s">
        <v>212</v>
      </c>
      <c r="I14" s="302" t="s">
        <v>277</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1029"/>
      <c r="B15" s="260"/>
      <c r="C15" s="304" t="s">
        <v>281</v>
      </c>
      <c r="D15" s="304" t="s">
        <v>113</v>
      </c>
      <c r="E15" s="305"/>
      <c r="F15" s="305"/>
      <c r="G15" s="304" t="s">
        <v>282</v>
      </c>
      <c r="H15" s="304" t="s">
        <v>283</v>
      </c>
      <c r="I15" s="302" t="s">
        <v>277</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1030"/>
      <c r="B16" s="317">
        <v>7</v>
      </c>
      <c r="C16" s="286" t="s">
        <v>120</v>
      </c>
      <c r="D16" s="286" t="s">
        <v>112</v>
      </c>
      <c r="E16" s="318"/>
      <c r="F16" s="318"/>
      <c r="G16" s="286" t="s">
        <v>170</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1025" t="s">
        <v>73</v>
      </c>
      <c r="B17" s="329">
        <v>8</v>
      </c>
      <c r="C17" s="244" t="s">
        <v>214</v>
      </c>
      <c r="D17" s="244" t="s">
        <v>121</v>
      </c>
      <c r="E17" s="330"/>
      <c r="F17" s="331"/>
      <c r="G17" s="244" t="s">
        <v>215</v>
      </c>
      <c r="H17" s="244" t="s">
        <v>216</v>
      </c>
      <c r="I17" s="332" t="s">
        <v>277</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295</v>
      </c>
      <c r="AV17" s="64"/>
      <c r="AW17" s="63"/>
      <c r="AX17" s="63"/>
      <c r="AY17" s="63"/>
      <c r="AZ17" s="63"/>
      <c r="BA17" s="63"/>
      <c r="BB17" s="63"/>
      <c r="BC17" s="63"/>
      <c r="BD17" s="63"/>
      <c r="BE17" s="63"/>
      <c r="BF17" s="63"/>
      <c r="BG17" s="63"/>
      <c r="BH17" s="63"/>
      <c r="BI17" s="64"/>
      <c r="BJ17" s="64"/>
      <c r="BK17" s="64"/>
    </row>
    <row r="18" spans="1:63" ht="92.25" hidden="1" thickBot="1">
      <c r="A18" s="1026"/>
      <c r="B18" s="334">
        <v>10</v>
      </c>
      <c r="C18" s="335" t="s">
        <v>217</v>
      </c>
      <c r="D18" s="262" t="s">
        <v>121</v>
      </c>
      <c r="E18" s="301"/>
      <c r="F18" s="336"/>
      <c r="G18" s="262" t="s">
        <v>299</v>
      </c>
      <c r="H18" s="262" t="s">
        <v>218</v>
      </c>
      <c r="I18" s="337" t="s">
        <v>277</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296</v>
      </c>
      <c r="AV18" s="64"/>
      <c r="AW18" s="63"/>
      <c r="AX18" s="63"/>
      <c r="AY18" s="63"/>
      <c r="AZ18" s="63"/>
      <c r="BA18" s="63"/>
      <c r="BB18" s="63"/>
      <c r="BC18" s="63"/>
      <c r="BD18" s="63"/>
      <c r="BE18" s="63"/>
      <c r="BF18" s="63"/>
      <c r="BG18" s="63"/>
      <c r="BH18" s="63"/>
      <c r="BI18" s="64"/>
      <c r="BJ18" s="64"/>
      <c r="BK18" s="64"/>
    </row>
    <row r="19" spans="1:63" ht="61.5" hidden="1" thickBot="1">
      <c r="A19" s="1026"/>
      <c r="B19" s="334">
        <v>11</v>
      </c>
      <c r="C19" s="338" t="s">
        <v>219</v>
      </c>
      <c r="D19" s="262" t="s">
        <v>113</v>
      </c>
      <c r="E19" s="301"/>
      <c r="F19" s="336"/>
      <c r="G19" s="262" t="s">
        <v>294</v>
      </c>
      <c r="H19" s="262" t="s">
        <v>297</v>
      </c>
      <c r="I19" s="337" t="s">
        <v>277</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298</v>
      </c>
      <c r="AV19" s="64"/>
      <c r="AW19" s="63"/>
      <c r="AX19" s="63"/>
      <c r="AY19" s="63"/>
      <c r="AZ19" s="63"/>
      <c r="BA19" s="63"/>
      <c r="BB19" s="63"/>
      <c r="BC19" s="63"/>
      <c r="BD19" s="63"/>
      <c r="BE19" s="63"/>
      <c r="BF19" s="63"/>
      <c r="BG19" s="63"/>
      <c r="BH19" s="63"/>
      <c r="BI19" s="64"/>
      <c r="BJ19" s="64"/>
      <c r="BK19" s="64"/>
    </row>
    <row r="20" spans="1:63" ht="41.25" hidden="1" thickBot="1">
      <c r="A20" s="1026"/>
      <c r="B20" s="334"/>
      <c r="C20" s="262" t="s">
        <v>122</v>
      </c>
      <c r="D20" s="304" t="s">
        <v>121</v>
      </c>
      <c r="E20" s="305"/>
      <c r="F20" s="339"/>
      <c r="G20" s="262" t="s">
        <v>123</v>
      </c>
      <c r="H20" s="262" t="s">
        <v>124</v>
      </c>
      <c r="I20" s="340" t="s">
        <v>312</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1026"/>
      <c r="B21" s="334"/>
      <c r="C21" s="262" t="s">
        <v>220</v>
      </c>
      <c r="D21" s="304" t="s">
        <v>112</v>
      </c>
      <c r="E21" s="305"/>
      <c r="F21" s="339"/>
      <c r="G21" s="262" t="s">
        <v>221</v>
      </c>
      <c r="H21" s="262" t="s">
        <v>222</v>
      </c>
      <c r="I21" s="265" t="s">
        <v>276</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1027"/>
      <c r="B22" s="341">
        <v>12</v>
      </c>
      <c r="C22" s="286" t="s">
        <v>223</v>
      </c>
      <c r="D22" s="286" t="s">
        <v>112</v>
      </c>
      <c r="E22" s="318"/>
      <c r="F22" s="342"/>
      <c r="G22" s="286" t="s">
        <v>224</v>
      </c>
      <c r="H22" s="286" t="s">
        <v>225</v>
      </c>
      <c r="I22" s="278" t="s">
        <v>203</v>
      </c>
      <c r="J22" s="279" t="s">
        <v>108</v>
      </c>
      <c r="K22" s="267"/>
      <c r="L22" s="267"/>
      <c r="M22" s="267"/>
      <c r="N22" s="267"/>
      <c r="O22" s="280" t="s">
        <v>275</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1012" t="s">
        <v>74</v>
      </c>
      <c r="B23" s="242">
        <f>+B22+1</f>
        <v>13</v>
      </c>
      <c r="C23" s="244" t="s">
        <v>226</v>
      </c>
      <c r="D23" s="244" t="s">
        <v>114</v>
      </c>
      <c r="E23" s="343"/>
      <c r="F23" s="331"/>
      <c r="G23" s="244" t="s">
        <v>227</v>
      </c>
      <c r="H23" s="244" t="s">
        <v>228</v>
      </c>
      <c r="I23" s="344" t="s">
        <v>277</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321</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1014"/>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1013"/>
      <c r="B25" s="351">
        <f t="shared" si="4"/>
        <v>15</v>
      </c>
      <c r="C25" s="286" t="s">
        <v>229</v>
      </c>
      <c r="D25" s="352" t="s">
        <v>112</v>
      </c>
      <c r="E25" s="318"/>
      <c r="F25" s="342"/>
      <c r="G25" s="353" t="s">
        <v>175</v>
      </c>
      <c r="H25" s="353" t="s">
        <v>191</v>
      </c>
      <c r="I25" s="354">
        <f>7.218/9.426-1</f>
        <v>-0.23424570337364736</v>
      </c>
      <c r="J25" s="289" t="s">
        <v>146</v>
      </c>
      <c r="K25" s="290" t="s">
        <v>100</v>
      </c>
      <c r="L25" s="290"/>
      <c r="M25" s="290"/>
      <c r="N25" s="290"/>
      <c r="O25" s="291">
        <f>+'Tablero Estratégico'!W10</f>
        <v>7</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1012" t="s">
        <v>48</v>
      </c>
      <c r="B26" s="242" t="e">
        <f>+#REF!+1</f>
        <v>#REF!</v>
      </c>
      <c r="C26" s="243" t="s">
        <v>126</v>
      </c>
      <c r="D26" s="243" t="s">
        <v>121</v>
      </c>
      <c r="E26" s="355"/>
      <c r="F26" s="355"/>
      <c r="G26" s="243" t="s">
        <v>230</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1014"/>
      <c r="B27" s="260" t="e">
        <f t="shared" si="4"/>
        <v>#REF!</v>
      </c>
      <c r="C27" s="261" t="s">
        <v>127</v>
      </c>
      <c r="D27" s="261" t="s">
        <v>121</v>
      </c>
      <c r="E27" s="357"/>
      <c r="F27" s="357"/>
      <c r="G27" s="335" t="s">
        <v>319</v>
      </c>
      <c r="H27" s="261" t="s">
        <v>231</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320</v>
      </c>
      <c r="AM27" s="226"/>
      <c r="AN27" s="138"/>
      <c r="AV27" s="64"/>
      <c r="AW27" s="63"/>
      <c r="AX27" s="63"/>
      <c r="AY27" s="63"/>
      <c r="AZ27" s="63"/>
      <c r="BA27" s="63"/>
      <c r="BB27" s="63"/>
      <c r="BC27" s="63"/>
      <c r="BD27" s="63"/>
      <c r="BE27" s="63"/>
      <c r="BF27" s="63"/>
      <c r="BG27" s="63"/>
      <c r="BH27" s="63"/>
      <c r="BI27" s="64"/>
      <c r="BJ27" s="64"/>
      <c r="BK27" s="64"/>
    </row>
    <row r="28" spans="1:63" ht="142.5" hidden="1" thickBot="1">
      <c r="A28" s="1014"/>
      <c r="B28" s="260" t="e">
        <f t="shared" si="4"/>
        <v>#REF!</v>
      </c>
      <c r="C28" s="261" t="s">
        <v>128</v>
      </c>
      <c r="D28" s="261" t="s">
        <v>121</v>
      </c>
      <c r="E28" s="357"/>
      <c r="F28" s="357"/>
      <c r="G28" s="261" t="s">
        <v>232</v>
      </c>
      <c r="H28" s="261" t="s">
        <v>233</v>
      </c>
      <c r="I28" s="272" t="s">
        <v>277</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1013"/>
      <c r="B29" s="317" t="e">
        <f t="shared" si="4"/>
        <v>#REF!</v>
      </c>
      <c r="C29" s="360" t="s">
        <v>234</v>
      </c>
      <c r="D29" s="361" t="s">
        <v>114</v>
      </c>
      <c r="E29" s="362"/>
      <c r="F29" s="362"/>
      <c r="G29" s="361" t="s">
        <v>213</v>
      </c>
      <c r="H29" s="286" t="s">
        <v>235</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344</v>
      </c>
      <c r="AM29" s="180"/>
      <c r="AN29" s="151"/>
      <c r="AV29" s="64"/>
      <c r="AW29" s="63"/>
      <c r="AX29" s="63"/>
      <c r="AY29" s="63"/>
      <c r="AZ29" s="63"/>
      <c r="BA29" s="63"/>
      <c r="BB29" s="63"/>
      <c r="BC29" s="63"/>
      <c r="BD29" s="63"/>
      <c r="BE29" s="63"/>
      <c r="BF29" s="63"/>
      <c r="BG29" s="63"/>
      <c r="BH29" s="63"/>
      <c r="BI29" s="64"/>
      <c r="BJ29" s="64"/>
      <c r="BK29" s="64"/>
    </row>
    <row r="30" spans="1:63" ht="61.5" hidden="1" thickBot="1">
      <c r="A30" s="1012" t="s">
        <v>75</v>
      </c>
      <c r="B30" s="365" t="e">
        <f t="shared" si="4"/>
        <v>#REF!</v>
      </c>
      <c r="C30" s="244" t="s">
        <v>109</v>
      </c>
      <c r="D30" s="244" t="s">
        <v>121</v>
      </c>
      <c r="E30" s="330"/>
      <c r="F30" s="331"/>
      <c r="G30" s="366" t="s">
        <v>303</v>
      </c>
      <c r="H30" s="244" t="s">
        <v>130</v>
      </c>
      <c r="I30" s="367">
        <v>0.97599999999999998</v>
      </c>
      <c r="J30" s="248" t="s">
        <v>108</v>
      </c>
      <c r="K30" s="249" t="s">
        <v>100</v>
      </c>
      <c r="L30" s="249"/>
      <c r="M30" s="249"/>
      <c r="N30" s="249"/>
      <c r="O30" s="250" t="s">
        <v>300</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334</v>
      </c>
      <c r="AM30" s="178"/>
      <c r="AN30" s="137"/>
      <c r="AV30" s="64"/>
      <c r="AW30" s="63"/>
      <c r="AX30" s="63"/>
      <c r="AY30" s="63"/>
      <c r="AZ30" s="63"/>
      <c r="BA30" s="63"/>
      <c r="BB30" s="63"/>
      <c r="BC30" s="63"/>
      <c r="BD30" s="63"/>
      <c r="BE30" s="63"/>
      <c r="BF30" s="63"/>
      <c r="BG30" s="63"/>
      <c r="BH30" s="63"/>
      <c r="BI30" s="64"/>
      <c r="BJ30" s="64"/>
      <c r="BK30" s="64"/>
    </row>
    <row r="31" spans="1:63" ht="81.75" hidden="1" thickBot="1">
      <c r="A31" s="1014"/>
      <c r="B31" s="369" t="e">
        <f t="shared" si="4"/>
        <v>#REF!</v>
      </c>
      <c r="C31" s="262" t="s">
        <v>110</v>
      </c>
      <c r="D31" s="262" t="s">
        <v>112</v>
      </c>
      <c r="E31" s="301"/>
      <c r="F31" s="301"/>
      <c r="G31" s="262" t="s">
        <v>301</v>
      </c>
      <c r="H31" s="262" t="s">
        <v>302</v>
      </c>
      <c r="I31" s="370" t="s">
        <v>277</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335</v>
      </c>
      <c r="AM31" s="226"/>
      <c r="AN31" s="138"/>
      <c r="AV31" s="64"/>
      <c r="AW31" s="63"/>
      <c r="AX31" s="63"/>
      <c r="AY31" s="63"/>
      <c r="AZ31" s="63"/>
      <c r="BA31" s="63"/>
      <c r="BB31" s="63"/>
      <c r="BC31" s="63"/>
      <c r="BD31" s="63"/>
      <c r="BE31" s="63"/>
      <c r="BF31" s="63"/>
      <c r="BG31" s="63"/>
      <c r="BH31" s="63"/>
      <c r="BI31" s="64"/>
      <c r="BJ31" s="64"/>
      <c r="BK31" s="64"/>
    </row>
    <row r="32" spans="1:63" ht="61.5" hidden="1" thickBot="1">
      <c r="A32" s="1013"/>
      <c r="B32" s="371" t="e">
        <f t="shared" si="4"/>
        <v>#REF!</v>
      </c>
      <c r="C32" s="304" t="s">
        <v>111</v>
      </c>
      <c r="D32" s="304" t="s">
        <v>121</v>
      </c>
      <c r="E32" s="305"/>
      <c r="F32" s="305"/>
      <c r="G32" s="304" t="s">
        <v>304</v>
      </c>
      <c r="H32" s="304" t="s">
        <v>236</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336</v>
      </c>
      <c r="AM32" s="228"/>
      <c r="AN32" s="179"/>
      <c r="AV32" s="64"/>
      <c r="AW32" s="63"/>
      <c r="AX32" s="63"/>
      <c r="AY32" s="63"/>
      <c r="AZ32" s="63"/>
      <c r="BA32" s="63"/>
      <c r="BB32" s="63"/>
      <c r="BC32" s="63"/>
      <c r="BD32" s="63"/>
      <c r="BE32" s="63"/>
      <c r="BF32" s="63"/>
      <c r="BG32" s="63"/>
      <c r="BH32" s="63"/>
      <c r="BI32" s="64"/>
      <c r="BJ32" s="64"/>
      <c r="BK32" s="64"/>
    </row>
    <row r="33" spans="1:63" s="4" customFormat="1" ht="81.75" hidden="1" thickBot="1">
      <c r="A33" s="1012" t="s">
        <v>77</v>
      </c>
      <c r="B33" s="365" t="e">
        <f>+#REF!+1</f>
        <v>#REF!</v>
      </c>
      <c r="C33" s="244" t="s">
        <v>131</v>
      </c>
      <c r="D33" s="244" t="s">
        <v>114</v>
      </c>
      <c r="E33" s="343"/>
      <c r="F33" s="343"/>
      <c r="G33" s="244" t="s">
        <v>132</v>
      </c>
      <c r="H33" s="244" t="s">
        <v>133</v>
      </c>
      <c r="I33" s="367">
        <f>+'Tablero Estratégico'!U29</f>
        <v>0</v>
      </c>
      <c r="J33" s="248" t="s">
        <v>147</v>
      </c>
      <c r="K33" s="249" t="s">
        <v>141</v>
      </c>
      <c r="L33" s="462"/>
      <c r="M33" s="462"/>
      <c r="N33" s="462"/>
      <c r="O33" s="461">
        <f>+'Tablero Estratégico'!W29</f>
        <v>0.95</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Estratégico'!AU29</f>
        <v>Se designó un responsable para el monitoreo constante del link de transparecncia. Como estrategía se realizar reuniones periódicas con las áreas para que la eficiencia en la información sea la más óptima.</v>
      </c>
      <c r="AM33" s="178"/>
      <c r="AN33" s="127"/>
      <c r="AO33" s="224" t="s">
        <v>305</v>
      </c>
      <c r="AV33" s="64"/>
      <c r="AW33" s="63"/>
      <c r="AX33" s="63"/>
      <c r="AY33" s="63"/>
      <c r="AZ33" s="63"/>
      <c r="BA33" s="63"/>
      <c r="BB33" s="63"/>
      <c r="BC33" s="63"/>
      <c r="BD33" s="63"/>
      <c r="BE33" s="63"/>
      <c r="BF33" s="63"/>
      <c r="BG33" s="63"/>
      <c r="BH33" s="63"/>
      <c r="BI33" s="64"/>
      <c r="BJ33" s="64"/>
      <c r="BK33" s="64"/>
    </row>
    <row r="34" spans="1:63" s="4" customFormat="1" ht="57" hidden="1" customHeight="1">
      <c r="A34" s="997"/>
      <c r="B34" s="376"/>
      <c r="C34" s="377" t="s">
        <v>340</v>
      </c>
      <c r="D34" s="377" t="s">
        <v>114</v>
      </c>
      <c r="E34" s="378"/>
      <c r="F34" s="378"/>
      <c r="G34" s="379" t="s">
        <v>341</v>
      </c>
      <c r="H34" s="377" t="s">
        <v>342</v>
      </c>
      <c r="I34" s="380" t="s">
        <v>277</v>
      </c>
      <c r="J34" s="381" t="s">
        <v>108</v>
      </c>
      <c r="K34" s="382"/>
      <c r="L34" s="382"/>
      <c r="M34" s="382"/>
      <c r="N34" s="382"/>
      <c r="O34" s="280" t="s">
        <v>343</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353</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1013"/>
      <c r="B35" s="392" t="e">
        <f>+#REF!+1</f>
        <v>#REF!</v>
      </c>
      <c r="C35" s="286" t="s">
        <v>237</v>
      </c>
      <c r="D35" s="286" t="s">
        <v>114</v>
      </c>
      <c r="E35" s="318"/>
      <c r="F35" s="318"/>
      <c r="G35" s="393" t="s">
        <v>306</v>
      </c>
      <c r="H35" s="286" t="s">
        <v>238</v>
      </c>
      <c r="I35" s="394" t="s">
        <v>277</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352</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1010" t="s">
        <v>78</v>
      </c>
      <c r="B36" s="396" t="e">
        <f t="shared" si="4"/>
        <v>#REF!</v>
      </c>
      <c r="C36" s="243" t="s">
        <v>307</v>
      </c>
      <c r="D36" s="243" t="s">
        <v>121</v>
      </c>
      <c r="E36" s="355"/>
      <c r="F36" s="355"/>
      <c r="G36" s="243" t="s">
        <v>308</v>
      </c>
      <c r="H36" s="243" t="s">
        <v>309</v>
      </c>
      <c r="I36" s="397">
        <v>0.75</v>
      </c>
      <c r="J36" s="248" t="s">
        <v>108</v>
      </c>
      <c r="K36" s="249" t="s">
        <v>100</v>
      </c>
      <c r="L36" s="249"/>
      <c r="M36" s="249"/>
      <c r="N36" s="249"/>
      <c r="O36" s="250" t="s">
        <v>350</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351</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1011"/>
      <c r="B37" s="398" t="e">
        <f>+B36+1</f>
        <v>#REF!</v>
      </c>
      <c r="C37" s="361" t="s">
        <v>134</v>
      </c>
      <c r="D37" s="361" t="s">
        <v>135</v>
      </c>
      <c r="E37" s="362"/>
      <c r="F37" s="362"/>
      <c r="G37" s="361" t="s">
        <v>239</v>
      </c>
      <c r="H37" s="361" t="s">
        <v>136</v>
      </c>
      <c r="I37" s="399" t="s">
        <v>277</v>
      </c>
      <c r="J37" s="395" t="s">
        <v>240</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1012" t="s">
        <v>241</v>
      </c>
      <c r="B38" s="242" t="e">
        <f t="shared" si="4"/>
        <v>#REF!</v>
      </c>
      <c r="C38" s="401" t="s">
        <v>242</v>
      </c>
      <c r="D38" s="243" t="s">
        <v>121</v>
      </c>
      <c r="E38" s="245"/>
      <c r="F38" s="355"/>
      <c r="G38" s="470" t="s">
        <v>243</v>
      </c>
      <c r="H38" s="470" t="s">
        <v>366</v>
      </c>
      <c r="I38" s="471">
        <v>0</v>
      </c>
      <c r="J38" s="472" t="s">
        <v>244</v>
      </c>
      <c r="K38" s="473" t="s">
        <v>100</v>
      </c>
      <c r="L38" s="467" t="s">
        <v>362</v>
      </c>
      <c r="M38" s="468" t="s">
        <v>368</v>
      </c>
      <c r="N38" s="469" t="s">
        <v>367</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345</v>
      </c>
      <c r="AM38" s="178"/>
      <c r="AN38" s="137"/>
      <c r="AV38" s="64"/>
      <c r="AW38" s="63"/>
      <c r="AX38" s="63"/>
      <c r="AY38" s="63"/>
      <c r="AZ38" s="63"/>
      <c r="BA38" s="63"/>
      <c r="BB38" s="63"/>
      <c r="BC38" s="63"/>
      <c r="BD38" s="63"/>
      <c r="BE38" s="63"/>
      <c r="BF38" s="63"/>
      <c r="BG38" s="63"/>
      <c r="BH38" s="63"/>
      <c r="BI38" s="64"/>
      <c r="BJ38" s="64"/>
      <c r="BK38" s="64"/>
    </row>
    <row r="39" spans="1:63" ht="77.25" hidden="1" thickBot="1">
      <c r="A39" s="1013"/>
      <c r="B39" s="317" t="e">
        <f>+#REF!+1</f>
        <v>#REF!</v>
      </c>
      <c r="C39" s="393" t="s">
        <v>245</v>
      </c>
      <c r="D39" s="286" t="s">
        <v>113</v>
      </c>
      <c r="E39" s="402"/>
      <c r="F39" s="318"/>
      <c r="G39" s="474" t="s">
        <v>246</v>
      </c>
      <c r="H39" s="349" t="s">
        <v>247</v>
      </c>
      <c r="I39" s="475">
        <v>0.85</v>
      </c>
      <c r="J39" s="476" t="s">
        <v>240</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248</v>
      </c>
      <c r="AV39" s="64"/>
      <c r="AW39" s="63"/>
      <c r="AX39" s="63"/>
      <c r="AY39" s="63"/>
      <c r="AZ39" s="63"/>
      <c r="BA39" s="63"/>
      <c r="BB39" s="63"/>
      <c r="BC39" s="63"/>
      <c r="BD39" s="63"/>
      <c r="BE39" s="63"/>
      <c r="BF39" s="63"/>
      <c r="BG39" s="63"/>
      <c r="BH39" s="63"/>
      <c r="BI39" s="64"/>
      <c r="BJ39" s="64"/>
      <c r="BK39" s="64"/>
    </row>
    <row r="40" spans="1:63" ht="42" hidden="1">
      <c r="A40" s="1012"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0.85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1014"/>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1014"/>
      <c r="B42" s="409" t="e">
        <f>+#REF!+1</f>
        <v>#REF!</v>
      </c>
      <c r="C42" s="335" t="s">
        <v>249</v>
      </c>
      <c r="D42" s="335" t="s">
        <v>112</v>
      </c>
      <c r="E42" s="410"/>
      <c r="F42" s="411"/>
      <c r="G42" s="412" t="s">
        <v>250</v>
      </c>
      <c r="H42" s="412" t="s">
        <v>251</v>
      </c>
      <c r="I42" s="479" t="s">
        <v>277</v>
      </c>
      <c r="J42" s="481" t="s">
        <v>244</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1014"/>
      <c r="B43" s="409" t="e">
        <f t="shared" si="4"/>
        <v>#REF!</v>
      </c>
      <c r="C43" s="335" t="s">
        <v>252</v>
      </c>
      <c r="D43" s="335" t="s">
        <v>121</v>
      </c>
      <c r="E43" s="410"/>
      <c r="F43" s="411"/>
      <c r="G43" s="412" t="s">
        <v>253</v>
      </c>
      <c r="H43" s="412" t="s">
        <v>254</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1014"/>
      <c r="B44" s="409" t="e">
        <f t="shared" si="4"/>
        <v>#REF!</v>
      </c>
      <c r="C44" s="335" t="s">
        <v>255</v>
      </c>
      <c r="D44" s="335" t="s">
        <v>121</v>
      </c>
      <c r="E44" s="411"/>
      <c r="F44" s="411"/>
      <c r="G44" s="412" t="s">
        <v>256</v>
      </c>
      <c r="H44" s="412" t="s">
        <v>257</v>
      </c>
      <c r="I44" s="479" t="s">
        <v>277</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1013"/>
      <c r="B45" s="347"/>
      <c r="C45" s="413" t="s">
        <v>258</v>
      </c>
      <c r="D45" s="413" t="s">
        <v>121</v>
      </c>
      <c r="E45" s="414"/>
      <c r="F45" s="414"/>
      <c r="G45" s="483" t="s">
        <v>259</v>
      </c>
      <c r="H45" s="483" t="s">
        <v>260</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261</v>
      </c>
      <c r="H46" s="487" t="s">
        <v>262</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Estratégico'!AU24</f>
        <v xml:space="preserve">Para cumplir con la meta acumualada y de acuerdo con los históricos:
Ene:   $ 2.217.931.658     (26,09%)   
 - Real a Ene: $ 2.101.993.441,28 (25,23% en el acumulado  98,60% del mes)
Feb:   $ 2.815.469.050     (33,12%) 
- Real a Feb: $ 2.498.382.229,20 (29,39% en el acumulado  88,73% del mes)
Mar:   $ 3.166.449.610     (37,25%)
- Real a Mar $2.702.501.945,46 (  31,83% en el acumulado  85,44% del mes)
Abr:   $ 3.538.975.396      (41,64%)
- Real a Abr $ 2.897.201.901,46 ( 34,084% en el acumulado  81,86% del mes)
May: $ 3.834.524.769      (45,11%)
- Real a May: $3.013.011.054,46 ( 35,47% en el acumulado  78,57% del mes)
Jun:   $ 4.226.109.249      (49,72%)    
Jul:    $4.836.325.721        (56,90%)
Ago: $6.589.971.626         (77,53%)
Sep:   $ 7.138.680.187      (83,98%) 
Oct:   $7,700,000,000       (90,50%)
Nov:   $ 8,200,000,000     (96,47%) 
Dic:   $ 8,500,000,000      (100%) 
</v>
      </c>
      <c r="AM46" s="230"/>
      <c r="AN46" s="182"/>
      <c r="AO46" s="224"/>
      <c r="AV46" s="64"/>
      <c r="AW46" s="63"/>
      <c r="AX46" s="63"/>
      <c r="AY46" s="63"/>
      <c r="AZ46" s="63"/>
      <c r="BA46" s="63"/>
      <c r="BB46" s="63"/>
      <c r="BC46" s="63"/>
      <c r="BD46" s="63"/>
      <c r="BE46" s="63"/>
      <c r="BF46" s="63"/>
      <c r="BG46" s="63"/>
      <c r="BH46" s="63"/>
      <c r="BI46" s="64"/>
      <c r="BJ46" s="64"/>
      <c r="BK46" s="64"/>
    </row>
    <row r="47" spans="1:63" ht="63" hidden="1">
      <c r="A47" s="1012" t="s">
        <v>81</v>
      </c>
      <c r="B47" s="365" t="e">
        <f>+#REF!+1</f>
        <v>#REF!</v>
      </c>
      <c r="C47" s="243" t="s">
        <v>263</v>
      </c>
      <c r="D47" s="244" t="s">
        <v>114</v>
      </c>
      <c r="E47" s="343"/>
      <c r="F47" s="343"/>
      <c r="G47" s="491" t="s">
        <v>264</v>
      </c>
      <c r="H47" s="491" t="s">
        <v>265</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01.25" hidden="1">
      <c r="A48" s="1014"/>
      <c r="B48" s="369" t="e">
        <f t="shared" si="4"/>
        <v>#REF!</v>
      </c>
      <c r="C48" s="262" t="s">
        <v>266</v>
      </c>
      <c r="D48" s="262" t="s">
        <v>121</v>
      </c>
      <c r="E48" s="301"/>
      <c r="F48" s="301"/>
      <c r="G48" s="493" t="s">
        <v>267</v>
      </c>
      <c r="H48" s="493" t="s">
        <v>268</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Estratégico'!AU26</f>
        <v xml:space="preserve">Acumulado con corte a Mayo, se recaudaron $9.282.406.184,00 (incluídos recursos Nación) y se comprometieron $12.094.839.381,42 . Pagos acumulados están en $8.587.945.511,16
</v>
      </c>
      <c r="AM48" s="226"/>
      <c r="AN48" s="138"/>
      <c r="AV48" s="64"/>
      <c r="AW48" s="63"/>
      <c r="AX48" s="63"/>
      <c r="AY48" s="63"/>
      <c r="AZ48" s="63"/>
      <c r="BA48" s="63"/>
      <c r="BB48" s="63"/>
      <c r="BC48" s="63"/>
      <c r="BD48" s="63"/>
      <c r="BE48" s="63"/>
      <c r="BF48" s="63"/>
      <c r="BG48" s="63"/>
      <c r="BH48" s="63"/>
      <c r="BI48" s="64"/>
      <c r="BJ48" s="64"/>
      <c r="BK48" s="64"/>
    </row>
    <row r="49" spans="1:64" ht="42.75" hidden="1" thickBot="1">
      <c r="A49" s="1013"/>
      <c r="B49" s="392" t="e">
        <f t="shared" si="4"/>
        <v>#REF!</v>
      </c>
      <c r="C49" s="286" t="s">
        <v>140</v>
      </c>
      <c r="D49" s="286" t="s">
        <v>112</v>
      </c>
      <c r="E49" s="318"/>
      <c r="F49" s="318"/>
      <c r="G49" s="349" t="s">
        <v>172</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97" t="s">
        <v>269</v>
      </c>
      <c r="B50" s="430" t="e">
        <f>+#REF!+1</f>
        <v>#REF!</v>
      </c>
      <c r="C50" s="431" t="s">
        <v>310</v>
      </c>
      <c r="D50" s="432" t="s">
        <v>113</v>
      </c>
      <c r="E50" s="433"/>
      <c r="F50" s="433"/>
      <c r="G50" s="496" t="s">
        <v>270</v>
      </c>
      <c r="H50" s="496" t="s">
        <v>271</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348</v>
      </c>
      <c r="AM50" s="226"/>
      <c r="AN50" s="138"/>
      <c r="AV50" s="64"/>
      <c r="AW50" s="63"/>
      <c r="AX50" s="63"/>
      <c r="AY50" s="63"/>
      <c r="AZ50" s="63"/>
      <c r="BA50" s="63"/>
      <c r="BB50" s="63"/>
      <c r="BC50" s="63"/>
      <c r="BD50" s="63"/>
      <c r="BE50" s="63"/>
      <c r="BF50" s="63"/>
      <c r="BG50" s="63"/>
      <c r="BH50" s="63"/>
      <c r="BI50" s="64"/>
      <c r="BJ50" s="64"/>
      <c r="BK50" s="64"/>
    </row>
    <row r="51" spans="1:64" ht="63.75" hidden="1" thickBot="1">
      <c r="A51" s="998"/>
      <c r="B51" s="444"/>
      <c r="C51" s="287" t="s">
        <v>272</v>
      </c>
      <c r="D51" s="445" t="s">
        <v>113</v>
      </c>
      <c r="E51" s="318"/>
      <c r="F51" s="318"/>
      <c r="G51" s="500" t="s">
        <v>273</v>
      </c>
      <c r="H51" s="500" t="s">
        <v>274</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349</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314</v>
      </c>
      <c r="D3" s="186" t="s">
        <v>291</v>
      </c>
      <c r="E3" s="186" t="s">
        <v>292</v>
      </c>
      <c r="F3" s="192" t="s">
        <v>40</v>
      </c>
    </row>
    <row r="4" spans="3:6" ht="28.5" customHeight="1">
      <c r="C4" s="1034" t="s">
        <v>284</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035"/>
      <c r="D5" s="196" t="str">
        <f>+'Tablero Eficacia - Eficiencia'!C32</f>
        <v>Actividades de formación integral</v>
      </c>
      <c r="E5" s="215">
        <f>+'Tablero Eficacia - Eficiencia'!I32</f>
        <v>0.98</v>
      </c>
      <c r="F5" s="206">
        <f>+'Tablero Eficacia - Eficiencia'!O32</f>
        <v>1</v>
      </c>
    </row>
    <row r="6" spans="3:6" ht="38.25" customHeight="1">
      <c r="C6" s="1034" t="s">
        <v>285</v>
      </c>
      <c r="D6" s="194" t="str">
        <f>+'Tablero Eficacia - Eficiencia'!C9</f>
        <v xml:space="preserve">Variación de pruebas saber pro </v>
      </c>
      <c r="E6" s="193" t="str">
        <f>+'Tablero Eficacia - Eficiencia'!I9</f>
        <v>9.9925(2016)/9,9204(2015)</v>
      </c>
      <c r="F6" s="211">
        <f>+'Tablero Eficacia - Eficiencia'!O9</f>
        <v>7.2678521027376153E-3</v>
      </c>
    </row>
    <row r="7" spans="3:6">
      <c r="C7" s="1036"/>
      <c r="D7" s="191" t="str">
        <f>+'Tablero Eficacia - Eficiencia'!C10</f>
        <v>Índice de empleabilidad</v>
      </c>
      <c r="E7" s="187" t="str">
        <f>+'Tablero Eficacia - Eficiencia'!I10</f>
        <v>95,7% (Medición del 2015, no hay datos 2016)</v>
      </c>
      <c r="F7" s="205" t="str">
        <f>+'Tablero Eficacia - Eficiencia'!O10</f>
        <v>&gt;= 96%</v>
      </c>
    </row>
    <row r="8" spans="3:6">
      <c r="C8" s="1036"/>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036"/>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036"/>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036"/>
      <c r="D11" s="191" t="str">
        <f>+'Tablero Eficacia - Eficiencia'!C20</f>
        <v>Revisión de syllabus</v>
      </c>
      <c r="E11" s="189" t="str">
        <f>+'Tablero Eficacia - Eficiencia'!I20</f>
        <v>75% (11/15)</v>
      </c>
      <c r="F11" s="205">
        <f>+'Tablero Eficacia - Eficiencia'!O20</f>
        <v>0.9</v>
      </c>
    </row>
    <row r="12" spans="3:6">
      <c r="C12" s="1036"/>
      <c r="D12" s="197" t="str">
        <f>+'Tablero Eficacia - Eficiencia'!C23</f>
        <v>Rendimiento académico periódico</v>
      </c>
      <c r="E12" s="188" t="str">
        <f>+'Tablero Eficacia - Eficiencia'!I23</f>
        <v>No tiene, es la primera vez que se mide este impacto</v>
      </c>
      <c r="F12" s="205">
        <f>+'Tablero Eficacia - Eficiencia'!O23</f>
        <v>0</v>
      </c>
    </row>
    <row r="13" spans="3:6">
      <c r="C13" s="1036"/>
      <c r="D13" s="197" t="str">
        <f>+'Tablero Eficacia - Eficiencia'!C24</f>
        <v xml:space="preserve">Promoción escolar </v>
      </c>
      <c r="E13" s="187">
        <f>+'Tablero Eficacia - Eficiencia'!I24</f>
        <v>0.8571428571428571</v>
      </c>
      <c r="F13" s="205">
        <f>+'Tablero Eficacia - Eficiencia'!O24</f>
        <v>0.87</v>
      </c>
    </row>
    <row r="14" spans="3:6" ht="15.75" thickBot="1">
      <c r="C14" s="1035"/>
      <c r="D14" s="198" t="str">
        <f>+'Tablero Eficacia - Eficiencia'!C25</f>
        <v xml:space="preserve">Desempeño pruebas saber </v>
      </c>
      <c r="E14" s="212">
        <f>+'Tablero Eficacia - Eficiencia'!I25</f>
        <v>-0.23424570337364736</v>
      </c>
      <c r="F14" s="206">
        <f>+'Tablero Eficacia - Eficiencia'!O25</f>
        <v>7</v>
      </c>
    </row>
    <row r="15" spans="3:6">
      <c r="C15" s="1031" t="s">
        <v>286</v>
      </c>
      <c r="D15" s="200" t="str">
        <f>+'Tablero Eficacia - Eficiencia'!C26</f>
        <v>Proyectos de formación en actividades</v>
      </c>
      <c r="E15" s="213">
        <f>+'Tablero Eficacia - Eficiencia'!I26</f>
        <v>1</v>
      </c>
      <c r="F15" s="207">
        <f>+'Tablero Eficacia - Eficiencia'!O26</f>
        <v>1</v>
      </c>
    </row>
    <row r="16" spans="3:6">
      <c r="C16" s="1032"/>
      <c r="D16" s="197" t="str">
        <f>+'Tablero Eficacia - Eficiencia'!C27</f>
        <v>Proyectos  de  apoyo a las actividades</v>
      </c>
      <c r="E16" s="216">
        <f>+'Tablero Eficacia - Eficiencia'!I27</f>
        <v>0.9</v>
      </c>
      <c r="F16" s="205">
        <f>+'Tablero Eficacia - Eficiencia'!O27</f>
        <v>1</v>
      </c>
    </row>
    <row r="17" spans="3:6" ht="15.75" thickBot="1">
      <c r="C17" s="1033"/>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287</v>
      </c>
      <c r="D18" s="202" t="str">
        <f>+'Tablero Eficacia - Eficiencia'!C8</f>
        <v>Programas acreditados</v>
      </c>
      <c r="E18" s="203">
        <f>+'Tablero Eficacia - Eficiencia'!I8</f>
        <v>0.1111111111111111</v>
      </c>
      <c r="F18" s="208">
        <f>+'Tablero Eficacia - Eficiencia'!O8</f>
        <v>0.1111111111111111</v>
      </c>
    </row>
    <row r="19" spans="3:6" ht="30.75" customHeight="1">
      <c r="C19" s="1031" t="s">
        <v>288</v>
      </c>
      <c r="D19" s="194" t="str">
        <f>+'Tablero Eficacia - Eficiencia'!C11</f>
        <v>Cumplimiento de actividades de movilidad</v>
      </c>
      <c r="E19" s="217">
        <f>+'Tablero Eficacia - Eficiencia'!I11</f>
        <v>0.94169999999999998</v>
      </c>
      <c r="F19" s="207">
        <f>+'Tablero Eficacia - Eficiencia'!O11</f>
        <v>1</v>
      </c>
    </row>
    <row r="20" spans="3:6" ht="15.75" thickBot="1">
      <c r="C20" s="1033"/>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1031" t="s">
        <v>289</v>
      </c>
      <c r="D21" s="200" t="str">
        <f>+'Tablero Eficacia - Eficiencia'!C12</f>
        <v>Cumplimiento del Plan de Desarrollo Institucional</v>
      </c>
      <c r="E21" s="213">
        <f>+'Tablero Eficacia - Eficiencia'!I12</f>
        <v>0.97</v>
      </c>
      <c r="F21" s="207">
        <f>+'Tablero Eficacia - Eficiencia'!O12</f>
        <v>0.98</v>
      </c>
    </row>
    <row r="22" spans="3:6">
      <c r="C22" s="1032"/>
      <c r="D22" s="197" t="str">
        <f>+'Tablero Eficacia - Eficiencia'!C38</f>
        <v>Seguimiento a las hojas de vida de los funcionarios</v>
      </c>
      <c r="E22" s="189">
        <f>+'Tablero Eficacia - Eficiencia'!I38</f>
        <v>0</v>
      </c>
      <c r="F22" s="205">
        <f>+'Tablero Eficacia - Eficiencia'!O38</f>
        <v>1</v>
      </c>
    </row>
    <row r="23" spans="3:6">
      <c r="C23" s="1032"/>
      <c r="D23" s="197" t="str">
        <f>+'Tablero Eficacia - Eficiencia'!C39</f>
        <v xml:space="preserve">Seguimiento al servicio permanente </v>
      </c>
      <c r="E23" s="216">
        <f>+'Tablero Eficacia - Eficiencia'!I39</f>
        <v>0.85</v>
      </c>
      <c r="F23" s="205">
        <f>+'Tablero Eficacia - Eficiencia'!O39</f>
        <v>0.92</v>
      </c>
    </row>
    <row r="24" spans="3:6">
      <c r="C24" s="1032"/>
      <c r="D24" s="197" t="str">
        <f>+'Tablero Eficacia - Eficiencia'!C40</f>
        <v xml:space="preserve">Clima laboral </v>
      </c>
      <c r="E24" s="231">
        <f>+'Tablero Eficacia - Eficiencia'!I40</f>
        <v>0.41299999999999998</v>
      </c>
      <c r="F24" s="209">
        <f>+'Tablero Eficacia - Eficiencia'!O40</f>
        <v>0.85</v>
      </c>
    </row>
    <row r="25" spans="3:6" ht="36.75" customHeight="1">
      <c r="C25" s="1032"/>
      <c r="D25" s="191" t="str">
        <f>+'Tablero Eficacia - Eficiencia'!C43</f>
        <v xml:space="preserve">Cumplimiento del programa de bienestar laboral </v>
      </c>
      <c r="E25" s="214">
        <f>+'Tablero Eficacia - Eficiencia'!I43</f>
        <v>1</v>
      </c>
      <c r="F25" s="210">
        <f>+'Tablero Eficacia - Eficiencia'!O43</f>
        <v>1</v>
      </c>
    </row>
    <row r="26" spans="3:6" ht="15.75" thickBot="1">
      <c r="C26" s="1033"/>
      <c r="D26" s="198" t="str">
        <f>+'Tablero Eficacia - Eficiencia'!C45</f>
        <v>Cumplimiento del plan de capacitación</v>
      </c>
      <c r="E26" s="215">
        <f>+'Tablero Eficacia - Eficiencia'!I45</f>
        <v>1</v>
      </c>
      <c r="F26" s="206">
        <f>+'Tablero Eficacia - Eficiencia'!O45</f>
        <v>1</v>
      </c>
    </row>
    <row r="27" spans="3:6">
      <c r="C27" s="1031" t="s">
        <v>290</v>
      </c>
      <c r="D27" s="200" t="str">
        <f>+'Tablero Eficacia - Eficiencia'!C19</f>
        <v>Uso de talleres y laboratorios</v>
      </c>
      <c r="E27" s="201" t="str">
        <f>+'Tablero Eficacia - Eficiencia'!I19</f>
        <v>No tiene, es la primera vez que se mide este impacto</v>
      </c>
      <c r="F27" s="207">
        <f>+'Tablero Eficacia - Eficiencia'!O19</f>
        <v>1</v>
      </c>
    </row>
    <row r="28" spans="3:6">
      <c r="C28" s="1032"/>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1033"/>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37" t="s">
        <v>333</v>
      </c>
      <c r="M6" s="1037"/>
    </row>
    <row r="7" spans="4:13">
      <c r="E7" t="s">
        <v>322</v>
      </c>
      <c r="F7" t="s">
        <v>323</v>
      </c>
      <c r="L7" t="s">
        <v>331</v>
      </c>
      <c r="M7" t="s">
        <v>332</v>
      </c>
    </row>
    <row r="8" spans="4:13">
      <c r="D8" t="s">
        <v>324</v>
      </c>
      <c r="E8" s="185">
        <f>+'[2]ARTES-MUSICA '!$AC$30</f>
        <v>0.98</v>
      </c>
      <c r="F8">
        <f>+'[2]ARTES-MUSICA '!$AE$30</f>
        <v>14677</v>
      </c>
      <c r="H8">
        <v>98</v>
      </c>
      <c r="I8">
        <f>+'[2]ARTES-MUSICA '!$AE$30</f>
        <v>14677</v>
      </c>
      <c r="L8">
        <v>22</v>
      </c>
      <c r="M8">
        <v>23</v>
      </c>
    </row>
    <row r="9" spans="4:13">
      <c r="D9" t="s">
        <v>325</v>
      </c>
      <c r="E9" s="185">
        <f>+'[2]SALUD '!$AC$15</f>
        <v>1</v>
      </c>
      <c r="F9">
        <f>+'[2]SALUD '!$AE$15</f>
        <v>74</v>
      </c>
      <c r="H9">
        <v>100</v>
      </c>
      <c r="I9">
        <f>+'[2]SALUD '!$AE$15</f>
        <v>74</v>
      </c>
      <c r="L9">
        <v>2</v>
      </c>
      <c r="M9">
        <v>8</v>
      </c>
    </row>
    <row r="10" spans="4:13">
      <c r="D10" t="s">
        <v>326</v>
      </c>
      <c r="E10" s="235">
        <f>+'[2]TRABAJO SOCIAL'!$AC$20</f>
        <v>97.6</v>
      </c>
      <c r="F10">
        <f>+'[2]TRABAJO SOCIAL'!$AE$20</f>
        <v>1741</v>
      </c>
      <c r="H10">
        <v>98</v>
      </c>
      <c r="I10">
        <f>+'[2]TRABAJO SOCIAL'!$AE$20</f>
        <v>1741</v>
      </c>
      <c r="L10">
        <v>9</v>
      </c>
      <c r="M10">
        <v>9</v>
      </c>
    </row>
    <row r="11" spans="4:13">
      <c r="D11" t="s">
        <v>327</v>
      </c>
      <c r="E11">
        <f>+'[2]PSICOLOGIA '!$AC$22</f>
        <v>92.142857142857139</v>
      </c>
      <c r="F11">
        <f>+'[2]PSICOLOGIA '!$AE$22</f>
        <v>1056</v>
      </c>
      <c r="H11">
        <v>92.14</v>
      </c>
      <c r="I11">
        <f>+'[2]PSICOLOGIA '!$AE$22</f>
        <v>1056</v>
      </c>
      <c r="L11">
        <v>13</v>
      </c>
      <c r="M11">
        <v>13</v>
      </c>
    </row>
    <row r="12" spans="4:13">
      <c r="D12" t="s">
        <v>328</v>
      </c>
      <c r="E12">
        <f>+'[2]REC. DEPORTES '!$AC$18</f>
        <v>99</v>
      </c>
      <c r="F12">
        <f>+'[2]REC. DEPORTES '!$AE$18</f>
        <v>154</v>
      </c>
      <c r="H12">
        <v>99</v>
      </c>
      <c r="I12">
        <f>+'[2]REC. DEPORTES '!$AE$18</f>
        <v>154</v>
      </c>
      <c r="L12">
        <v>6</v>
      </c>
      <c r="M12">
        <v>11</v>
      </c>
    </row>
    <row r="13" spans="4:13">
      <c r="D13" t="s">
        <v>329</v>
      </c>
      <c r="H13" s="168">
        <f>+(H12+H11+H9+H8+H10)/500</f>
        <v>0.97427999999999992</v>
      </c>
      <c r="I13">
        <f>SUM(I8:I12)</f>
        <v>17702</v>
      </c>
      <c r="L13">
        <f>SUM(L8:L12)</f>
        <v>52</v>
      </c>
      <c r="M13">
        <f>SUM(M8:M12)</f>
        <v>64</v>
      </c>
    </row>
    <row r="14" spans="4:13">
      <c r="D14" t="s">
        <v>330</v>
      </c>
      <c r="M14" s="168">
        <f>+L13/M13</f>
        <v>0.8125</v>
      </c>
    </row>
  </sheetData>
  <mergeCells count="1">
    <mergeCell ref="L6:M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192</v>
      </c>
    </row>
    <row r="10" spans="5:7" ht="252.75" thickBot="1">
      <c r="E10" s="170">
        <v>1</v>
      </c>
      <c r="F10" s="171">
        <v>0.9</v>
      </c>
      <c r="G10" s="169"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99" t="s">
        <v>47</v>
      </c>
      <c r="B1" s="999"/>
      <c r="C1" s="1000"/>
      <c r="D1" s="1001" t="s">
        <v>56</v>
      </c>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3"/>
      <c r="AD1" s="1015" t="s">
        <v>31</v>
      </c>
      <c r="AE1" s="1015"/>
    </row>
    <row r="2" spans="1:58" ht="15" customHeight="1">
      <c r="A2" s="1000"/>
      <c r="B2" s="1000"/>
      <c r="C2" s="1000"/>
      <c r="D2" s="1004"/>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6"/>
      <c r="AD2" s="1015"/>
      <c r="AE2" s="1015"/>
    </row>
    <row r="3" spans="1:58" ht="15" customHeight="1">
      <c r="A3" s="1000"/>
      <c r="B3" s="1000"/>
      <c r="C3" s="1000"/>
      <c r="D3" s="1007"/>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9"/>
      <c r="AD3" s="1015"/>
      <c r="AE3" s="1015"/>
    </row>
    <row r="4" spans="1:58" ht="15" customHeight="1">
      <c r="A4" s="1000"/>
      <c r="B4" s="1000"/>
      <c r="C4" s="1000"/>
      <c r="D4" s="1016" t="s">
        <v>44</v>
      </c>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8"/>
      <c r="AD4" s="1022" t="s">
        <v>32</v>
      </c>
      <c r="AE4" s="1022"/>
      <c r="AQ4" s="64"/>
      <c r="AR4" s="64"/>
      <c r="AS4" s="64"/>
      <c r="AT4" s="64"/>
      <c r="AU4" s="64"/>
      <c r="AV4" s="64"/>
      <c r="AW4" s="64"/>
      <c r="AX4" s="64"/>
      <c r="AY4" s="64"/>
      <c r="AZ4" s="64"/>
      <c r="BA4" s="64"/>
      <c r="BB4" s="64"/>
      <c r="BC4" s="64"/>
      <c r="BD4" s="64"/>
      <c r="BE4" s="64"/>
      <c r="BF4" s="64"/>
    </row>
    <row r="5" spans="1:58" ht="15" customHeight="1">
      <c r="A5" s="1000"/>
      <c r="B5" s="1000"/>
      <c r="C5" s="1000"/>
      <c r="D5" s="1019"/>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1"/>
      <c r="AD5" s="1023">
        <v>42731</v>
      </c>
      <c r="AE5" s="1023"/>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39"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40"/>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41"/>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038"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038"/>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38"/>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38"/>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38"/>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38"/>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45" t="s">
        <v>47</v>
      </c>
      <c r="C1" s="1046"/>
      <c r="D1" s="1049" t="s">
        <v>0</v>
      </c>
      <c r="E1" s="1050"/>
      <c r="F1" s="1050"/>
      <c r="G1" s="1050"/>
      <c r="H1" s="1050"/>
      <c r="I1" s="1051"/>
      <c r="J1" s="1058" t="s">
        <v>31</v>
      </c>
      <c r="K1" s="1059"/>
    </row>
    <row r="2" spans="2:12" ht="15" customHeight="1">
      <c r="B2" s="1047"/>
      <c r="C2" s="1048"/>
      <c r="D2" s="1052"/>
      <c r="E2" s="1053"/>
      <c r="F2" s="1053"/>
      <c r="G2" s="1053"/>
      <c r="H2" s="1053"/>
      <c r="I2" s="1054"/>
      <c r="J2" s="1060"/>
      <c r="K2" s="1061"/>
    </row>
    <row r="3" spans="2:12" ht="15" customHeight="1">
      <c r="B3" s="1047"/>
      <c r="C3" s="1048"/>
      <c r="D3" s="1055"/>
      <c r="E3" s="1056"/>
      <c r="F3" s="1056"/>
      <c r="G3" s="1056"/>
      <c r="H3" s="1056"/>
      <c r="I3" s="1057"/>
      <c r="J3" s="1060"/>
      <c r="K3" s="1061"/>
    </row>
    <row r="4" spans="2:12" ht="15" customHeight="1">
      <c r="B4" s="1047"/>
      <c r="C4" s="1048"/>
      <c r="D4" s="1062" t="s">
        <v>44</v>
      </c>
      <c r="E4" s="1062"/>
      <c r="F4" s="1062"/>
      <c r="G4" s="1062"/>
      <c r="H4" s="1062"/>
      <c r="I4" s="1062"/>
      <c r="J4" s="1064" t="s">
        <v>32</v>
      </c>
      <c r="K4" s="1065"/>
    </row>
    <row r="5" spans="2:12" ht="15.75" customHeight="1" thickBot="1">
      <c r="B5" s="1047"/>
      <c r="C5" s="1048"/>
      <c r="D5" s="1063"/>
      <c r="E5" s="1063"/>
      <c r="F5" s="1063"/>
      <c r="G5" s="1063"/>
      <c r="H5" s="1063"/>
      <c r="I5" s="1063"/>
      <c r="J5" s="1066">
        <v>42664</v>
      </c>
      <c r="K5" s="1067"/>
    </row>
    <row r="6" spans="2:12" ht="15.75" thickBot="1">
      <c r="B6" s="1042"/>
      <c r="C6" s="1043"/>
      <c r="D6" s="1043"/>
      <c r="E6" s="1043"/>
      <c r="F6" s="1043"/>
      <c r="G6" s="1043"/>
      <c r="H6" s="1043"/>
      <c r="I6" s="1044"/>
      <c r="J6" s="1070"/>
      <c r="K6" s="1071"/>
      <c r="L6" s="4"/>
    </row>
    <row r="7" spans="2:12" ht="48">
      <c r="B7" s="1072" t="s">
        <v>33</v>
      </c>
      <c r="C7" s="1075" t="s">
        <v>90</v>
      </c>
      <c r="D7" s="1072" t="s">
        <v>34</v>
      </c>
      <c r="E7" s="82" t="s">
        <v>61</v>
      </c>
      <c r="F7" s="1072" t="s">
        <v>52</v>
      </c>
      <c r="G7" s="1075" t="s">
        <v>51</v>
      </c>
      <c r="H7" s="1072" t="s">
        <v>35</v>
      </c>
      <c r="I7" s="83" t="s">
        <v>63</v>
      </c>
      <c r="J7" s="1072" t="s">
        <v>36</v>
      </c>
      <c r="K7" s="88"/>
      <c r="L7" s="5"/>
    </row>
    <row r="8" spans="2:12" ht="60">
      <c r="B8" s="1073"/>
      <c r="C8" s="1076"/>
      <c r="D8" s="1073"/>
      <c r="E8" s="82" t="s">
        <v>83</v>
      </c>
      <c r="F8" s="1073"/>
      <c r="G8" s="1076"/>
      <c r="H8" s="1073"/>
      <c r="I8" s="83" t="s">
        <v>82</v>
      </c>
      <c r="J8" s="1073"/>
      <c r="K8" s="88"/>
      <c r="L8" s="5"/>
    </row>
    <row r="9" spans="2:12" ht="36">
      <c r="B9" s="1073"/>
      <c r="C9" s="1076"/>
      <c r="D9" s="1073"/>
      <c r="E9" s="82" t="s">
        <v>68</v>
      </c>
      <c r="F9" s="1073"/>
      <c r="G9" s="1076"/>
      <c r="H9" s="1073"/>
      <c r="I9" s="83" t="s">
        <v>66</v>
      </c>
      <c r="J9" s="1073"/>
      <c r="K9" s="88"/>
      <c r="L9" s="5"/>
    </row>
    <row r="10" spans="2:12" ht="48">
      <c r="B10" s="1073"/>
      <c r="C10" s="1076"/>
      <c r="D10" s="1073"/>
      <c r="E10" s="82" t="s">
        <v>69</v>
      </c>
      <c r="F10" s="1073"/>
      <c r="G10" s="1076"/>
      <c r="H10" s="1073"/>
      <c r="I10" s="83" t="s">
        <v>67</v>
      </c>
      <c r="J10" s="1073"/>
      <c r="K10" s="88"/>
      <c r="L10" s="5"/>
    </row>
    <row r="11" spans="2:12" ht="36">
      <c r="B11" s="1073"/>
      <c r="C11" s="1076"/>
      <c r="D11" s="1073"/>
      <c r="E11" s="82" t="s">
        <v>84</v>
      </c>
      <c r="F11" s="1073"/>
      <c r="G11" s="1076"/>
      <c r="H11" s="1073"/>
      <c r="I11" s="83" t="s">
        <v>85</v>
      </c>
      <c r="J11" s="1073"/>
      <c r="K11" s="88"/>
      <c r="L11" s="5"/>
    </row>
    <row r="12" spans="2:12" ht="48.75" thickBot="1">
      <c r="B12" s="1074"/>
      <c r="C12" s="1077"/>
      <c r="D12" s="1073"/>
      <c r="E12" s="82" t="s">
        <v>70</v>
      </c>
      <c r="F12" s="1073"/>
      <c r="G12" s="1076"/>
      <c r="H12" s="1073"/>
      <c r="I12" s="83" t="s">
        <v>64</v>
      </c>
      <c r="J12" s="1073"/>
      <c r="K12" s="88"/>
      <c r="L12" s="6"/>
    </row>
    <row r="13" spans="2:12" ht="24.75" thickBot="1">
      <c r="B13" s="85" t="s">
        <v>37</v>
      </c>
      <c r="C13" s="84"/>
      <c r="D13" s="1073"/>
      <c r="E13" s="82" t="s">
        <v>71</v>
      </c>
      <c r="F13" s="1073"/>
      <c r="G13" s="1076"/>
      <c r="H13" s="1073"/>
      <c r="I13" s="83" t="s">
        <v>65</v>
      </c>
      <c r="J13" s="1073"/>
      <c r="K13" s="88"/>
      <c r="L13" s="6"/>
    </row>
    <row r="14" spans="2:12" ht="48" customHeight="1" thickBot="1">
      <c r="B14" s="85" t="s">
        <v>38</v>
      </c>
      <c r="C14" s="84"/>
      <c r="D14" s="1073"/>
      <c r="E14" s="82" t="s">
        <v>89</v>
      </c>
      <c r="F14" s="1073"/>
      <c r="G14" s="1076"/>
      <c r="H14" s="1073"/>
      <c r="I14" s="83" t="s">
        <v>87</v>
      </c>
      <c r="J14" s="1073"/>
      <c r="K14" s="88"/>
      <c r="L14" s="6"/>
    </row>
    <row r="15" spans="2:12" ht="42.95" customHeight="1" thickBot="1">
      <c r="B15" s="86" t="s">
        <v>39</v>
      </c>
      <c r="C15" s="87">
        <v>42734</v>
      </c>
      <c r="D15" s="1074"/>
      <c r="E15" s="82" t="s">
        <v>88</v>
      </c>
      <c r="F15" s="1074"/>
      <c r="G15" s="1078"/>
      <c r="H15" s="1074"/>
      <c r="I15" s="83" t="s">
        <v>86</v>
      </c>
      <c r="J15" s="1074"/>
      <c r="K15" s="89"/>
      <c r="L15" s="6"/>
    </row>
    <row r="16" spans="2:12" ht="15.75" thickBot="1">
      <c r="B16" s="1082"/>
      <c r="C16" s="1083"/>
      <c r="D16" s="1083"/>
      <c r="E16" s="1084"/>
      <c r="F16" s="1085"/>
      <c r="G16" s="1084"/>
      <c r="H16" s="1085"/>
      <c r="I16" s="1084"/>
      <c r="J16" s="1085"/>
      <c r="K16" s="1086"/>
    </row>
    <row r="17" spans="2:11">
      <c r="B17" s="1087" t="s">
        <v>40</v>
      </c>
      <c r="C17" s="42" t="s">
        <v>91</v>
      </c>
      <c r="D17" s="33">
        <v>0.1</v>
      </c>
      <c r="E17" s="1087" t="s">
        <v>41</v>
      </c>
      <c r="F17" s="34"/>
      <c r="G17" s="1090" t="s">
        <v>42</v>
      </c>
      <c r="H17" s="35"/>
      <c r="I17" s="1090" t="s">
        <v>45</v>
      </c>
      <c r="J17" s="90"/>
      <c r="K17" s="94" t="s">
        <v>43</v>
      </c>
    </row>
    <row r="18" spans="2:11">
      <c r="B18" s="1088"/>
      <c r="C18" s="43" t="s">
        <v>92</v>
      </c>
      <c r="D18" s="36">
        <v>0.1</v>
      </c>
      <c r="E18" s="1088"/>
      <c r="F18" s="37"/>
      <c r="G18" s="1091"/>
      <c r="H18" s="38"/>
      <c r="I18" s="1091"/>
      <c r="J18" s="91"/>
      <c r="K18" s="95" t="s">
        <v>43</v>
      </c>
    </row>
    <row r="19" spans="2:11">
      <c r="B19" s="1088"/>
      <c r="C19" s="43" t="s">
        <v>93</v>
      </c>
      <c r="D19" s="36">
        <v>0.1</v>
      </c>
      <c r="E19" s="1088"/>
      <c r="F19" s="37"/>
      <c r="G19" s="1091"/>
      <c r="H19" s="38"/>
      <c r="I19" s="1091"/>
      <c r="J19" s="91"/>
      <c r="K19" s="95" t="s">
        <v>43</v>
      </c>
    </row>
    <row r="20" spans="2:11">
      <c r="B20" s="1088"/>
      <c r="C20" s="43" t="s">
        <v>94</v>
      </c>
      <c r="D20" s="36">
        <v>0.1</v>
      </c>
      <c r="E20" s="1088"/>
      <c r="F20" s="37"/>
      <c r="G20" s="1091"/>
      <c r="H20" s="38"/>
      <c r="I20" s="1091"/>
      <c r="J20" s="91"/>
      <c r="K20" s="95" t="s">
        <v>43</v>
      </c>
    </row>
    <row r="21" spans="2:11">
      <c r="B21" s="1088"/>
      <c r="C21" s="43" t="s">
        <v>95</v>
      </c>
      <c r="D21" s="36">
        <v>0.1</v>
      </c>
      <c r="E21" s="1088"/>
      <c r="F21" s="37"/>
      <c r="G21" s="1091"/>
      <c r="H21" s="38"/>
      <c r="I21" s="1091"/>
      <c r="J21" s="91"/>
      <c r="K21" s="95" t="s">
        <v>43</v>
      </c>
    </row>
    <row r="22" spans="2:11">
      <c r="B22" s="1088"/>
      <c r="C22" s="43" t="s">
        <v>96</v>
      </c>
      <c r="D22" s="36">
        <v>0.1</v>
      </c>
      <c r="E22" s="1088"/>
      <c r="F22" s="37"/>
      <c r="G22" s="1091"/>
      <c r="H22" s="38"/>
      <c r="I22" s="1091"/>
      <c r="J22" s="91"/>
      <c r="K22" s="95" t="s">
        <v>43</v>
      </c>
    </row>
    <row r="23" spans="2:11">
      <c r="B23" s="1088"/>
      <c r="C23" s="43" t="s">
        <v>97</v>
      </c>
      <c r="D23" s="36">
        <v>0.1</v>
      </c>
      <c r="E23" s="1088"/>
      <c r="F23" s="37"/>
      <c r="G23" s="1091"/>
      <c r="H23" s="38"/>
      <c r="I23" s="1091"/>
      <c r="J23" s="91"/>
      <c r="K23" s="95" t="s">
        <v>43</v>
      </c>
    </row>
    <row r="24" spans="2:11">
      <c r="B24" s="1088"/>
      <c r="C24" s="43" t="s">
        <v>98</v>
      </c>
      <c r="D24" s="36">
        <v>0.1</v>
      </c>
      <c r="E24" s="1088"/>
      <c r="F24" s="37"/>
      <c r="G24" s="1091"/>
      <c r="H24" s="38"/>
      <c r="I24" s="1091"/>
      <c r="J24" s="91"/>
      <c r="K24" s="95" t="s">
        <v>43</v>
      </c>
    </row>
    <row r="25" spans="2:11" ht="15.75" thickBot="1">
      <c r="B25" s="1089"/>
      <c r="C25" s="44" t="s">
        <v>99</v>
      </c>
      <c r="D25" s="39">
        <v>0.1</v>
      </c>
      <c r="E25" s="1089"/>
      <c r="F25" s="40"/>
      <c r="G25" s="1092"/>
      <c r="H25" s="41"/>
      <c r="I25" s="1092"/>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79" t="s">
        <v>60</v>
      </c>
      <c r="C40" s="1080"/>
      <c r="D40" s="1081"/>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68"/>
      <c r="B44" s="1042" t="s">
        <v>49</v>
      </c>
      <c r="C44" s="1043"/>
      <c r="D44" s="1043"/>
      <c r="E44" s="1043"/>
      <c r="F44" s="1043"/>
      <c r="G44" s="1043"/>
      <c r="H44" s="1043"/>
      <c r="I44" s="1043"/>
      <c r="J44" s="1043"/>
      <c r="K44" s="1044"/>
    </row>
    <row r="45" spans="1:11" ht="15.75" thickBot="1">
      <c r="A45" s="1069"/>
      <c r="B45" s="12">
        <v>42736</v>
      </c>
      <c r="C45" s="1105"/>
      <c r="D45" s="1106"/>
      <c r="E45" s="1106"/>
      <c r="F45" s="1106"/>
      <c r="G45" s="1106"/>
      <c r="H45" s="1106"/>
      <c r="I45" s="1106"/>
      <c r="J45" s="1106"/>
      <c r="K45" s="1107"/>
    </row>
    <row r="46" spans="1:11" ht="15.75" thickBot="1">
      <c r="A46" s="7"/>
      <c r="B46" s="12">
        <v>42767</v>
      </c>
      <c r="C46" s="1105"/>
      <c r="D46" s="1106"/>
      <c r="E46" s="1106"/>
      <c r="F46" s="1106"/>
      <c r="G46" s="1106"/>
      <c r="H46" s="1106"/>
      <c r="I46" s="1106"/>
      <c r="J46" s="1106"/>
      <c r="K46" s="1107"/>
    </row>
    <row r="47" spans="1:11" ht="15.75" thickBot="1">
      <c r="A47" s="8"/>
      <c r="B47" s="12">
        <v>42795</v>
      </c>
      <c r="C47" s="1105"/>
      <c r="D47" s="1106"/>
      <c r="E47" s="1106"/>
      <c r="F47" s="1106"/>
      <c r="G47" s="1106"/>
      <c r="H47" s="1106"/>
      <c r="I47" s="1106"/>
      <c r="J47" s="1106"/>
      <c r="K47" s="1107"/>
    </row>
    <row r="48" spans="1:11" ht="15.75" thickBot="1">
      <c r="A48" s="8"/>
      <c r="B48" s="12">
        <v>42826</v>
      </c>
      <c r="C48" s="1105"/>
      <c r="D48" s="1106"/>
      <c r="E48" s="1106"/>
      <c r="F48" s="1106"/>
      <c r="G48" s="1106"/>
      <c r="H48" s="1106"/>
      <c r="I48" s="1106"/>
      <c r="J48" s="1106"/>
      <c r="K48" s="1107"/>
    </row>
    <row r="49" spans="1:11" ht="15.75" thickBot="1">
      <c r="A49" s="8"/>
      <c r="B49" s="12">
        <v>42856</v>
      </c>
      <c r="C49" s="1105"/>
      <c r="D49" s="1106"/>
      <c r="E49" s="1106"/>
      <c r="F49" s="1106"/>
      <c r="G49" s="1106"/>
      <c r="H49" s="1106"/>
      <c r="I49" s="1106"/>
      <c r="J49" s="1106"/>
      <c r="K49" s="1107"/>
    </row>
    <row r="50" spans="1:11" ht="15.75" thickBot="1">
      <c r="A50" s="8"/>
      <c r="B50" s="12">
        <v>42887</v>
      </c>
      <c r="C50" s="1105"/>
      <c r="D50" s="1106"/>
      <c r="E50" s="1106"/>
      <c r="F50" s="1106"/>
      <c r="G50" s="1106"/>
      <c r="H50" s="1106"/>
      <c r="I50" s="1106"/>
      <c r="J50" s="1106"/>
      <c r="K50" s="1107"/>
    </row>
    <row r="51" spans="1:11" ht="15.75" thickBot="1">
      <c r="B51" s="12">
        <v>42917</v>
      </c>
      <c r="C51" s="1105"/>
      <c r="D51" s="1106"/>
      <c r="E51" s="1106"/>
      <c r="F51" s="1106"/>
      <c r="G51" s="1106"/>
      <c r="H51" s="1106"/>
      <c r="I51" s="1106"/>
      <c r="J51" s="1106"/>
      <c r="K51" s="1107"/>
    </row>
    <row r="52" spans="1:11" ht="15.75" thickBot="1">
      <c r="B52" s="12">
        <v>42948</v>
      </c>
      <c r="C52" s="1105"/>
      <c r="D52" s="1106"/>
      <c r="E52" s="1106"/>
      <c r="F52" s="1106"/>
      <c r="G52" s="1106"/>
      <c r="H52" s="1106"/>
      <c r="I52" s="1106"/>
      <c r="J52" s="1106"/>
      <c r="K52" s="1107"/>
    </row>
    <row r="53" spans="1:11" ht="15.75" thickBot="1">
      <c r="B53" s="12">
        <v>42979</v>
      </c>
      <c r="C53" s="1105"/>
      <c r="D53" s="1106"/>
      <c r="E53" s="1106"/>
      <c r="F53" s="1106"/>
      <c r="G53" s="1106"/>
      <c r="H53" s="1106"/>
      <c r="I53" s="1106"/>
      <c r="J53" s="1106"/>
      <c r="K53" s="1107"/>
    </row>
    <row r="54" spans="1:11" ht="15.75" thickBot="1">
      <c r="B54" s="12">
        <v>43009</v>
      </c>
      <c r="C54" s="1105"/>
      <c r="D54" s="1106"/>
      <c r="E54" s="1106"/>
      <c r="F54" s="1106"/>
      <c r="G54" s="1106"/>
      <c r="H54" s="1106"/>
      <c r="I54" s="1106"/>
      <c r="J54" s="1106"/>
      <c r="K54" s="1107"/>
    </row>
    <row r="55" spans="1:11" ht="15.75" thickBot="1">
      <c r="B55" s="12">
        <v>43040</v>
      </c>
      <c r="C55" s="1105"/>
      <c r="D55" s="1106"/>
      <c r="E55" s="1106"/>
      <c r="F55" s="1106"/>
      <c r="G55" s="1106"/>
      <c r="H55" s="1106"/>
      <c r="I55" s="1106"/>
      <c r="J55" s="1106"/>
      <c r="K55" s="1107"/>
    </row>
    <row r="56" spans="1:11" ht="15.75" thickBot="1">
      <c r="B56" s="68">
        <v>43070</v>
      </c>
      <c r="C56" s="1105"/>
      <c r="D56" s="1106"/>
      <c r="E56" s="1106"/>
      <c r="F56" s="1106"/>
      <c r="G56" s="1106"/>
      <c r="H56" s="1106"/>
      <c r="I56" s="1106"/>
      <c r="J56" s="1106"/>
      <c r="K56" s="1107"/>
    </row>
    <row r="57" spans="1:11" ht="15.75" thickBot="1">
      <c r="B57" s="45" t="s">
        <v>46</v>
      </c>
      <c r="C57" s="1042" t="s">
        <v>27</v>
      </c>
      <c r="D57" s="1043"/>
      <c r="E57" s="1043"/>
      <c r="F57" s="1043"/>
      <c r="G57" s="1044"/>
      <c r="H57" s="45" t="s">
        <v>37</v>
      </c>
      <c r="I57" s="45" t="s">
        <v>28</v>
      </c>
      <c r="J57" s="76" t="s">
        <v>29</v>
      </c>
      <c r="K57" s="45" t="s">
        <v>30</v>
      </c>
    </row>
    <row r="58" spans="1:11">
      <c r="B58" s="46"/>
      <c r="C58" s="1096"/>
      <c r="D58" s="1097"/>
      <c r="E58" s="1097"/>
      <c r="F58" s="1097"/>
      <c r="G58" s="1098"/>
      <c r="H58" s="55"/>
      <c r="I58" s="58"/>
      <c r="J58" s="52"/>
      <c r="K58" s="49"/>
    </row>
    <row r="59" spans="1:11">
      <c r="B59" s="47"/>
      <c r="C59" s="1099"/>
      <c r="D59" s="1100"/>
      <c r="E59" s="1100"/>
      <c r="F59" s="1100"/>
      <c r="G59" s="1101"/>
      <c r="H59" s="56"/>
      <c r="I59" s="59"/>
      <c r="J59" s="53"/>
      <c r="K59" s="50"/>
    </row>
    <row r="60" spans="1:11">
      <c r="B60" s="47"/>
      <c r="C60" s="1099"/>
      <c r="D60" s="1100"/>
      <c r="E60" s="1100"/>
      <c r="F60" s="1100"/>
      <c r="G60" s="1101"/>
      <c r="H60" s="56"/>
      <c r="I60" s="59"/>
      <c r="J60" s="53"/>
      <c r="K60" s="50"/>
    </row>
    <row r="61" spans="1:11">
      <c r="B61" s="47"/>
      <c r="C61" s="1099"/>
      <c r="D61" s="1100"/>
      <c r="E61" s="1100"/>
      <c r="F61" s="1100"/>
      <c r="G61" s="1101"/>
      <c r="H61" s="56"/>
      <c r="I61" s="59"/>
      <c r="J61" s="53"/>
      <c r="K61" s="50"/>
    </row>
    <row r="62" spans="1:11">
      <c r="B62" s="47"/>
      <c r="C62" s="1099"/>
      <c r="D62" s="1100"/>
      <c r="E62" s="1100"/>
      <c r="F62" s="1100"/>
      <c r="G62" s="1101"/>
      <c r="H62" s="56"/>
      <c r="I62" s="59"/>
      <c r="J62" s="53"/>
      <c r="K62" s="50"/>
    </row>
    <row r="63" spans="1:11">
      <c r="B63" s="47"/>
      <c r="C63" s="1099"/>
      <c r="D63" s="1100"/>
      <c r="E63" s="1100"/>
      <c r="F63" s="1100"/>
      <c r="G63" s="1101"/>
      <c r="H63" s="56"/>
      <c r="I63" s="59"/>
      <c r="J63" s="53"/>
      <c r="K63" s="50"/>
    </row>
    <row r="64" spans="1:11">
      <c r="B64" s="47"/>
      <c r="C64" s="1099"/>
      <c r="D64" s="1100"/>
      <c r="E64" s="1100"/>
      <c r="F64" s="1100"/>
      <c r="G64" s="1101"/>
      <c r="H64" s="56"/>
      <c r="I64" s="59"/>
      <c r="J64" s="53"/>
      <c r="K64" s="50"/>
    </row>
    <row r="65" spans="2:11">
      <c r="B65" s="47"/>
      <c r="C65" s="1102"/>
      <c r="D65" s="1103"/>
      <c r="E65" s="1103"/>
      <c r="F65" s="1103"/>
      <c r="G65" s="1104"/>
      <c r="H65" s="56"/>
      <c r="I65" s="59"/>
      <c r="J65" s="53"/>
      <c r="K65" s="50"/>
    </row>
    <row r="66" spans="2:11" ht="15.75" thickBot="1">
      <c r="B66" s="48"/>
      <c r="C66" s="1093"/>
      <c r="D66" s="1094"/>
      <c r="E66" s="1094"/>
      <c r="F66" s="1094"/>
      <c r="G66" s="1095"/>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Inicio</vt:lpstr>
      <vt:lpstr>Tablero Estratégico</vt:lpstr>
      <vt:lpstr>Hoja9</vt:lpstr>
      <vt:lpstr>Hoja8</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2019-06-11T16:02:33Z</dcterms:modified>
</cp:coreProperties>
</file>