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autoCompressPictures="0"/>
  <bookViews>
    <workbookView xWindow="0" yWindow="0" windowWidth="13500" windowHeight="7350" activeTab="1"/>
  </bookViews>
  <sheets>
    <sheet name="Inicio" sheetId="19" r:id="rId1"/>
    <sheet name="Tablero Estratégico" sheetId="8" r:id="rId2"/>
    <sheet name="Hoja1" sheetId="23" state="hidden" r:id="rId3"/>
    <sheet name="Hoja7" sheetId="22" state="hidden" r:id="rId4"/>
    <sheet name="Hoja6" sheetId="21" state="hidden" r:id="rId5"/>
    <sheet name="Hoja5" sheetId="20" state="hidden" r:id="rId6"/>
    <sheet name="CALCULOS" sheetId="18" state="hidden" r:id="rId7"/>
    <sheet name="Hoja2" sheetId="17" state="hidden" r:id="rId8"/>
    <sheet name="Tablero Eficacia - Eficiencia" sheetId="12" state="hidden" r:id="rId9"/>
    <sheet name="Tablero Objeivos de Calidad" sheetId="13" state="hidden" r:id="rId10"/>
    <sheet name="Hoja3" sheetId="16" state="hidden" r:id="rId11"/>
    <sheet name="Hoja4" sheetId="14" state="hidden" r:id="rId12"/>
    <sheet name="Tablero Maestro (2)" sheetId="11" state="hidden" r:id="rId13"/>
    <sheet name="DE" sheetId="9" state="hidden" r:id="rId14"/>
  </sheets>
  <externalReferences>
    <externalReference r:id="rId15"/>
    <externalReference r:id="rId16"/>
  </externalReferences>
  <definedNames>
    <definedName name="_xlnm._FilterDatabase" localSheetId="8" hidden="1">'Tablero Eficacia - Eficiencia'!$A$7:$BL$54</definedName>
    <definedName name="_xlnm._FilterDatabase" localSheetId="1" hidden="1">'Tablero Estratégico'!$A$5:$BV$30</definedName>
    <definedName name="_xlnm.Print_Area" localSheetId="8">'Tablero Eficacia - Eficiencia'!$A$1:$AL$51</definedName>
    <definedName name="_xlnm.Print_Area" localSheetId="1">'Tablero Estratégico'!$A$1:$AP$29</definedName>
    <definedName name="_xlnm.Print_Area" localSheetId="9">'Tablero Objeivos de Calidad'!$C$3:$F$29</definedName>
    <definedName name="CUMPLIMIENTO_METAS" localSheetId="13">#REF!</definedName>
    <definedName name="CUMPLIMIENTO_METAS" localSheetId="12">#REF!</definedName>
    <definedName name="CUMPLIMIENTO_METAS">#REF!</definedName>
    <definedName name="Datos_Nutricional" localSheetId="13">#REF!</definedName>
    <definedName name="Datos_Nutricional" localSheetId="12">#REF!</definedName>
    <definedName name="Datos_Nutricional">#REF!</definedName>
    <definedName name="EFICACIA_DEL_SGC" localSheetId="13">#REF!</definedName>
    <definedName name="EFICACIA_DEL_SGC" localSheetId="12">#REF!</definedName>
    <definedName name="EFICACIA_DEL_SGC">#REF!</definedName>
    <definedName name="Tabla_de_datos" localSheetId="13">'[1]Cubrimiento Cupos'!#REF!</definedName>
    <definedName name="Tabla_de_datos" localSheetId="12">'[1]Cubrimiento Cupos'!#REF!</definedName>
    <definedName name="Tabla_de_datos">'[1]Cubrimiento Cupos'!#REF!</definedName>
    <definedName name="Tabla_Logros" localSheetId="13">'[1]Logros alcanzados'!#REF!</definedName>
    <definedName name="Tabla_Logros" localSheetId="12">'[1]Logros alcanzados'!#REF!</definedName>
    <definedName name="Tabla_Logros">'[1]Logros alcanzados'!#REF!</definedName>
    <definedName name="_xlnm.Print_Titles" localSheetId="1">'Tablero Estratégico'!$1:$5</definedName>
  </definedNames>
  <calcPr calcId="162913"/>
  <fileRecoveryPr autoRecover="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AQ29" i="8" l="1"/>
  <c r="AQ27" i="8"/>
  <c r="AQ26" i="8"/>
  <c r="AQ24" i="8"/>
  <c r="AQ7" i="8"/>
  <c r="AN26" i="8"/>
  <c r="F17" i="23"/>
  <c r="E17" i="23"/>
  <c r="H8" i="23"/>
  <c r="H7" i="23"/>
  <c r="AN29" i="8"/>
  <c r="AN27" i="8"/>
  <c r="AQ28" i="8" l="1"/>
  <c r="AQ6" i="8"/>
  <c r="AM24" i="8" l="1"/>
  <c r="I12" i="18"/>
  <c r="I13" i="18"/>
  <c r="G28" i="22"/>
  <c r="G21" i="22"/>
  <c r="G19" i="22"/>
  <c r="F21" i="22"/>
  <c r="F19" i="22"/>
  <c r="AM26" i="8"/>
  <c r="AL26" i="8"/>
  <c r="AM27" i="8" l="1"/>
  <c r="AM29" i="8" l="1"/>
  <c r="H12" i="21" l="1"/>
  <c r="I12" i="21"/>
  <c r="I11" i="21"/>
  <c r="H11" i="21"/>
  <c r="AL24" i="8" l="1"/>
  <c r="E16" i="20"/>
  <c r="AL29" i="8"/>
  <c r="AL27" i="8"/>
  <c r="AK24" i="8" l="1"/>
  <c r="AK29" i="8" l="1"/>
  <c r="AK27" i="8" l="1"/>
  <c r="AT27" i="8"/>
  <c r="AK26" i="8" l="1"/>
  <c r="BE24" i="8" l="1"/>
  <c r="AJ24" i="8" l="1"/>
  <c r="AX26" i="8"/>
  <c r="AY26" i="8"/>
  <c r="AZ26" i="8"/>
  <c r="BA26" i="8"/>
  <c r="BB26" i="8"/>
  <c r="BC26" i="8"/>
  <c r="BD26" i="8"/>
  <c r="AJ26" i="8"/>
  <c r="AZ31" i="8" l="1"/>
  <c r="AJ29" i="8"/>
  <c r="AI29" i="8"/>
  <c r="BF24" i="8"/>
  <c r="AJ27" i="8"/>
  <c r="AQ21" i="8" l="1"/>
  <c r="AQ20" i="8"/>
  <c r="J28" i="8"/>
  <c r="AQ19" i="8"/>
  <c r="AQ18" i="8"/>
  <c r="AQ13" i="8"/>
  <c r="AQ12" i="8"/>
  <c r="AQ9" i="8"/>
  <c r="F18" i="8" l="1"/>
  <c r="I18" i="8" s="1"/>
  <c r="E20" i="8"/>
  <c r="J20" i="8" s="1"/>
  <c r="B13" i="19"/>
  <c r="AI24" i="8"/>
  <c r="AX22" i="8"/>
  <c r="C12" i="8" l="1"/>
  <c r="E12" i="8" s="1"/>
  <c r="F12" i="8" s="1"/>
  <c r="H12" i="8" s="1"/>
  <c r="J12" i="8" s="1"/>
  <c r="AI26" i="8"/>
  <c r="E26" i="8" s="1"/>
  <c r="G26" i="8" s="1"/>
  <c r="H26" i="8" s="1"/>
  <c r="J26" i="8" s="1"/>
  <c r="L26" i="8" s="1"/>
  <c r="AI27" i="8"/>
  <c r="C27" i="8" s="1"/>
  <c r="D27" i="8" s="1"/>
  <c r="E27" i="8" s="1"/>
  <c r="F27" i="8" s="1"/>
  <c r="H27" i="8" s="1"/>
  <c r="J27" i="8" s="1"/>
  <c r="K27" i="8" s="1"/>
  <c r="AI22" i="8" l="1"/>
  <c r="AQ22" i="8" s="1"/>
  <c r="B15" i="19" l="1"/>
  <c r="C22" i="8"/>
  <c r="L22" i="8" s="1"/>
  <c r="J29" i="8" l="1"/>
  <c r="F29" i="8"/>
  <c r="C29" i="8"/>
  <c r="AH24" i="8"/>
  <c r="AH26" i="8"/>
  <c r="AW26" i="8" l="1"/>
  <c r="AV26" i="8"/>
  <c r="BJ25" i="8"/>
  <c r="AH27" i="8" l="1"/>
  <c r="AH29" i="8" l="1"/>
  <c r="AG26" i="8" l="1"/>
  <c r="AG27" i="8"/>
  <c r="BN26" i="8" l="1"/>
  <c r="BN27" i="8"/>
  <c r="BN28" i="8"/>
  <c r="BN29" i="8"/>
  <c r="BN30" i="8"/>
  <c r="BN31" i="8"/>
  <c r="BN32" i="8"/>
  <c r="BN25" i="8"/>
  <c r="BH25" i="8"/>
  <c r="BG25" i="8"/>
  <c r="AE24" i="8"/>
  <c r="AF24" i="8"/>
  <c r="AD26" i="8" l="1"/>
  <c r="AD27" i="8" l="1"/>
  <c r="AU27" i="8"/>
  <c r="AD24" i="8"/>
  <c r="AU26" i="8"/>
  <c r="AT26" i="8"/>
  <c r="AS26" i="8"/>
  <c r="AS27" i="8"/>
  <c r="AS29" i="8"/>
  <c r="AV27" i="8" l="1"/>
  <c r="AW25" i="8" s="1"/>
  <c r="E12" i="19"/>
  <c r="E11" i="19"/>
  <c r="E13" i="19"/>
  <c r="E10" i="19"/>
  <c r="AQ17" i="8"/>
  <c r="B11" i="19" s="1"/>
  <c r="AQ16" i="8"/>
  <c r="B10" i="19" s="1"/>
  <c r="AQ15" i="8"/>
  <c r="AQ14" i="8"/>
  <c r="B8" i="19" s="1"/>
  <c r="B7" i="19"/>
  <c r="AQ11" i="8"/>
  <c r="AQ10" i="8"/>
  <c r="AQ8" i="8"/>
  <c r="C6" i="8" s="1"/>
  <c r="AC10" i="8"/>
  <c r="AB10" i="8"/>
  <c r="AA10" i="8"/>
  <c r="AA7" i="8"/>
  <c r="AB7" i="8"/>
  <c r="AH6" i="12"/>
  <c r="AG6" i="12"/>
  <c r="AE6" i="12"/>
  <c r="N6" i="12"/>
  <c r="L6" i="12"/>
  <c r="G40" i="12"/>
  <c r="AJ48" i="12"/>
  <c r="AJ46" i="12"/>
  <c r="AL48" i="12"/>
  <c r="AL46" i="12"/>
  <c r="J46" i="12"/>
  <c r="I46" i="12"/>
  <c r="AL33" i="12"/>
  <c r="AJ33" i="12"/>
  <c r="O33" i="12"/>
  <c r="AB33" i="12"/>
  <c r="AJ29" i="12"/>
  <c r="G15" i="17"/>
  <c r="G17" i="17" s="1"/>
  <c r="E15" i="17"/>
  <c r="F15" i="17"/>
  <c r="F17" i="17" s="1"/>
  <c r="AJ30" i="12"/>
  <c r="L13" i="16"/>
  <c r="M13" i="16"/>
  <c r="H13" i="16"/>
  <c r="I12" i="16"/>
  <c r="I8" i="16"/>
  <c r="I9" i="16"/>
  <c r="I10" i="16"/>
  <c r="I11" i="16"/>
  <c r="F12" i="16"/>
  <c r="E12" i="16"/>
  <c r="F11" i="16"/>
  <c r="E11" i="16"/>
  <c r="F10" i="16"/>
  <c r="E10" i="16"/>
  <c r="F9" i="16"/>
  <c r="E9" i="16"/>
  <c r="F8" i="16"/>
  <c r="E8" i="16"/>
  <c r="AJ27" i="12"/>
  <c r="O25" i="12"/>
  <c r="F14" i="13" s="1"/>
  <c r="E5" i="13"/>
  <c r="E4" i="13"/>
  <c r="D5" i="13"/>
  <c r="D4" i="13"/>
  <c r="D19" i="13"/>
  <c r="F29" i="13"/>
  <c r="F28" i="13"/>
  <c r="E29" i="13"/>
  <c r="E28" i="13"/>
  <c r="D29" i="13"/>
  <c r="D28" i="13"/>
  <c r="F27" i="13"/>
  <c r="E27" i="13"/>
  <c r="D27" i="13"/>
  <c r="F26" i="13"/>
  <c r="E26" i="13"/>
  <c r="D26" i="13"/>
  <c r="F25" i="13"/>
  <c r="E25" i="13"/>
  <c r="D25" i="13"/>
  <c r="D24" i="13"/>
  <c r="F23" i="13"/>
  <c r="E23" i="13"/>
  <c r="F22" i="13"/>
  <c r="E22" i="13"/>
  <c r="D23" i="13"/>
  <c r="D22" i="13"/>
  <c r="F21" i="13"/>
  <c r="E21" i="13"/>
  <c r="D21" i="13"/>
  <c r="F20" i="13"/>
  <c r="E20" i="13"/>
  <c r="D20" i="13"/>
  <c r="F19" i="13"/>
  <c r="E19" i="13"/>
  <c r="F18" i="13"/>
  <c r="E18" i="13"/>
  <c r="D18" i="13"/>
  <c r="F17" i="13"/>
  <c r="F16" i="13"/>
  <c r="F15" i="13"/>
  <c r="E17" i="13"/>
  <c r="E16" i="13"/>
  <c r="E15" i="13"/>
  <c r="D17" i="13"/>
  <c r="D16" i="13"/>
  <c r="D15" i="13"/>
  <c r="F5" i="13"/>
  <c r="F4" i="13"/>
  <c r="F13" i="13"/>
  <c r="F12" i="13"/>
  <c r="I25" i="12"/>
  <c r="E14" i="13"/>
  <c r="I24" i="12"/>
  <c r="E13" i="13" s="1"/>
  <c r="E12" i="13"/>
  <c r="D14" i="13"/>
  <c r="D13" i="13"/>
  <c r="D12" i="13"/>
  <c r="F11" i="13"/>
  <c r="E11" i="13"/>
  <c r="D11" i="13"/>
  <c r="F9" i="13"/>
  <c r="F8" i="13"/>
  <c r="F10" i="13"/>
  <c r="E10" i="13"/>
  <c r="D10" i="13"/>
  <c r="O49" i="12"/>
  <c r="O40" i="12"/>
  <c r="F24" i="13" s="1"/>
  <c r="I40" i="12"/>
  <c r="E24" i="13" s="1"/>
  <c r="AB36" i="12"/>
  <c r="AG36" i="12" s="1"/>
  <c r="AD36" i="12"/>
  <c r="I33" i="12"/>
  <c r="AB19" i="12"/>
  <c r="AH19" i="12"/>
  <c r="AD19" i="12"/>
  <c r="E9" i="13"/>
  <c r="D9" i="13"/>
  <c r="E8" i="13"/>
  <c r="D8" i="13"/>
  <c r="F7" i="13"/>
  <c r="E7" i="13"/>
  <c r="D7" i="13"/>
  <c r="E6" i="13"/>
  <c r="D6" i="13"/>
  <c r="O21" i="12"/>
  <c r="I16" i="12"/>
  <c r="O9" i="12"/>
  <c r="F6" i="13" s="1"/>
  <c r="AE54" i="12"/>
  <c r="AF52" i="12"/>
  <c r="B50" i="12"/>
  <c r="AD48" i="12"/>
  <c r="AB48" i="12"/>
  <c r="AH48" i="12" s="1"/>
  <c r="AD47" i="12"/>
  <c r="AB47" i="12"/>
  <c r="AG47" i="12"/>
  <c r="B47" i="12"/>
  <c r="B48" i="12" s="1"/>
  <c r="B49" i="12" s="1"/>
  <c r="AD46" i="12"/>
  <c r="AB46" i="12"/>
  <c r="AH46" i="12"/>
  <c r="B46" i="12"/>
  <c r="AD44" i="12"/>
  <c r="AB44" i="12"/>
  <c r="AG44" i="12" s="1"/>
  <c r="AD43" i="12"/>
  <c r="AB43" i="12"/>
  <c r="AH43" i="12" s="1"/>
  <c r="AD42" i="12"/>
  <c r="AB42" i="12"/>
  <c r="AH42" i="12"/>
  <c r="AD41" i="12"/>
  <c r="AB41" i="12"/>
  <c r="AH41" i="12"/>
  <c r="AD40" i="12"/>
  <c r="AB40" i="12"/>
  <c r="AD39" i="12"/>
  <c r="AC39" i="12"/>
  <c r="AB39" i="12"/>
  <c r="AH39" i="12" s="1"/>
  <c r="AD38" i="12"/>
  <c r="AB38" i="12"/>
  <c r="AH38" i="12" s="1"/>
  <c r="AD37" i="12"/>
  <c r="AB37" i="12"/>
  <c r="AH37" i="12" s="1"/>
  <c r="AD35" i="12"/>
  <c r="AB35" i="12"/>
  <c r="AH35" i="12" s="1"/>
  <c r="AD33" i="12"/>
  <c r="B33" i="12"/>
  <c r="B35" i="12"/>
  <c r="AD32" i="12"/>
  <c r="AB32" i="12"/>
  <c r="AH32" i="12" s="1"/>
  <c r="AD31" i="12"/>
  <c r="AB31" i="12"/>
  <c r="AH31" i="12"/>
  <c r="AD30" i="12"/>
  <c r="AB30" i="12"/>
  <c r="AH30" i="12"/>
  <c r="AD29" i="12"/>
  <c r="AB29" i="12"/>
  <c r="AG29" i="12" s="1"/>
  <c r="AD27" i="12"/>
  <c r="AB27" i="12"/>
  <c r="AH27" i="12" s="1"/>
  <c r="AD26" i="12"/>
  <c r="AB26" i="12"/>
  <c r="AH26" i="12"/>
  <c r="B26" i="12"/>
  <c r="B27" i="12" s="1"/>
  <c r="B28" i="12" s="1"/>
  <c r="B29" i="12" s="1"/>
  <c r="B30" i="12" s="1"/>
  <c r="B31" i="12" s="1"/>
  <c r="B32" i="12" s="1"/>
  <c r="AD25" i="12"/>
  <c r="AB25" i="12"/>
  <c r="AD24" i="12"/>
  <c r="AB24" i="12"/>
  <c r="AG24" i="12" s="1"/>
  <c r="AD23" i="12"/>
  <c r="AB23" i="12"/>
  <c r="AG23" i="12" s="1"/>
  <c r="B23" i="12"/>
  <c r="B24" i="12"/>
  <c r="B25" i="12"/>
  <c r="AH22" i="12"/>
  <c r="AG22" i="12"/>
  <c r="AD20" i="12"/>
  <c r="AB20" i="12"/>
  <c r="AD18" i="12"/>
  <c r="AB18" i="12"/>
  <c r="AG18" i="12"/>
  <c r="AD17" i="12"/>
  <c r="AB17" i="12"/>
  <c r="AG17" i="12" s="1"/>
  <c r="AD16" i="12"/>
  <c r="AB16" i="12"/>
  <c r="AG16" i="12" s="1"/>
  <c r="AD14" i="12"/>
  <c r="AB14" i="12"/>
  <c r="AG14" i="12" s="1"/>
  <c r="AD13" i="12"/>
  <c r="AB13" i="12"/>
  <c r="AG13" i="12" s="1"/>
  <c r="AD12" i="12"/>
  <c r="AB12" i="12"/>
  <c r="AG12" i="12" s="1"/>
  <c r="AD11" i="12"/>
  <c r="AB11" i="12"/>
  <c r="AH11" i="12" s="1"/>
  <c r="AG11" i="12"/>
  <c r="AD10" i="12"/>
  <c r="AB10" i="12"/>
  <c r="AH10" i="12" s="1"/>
  <c r="AD9" i="12"/>
  <c r="AB9" i="12"/>
  <c r="AD8" i="12"/>
  <c r="AB8" i="12"/>
  <c r="AG8" i="12" s="1"/>
  <c r="B36" i="12"/>
  <c r="B37" i="12" s="1"/>
  <c r="B38" i="12" s="1"/>
  <c r="B39" i="12"/>
  <c r="B40" i="12"/>
  <c r="B41" i="12"/>
  <c r="B42" i="12"/>
  <c r="B43" i="12" s="1"/>
  <c r="B44" i="12" s="1"/>
  <c r="AG37" i="12"/>
  <c r="AH18" i="12"/>
  <c r="AH47" i="12"/>
  <c r="AG31" i="12"/>
  <c r="AG41" i="12"/>
  <c r="AH12" i="12"/>
  <c r="AG43" i="12"/>
  <c r="AG46" i="12"/>
  <c r="AH13" i="12"/>
  <c r="AG26" i="12"/>
  <c r="AG38" i="12"/>
  <c r="AG42" i="12"/>
  <c r="AG48" i="12"/>
  <c r="I49" i="12"/>
  <c r="AC19" i="11"/>
  <c r="AD17" i="11"/>
  <c r="AB16" i="11"/>
  <c r="Z16" i="11"/>
  <c r="AF16" i="11"/>
  <c r="AB15" i="11"/>
  <c r="Z15" i="11"/>
  <c r="AE15" i="11" s="1"/>
  <c r="AB14" i="11"/>
  <c r="Z14" i="11"/>
  <c r="AF14" i="11" s="1"/>
  <c r="AB13" i="11"/>
  <c r="Z13" i="11"/>
  <c r="AF13" i="11" s="1"/>
  <c r="AB12" i="11"/>
  <c r="Z12" i="11"/>
  <c r="AF12" i="11" s="1"/>
  <c r="AB11" i="11"/>
  <c r="Z11" i="11"/>
  <c r="AE11" i="11" s="1"/>
  <c r="AF11" i="11"/>
  <c r="AB10" i="11"/>
  <c r="Z10" i="11"/>
  <c r="AE10" i="11" s="1"/>
  <c r="AB9" i="11"/>
  <c r="Z9" i="11"/>
  <c r="AB8" i="11"/>
  <c r="Z8" i="11"/>
  <c r="AF8" i="11" s="1"/>
  <c r="B8" i="11"/>
  <c r="B9" i="11"/>
  <c r="B10" i="11" s="1"/>
  <c r="B11" i="11" s="1"/>
  <c r="B12" i="11" s="1"/>
  <c r="B13" i="11" s="1"/>
  <c r="B14" i="11" s="1"/>
  <c r="B15" i="11" s="1"/>
  <c r="B16" i="11" s="1"/>
  <c r="F39" i="9"/>
  <c r="F38" i="9"/>
  <c r="F37" i="9"/>
  <c r="F36" i="9"/>
  <c r="F35" i="9"/>
  <c r="F34" i="9"/>
  <c r="F33" i="9"/>
  <c r="F32" i="9"/>
  <c r="F31" i="9"/>
  <c r="F30" i="9"/>
  <c r="F29" i="9"/>
  <c r="F28" i="9"/>
  <c r="AF10" i="11"/>
  <c r="AE16" i="11"/>
  <c r="C39" i="9"/>
  <c r="AH17" i="12"/>
  <c r="D37" i="9"/>
  <c r="E37" i="9" s="1"/>
  <c r="AG30" i="12"/>
  <c r="AH36" i="12"/>
  <c r="M14" i="16"/>
  <c r="AE13" i="11"/>
  <c r="D36" i="9"/>
  <c r="E36" i="9" s="1"/>
  <c r="D29" i="9"/>
  <c r="E29" i="9" s="1"/>
  <c r="D30" i="9"/>
  <c r="E30" i="9" s="1"/>
  <c r="D35" i="9"/>
  <c r="E35" i="9" s="1"/>
  <c r="AE9" i="11"/>
  <c r="AH14" i="12"/>
  <c r="AG19" i="12"/>
  <c r="D28" i="9"/>
  <c r="E28" i="9" s="1"/>
  <c r="D34" i="9"/>
  <c r="E34" i="9" s="1"/>
  <c r="AF9" i="11"/>
  <c r="D38" i="9"/>
  <c r="E38" i="9" s="1"/>
  <c r="D33" i="9"/>
  <c r="E33" i="9" s="1"/>
  <c r="D31" i="9"/>
  <c r="E31" i="9" s="1"/>
  <c r="D32" i="9"/>
  <c r="E32" i="9" s="1"/>
  <c r="D39" i="9"/>
  <c r="AF15" i="11" l="1"/>
  <c r="AH24" i="12"/>
  <c r="AH29" i="12"/>
  <c r="AD19" i="11"/>
  <c r="AE19" i="11" s="1"/>
  <c r="AH9" i="12"/>
  <c r="AE8" i="11"/>
  <c r="AE12" i="11"/>
  <c r="AE17" i="11" s="1"/>
  <c r="AG32" i="12"/>
  <c r="AH16" i="12"/>
  <c r="AG9" i="12"/>
  <c r="AH23" i="12"/>
  <c r="AG39" i="12"/>
  <c r="AG27" i="12"/>
  <c r="AG33" i="12"/>
  <c r="D6" i="8"/>
  <c r="C30" i="8"/>
  <c r="AZ25" i="8"/>
  <c r="E8" i="19"/>
  <c r="BA25" i="8"/>
  <c r="BC25" i="8"/>
  <c r="AY25" i="8"/>
  <c r="AV25" i="8"/>
  <c r="AX25" i="8"/>
  <c r="BD25" i="8"/>
  <c r="BB25" i="8"/>
  <c r="I13" i="16"/>
  <c r="E9" i="19"/>
  <c r="AH40" i="12"/>
  <c r="AH25" i="12"/>
  <c r="AG40" i="12"/>
  <c r="G30" i="9"/>
  <c r="E7" i="19"/>
  <c r="E39" i="9"/>
  <c r="E40" i="9" s="1"/>
  <c r="B5" i="19"/>
  <c r="G29" i="9"/>
  <c r="G33" i="9"/>
  <c r="E5" i="19"/>
  <c r="B12" i="19"/>
  <c r="G32" i="9"/>
  <c r="G35" i="9"/>
  <c r="B18" i="19"/>
  <c r="B17" i="19"/>
  <c r="G34" i="9"/>
  <c r="G36" i="9"/>
  <c r="AH33" i="12"/>
  <c r="E6" i="19"/>
  <c r="E4" i="19"/>
  <c r="G31" i="9"/>
  <c r="G37" i="9"/>
  <c r="G38" i="9"/>
  <c r="AF17" i="11"/>
  <c r="AH8" i="12"/>
  <c r="E1" i="19"/>
  <c r="E14" i="19"/>
  <c r="AE14" i="11"/>
  <c r="AF54" i="12"/>
  <c r="AG54" i="12" s="1"/>
  <c r="AG25" i="12"/>
  <c r="AH44" i="12"/>
  <c r="B4" i="19"/>
  <c r="B6" i="19"/>
  <c r="AG10" i="12"/>
  <c r="AG35" i="12"/>
  <c r="B9" i="19"/>
  <c r="AG52" i="12" l="1"/>
  <c r="D30" i="8"/>
  <c r="E6" i="8"/>
  <c r="G39" i="9"/>
  <c r="AH52" i="12"/>
  <c r="F6" i="8" l="1"/>
  <c r="E30" i="8"/>
  <c r="G6" i="8" l="1"/>
  <c r="F30" i="8"/>
  <c r="G30" i="8" l="1"/>
  <c r="H6" i="8"/>
  <c r="I6" i="8" l="1"/>
  <c r="H30" i="8"/>
  <c r="J6" i="8" l="1"/>
  <c r="I30" i="8"/>
  <c r="K6" i="8" l="1"/>
  <c r="J30" i="8"/>
  <c r="L6" i="8" l="1"/>
  <c r="L30" i="8" s="1"/>
  <c r="K30" i="8"/>
  <c r="H4" i="19" l="1" a="1"/>
  <c r="H4" i="19" s="1"/>
  <c r="H9" i="19" l="1"/>
  <c r="J9" i="19" s="1"/>
  <c r="K9" i="19" s="1"/>
  <c r="H10" i="19"/>
  <c r="J10" i="19" s="1"/>
  <c r="K10" i="19" s="1"/>
  <c r="H8" i="19"/>
  <c r="J8" i="19" s="1"/>
  <c r="K8" i="19" s="1"/>
  <c r="H5" i="19"/>
  <c r="J5" i="19" s="1"/>
  <c r="K5" i="19" s="1"/>
  <c r="H13" i="19"/>
  <c r="J13" i="19" s="1"/>
  <c r="K13" i="19" s="1"/>
  <c r="H11" i="19"/>
  <c r="J11" i="19" s="1"/>
  <c r="K11" i="19" s="1"/>
  <c r="H7" i="19"/>
  <c r="J7" i="19" s="1"/>
  <c r="K7" i="19" s="1"/>
  <c r="H6" i="19"/>
  <c r="J6" i="19" s="1"/>
  <c r="K6" i="19" s="1"/>
  <c r="H12" i="19"/>
  <c r="J12" i="19" s="1"/>
  <c r="K12" i="19" s="1"/>
  <c r="J4" i="19"/>
  <c r="K4" i="19" s="1"/>
  <c r="J1" i="19" l="1"/>
</calcChain>
</file>

<file path=xl/sharedStrings.xml><?xml version="1.0" encoding="utf-8"?>
<sst xmlns="http://schemas.openxmlformats.org/spreadsheetml/2006/main" count="878" uniqueCount="498">
  <si>
    <t>TABLERO DE INDICADORES</t>
  </si>
  <si>
    <t>Proceso</t>
  </si>
  <si>
    <t>Indicador</t>
  </si>
  <si>
    <t>Formula</t>
  </si>
  <si>
    <t>Meta</t>
  </si>
  <si>
    <t>Frecuencia</t>
  </si>
  <si>
    <t>Mejor si…</t>
  </si>
  <si>
    <t>Responsable</t>
  </si>
  <si>
    <t>Fuente de datos</t>
  </si>
  <si>
    <t>Reporta</t>
  </si>
  <si>
    <t>Resultado del Indicador</t>
  </si>
  <si>
    <t>Peso Relativo</t>
  </si>
  <si>
    <t>% Relativo de Cumplimiento</t>
  </si>
  <si>
    <t>Si</t>
  </si>
  <si>
    <t>TOTAL</t>
  </si>
  <si>
    <t>Indicador que reporta</t>
  </si>
  <si>
    <t>Indicador Reportado</t>
  </si>
  <si>
    <t>Porcentaje de indicador reportado</t>
  </si>
  <si>
    <t>Optimo</t>
  </si>
  <si>
    <t>(85-100)%</t>
  </si>
  <si>
    <t>Bueno</t>
  </si>
  <si>
    <t>(65-84)%</t>
  </si>
  <si>
    <t>Deficiente</t>
  </si>
  <si>
    <t>(0-64)%</t>
  </si>
  <si>
    <t>Mes</t>
  </si>
  <si>
    <t>Σ Cumplim. ponderado de metas</t>
  </si>
  <si>
    <t xml:space="preserve"> Total indicadores reportados</t>
  </si>
  <si>
    <t>ACCIONES A TOMAR</t>
  </si>
  <si>
    <t>FECHA</t>
  </si>
  <si>
    <t>AC / AP</t>
  </si>
  <si>
    <t>SEGUIMIENTO</t>
  </si>
  <si>
    <t>Version: 01</t>
  </si>
  <si>
    <t>Pagina 1 de 1</t>
  </si>
  <si>
    <t>PROCESO</t>
  </si>
  <si>
    <t>INDICADOR (ES)</t>
  </si>
  <si>
    <t>FÓRMULA (S)</t>
  </si>
  <si>
    <t>FRECUENCIA</t>
  </si>
  <si>
    <t>RESPONSABLE</t>
  </si>
  <si>
    <t>FUENTE DE DATOS</t>
  </si>
  <si>
    <t>FECHA DE ELABORACION</t>
  </si>
  <si>
    <t>META</t>
  </si>
  <si>
    <t>ÓPTIMO</t>
  </si>
  <si>
    <t>ALARMA</t>
  </si>
  <si>
    <t>SUBE</t>
  </si>
  <si>
    <t>SGC-Registro</t>
  </si>
  <si>
    <t>CRITICO</t>
  </si>
  <si>
    <t>PROYECTO</t>
  </si>
  <si>
    <t>Escuela Tecnológica
 Instituto Técnico Central</t>
  </si>
  <si>
    <t>Investigación</t>
  </si>
  <si>
    <t>ANALISIS DE RESULTADOS</t>
  </si>
  <si>
    <t>Tipo de indicador</t>
  </si>
  <si>
    <t>Garantizar la participación de los docentes en comunidades academicas para la construcción, transferencia y socialización del conocimiento</t>
  </si>
  <si>
    <t>OBJETIVO ESTRATEGICO ASOCIADO</t>
  </si>
  <si>
    <t>Tendencia</t>
  </si>
  <si>
    <t>EVOLUCIÓN</t>
  </si>
  <si>
    <t>% Cumplimiento - CUMPLIMIENTO METAS</t>
  </si>
  <si>
    <t>TABLERO MAESTRO DE INDICADORES</t>
  </si>
  <si>
    <t>M</t>
  </si>
  <si>
    <t>V</t>
  </si>
  <si>
    <t>N.A.</t>
  </si>
  <si>
    <t>Tendencia Acumulada</t>
  </si>
  <si>
    <t>Efectividad del Sistema</t>
  </si>
  <si>
    <t>Descripción</t>
  </si>
  <si>
    <t>Sumatoria de indicadores de efectividad de todos los procesos</t>
  </si>
  <si>
    <t xml:space="preserve">Numero de proyectos nuevos ejecutados/numero de proyectos planteados </t>
  </si>
  <si>
    <t>Porcentaje de avance del plan de acción</t>
  </si>
  <si>
    <t>Porcentaje de cumplimiento del plan de mejoramiento definido</t>
  </si>
  <si>
    <t>Numero de convenios que presentaron actividad / Numero de convenios vigentes</t>
  </si>
  <si>
    <t>Cumplimiento Plan de mejoramiento</t>
  </si>
  <si>
    <t>Convenios Activos</t>
  </si>
  <si>
    <t>Nuevos Proyectos</t>
  </si>
  <si>
    <t>Cumplimiento Plan de Acción</t>
  </si>
  <si>
    <t>Extensión y proyección social</t>
  </si>
  <si>
    <t>Docencia PES</t>
  </si>
  <si>
    <t>Docencia Bachillerato</t>
  </si>
  <si>
    <t>Bienestar Universitario</t>
  </si>
  <si>
    <t>Gestión Control Disciplinario</t>
  </si>
  <si>
    <t>Gestión de Informática y comunicaciones</t>
  </si>
  <si>
    <t>Gestión de recursos fisicos</t>
  </si>
  <si>
    <t>Gestión del Talento Humano</t>
  </si>
  <si>
    <t>Gestión de Adquisiciones</t>
  </si>
  <si>
    <t>Gestión Financiera</t>
  </si>
  <si>
    <t>Numero de alianzas y convenios activos / numero total de alianzas y convenios de internacionalización</t>
  </si>
  <si>
    <t>Convenios activos de Internacionalización</t>
  </si>
  <si>
    <t>Participación en eventos de Internacionalización</t>
  </si>
  <si>
    <t>Numero de eventos en los que ha participado la ORI</t>
  </si>
  <si>
    <t>Numero de cursos ofertados/Numero de cursos planeados</t>
  </si>
  <si>
    <t>Numero de docentes que participan activamente en comunidades academicas relacionadas con internacionalización / Numero total de docentes</t>
  </si>
  <si>
    <t>Oferta de cursos ORI</t>
  </si>
  <si>
    <t>Docentes participantes de Internacionalizaciòn</t>
  </si>
  <si>
    <t>Direccionamiento Estrategico</t>
  </si>
  <si>
    <t>Efect Sist</t>
  </si>
  <si>
    <t>Conv Internac</t>
  </si>
  <si>
    <t>Cump Plan Mej</t>
  </si>
  <si>
    <t>Conv Activos</t>
  </si>
  <si>
    <t>Eventos</t>
  </si>
  <si>
    <t>Nuevos proy</t>
  </si>
  <si>
    <t>Cump Plan acción</t>
  </si>
  <si>
    <t>Docent partic inter</t>
  </si>
  <si>
    <t>Oferta ORI</t>
  </si>
  <si>
    <t>Sube</t>
  </si>
  <si>
    <t>(Asistentes semestre actual / Asistentes semestre anterior) - 1 * 100</t>
  </si>
  <si>
    <t>Promedio del resultado de las encuestas de satisfacción</t>
  </si>
  <si>
    <t>Avance de las actividades del plan de Bienestar</t>
  </si>
  <si>
    <t xml:space="preserve">Determinar el impacto de las actividades de bienestar en los estudiantes </t>
  </si>
  <si>
    <t>Identificar la variación en el número de beneficiados en la actividad de bienestar</t>
  </si>
  <si>
    <t>Determinar el porcentaje de ejecución de actividades con base en plan de acción</t>
  </si>
  <si>
    <t>Mensual</t>
  </si>
  <si>
    <t>Semestral</t>
  </si>
  <si>
    <t>Nivel de satisfacción</t>
  </si>
  <si>
    <t xml:space="preserve">Beneficiados de actividad </t>
  </si>
  <si>
    <t>Actividades de formación integral</t>
  </si>
  <si>
    <t>Efectividad</t>
  </si>
  <si>
    <t>Eficacia</t>
  </si>
  <si>
    <t>Eficiencia</t>
  </si>
  <si>
    <t>Baja</t>
  </si>
  <si>
    <t>Programas acreditados</t>
  </si>
  <si>
    <t>Índice de empleabilidad</t>
  </si>
  <si>
    <t>Medir desempeño de los estudiantes</t>
  </si>
  <si>
    <t>Medir el número  de egresados laborando</t>
  </si>
  <si>
    <t>Presupuesto de ingresos de extensión</t>
  </si>
  <si>
    <t xml:space="preserve">Eficacia </t>
  </si>
  <si>
    <t>Revisión de syllabus</t>
  </si>
  <si>
    <t># Syllabus revisados / # total de syllabus</t>
  </si>
  <si>
    <t>Medir la pertenecía de los syllabus</t>
  </si>
  <si>
    <t xml:space="preserve">Promoción escolar </t>
  </si>
  <si>
    <t>Proyectos de formación en actividades</t>
  </si>
  <si>
    <t>Proyectos  de  apoyo a las actividades</t>
  </si>
  <si>
    <t>Programa  de transferencia de conocimiento</t>
  </si>
  <si>
    <t>Diseñar un programa de formación investigativa  que prepare  a la comunidad de investigación  para el desarrollo de actividad en el periodo  2017-  2019 a través de vínculos con el SNCTI</t>
  </si>
  <si>
    <t xml:space="preserve">Determinar el impacto de las actividad de bienestar en los estudiantes </t>
  </si>
  <si>
    <t>PQRSD atendidas oportunamente</t>
  </si>
  <si>
    <t xml:space="preserve">PQRSD atendidas oportunamente/ PQRSD recepcionadas </t>
  </si>
  <si>
    <t>atender oportunamente la PQRSD en la ETITC</t>
  </si>
  <si>
    <t xml:space="preserve">Funcionalidad de máquinas, equipos y herramientas </t>
  </si>
  <si>
    <t xml:space="preserve">Eficiencia </t>
  </si>
  <si>
    <t xml:space="preserve">Garantizar la operabilidad de máquinas, equipos, y herramientas </t>
  </si>
  <si>
    <t xml:space="preserve">Clima laboral </t>
  </si>
  <si>
    <t xml:space="preserve">Evaluación del desempeño laboral </t>
  </si>
  <si>
    <t>Tasa de ejecución plan de compras</t>
  </si>
  <si>
    <t>Destinación del ingreso</t>
  </si>
  <si>
    <t>Tendencia Media</t>
  </si>
  <si>
    <t>Gestión de Calidad</t>
  </si>
  <si>
    <t>Semestre</t>
  </si>
  <si>
    <t>Anual</t>
  </si>
  <si>
    <t xml:space="preserve">Bimestral </t>
  </si>
  <si>
    <t xml:space="preserve">Anual </t>
  </si>
  <si>
    <t xml:space="preserve">Mensual </t>
  </si>
  <si>
    <t>Trimestral</t>
  </si>
  <si>
    <t>Variación de pruebas SABER PRO</t>
  </si>
  <si>
    <t xml:space="preserve">Resultados año actual / Resultados año anterior - 1 </t>
  </si>
  <si>
    <t>Medir el cumplimiento del presupuesto de ingresos de extensión</t>
  </si>
  <si>
    <t>NA</t>
  </si>
  <si>
    <t>Estudiantes que pasaron el año n / Estudiantes matriculados en el año n</t>
  </si>
  <si>
    <t xml:space="preserve">Medir el avance de la promoción escolar </t>
  </si>
  <si>
    <t>Cantidad de equipos en operación / Cantidad de equipos existentes</t>
  </si>
  <si>
    <t xml:space="preserve">Medir el porcentaje de programas acreditados </t>
  </si>
  <si>
    <t>Determinar el clima laboral a partir de mediciones anteriores</t>
  </si>
  <si>
    <t>Evaluar las competencias de los servidores públicos de la ETITC</t>
  </si>
  <si>
    <t>Promedio avance en el plan de mejoramiento</t>
  </si>
  <si>
    <t>Mejoramiento del Sistema de Gestión</t>
  </si>
  <si>
    <t>Medir el avance en los planes de mejoramiento resultado de las auditorías</t>
  </si>
  <si>
    <t xml:space="preserve"># Evaluaciones realizadas /# Total de funciones </t>
  </si>
  <si>
    <t>Observaciones</t>
  </si>
  <si>
    <t>Elaborar un  plan de apoyo a las actividades 2017- 2019  para los grupos de investigación  que responda a las políticas nacionales de ciencia, tecnología e innovación</t>
  </si>
  <si>
    <t>Medir la efectividad en el recaudo para el respaldo de los compromisos</t>
  </si>
  <si>
    <t>Bimensual</t>
  </si>
  <si>
    <t>Nivel de satisfacción actividades de Bienestar</t>
  </si>
  <si>
    <t>Sumatoria resultado encuestas de satisfacción actividades de bienestar/ Total estudiantes encuestados</t>
  </si>
  <si>
    <t># Proyectos  de apoyo a las actividad  en ejecución/ # de planes de apoyo a las actividad  programados</t>
  </si>
  <si>
    <t># Proyectos de formación  actividad  en ejecución/ # de proyectos de formación actividad  programados</t>
  </si>
  <si>
    <t>Ingresos ejecutados / Ingresos programados</t>
  </si>
  <si>
    <t>Porcentaje de empleabilidad del año</t>
  </si>
  <si>
    <t>Recaudo / Compromisos</t>
  </si>
  <si>
    <t>≥  1,00</t>
  </si>
  <si>
    <t>Variación en la desviación estándar del examen SABER 11</t>
  </si>
  <si>
    <t>Desviación estándar año 2017 / Desviación estándar año 2016  - 1</t>
  </si>
  <si>
    <t>Mejorar la calidad de vida de la comunidad universitaria, mediante la planeación y ejecución de proyectos, programas y actividades que fortalezcan las condiciones de bienestar</t>
  </si>
  <si>
    <t>Revisar y ajustar los currículos permanentemente de acuerdo con los avances del conocimiento y los requerimientos de la sociedad para darles pertinencia y coherencia con el perfil institucional</t>
  </si>
  <si>
    <t>Modernizar la infraestructura de laboratorios, talleres y aulas especializadas para desarrollar y afirmar las competencias</t>
  </si>
  <si>
    <t>Continuar con el proceso de acreditación de los programas</t>
  </si>
  <si>
    <t>Garantizar la pertinencia de los programas de ES ofrecidos por la ETITC, a partir de la identificación de las tendencias y necesidades de la sociedad, del mercado laboral y de los procesos de ES, tanto a nivel nacional como internacional</t>
  </si>
  <si>
    <t>Formar investigadores en la gestión de grupos, formulación de proyectos de investigación y ACTI para posicionar a la ETITC como centro líder entre sus pares en Ciencia, tecnología e innovación</t>
  </si>
  <si>
    <t>Capacitar a la comunidad ETITC y definir protocolos para la aplicación de normatividad de propiedad intelectual</t>
  </si>
  <si>
    <t>Realizar publicaciones institucionales y ponencias en eventos académicos nacionales e internacionales</t>
  </si>
  <si>
    <t>Incentivar la formulación y realización de proyectos que consoliden los grupos de investigación</t>
  </si>
  <si>
    <t>Fortalecer y consolidar la gestión financiera de la institución</t>
  </si>
  <si>
    <t>Contar con un equipo humano eficiente en un ambiente laboral confortable, capaz de dar soluciones</t>
  </si>
  <si>
    <t>Mejorar el equipamiento tecnológico de la Institución</t>
  </si>
  <si>
    <t>Satisfacer las expectativas de los usuarios asociadas con un servicio educativo de calidad a través del fortalecimiento del Sistema de Gestión de calidad y la evaluación permanente</t>
  </si>
  <si>
    <t>Vincular la institución con el entorno nacional e internacional para acceder a los recursos y generar intercambios</t>
  </si>
  <si>
    <t>TABLERO INDICADORES 2017</t>
  </si>
  <si>
    <t>Mejorar el desempeño común de los estudiantes  (a mayor disminución, mejor desempeño)</t>
  </si>
  <si>
    <t>Movilidad internacional (1) 
Cantidad: 1 Docente, Destino: México
Movilidad nacional (2)
Cantidad: 1 Decano, 1 estudiante, Destino: Medellín</t>
  </si>
  <si>
    <t>Febrero</t>
  </si>
  <si>
    <t>Marzo</t>
  </si>
  <si>
    <t>Abril</t>
  </si>
  <si>
    <t>Línea Base</t>
  </si>
  <si>
    <t>Direccionamiento Institucional</t>
  </si>
  <si>
    <t>( # Programas acreditados /  # programas acreditables )</t>
  </si>
  <si>
    <t xml:space="preserve">Medir el % de programas acreditados </t>
  </si>
  <si>
    <t xml:space="preserve">Variación de pruebas saber pro </t>
  </si>
  <si>
    <t xml:space="preserve">según fuente -MEN </t>
  </si>
  <si>
    <t>Fuente observatorio laboral</t>
  </si>
  <si>
    <t>95,7% (Medición del 2015, no hay datos 2016)</t>
  </si>
  <si>
    <t>Actividades ejecutadas / actividades programadas</t>
  </si>
  <si>
    <t>Medir el cumplimiento de las actividades de movilidad.</t>
  </si>
  <si>
    <t xml:space="preserve">mensual </t>
  </si>
  <si>
    <t>Cumplimiento del Plan de Desarrollo Institucional</t>
  </si>
  <si>
    <t>% avance de cumplimiento del plan estratégico de desarrollo</t>
  </si>
  <si>
    <t>Medir el cumplimiento del plan estratégico de desarrollo a partir del informe presentado por los responsables de cada uno de los ejes estratégicos</t>
  </si>
  <si>
    <t>anual</t>
  </si>
  <si>
    <t xml:space="preserve">Egresados </t>
  </si>
  <si>
    <t>Conocer la participación de los egresados en actividades de la ETITC.</t>
  </si>
  <si>
    <t>Presupuesto ejecutado del plan de acción/ presupuesto aprobado en el plan de acción *100</t>
  </si>
  <si>
    <t xml:space="preserve">Trabajos de grado con reconocimiento </t>
  </si>
  <si>
    <t xml:space="preserve"># trabajos de grado con distinciones  / # total, trabajos de grado  </t>
  </si>
  <si>
    <t>Medir la pertinencia de los trabajos de grado</t>
  </si>
  <si>
    <t>Participación en comunidades académicas</t>
  </si>
  <si>
    <t xml:space="preserve">Medir la visibilidad de la institución en comunidades académicas </t>
  </si>
  <si>
    <t>Uso de talleres y laboratorios</t>
  </si>
  <si>
    <t>Variación pruebas saber PRO</t>
  </si>
  <si>
    <t xml:space="preserve">Pruebas saber pro vigencia actual  respecto Pruebas saber pro vigencia anterior </t>
  </si>
  <si>
    <t xml:space="preserve">Medir desempeño de los estudiantes </t>
  </si>
  <si>
    <t>Indice de empleabilidad</t>
  </si>
  <si>
    <t>Fuente MEN</t>
  </si>
  <si>
    <t>Medir la pertenencia de los programas con la industria</t>
  </si>
  <si>
    <t>Rendimiento académico periódico</t>
  </si>
  <si>
    <t>Nivel de desempeño de aprobación del bimestre actual vs. Nivel de desempeño de aprobación del bimestre anterior.</t>
  </si>
  <si>
    <t>Mejorar el desempeño académico de los estudiantes periódico</t>
  </si>
  <si>
    <t xml:space="preserve">Desempeño pruebas saber </t>
  </si>
  <si>
    <t># Proyectos de formación  actividad  en ejecución/ # de proyectos de formación actividad  programados*100</t>
  </si>
  <si>
    <t>Elaborar un  plan de apoyo a las actividades 2017- 2019  para los grupos de investigación  que responda a las políticas nacionales de ciencia, tecnología e innovación.</t>
  </si>
  <si>
    <t># de programas de transferencia de conocimiento en ejecución/ # de programas de transferencia de conocimiento  planeados*100</t>
  </si>
  <si>
    <t>Implementar  en 2018 un programa de  gestión  de transferencia del conocimiento  que provea a la ETITC   de  instrumentos para el uso, distribución y protección  del conocimiento.</t>
  </si>
  <si>
    <t>Ejecución presupuestal investigaciones</t>
  </si>
  <si>
    <t>Conocer la ejecución del plan de acción</t>
  </si>
  <si>
    <t>Determinar el % de ejecución de actividades con base en plan de acción</t>
  </si>
  <si>
    <t>TRD validadas</t>
  </si>
  <si>
    <t xml:space="preserve">Mantener las TRD de la ETITC validadas y actualizadas </t>
  </si>
  <si>
    <t xml:space="preserve">cantidad de equipos en operación / cantidad de equipos existentes </t>
  </si>
  <si>
    <t xml:space="preserve">Cuatrimestral </t>
  </si>
  <si>
    <t>Gestión de Control Interno</t>
  </si>
  <si>
    <t>Seguimiento a las hojas de vida de los funcionarios</t>
  </si>
  <si>
    <t xml:space="preserve"> # Hojas de vida actualizadas * 100/  # de funcionarios </t>
  </si>
  <si>
    <t xml:space="preserve">Semestral </t>
  </si>
  <si>
    <t xml:space="preserve">Seguimiento al servicio permanente </t>
  </si>
  <si>
    <t># Seguimientos realizados * 100/ # Seguimientos establecidaos</t>
  </si>
  <si>
    <t>Satisfacer expectativas de usuarios asociados al servicio educativo</t>
  </si>
  <si>
    <t>Se evidencia este índicador a través de las actas realizadas a los seguimientos realizados de las PQRDS por el área</t>
  </si>
  <si>
    <t>Programas de seguridad y salud en el trabajo</t>
  </si>
  <si>
    <t xml:space="preserve"># actividades proyectados/ # actividades ejecutados </t>
  </si>
  <si>
    <t>medir el avance de los programas de SST</t>
  </si>
  <si>
    <t xml:space="preserve">Cumplimiento del programa de bienestar laboral </t>
  </si>
  <si>
    <t># actividades ejecutadas en el año/ # actividades programadas</t>
  </si>
  <si>
    <t xml:space="preserve">medir el cumplimiento de las actividades programadas </t>
  </si>
  <si>
    <t xml:space="preserve">Reinducción de funcionarios </t>
  </si>
  <si>
    <t># funcionarios que recibieron reinducción en el año  / # total de funcionarios vinculados a la entidad</t>
  </si>
  <si>
    <t>medir el número de personas capacitadas</t>
  </si>
  <si>
    <t>Cumplimiento del plan de capacitación</t>
  </si>
  <si>
    <t># servidores publicos capacitados  / # de servidores de la entidad * 100</t>
  </si>
  <si>
    <t>medir la participación de los servidores publicos en los PI-C</t>
  </si>
  <si>
    <t>Plan de compras ejecutado / Valor total de compras</t>
  </si>
  <si>
    <t>Priorizar el gasto</t>
  </si>
  <si>
    <t>Traslado cuenta única nacional -CUN</t>
  </si>
  <si>
    <t>Valor ingresos recibido cuenta bancaria / valor traslados CUN</t>
  </si>
  <si>
    <t>Medir la eficiencia en la identificación y traslado de recursos a la CUN</t>
  </si>
  <si>
    <t xml:space="preserve">Uso de recursos </t>
  </si>
  <si>
    <t>Pagos / Recaudo total * 100</t>
  </si>
  <si>
    <t xml:space="preserve">Verificar el ingreso recibido vs, pagos ejecutados </t>
  </si>
  <si>
    <t>Gestión de autoevaluación</t>
  </si>
  <si>
    <t>(ACTIVIDADES DESARROLLADAS EN PERIODO / TOTAL DE ACTIVIDADES PLANEADAS *100 )</t>
  </si>
  <si>
    <t xml:space="preserve">MEDIR COMO AVANZA EL PLAN DE AUTOEVALUACIÓN </t>
  </si>
  <si>
    <t>Avance de las actividades de la autoevaluación</t>
  </si>
  <si>
    <t>(Actividades desarrolladas en periodo / actividades programadas en el periodo *100 )</t>
  </si>
  <si>
    <t xml:space="preserve">Medir el avance del procesos de autoevaluación </t>
  </si>
  <si>
    <t>&lt;= 96%</t>
  </si>
  <si>
    <t>9.9925(2016)/9,9204(2015)</t>
  </si>
  <si>
    <t>No tiene, es la primera vez que se mide este impacto</t>
  </si>
  <si>
    <t>Satisfacción de los cursos de extensión</t>
  </si>
  <si>
    <t>Promedio de las evaluaciones de los cursos</t>
  </si>
  <si>
    <t>Medir la satisfacción de los estudiantes frente a los programas ofertados en el área</t>
  </si>
  <si>
    <t>Permanencia en los cursos de extensión</t>
  </si>
  <si>
    <t>#Total de estudiantes que culminan / # de estudiantes que se matriculan *100</t>
  </si>
  <si>
    <t>Conocer la permanencia académica</t>
  </si>
  <si>
    <t>Incrementar las actividades de formación en valores, vivenciando la práctica de los derechos humanos y deberes para lograr formación integral de calidad.</t>
  </si>
  <si>
    <t>Incrementar el mejoramiento académico y comportamental de los estudiantes con el fin de afianzar competencias necesarias para ser más productivos y competitivos.</t>
  </si>
  <si>
    <t>Desarrollar capacidades científicas, técnicas y tecnológicas que garanticen la formación de excelentes profesionales.</t>
  </si>
  <si>
    <t>Lograr la acreditación de los programas académicos e institucional en alta calidad.</t>
  </si>
  <si>
    <t>Incrementar las relaciones con el sector productivo, comunidades académicas y la sociedad, como soporte de una educación de calidad por ciclos propedéuticos.</t>
  </si>
  <si>
    <t>Promover el cambio en los integrantes de la comunidad educativa para lograr la eficacia en los procesos de gestión de calidad.</t>
  </si>
  <si>
    <t>Garantizar espacios de crecimiento personal y profesional que ayuden a mejorar la calidad de vida de los estudiantes</t>
  </si>
  <si>
    <t>INDICADOR</t>
  </si>
  <si>
    <t>LÍNEA BASE</t>
  </si>
  <si>
    <t>Medir el porcentaje de ejecución de convenios y redes ejecutados por la ETITC</t>
  </si>
  <si>
    <t>#de horas de uso de talleres y laboratorios/ #total de horas dispuestas por el taller</t>
  </si>
  <si>
    <t>Un trabajo por cada facultad</t>
  </si>
  <si>
    <t xml:space="preserve">Promoción y participación de esas redes para la acreditación (Todas las facultades pertenezcan en cada una de la sredes), componente de redes </t>
  </si>
  <si>
    <t>Medir el uso de los talleres y laboratorios</t>
  </si>
  <si>
    <t>Uso de talleres al 100%</t>
  </si>
  <si>
    <t>Facultades con al menos 1 participación/ total de facultades</t>
  </si>
  <si>
    <t>&lt;=97,6</t>
  </si>
  <si>
    <t xml:space="preserve">( # formato de asistencia o  actividades semestre vigente/asistente actividad semestre anterior) - 1 </t>
  </si>
  <si>
    <t>Identificar las participaciones de # de beneficiados en la actividad de bienestar</t>
  </si>
  <si>
    <t>Promedio de las encuestas de satisfacción</t>
  </si>
  <si>
    <t xml:space="preserve"> # actividad formación integral ejecutadas/ + actividades formación integral planeadas</t>
  </si>
  <si>
    <t>Entre 15 y 15 de cada periodo</t>
  </si>
  <si>
    <t>TRD validadas / total TRD</t>
  </si>
  <si>
    <t>Nivel de satisfacciób a las solicitudes de planta física</t>
  </si>
  <si>
    <t>Promedio % de satisfacción</t>
  </si>
  <si>
    <t>Garantizar la calidad del servicio prestado</t>
  </si>
  <si>
    <t>Avace del plan de trabajo de la coordinación</t>
  </si>
  <si>
    <t>Cumplimiento de actividades de movilidad</t>
  </si>
  <si>
    <t>75% (11/15)</t>
  </si>
  <si>
    <t>&gt;= 96%</t>
  </si>
  <si>
    <t>OBJETIVO DE CALIDAD</t>
  </si>
  <si>
    <t># Evaluaciones realizadas /# Total de funcionarios</t>
  </si>
  <si>
    <t>ORII</t>
  </si>
  <si>
    <t>Mayo</t>
  </si>
  <si>
    <t>Junio</t>
  </si>
  <si>
    <t># Proyectos  de apoyo a las ACTI  en ejecución/ # de proyectos de apoyo a las actividad programados*100</t>
  </si>
  <si>
    <t>En este índicador se da cumplimiento al 100%</t>
  </si>
  <si>
    <t>Por ser la primera medición, el rendimiento de 3,64 (Desempeño básico) es nuestra línea base para la siguiente evaluación</t>
  </si>
  <si>
    <t>Satisfaccion</t>
  </si>
  <si>
    <t>Beneficiados</t>
  </si>
  <si>
    <t>Artes</t>
  </si>
  <si>
    <t>Salud</t>
  </si>
  <si>
    <t>T Social</t>
  </si>
  <si>
    <t>Psicología</t>
  </si>
  <si>
    <t>Rec Deportes</t>
  </si>
  <si>
    <t>Pastoral PES</t>
  </si>
  <si>
    <t>Pastoral IBTI</t>
  </si>
  <si>
    <t>Realizadas</t>
  </si>
  <si>
    <t>Propuestas</t>
  </si>
  <si>
    <t>Actividades</t>
  </si>
  <si>
    <t>Última medición, Junio del 2017</t>
  </si>
  <si>
    <t>Medición del mes de Junio del 2017, se toma este dato como línea base para la próxima medición</t>
  </si>
  <si>
    <t>De las 64 actividades programadas se cumplen 52</t>
  </si>
  <si>
    <t>hay</t>
  </si>
  <si>
    <t>reparar</t>
  </si>
  <si>
    <t>uso</t>
  </si>
  <si>
    <t>Mejorar la Seguridad en los sistemas de información y comunicacioés</t>
  </si>
  <si>
    <t xml:space="preserve">Sistemas de información y comunicación administrados vs Estandáres de seguridad </t>
  </si>
  <si>
    <t>Mantener los sistemas de información y comunicación con estándares de seguridad</t>
  </si>
  <si>
    <t>&lt;=80</t>
  </si>
  <si>
    <t>Se lleva ejecutado 24% del presupuesto.</t>
  </si>
  <si>
    <t>De auerdo al lider del proceso, este indicador se medira en el mes de Julio.</t>
  </si>
  <si>
    <t>Se recibieron 5 solicitudes de movilidad Internacional, se ven pocas solicitudes debido al receso académico de la entidad</t>
  </si>
  <si>
    <t>#de egresados vinculados / # de egresados totales *100</t>
  </si>
  <si>
    <t>Levantamiento de información física para los programas, identificación de % de deserción usando  como base la metodología SPADIES, calsificación de recursos bibliográficos por facultad.</t>
  </si>
  <si>
    <t>Cargue de de condiciones iniciales en un 80%  de la informaciómn</t>
  </si>
  <si>
    <t>&lt;=85</t>
  </si>
  <si>
    <t>Medición se realiza a Junio 30 del 2017</t>
  </si>
  <si>
    <t>Se aprobaron y validaron las tablas de retencipon documental al 100% en el consejo</t>
  </si>
  <si>
    <t>Se ha realizado el tema de la implementación del marco de seguridad de información y análisis de riesgo.</t>
  </si>
  <si>
    <t>Porcentaje promedio de avance del seguimiento de convenios</t>
  </si>
  <si>
    <t>BAJO</t>
  </si>
  <si>
    <t>MEDIO</t>
  </si>
  <si>
    <t>Ejecución de convenios y redes nacionales e internacionales</t>
  </si>
  <si>
    <t>Atender oportunamente la PQRSD en la ETITC</t>
  </si>
  <si>
    <t>x&gt;=1,00</t>
  </si>
  <si>
    <t>x&lt;90%</t>
  </si>
  <si>
    <t>x&gt;=95%</t>
  </si>
  <si>
    <t>x&lt;30%</t>
  </si>
  <si>
    <t>x&lt;75%</t>
  </si>
  <si>
    <t>Resultado de la medición del clima laboral en el período</t>
  </si>
  <si>
    <t>Determinar el clima laboral, el cual deberá ser superior al de la línea base o del año anterior</t>
  </si>
  <si>
    <t>ALTO</t>
  </si>
  <si>
    <t>Realizar el seguimiento a las hojas de vida registradas en el Sigep (incluídos contratistas)</t>
  </si>
  <si>
    <t>x&gt;=90%</t>
  </si>
  <si>
    <t>75%&lt;=x&lt;90%</t>
  </si>
  <si>
    <t>x&lt;0,90</t>
  </si>
  <si>
    <t>&gt; 91,00%</t>
  </si>
  <si>
    <t>x&lt;60%</t>
  </si>
  <si>
    <t>&gt;=80%</t>
  </si>
  <si>
    <t>Julio</t>
  </si>
  <si>
    <t>x&lt;70%</t>
  </si>
  <si>
    <t>x&lt;73%</t>
  </si>
  <si>
    <t>x&gt;=100%</t>
  </si>
  <si>
    <t>Proceso de acreditación de programas</t>
  </si>
  <si>
    <t>Medir el cumplimiento de las etapas de la acreditación de programas</t>
  </si>
  <si>
    <t>x&lt;85%</t>
  </si>
  <si>
    <t>x&lt;72%</t>
  </si>
  <si>
    <t>x=100%</t>
  </si>
  <si>
    <t>72%
&lt;=x&lt;
100%</t>
  </si>
  <si>
    <t>60%
&lt;=x&lt;
80%</t>
  </si>
  <si>
    <t>90%
&lt;=x&lt;
95%</t>
  </si>
  <si>
    <t>70%
&lt;=x&lt;
89%</t>
  </si>
  <si>
    <t>0,90
&lt;=x&lt;
1,00</t>
  </si>
  <si>
    <t>85%
&lt;=x&lt;
99%</t>
  </si>
  <si>
    <t>PERIODO</t>
  </si>
  <si>
    <t>DESCRIPCIÓN</t>
  </si>
  <si>
    <t>FÓRMULA</t>
  </si>
  <si>
    <t>OBJETIVO ESTRATÉGICO</t>
  </si>
  <si>
    <t>RANGO</t>
  </si>
  <si>
    <t>Bajo</t>
  </si>
  <si>
    <t>Medio</t>
  </si>
  <si>
    <t>Óptimo</t>
  </si>
  <si>
    <t>MEDICIÓN Y ANÁLISIS</t>
  </si>
  <si>
    <t>92,8%
&lt;=x&lt;
95%</t>
  </si>
  <si>
    <t>x&lt;92,8%</t>
  </si>
  <si>
    <t>≥ 90,0%</t>
  </si>
  <si>
    <t>LÍNEA BASE
(2016)</t>
  </si>
  <si>
    <t>RESULTADO
2017</t>
  </si>
  <si>
    <t>50%
&lt;=x&lt;
70%</t>
  </si>
  <si>
    <t>x&gt;=70%</t>
  </si>
  <si>
    <t>Ejecución de ingresos</t>
  </si>
  <si>
    <t>Ingresos propios recibidos / Ingresos propios esperados</t>
  </si>
  <si>
    <t>85%
&lt;=x&lt;
95%</t>
  </si>
  <si>
    <r>
      <t xml:space="preserve">Avance etapas 
</t>
    </r>
    <r>
      <rPr>
        <b/>
        <sz val="20"/>
        <rFont val="Calibri"/>
        <family val="2"/>
        <scheme val="minor"/>
      </rPr>
      <t>(</t>
    </r>
    <r>
      <rPr>
        <sz val="20"/>
        <rFont val="Calibri"/>
        <family val="2"/>
        <scheme val="minor"/>
      </rPr>
      <t xml:space="preserve">11 cargues iniciales </t>
    </r>
    <r>
      <rPr>
        <b/>
        <sz val="20"/>
        <rFont val="Calibri"/>
        <family val="2"/>
        <scheme val="minor"/>
      </rPr>
      <t>+</t>
    </r>
    <r>
      <rPr>
        <sz val="20"/>
        <rFont val="Calibri"/>
        <family val="2"/>
        <scheme val="minor"/>
      </rPr>
      <t xml:space="preserve"> 11 Revisiones </t>
    </r>
    <r>
      <rPr>
        <b/>
        <sz val="20"/>
        <rFont val="Calibri"/>
        <family val="2"/>
        <scheme val="minor"/>
      </rPr>
      <t>+</t>
    </r>
    <r>
      <rPr>
        <sz val="20"/>
        <rFont val="Calibri"/>
        <family val="2"/>
        <scheme val="minor"/>
      </rPr>
      <t xml:space="preserve"> 11 cargues de información </t>
    </r>
    <r>
      <rPr>
        <b/>
        <sz val="20"/>
        <rFont val="Calibri"/>
        <family val="2"/>
        <scheme val="minor"/>
      </rPr>
      <t>+</t>
    </r>
    <r>
      <rPr>
        <sz val="20"/>
        <rFont val="Calibri"/>
        <family val="2"/>
        <scheme val="minor"/>
      </rPr>
      <t xml:space="preserve"> 4 asignaciones </t>
    </r>
    <r>
      <rPr>
        <b/>
        <sz val="20"/>
        <rFont val="Calibri"/>
        <family val="2"/>
        <scheme val="minor"/>
      </rPr>
      <t>+</t>
    </r>
    <r>
      <rPr>
        <sz val="20"/>
        <rFont val="Calibri"/>
        <family val="2"/>
        <scheme val="minor"/>
      </rPr>
      <t xml:space="preserve"> 4 aclaraciones </t>
    </r>
    <r>
      <rPr>
        <b/>
        <sz val="20"/>
        <rFont val="Calibri"/>
        <family val="2"/>
        <scheme val="minor"/>
      </rPr>
      <t>+</t>
    </r>
    <r>
      <rPr>
        <sz val="20"/>
        <rFont val="Calibri"/>
        <family val="2"/>
        <scheme val="minor"/>
      </rPr>
      <t xml:space="preserve"> 4 conceptos</t>
    </r>
    <r>
      <rPr>
        <b/>
        <sz val="20"/>
        <rFont val="Calibri"/>
        <family val="2"/>
        <scheme val="minor"/>
      </rPr>
      <t>) / (</t>
    </r>
    <r>
      <rPr>
        <sz val="20"/>
        <rFont val="Calibri"/>
        <family val="2"/>
        <scheme val="minor"/>
      </rPr>
      <t>45</t>
    </r>
    <r>
      <rPr>
        <b/>
        <sz val="20"/>
        <rFont val="Calibri"/>
        <family val="2"/>
        <scheme val="minor"/>
      </rPr>
      <t>)</t>
    </r>
  </si>
  <si>
    <r>
      <rPr>
        <b/>
        <sz val="20"/>
        <color rgb="FF000000"/>
        <rFont val="Calibri"/>
        <family val="2"/>
        <scheme val="minor"/>
      </rPr>
      <t>(</t>
    </r>
    <r>
      <rPr>
        <sz val="20"/>
        <color rgb="FF000000"/>
        <rFont val="Calibri"/>
        <family val="2"/>
        <scheme val="minor"/>
      </rPr>
      <t xml:space="preserve">PQRSD recibidas hasta el día 15 del mes </t>
    </r>
    <r>
      <rPr>
        <b/>
        <i/>
        <sz val="20"/>
        <color rgb="FF000000"/>
        <rFont val="Calibri"/>
        <family val="2"/>
        <scheme val="minor"/>
      </rPr>
      <t xml:space="preserve">n-1 </t>
    </r>
    <r>
      <rPr>
        <sz val="20"/>
        <color rgb="FF000000"/>
        <rFont val="Calibri"/>
        <family val="2"/>
        <scheme val="minor"/>
      </rPr>
      <t>y</t>
    </r>
    <r>
      <rPr>
        <b/>
        <i/>
        <sz val="20"/>
        <color rgb="FF000000"/>
        <rFont val="Calibri"/>
        <family val="2"/>
        <scheme val="minor"/>
      </rPr>
      <t xml:space="preserve"> </t>
    </r>
    <r>
      <rPr>
        <sz val="20"/>
        <color rgb="FF000000"/>
        <rFont val="Calibri"/>
        <family val="2"/>
        <scheme val="minor"/>
      </rPr>
      <t xml:space="preserve">atendidas oportunamente al día 14 del mes </t>
    </r>
    <r>
      <rPr>
        <b/>
        <i/>
        <sz val="20"/>
        <color rgb="FF000000"/>
        <rFont val="Calibri"/>
        <family val="2"/>
        <scheme val="minor"/>
      </rPr>
      <t>n</t>
    </r>
    <r>
      <rPr>
        <b/>
        <sz val="20"/>
        <color rgb="FF000000"/>
        <rFont val="Calibri"/>
        <family val="2"/>
        <scheme val="minor"/>
      </rPr>
      <t>)</t>
    </r>
    <r>
      <rPr>
        <sz val="20"/>
        <color rgb="FF000000"/>
        <rFont val="Calibri"/>
        <family val="2"/>
        <scheme val="minor"/>
      </rPr>
      <t xml:space="preserve"> </t>
    </r>
    <r>
      <rPr>
        <b/>
        <sz val="20"/>
        <color rgb="FF000000"/>
        <rFont val="Calibri"/>
        <family val="2"/>
        <scheme val="minor"/>
      </rPr>
      <t>/</t>
    </r>
    <r>
      <rPr>
        <sz val="20"/>
        <color rgb="FF000000"/>
        <rFont val="Calibri"/>
        <family val="2"/>
        <scheme val="minor"/>
      </rPr>
      <t xml:space="preserve"> </t>
    </r>
    <r>
      <rPr>
        <b/>
        <sz val="20"/>
        <color rgb="FF000000"/>
        <rFont val="Calibri"/>
        <family val="2"/>
        <scheme val="minor"/>
      </rPr>
      <t>(</t>
    </r>
    <r>
      <rPr>
        <sz val="20"/>
        <color rgb="FF000000"/>
        <rFont val="Calibri"/>
        <family val="2"/>
        <scheme val="minor"/>
      </rPr>
      <t xml:space="preserve">PQRSD recepcionadas hasta el día 15 del mes </t>
    </r>
    <r>
      <rPr>
        <b/>
        <i/>
        <sz val="20"/>
        <color rgb="FF000000"/>
        <rFont val="Calibri"/>
        <family val="2"/>
        <scheme val="minor"/>
      </rPr>
      <t>n - 1</t>
    </r>
    <r>
      <rPr>
        <b/>
        <sz val="20"/>
        <color rgb="FF000000"/>
        <rFont val="Calibri"/>
        <family val="2"/>
        <scheme val="minor"/>
      </rPr>
      <t>)</t>
    </r>
  </si>
  <si>
    <t>Medir oportunamente el nivel de recaudo con el fin de revisar el cumplimiento del plan de acción del año</t>
  </si>
  <si>
    <t>$ 7.921.808.605 de un proyectado de 
$ 12.490.038.624
(63,43%)</t>
  </si>
  <si>
    <t>x&gt;=75%</t>
  </si>
  <si>
    <t>50%
&lt;=x&lt;
75%</t>
  </si>
  <si>
    <t>x&lt;50%</t>
  </si>
  <si>
    <t>(Participantes de las actividades de bienestar semestre actual / Participantes semestre anterior semestre anterior) - 1</t>
  </si>
  <si>
    <t>Participación de la comunidad universitaria</t>
  </si>
  <si>
    <t>Mostrar el incremento en la población que participa en las actividades de bienestar</t>
  </si>
  <si>
    <t>x&lt;2%</t>
  </si>
  <si>
    <t>2%
&lt;=x&lt;
5%</t>
  </si>
  <si>
    <t>x&gt;=5%</t>
  </si>
  <si>
    <r>
      <rPr>
        <b/>
        <sz val="20"/>
        <rFont val="Calibri"/>
        <family val="2"/>
        <scheme val="minor"/>
      </rPr>
      <t>#</t>
    </r>
    <r>
      <rPr>
        <sz val="20"/>
        <rFont val="Calibri"/>
        <family val="2"/>
        <scheme val="minor"/>
      </rPr>
      <t xml:space="preserve"> Programas acreditados </t>
    </r>
    <r>
      <rPr>
        <b/>
        <sz val="20"/>
        <rFont val="Calibri"/>
        <family val="2"/>
        <scheme val="minor"/>
      </rPr>
      <t>/</t>
    </r>
    <r>
      <rPr>
        <sz val="20"/>
        <rFont val="Calibri"/>
        <family val="2"/>
        <scheme val="minor"/>
      </rPr>
      <t xml:space="preserve">  
Solicitudes de programas  calificados</t>
    </r>
  </si>
  <si>
    <t>TIPO DE INDICADOR</t>
  </si>
  <si>
    <t>PLAN DE ACCIÓN ASOCIADO</t>
  </si>
  <si>
    <t>Fortalecimiento del proceso de docencia</t>
  </si>
  <si>
    <t>- Proceso de autoevaluación institucional 2018-2019
- Continuidad al proceso de acreditación de programas de pregrado
- Ejecución de planes de mejoramiento
- Gestión de autoevaluación 
- Gestión de acreditación</t>
  </si>
  <si>
    <t>Ciencias naturales</t>
  </si>
  <si>
    <t>- Evaluación y seguimiento
- Disciplina</t>
  </si>
  <si>
    <t>Direccionamiento Estratégico</t>
  </si>
  <si>
    <t>Gestión de convenios - Redes - Alianzas</t>
  </si>
  <si>
    <t>Gestión de Recursos físicos</t>
  </si>
  <si>
    <t>Formación de investigadores</t>
  </si>
  <si>
    <t>- Gestión del conocimiento
- Formación de investigadores</t>
  </si>
  <si>
    <t>- Quédate en le ETITC-Psicología
- Trabajo Social
- Una ETITC Activa- Deportes
- ETITC Una nota con arte
- Humanizar la Escuela
- Salud
- Banda de marcha</t>
  </si>
  <si>
    <t>- Vinculación y desarrollo del talento humano</t>
  </si>
  <si>
    <t xml:space="preserve">- Mantenimiento Planta Física
- Mejoramiento de la planta física
- Mantenimiento y mejoramiento de talleres y laboratorios
- Modernización de infrastructura, laboratorios, talleres y aulas especializadas
</t>
  </si>
  <si>
    <t>- Gestión de convenios – Redes – Alianzas 
- Nueva oferta académica
- Cursos técnicos y diplomados
- Cursos y diplomados a la medida para empresas
- Cursos de lenguas</t>
  </si>
  <si>
    <t>- Fortalecimiento de los procesos del área (viceadministrativa)</t>
  </si>
  <si>
    <t>- Cursos técnicos y diplomados
- Cursos y diplomados a la medida para empresas
- Cursos de lenguas</t>
  </si>
  <si>
    <t>- Planeación institucional y alineación con el MIPG 2.0
- Mantener, mejorar y fortalecer el Sistema de Gestión Integrado
- Evaluación y seguimiento al Sistema de Gestión Integrado</t>
  </si>
  <si>
    <t>- Implementación del sistema de gestión del documento electrónico
- Mejorar los procesos de atención al ciudadano a través de la ventanilla única de radicación</t>
  </si>
  <si>
    <t>MEJOR SI</t>
  </si>
  <si>
    <t>≥ 90,00%</t>
  </si>
  <si>
    <t>Noviembre</t>
  </si>
  <si>
    <t>Diciembre</t>
  </si>
  <si>
    <t>Septiembre</t>
  </si>
  <si>
    <t>Octubre</t>
  </si>
  <si>
    <t>x&gt;90%</t>
  </si>
  <si>
    <t>x&gt;91%</t>
  </si>
  <si>
    <t>Desviación estándar año 2018</t>
  </si>
  <si>
    <t>78%
&lt;=x&lt;=
91%</t>
  </si>
  <si>
    <t>Bianual</t>
  </si>
  <si>
    <t>73%
&lt;=x&lt;
95%</t>
  </si>
  <si>
    <t>OBJETIVOS ESTRATÉGICOS</t>
  </si>
  <si>
    <t>PROCESOS</t>
  </si>
  <si>
    <t>Se recibieron los resultados 2017:
Presentes 2016: 193
Presentes 2017: 355
Promedio 2016: 150                 Desviación estándar: 19
Promedio 2017: 147                 Desviación estándar: 20</t>
  </si>
  <si>
    <t>Durante el primer semestre del 2018, se tiene un nivel de satisfacción óptimo</t>
  </si>
  <si>
    <t>De acuerdo al momento 0 realizado en este semestre, la información arroja que la empleabilidad de los estudiantes graduados corresponde a 95%</t>
  </si>
  <si>
    <t>Se realizó la revisión de los syllabus de ciencias básicas, inglés, humanidades, matemáticas, mecánica, economía y administración y sistemas.</t>
  </si>
  <si>
    <t>Durante el primer semestre del 2018, se tiene una participación de 5.476 estudiantes a las diferentes actvidades realizadas por el área de bienestar universitario</t>
  </si>
  <si>
    <t>FACTORES</t>
  </si>
  <si>
    <t>FACTOR 2. LOS ESTUDIANTES.</t>
  </si>
  <si>
    <t>FACTOR 3. PROFESORES</t>
  </si>
  <si>
    <t>FACTOR 4. PROCESOS ACADÉMICOS</t>
  </si>
  <si>
    <t>FACTOR 5. VISIBILIDAD NACIONAL E INTERNACIONAL</t>
  </si>
  <si>
    <t>FACTOR 6. INVESTIGACIÓN, INNOVACIÓN Y CREACIÓN ARTÍSTICA Y CULTURAL.</t>
  </si>
  <si>
    <t>FACTOR 7. BIENESTAR INSTITUCIONAL</t>
  </si>
  <si>
    <t>FACTOR 8. ORGANIZACIÓN, ADMINISTRACION Y GESTION.</t>
  </si>
  <si>
    <t>FACTOR 9. IMPACTO DE LOS EGRESADOS EN EL MEDIO.</t>
  </si>
  <si>
    <t>FACTOR 10. RECURSOS FÍSICOS Y FINANCIEROS.</t>
  </si>
  <si>
    <t>PESO</t>
  </si>
  <si>
    <t>PESO RELATIVO</t>
  </si>
  <si>
    <t>FACTOR 1. MISIÓN, VISIÓN Y PROYECTO INSTITUCIONAL Y DE PROGRAMA</t>
  </si>
  <si>
    <t>Agosto</t>
  </si>
  <si>
    <t xml:space="preserve">8238680187   
</t>
  </si>
  <si>
    <t>?</t>
  </si>
  <si>
    <t>pa</t>
  </si>
  <si>
    <t>com</t>
  </si>
  <si>
    <t xml:space="preserve">Acumulado con corte a julio, se recaudaron $18.214.740.191,80 (incluídos recursos Nación) y se comprometieron $20.154.761.426,97. Pagos acumulados están en $17.138.972.294,75
Frente al mes de Agosto, el recaudo se incrementó en 9.13% en tanto los compromisos se incrementaron en 34,37%. </t>
  </si>
  <si>
    <t xml:space="preserve">Se ha trabajado en los siguientes convenios:
Nacionales: Asociación Ayuda de Jovenes Haitianos, se realizo modificatorio de otro si al convenio y se da continuidad; Colegio Gran Colombiano, este convenio busca generar el intercambio de experiencias éxitosas, formar talento humano, generar investigación; Vela tours, este convenio busca promocionar las misiones académicas y linguisticas para egresados, estudiantes y la comunidad educativa en general; Fundación Agraria de Colombia, este convenio busca el apoyo en la construcción en la maestría de logística sostenible como opción de grado para la facultad de procesos industriales.
Internacionales: Escuela de negocios y Dirección, Permitirá estancias cortas como opción de grado en el país de España - Madrid </t>
  </si>
  <si>
    <t>De 127 equipos que tiene la escuela, 105  en operación y 3 para dar de baja</t>
  </si>
  <si>
    <t>El plan de mejoramiento que se estaba trabajando con ICONTEC se encuentra en un 100% incluyendo la visita que se realizó en el mes de Junio de recertificación. En las auditorias internas se tienen ya 12 planes de mejoramiento  de 16 (Auditorias realizadas) que se han realizado.</t>
  </si>
  <si>
    <t xml:space="preserve">Acumulado con corte a julio, se recaudaron $19.554.218.548,53 (incluídos recursos Nación) y se comprometieron $21.735.135.297,01. Pagos acumulados están en $19.227.028.885,70
Frente al mes de Septiembre, el recaudo se incrementó en 7.35% en tanto los compromisos se incrementaron en 7,84%. </t>
  </si>
  <si>
    <t>HOY</t>
  </si>
  <si>
    <t>ESPERADO</t>
  </si>
  <si>
    <t>MEDICIÓN GESTIÓN A NOVIEMBRE</t>
  </si>
  <si>
    <t>MEDICIÓN AUTOEVALUACIÓN A NOVIEMBRE</t>
  </si>
  <si>
    <t>Idiomas: $ 107.386.889
Preingeniero: $ 112.756.799
Seminarios: $561.242.688
TOTAL: $ 776.258.856
META: $1.100.000.000</t>
  </si>
  <si>
    <t>Durante el 16 de Octubre hasta el 15 de Noviembre, se recibieron 176 PQRSD y se contestaron de manera oportuna 166.</t>
  </si>
  <si>
    <r>
      <t xml:space="preserve">
El estado actual del proceso de acreditación de los programas se encuentra:
</t>
    </r>
    <r>
      <rPr>
        <sz val="20"/>
        <color theme="8"/>
        <rFont val="Calibri"/>
        <family val="2"/>
        <scheme val="minor"/>
      </rPr>
      <t>Técnica Profesional en Mantenimiento Industrial           Revisión informe de evaluación externa
Tecnología en Montajes Industriales                                        Para comentarios al Rector
Ingeniería Electromecánica                                                             Con pares designados</t>
    </r>
    <r>
      <rPr>
        <sz val="20"/>
        <color theme="1"/>
        <rFont val="Calibri"/>
        <family val="2"/>
        <scheme val="minor"/>
      </rPr>
      <t xml:space="preserve">
</t>
    </r>
    <r>
      <rPr>
        <sz val="20"/>
        <color theme="9"/>
        <rFont val="Calibri"/>
        <family val="2"/>
        <scheme val="minor"/>
      </rPr>
      <t>Técnica Profesional en Electrónica Industrial                     Revisión informe de evaluación Externa
Tecnología en Automatización Industrial                               Revisión informe de evaluación Externa
Ingeniería Mecatrónica                                                                      Revisión informe de evaluación Externa</t>
    </r>
    <r>
      <rPr>
        <sz val="20"/>
        <color theme="1"/>
        <rFont val="Calibri"/>
        <family val="2"/>
        <scheme val="minor"/>
      </rPr>
      <t xml:space="preserve">
</t>
    </r>
    <r>
      <rPr>
        <sz val="20"/>
        <color theme="7" tint="-0.249977111117893"/>
        <rFont val="Calibri"/>
        <family val="2"/>
        <scheme val="minor"/>
      </rPr>
      <t>Tecnología en Desarrollo de Software                                       Para comentarios del Rector
Ingeniería de Sistemas                                                                         Para comentarios del Rector</t>
    </r>
    <r>
      <rPr>
        <sz val="20"/>
        <color theme="1"/>
        <rFont val="Calibri"/>
        <family val="2"/>
        <scheme val="minor"/>
      </rPr>
      <t xml:space="preserve">
</t>
    </r>
    <r>
      <rPr>
        <sz val="20"/>
        <color theme="6" tint="-0.499984740745262"/>
        <rFont val="Calibri"/>
        <family val="2"/>
        <scheme val="minor"/>
      </rPr>
      <t xml:space="preserve">Técnica Profesional en Procesos de Manufactura            Revisión informe de Evaluación Externa
Tecnología en Producción Industrial                                          Revisión informe de Evaluación Externa
Ingeniería de Procesos Industriales                                           Revisión informe de Evaluación Externa
</t>
    </r>
    <r>
      <rPr>
        <sz val="20"/>
        <color theme="1"/>
        <rFont val="Calibri"/>
        <family val="2"/>
        <scheme val="minor"/>
      </rPr>
      <t xml:space="preserve">
</t>
    </r>
  </si>
  <si>
    <r>
      <t>Para cumplir con la meta acumualada y de acuerdo con los históricos:
Ene:   $ 2.217.931.658      (20,07%)   
 - Real a Ene: $ 2.101.993.441,28 (</t>
    </r>
    <r>
      <rPr>
        <sz val="20"/>
        <color theme="9" tint="-0.249977111117893"/>
        <rFont val="Calibri"/>
        <family val="2"/>
        <scheme val="minor"/>
      </rPr>
      <t>19,02%</t>
    </r>
    <r>
      <rPr>
        <sz val="20"/>
        <color theme="1"/>
        <rFont val="Calibri"/>
        <family val="2"/>
        <scheme val="minor"/>
      </rPr>
      <t xml:space="preserve"> en el acumulado o </t>
    </r>
    <r>
      <rPr>
        <sz val="20"/>
        <color theme="9" tint="-0.249977111117893"/>
        <rFont val="Calibri"/>
        <family val="2"/>
        <scheme val="minor"/>
      </rPr>
      <t>94,77%</t>
    </r>
    <r>
      <rPr>
        <sz val="20"/>
        <color theme="1"/>
        <rFont val="Calibri"/>
        <family val="2"/>
        <scheme val="minor"/>
      </rPr>
      <t xml:space="preserve"> del mes)
Feb:   $ 2.815.469.050       (25,48%)   
- Real a Feb: $ 2.787.274.448,88 </t>
    </r>
    <r>
      <rPr>
        <sz val="20"/>
        <color theme="6" tint="-0.249977111117893"/>
        <rFont val="Calibri"/>
        <family val="2"/>
        <scheme val="minor"/>
      </rPr>
      <t>(25,22%</t>
    </r>
    <r>
      <rPr>
        <sz val="20"/>
        <color theme="1"/>
        <rFont val="Calibri"/>
        <family val="2"/>
        <scheme val="minor"/>
      </rPr>
      <t xml:space="preserve"> en el acumulado o </t>
    </r>
    <r>
      <rPr>
        <sz val="20"/>
        <color theme="6" tint="-0.249977111117893"/>
        <rFont val="Calibri"/>
        <family val="2"/>
        <scheme val="minor"/>
      </rPr>
      <t>99,00%</t>
    </r>
    <r>
      <rPr>
        <sz val="20"/>
        <color theme="1"/>
        <rFont val="Calibri"/>
        <family val="2"/>
        <scheme val="minor"/>
      </rPr>
      <t xml:space="preserve"> del mes)
Mar:   $ 3.166.449.610       (28,65%)
- Real a Mar: $ 2.987.610.735,88 (</t>
    </r>
    <r>
      <rPr>
        <sz val="20"/>
        <color theme="9" tint="-0.249977111117893"/>
        <rFont val="Calibri"/>
        <family val="2"/>
        <scheme val="minor"/>
      </rPr>
      <t>28,65%</t>
    </r>
    <r>
      <rPr>
        <sz val="20"/>
        <color theme="1"/>
        <rFont val="Calibri"/>
        <family val="2"/>
        <scheme val="minor"/>
      </rPr>
      <t xml:space="preserve"> en el acumulado o </t>
    </r>
    <r>
      <rPr>
        <sz val="20"/>
        <color theme="9" tint="-0.249977111117893"/>
        <rFont val="Calibri"/>
        <family val="2"/>
        <scheme val="minor"/>
      </rPr>
      <t>94,35%</t>
    </r>
    <r>
      <rPr>
        <sz val="20"/>
        <color theme="1"/>
        <rFont val="Calibri"/>
        <family val="2"/>
        <scheme val="minor"/>
      </rPr>
      <t xml:space="preserve"> del mes)
Abr:   $ 3.538.975.396        (32,02%)
- Real a Abr: $ 3.136.506.445,88 (</t>
    </r>
    <r>
      <rPr>
        <sz val="20"/>
        <color theme="9" tint="-0.249977111117893"/>
        <rFont val="Calibri"/>
        <family val="2"/>
        <scheme val="minor"/>
      </rPr>
      <t>32,02%</t>
    </r>
    <r>
      <rPr>
        <sz val="20"/>
        <color theme="1"/>
        <rFont val="Calibri"/>
        <family val="2"/>
        <scheme val="minor"/>
      </rPr>
      <t xml:space="preserve"> en el acumulado  </t>
    </r>
    <r>
      <rPr>
        <sz val="20"/>
        <color theme="9" tint="-0.249977111117893"/>
        <rFont val="Calibri"/>
        <family val="2"/>
        <scheme val="minor"/>
      </rPr>
      <t xml:space="preserve">88,62% </t>
    </r>
    <r>
      <rPr>
        <sz val="20"/>
        <color theme="1"/>
        <rFont val="Calibri"/>
        <family val="2"/>
        <scheme val="minor"/>
      </rPr>
      <t>del mes)
May: $ 3.834.524.769   (34,70)
- Real a May: $3.260.138.254,98 (</t>
    </r>
    <r>
      <rPr>
        <sz val="20"/>
        <color theme="9" tint="-0.249977111117893"/>
        <rFont val="Calibri"/>
        <family val="2"/>
        <scheme val="minor"/>
      </rPr>
      <t>34,69%</t>
    </r>
    <r>
      <rPr>
        <sz val="20"/>
        <color theme="1"/>
        <rFont val="Calibri"/>
        <family val="2"/>
        <scheme val="minor"/>
      </rPr>
      <t xml:space="preserve">en el acumulado  </t>
    </r>
    <r>
      <rPr>
        <sz val="20"/>
        <color theme="9" tint="-0.249977111117893"/>
        <rFont val="Calibri"/>
        <family val="2"/>
        <scheme val="minor"/>
      </rPr>
      <t>85,02%</t>
    </r>
    <r>
      <rPr>
        <sz val="20"/>
        <color theme="1"/>
        <rFont val="Calibri"/>
        <family val="2"/>
        <scheme val="minor"/>
      </rPr>
      <t xml:space="preserve"> del mes)            
Jun:   $ 4.226.109.249        (38,24%)    
- Real a Jun: $ 3.743.220.527,98 ( </t>
    </r>
    <r>
      <rPr>
        <sz val="20"/>
        <color theme="9" tint="-0.249977111117893"/>
        <rFont val="Calibri"/>
        <family val="2"/>
        <scheme val="minor"/>
      </rPr>
      <t>33,87%</t>
    </r>
    <r>
      <rPr>
        <sz val="20"/>
        <color theme="1"/>
        <rFont val="Calibri"/>
        <family val="2"/>
        <scheme val="minor"/>
      </rPr>
      <t xml:space="preserve"> en el acumulado  </t>
    </r>
    <r>
      <rPr>
        <sz val="20"/>
        <color theme="9" tint="-0.249977111117893"/>
        <rFont val="Calibri"/>
        <family val="2"/>
        <scheme val="minor"/>
      </rPr>
      <t>88,57%</t>
    </r>
    <r>
      <rPr>
        <sz val="20"/>
        <color theme="1"/>
        <rFont val="Calibri"/>
        <family val="2"/>
        <scheme val="minor"/>
      </rPr>
      <t xml:space="preserve"> del mes)
Jul:    $6.536.325.721   (59,15%)
- Real a Jul:   $4.661.515.070  (  </t>
    </r>
    <r>
      <rPr>
        <sz val="20"/>
        <color theme="9" tint="-0.249977111117893"/>
        <rFont val="Calibri"/>
        <family val="2"/>
        <scheme val="minor"/>
      </rPr>
      <t>42,18%</t>
    </r>
    <r>
      <rPr>
        <sz val="20"/>
        <color theme="1"/>
        <rFont val="Calibri"/>
        <family val="2"/>
        <scheme val="minor"/>
      </rPr>
      <t xml:space="preserve">  en el acumulado </t>
    </r>
    <r>
      <rPr>
        <sz val="20"/>
        <color theme="9" tint="-0.249977111117893"/>
        <rFont val="Calibri"/>
        <family val="2"/>
        <scheme val="minor"/>
      </rPr>
      <t>71,31%</t>
    </r>
    <r>
      <rPr>
        <sz val="20"/>
        <color theme="1"/>
        <rFont val="Calibri"/>
        <family val="2"/>
        <scheme val="minor"/>
      </rPr>
      <t xml:space="preserve">  del mes)  
Ago: $7.589.971.626  (68,68%)
 -Real a Ago:  $6.200.463.579,79 ( </t>
    </r>
    <r>
      <rPr>
        <sz val="20"/>
        <color theme="9" tint="-0.249977111117893"/>
        <rFont val="Calibri"/>
        <family val="2"/>
        <scheme val="minor"/>
      </rPr>
      <t>56,10%</t>
    </r>
    <r>
      <rPr>
        <sz val="20"/>
        <color theme="1"/>
        <rFont val="Calibri"/>
        <family val="2"/>
        <scheme val="minor"/>
      </rPr>
      <t xml:space="preserve"> en el acumulado </t>
    </r>
    <r>
      <rPr>
        <sz val="20"/>
        <color theme="9" tint="-0.249977111117893"/>
        <rFont val="Calibri"/>
        <family val="2"/>
        <scheme val="minor"/>
      </rPr>
      <t>81,69%</t>
    </r>
    <r>
      <rPr>
        <sz val="20"/>
        <color theme="1"/>
        <rFont val="Calibri"/>
        <family val="2"/>
        <scheme val="minor"/>
      </rPr>
      <t xml:space="preserve"> del mes)
Sep:   $ 8.238.680.187   (74,55%) 
 - Real a Sep: $6.374.026.878,53 (</t>
    </r>
    <r>
      <rPr>
        <sz val="20"/>
        <color theme="9" tint="-0.249977111117893"/>
        <rFont val="Calibri"/>
        <family val="2"/>
        <scheme val="minor"/>
      </rPr>
      <t>57,67%</t>
    </r>
    <r>
      <rPr>
        <sz val="20"/>
        <color theme="1"/>
        <rFont val="Calibri"/>
        <family val="2"/>
        <scheme val="minor"/>
      </rPr>
      <t xml:space="preserve"> en el acumulado </t>
    </r>
    <r>
      <rPr>
        <sz val="20"/>
        <color theme="9" tint="-0.249977111117893"/>
        <rFont val="Calibri"/>
        <family val="2"/>
        <scheme val="minor"/>
      </rPr>
      <t>74,55%</t>
    </r>
    <r>
      <rPr>
        <sz val="20"/>
        <color theme="1"/>
        <rFont val="Calibri"/>
        <family val="2"/>
        <scheme val="minor"/>
      </rPr>
      <t xml:space="preserve"> del mes)    
Oct:   $6,700,000,000     (84%)
 - Real a Oct: $ 6.616.024.046,53  </t>
    </r>
    <r>
      <rPr>
        <sz val="20"/>
        <color theme="6" tint="-0.249977111117893"/>
        <rFont val="Calibri"/>
        <family val="2"/>
        <scheme val="minor"/>
      </rPr>
      <t>(82,70%</t>
    </r>
    <r>
      <rPr>
        <sz val="20"/>
        <color theme="1"/>
        <rFont val="Calibri"/>
        <family val="2"/>
        <scheme val="minor"/>
      </rPr>
      <t xml:space="preserve"> en el acumulado </t>
    </r>
    <r>
      <rPr>
        <sz val="20"/>
        <color theme="6" tint="-0.249977111117893"/>
        <rFont val="Calibri"/>
        <family val="2"/>
        <scheme val="minor"/>
      </rPr>
      <t>98,75%</t>
    </r>
    <r>
      <rPr>
        <sz val="20"/>
        <color theme="1"/>
        <rFont val="Calibri"/>
        <family val="2"/>
        <scheme val="minor"/>
      </rPr>
      <t xml:space="preserve"> del mes)   
Nov:   $ 7,300,000,000      (91%) 
- Real a Nov: $7.209.690.969,53 (</t>
    </r>
    <r>
      <rPr>
        <sz val="20"/>
        <color theme="6" tint="-0.249977111117893"/>
        <rFont val="Calibri"/>
        <family val="2"/>
        <scheme val="minor"/>
      </rPr>
      <t xml:space="preserve">90,12% </t>
    </r>
    <r>
      <rPr>
        <sz val="20"/>
        <rFont val="Calibri"/>
        <family val="2"/>
        <scheme val="minor"/>
      </rPr>
      <t xml:space="preserve">en el acumulado  </t>
    </r>
    <r>
      <rPr>
        <sz val="20"/>
        <color theme="6" tint="-0.249977111117893"/>
        <rFont val="Calibri"/>
        <family val="2"/>
        <scheme val="minor"/>
      </rPr>
      <t>98,76%</t>
    </r>
    <r>
      <rPr>
        <sz val="20"/>
        <rFont val="Calibri"/>
        <family val="2"/>
        <scheme val="minor"/>
      </rPr>
      <t xml:space="preserve"> del mes)</t>
    </r>
    <r>
      <rPr>
        <sz val="20"/>
        <color theme="1"/>
        <rFont val="Calibri"/>
        <family val="2"/>
        <scheme val="minor"/>
      </rPr>
      <t xml:space="preserve">
Metas esperadas para los demás meses: 
Dic:   $ 8,000,000,000       (100,00%)  expectativas</t>
    </r>
  </si>
  <si>
    <t>r</t>
  </si>
  <si>
    <t>c</t>
  </si>
  <si>
    <t>p</t>
  </si>
  <si>
    <t>Acumulado con corte a julio, se recaudaron $21.456.571.434,48(incluídos recursos Nación) y se comprometieron $23.537.620.568,35 . Pagos acumulados están en
 $21.013.229.068,96
Frente al mes de Octubre, el recaudo se incrementó en 9.11% en tanto los compromisos se incrementaron en 9.92%</t>
  </si>
  <si>
    <t>Acumulado con corte a julio, se recaudaron $21.456.571.434,48(incluídos recursos Nación) y se comprometieron $23.537.620.568,35 . Pagos acumulados están en $21.013.229.068,96
Frente al mes de Octubre, el recaudo se incrementó en 9.11% en tanto los compromisos se incrementaron en 9.92%</t>
  </si>
  <si>
    <t>No se tiene aun respuesta por parte del CNA acerca del proceso de la acerditación de los programas, para tener información más precisa se debe ver el estado del indicador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</si>
</sst>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 #,##0;[Red]\-&quot;$&quot;\ #,##0"/>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quot;$&quot;\ * #,##0.00_);_(&quot;$&quot;\ * \(#,##0.00\);_(&quot;$&quot;\ * &quot;-&quot;??_);_(@_)"/>
    <numFmt numFmtId="166" formatCode="0.0%"/>
    <numFmt numFmtId="167" formatCode="0.000%"/>
    <numFmt numFmtId="168" formatCode="0.0"/>
    <numFmt numFmtId="169" formatCode="_-* #,##0.00_-;\-* #,##0.00_-;_-* &quot;-&quot;_-;_-@_-"/>
    <numFmt numFmtId="170" formatCode="0.000"/>
    <numFmt numFmtId="171" formatCode="_-* #,##0.0_-;\-* #,##0.0_-;_-* &quot;-&quot;_-;_-@_-"/>
    <numFmt numFmtId="172" formatCode="_-* #,##0.000_-;\-* #,##0.000_-;_-* &quot;-&quot;_-;_-@_-"/>
    <numFmt numFmtId="173" formatCode="_-&quot;$&quot;\ * #,##0.00_-;\-&quot;$&quot;\ * #,##0.00_-;_-&quot;$&quot;\ * &quot;-&quot;_-;_-@_-"/>
    <numFmt numFmtId="174" formatCode="_-&quot;$&quot;\ * #,##0.000_-;\-&quot;$&quot;\ * #,##0.000_-;_-&quot;$&quot;\ * &quot;-&quot;_-;_-@_-"/>
  </numFmts>
  <fonts count="53">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font>
    <font>
      <sz val="11"/>
      <color theme="1"/>
      <name val="Arial"/>
      <family val="2"/>
    </font>
    <font>
      <sz val="10"/>
      <name val="Arial"/>
      <family val="2"/>
    </font>
    <font>
      <b/>
      <sz val="10"/>
      <name val="Arial"/>
      <family val="2"/>
    </font>
    <font>
      <b/>
      <sz val="10"/>
      <color theme="1"/>
      <name val="Calibri"/>
      <family val="2"/>
      <scheme val="minor"/>
    </font>
    <font>
      <sz val="9"/>
      <color theme="1"/>
      <name val="Calibri"/>
      <family val="2"/>
      <scheme val="minor"/>
    </font>
    <font>
      <b/>
      <sz val="12"/>
      <name val="Arial"/>
      <family val="2"/>
    </font>
    <font>
      <u/>
      <sz val="10"/>
      <color theme="10"/>
      <name val="Arial"/>
      <family val="2"/>
    </font>
    <font>
      <b/>
      <sz val="10"/>
      <color theme="1"/>
      <name val="Arial"/>
      <family val="2"/>
    </font>
    <font>
      <sz val="10"/>
      <color theme="1"/>
      <name val="Arial"/>
      <family val="2"/>
    </font>
    <font>
      <sz val="8"/>
      <color theme="1"/>
      <name val="Arial"/>
      <family val="2"/>
    </font>
    <font>
      <b/>
      <u/>
      <sz val="10"/>
      <name val="Arial"/>
      <family val="2"/>
    </font>
    <font>
      <u/>
      <sz val="11"/>
      <color theme="11"/>
      <name val="Calibri"/>
      <family val="2"/>
      <scheme val="minor"/>
    </font>
    <font>
      <u/>
      <sz val="11"/>
      <color theme="10"/>
      <name val="Calibri"/>
      <family val="2"/>
      <scheme val="minor"/>
    </font>
    <font>
      <sz val="10"/>
      <color rgb="FFFF0000"/>
      <name val="Arial"/>
      <family val="2"/>
    </font>
    <font>
      <sz val="9"/>
      <color theme="1"/>
      <name val="Arial"/>
      <family val="2"/>
    </font>
    <font>
      <sz val="9"/>
      <name val="Arial"/>
      <family val="2"/>
    </font>
    <font>
      <sz val="11"/>
      <name val="Calibri"/>
      <family val="2"/>
      <scheme val="minor"/>
    </font>
    <font>
      <b/>
      <sz val="11"/>
      <name val="Calibri"/>
      <family val="2"/>
      <scheme val="minor"/>
    </font>
    <font>
      <sz val="12"/>
      <color rgb="FF000000"/>
      <name val="Calibri"/>
      <family val="2"/>
      <scheme val="minor"/>
    </font>
    <font>
      <b/>
      <sz val="9.9"/>
      <color theme="1"/>
      <name val="RobotoLight"/>
    </font>
    <font>
      <b/>
      <sz val="16"/>
      <color theme="1"/>
      <name val="Calibri"/>
      <family val="2"/>
      <scheme val="minor"/>
    </font>
    <font>
      <b/>
      <sz val="16"/>
      <name val="Arial"/>
      <family val="2"/>
    </font>
    <font>
      <b/>
      <sz val="16"/>
      <color theme="1"/>
      <name val="Arial"/>
      <family val="2"/>
    </font>
    <font>
      <sz val="16"/>
      <color theme="1"/>
      <name val="Arial"/>
      <family val="2"/>
    </font>
    <font>
      <sz val="16"/>
      <name val="Arial"/>
      <family val="2"/>
    </font>
    <font>
      <sz val="16"/>
      <color rgb="FF000000"/>
      <name val="Arial"/>
      <family val="2"/>
    </font>
    <font>
      <sz val="16"/>
      <name val="Calibri"/>
      <family val="2"/>
      <scheme val="minor"/>
    </font>
    <font>
      <sz val="16"/>
      <color rgb="FF000000"/>
      <name val="Lucida Sans"/>
      <family val="2"/>
    </font>
    <font>
      <sz val="16"/>
      <color theme="1"/>
      <name val="Calibri"/>
      <family val="2"/>
      <scheme val="minor"/>
    </font>
    <font>
      <sz val="16"/>
      <color rgb="FF000000"/>
      <name val="Calibri"/>
      <family val="2"/>
      <scheme val="minor"/>
    </font>
    <font>
      <sz val="20"/>
      <color theme="1"/>
      <name val="Calibri"/>
      <family val="2"/>
      <scheme val="minor"/>
    </font>
    <font>
      <b/>
      <sz val="20"/>
      <color theme="1"/>
      <name val="Calibri"/>
      <family val="2"/>
      <scheme val="minor"/>
    </font>
    <font>
      <b/>
      <sz val="20"/>
      <color theme="0"/>
      <name val="Calibri"/>
      <family val="2"/>
      <scheme val="minor"/>
    </font>
    <font>
      <sz val="20"/>
      <name val="Calibri"/>
      <family val="2"/>
      <scheme val="minor"/>
    </font>
    <font>
      <b/>
      <sz val="20"/>
      <name val="Calibri"/>
      <family val="2"/>
      <scheme val="minor"/>
    </font>
    <font>
      <sz val="20"/>
      <color rgb="FF000000"/>
      <name val="Calibri"/>
      <family val="2"/>
      <scheme val="minor"/>
    </font>
    <font>
      <b/>
      <sz val="20"/>
      <color rgb="FF000000"/>
      <name val="Calibri"/>
      <family val="2"/>
      <scheme val="minor"/>
    </font>
    <font>
      <b/>
      <i/>
      <sz val="20"/>
      <color rgb="FF000000"/>
      <name val="Calibri"/>
      <family val="2"/>
      <scheme val="minor"/>
    </font>
    <font>
      <sz val="20"/>
      <color theme="9" tint="-0.249977111117893"/>
      <name val="Calibri"/>
      <family val="2"/>
      <scheme val="minor"/>
    </font>
    <font>
      <b/>
      <sz val="12"/>
      <color theme="0"/>
      <name val="Calibri"/>
      <family val="2"/>
      <scheme val="minor"/>
    </font>
    <font>
      <sz val="12"/>
      <color theme="1"/>
      <name val="Calibri"/>
      <family val="2"/>
      <scheme val="minor"/>
    </font>
    <font>
      <sz val="12"/>
      <name val="Calibri"/>
      <family val="2"/>
      <scheme val="minor"/>
    </font>
    <font>
      <sz val="20"/>
      <color theme="6" tint="-0.249977111117893"/>
      <name val="Calibri"/>
      <family val="2"/>
      <scheme val="minor"/>
    </font>
    <font>
      <sz val="20"/>
      <color theme="9"/>
      <name val="Calibri"/>
      <family val="2"/>
      <scheme val="minor"/>
    </font>
    <font>
      <sz val="20"/>
      <color theme="8"/>
      <name val="Calibri"/>
      <family val="2"/>
      <scheme val="minor"/>
    </font>
    <font>
      <sz val="20"/>
      <color theme="7" tint="-0.249977111117893"/>
      <name val="Calibri"/>
      <family val="2"/>
      <scheme val="minor"/>
    </font>
    <font>
      <sz val="20"/>
      <color theme="6" tint="-0.499984740745262"/>
      <name val="Calibri"/>
      <family val="2"/>
      <scheme val="minor"/>
    </font>
  </fonts>
  <fills count="14">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24994659260841701"/>
        <bgColor indexed="64"/>
      </patternFill>
    </fill>
    <fill>
      <patternFill patternType="solid">
        <fgColor theme="6" tint="-0.499984740745262"/>
        <bgColor indexed="64"/>
      </patternFill>
    </fill>
    <fill>
      <patternFill patternType="solid">
        <fgColor theme="6" tint="0.39997558519241921"/>
        <bgColor indexed="64"/>
      </patternFill>
    </fill>
    <fill>
      <gradientFill>
        <stop position="0">
          <color rgb="FFFF3300"/>
        </stop>
        <stop position="1">
          <color theme="6" tint="-0.25098422193060094"/>
        </stop>
      </gradientFill>
    </fill>
  </fills>
  <borders count="9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diagonal/>
    </border>
    <border>
      <left/>
      <right style="thin">
        <color auto="1"/>
      </right>
      <top style="thin">
        <color auto="1"/>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style="dashed">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dashed">
        <color auto="1"/>
      </left>
      <right style="thin">
        <color auto="1"/>
      </right>
      <top style="thin">
        <color auto="1"/>
      </top>
      <bottom style="medium">
        <color auto="1"/>
      </bottom>
      <diagonal/>
    </border>
    <border>
      <left style="thin">
        <color auto="1"/>
      </left>
      <right/>
      <top/>
      <bottom style="medium">
        <color auto="1"/>
      </bottom>
      <diagonal/>
    </border>
    <border>
      <left/>
      <right style="medium">
        <color auto="1"/>
      </right>
      <top/>
      <bottom/>
      <diagonal/>
    </border>
    <border>
      <left style="medium">
        <color auto="1"/>
      </left>
      <right style="medium">
        <color auto="1"/>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diagonal/>
    </border>
    <border>
      <left style="medium">
        <color auto="1"/>
      </left>
      <right style="dashed">
        <color auto="1"/>
      </right>
      <top style="medium">
        <color auto="1"/>
      </top>
      <bottom style="thin">
        <color auto="1"/>
      </bottom>
      <diagonal/>
    </border>
    <border>
      <left style="medium">
        <color auto="1"/>
      </left>
      <right style="dashed">
        <color auto="1"/>
      </right>
      <top style="thin">
        <color auto="1"/>
      </top>
      <bottom style="medium">
        <color auto="1"/>
      </bottom>
      <diagonal/>
    </border>
    <border>
      <left style="medium">
        <color auto="1"/>
      </left>
      <right style="dashed">
        <color auto="1"/>
      </right>
      <top style="medium">
        <color auto="1"/>
      </top>
      <bottom style="medium">
        <color auto="1"/>
      </bottom>
      <diagonal/>
    </border>
    <border>
      <left/>
      <right style="dashed">
        <color auto="1"/>
      </right>
      <top style="medium">
        <color auto="1"/>
      </top>
      <bottom/>
      <diagonal/>
    </border>
    <border>
      <left/>
      <right style="dashed">
        <color auto="1"/>
      </right>
      <top/>
      <bottom/>
      <diagonal/>
    </border>
    <border>
      <left/>
      <right style="dashed">
        <color auto="1"/>
      </right>
      <top/>
      <bottom style="medium">
        <color auto="1"/>
      </bottom>
      <diagonal/>
    </border>
    <border>
      <left style="medium">
        <color auto="1"/>
      </left>
      <right style="dashed">
        <color auto="1"/>
      </right>
      <top style="medium">
        <color auto="1"/>
      </top>
      <bottom/>
      <diagonal/>
    </border>
    <border>
      <left style="dashed">
        <color auto="1"/>
      </left>
      <right style="thin">
        <color auto="1"/>
      </right>
      <top style="thin">
        <color auto="1"/>
      </top>
      <bottom/>
      <diagonal/>
    </border>
    <border>
      <left/>
      <right style="dashed">
        <color auto="1"/>
      </right>
      <top style="medium">
        <color auto="1"/>
      </top>
      <bottom style="medium">
        <color auto="1"/>
      </bottom>
      <diagonal/>
    </border>
    <border>
      <left/>
      <right style="dashed">
        <color auto="1"/>
      </right>
      <top style="medium">
        <color auto="1"/>
      </top>
      <bottom style="thin">
        <color auto="1"/>
      </bottom>
      <diagonal/>
    </border>
    <border>
      <left/>
      <right style="dashed">
        <color auto="1"/>
      </right>
      <top style="thin">
        <color auto="1"/>
      </top>
      <bottom/>
      <diagonal/>
    </border>
    <border>
      <left style="dashed">
        <color auto="1"/>
      </left>
      <right style="thin">
        <color auto="1"/>
      </right>
      <top style="medium">
        <color auto="1"/>
      </top>
      <bottom/>
      <diagonal/>
    </border>
    <border>
      <left style="dashed">
        <color auto="1"/>
      </left>
      <right style="thin">
        <color auto="1"/>
      </right>
      <top/>
      <bottom style="medium">
        <color auto="1"/>
      </bottom>
      <diagonal/>
    </border>
    <border>
      <left style="medium">
        <color auto="1"/>
      </left>
      <right style="dashed">
        <color auto="1"/>
      </right>
      <top/>
      <bottom style="medium">
        <color auto="1"/>
      </bottom>
      <diagonal/>
    </border>
  </borders>
  <cellStyleXfs count="45">
    <xf numFmtId="0" fontId="0" fillId="0" borderId="0"/>
    <xf numFmtId="9" fontId="1" fillId="0" borderId="0" applyFont="0" applyFill="0" applyBorder="0" applyAlignment="0" applyProtection="0"/>
    <xf numFmtId="0" fontId="7" fillId="0" borderId="0"/>
    <xf numFmtId="9" fontId="7"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43" fontId="7" fillId="0" borderId="0" applyFont="0" applyFill="0" applyBorder="0" applyAlignment="0" applyProtection="0"/>
    <xf numFmtId="41" fontId="1" fillId="0" borderId="0" applyFont="0" applyFill="0" applyBorder="0" applyAlignment="0" applyProtection="0"/>
    <xf numFmtId="43" fontId="7"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2" fontId="1" fillId="0" borderId="0" applyFont="0" applyFill="0" applyBorder="0" applyAlignment="0" applyProtection="0"/>
  </cellStyleXfs>
  <cellXfs count="1078">
    <xf numFmtId="0" fontId="0" fillId="0" borderId="0" xfId="0"/>
    <xf numFmtId="0" fontId="0" fillId="0" borderId="0" xfId="0" applyAlignment="1">
      <alignment horizontal="center" vertical="center" wrapText="1"/>
    </xf>
    <xf numFmtId="166" fontId="0" fillId="0" borderId="0" xfId="0" applyNumberFormat="1" applyAlignment="1">
      <alignment vertical="center" wrapText="1"/>
    </xf>
    <xf numFmtId="9" fontId="7" fillId="0" borderId="7" xfId="1" applyFont="1" applyBorder="1" applyAlignment="1">
      <alignment horizontal="center" vertical="center" wrapText="1"/>
    </xf>
    <xf numFmtId="0" fontId="0" fillId="0" borderId="0" xfId="0" applyBorder="1"/>
    <xf numFmtId="0" fontId="10" fillId="0" borderId="0" xfId="0" applyFont="1" applyBorder="1" applyAlignment="1"/>
    <xf numFmtId="0" fontId="10" fillId="0" borderId="0" xfId="0" applyFont="1" applyBorder="1" applyAlignment="1">
      <alignment wrapText="1"/>
    </xf>
    <xf numFmtId="0" fontId="9" fillId="0" borderId="0" xfId="0" applyFont="1" applyFill="1" applyBorder="1" applyAlignment="1">
      <alignment horizontal="center" vertical="center" textRotation="90"/>
    </xf>
    <xf numFmtId="0" fontId="0" fillId="0" borderId="0" xfId="0" applyFill="1"/>
    <xf numFmtId="0" fontId="2" fillId="0" borderId="0" xfId="0" applyFont="1" applyFill="1"/>
    <xf numFmtId="1" fontId="0" fillId="0" borderId="7" xfId="0" applyNumberFormat="1" applyFill="1" applyBorder="1" applyAlignment="1">
      <alignment horizontal="center" vertical="center"/>
    </xf>
    <xf numFmtId="1" fontId="0" fillId="0" borderId="7" xfId="1" applyNumberFormat="1" applyFont="1" applyFill="1" applyBorder="1" applyAlignment="1">
      <alignment horizontal="center" vertical="center"/>
    </xf>
    <xf numFmtId="17" fontId="7" fillId="0" borderId="7" xfId="2" applyNumberFormat="1" applyBorder="1" applyAlignment="1">
      <alignment horizontal="center" vertical="center" wrapText="1"/>
    </xf>
    <xf numFmtId="0" fontId="14" fillId="0" borderId="0" xfId="0" applyFont="1" applyBorder="1" applyAlignment="1">
      <alignment horizontal="center" wrapText="1"/>
    </xf>
    <xf numFmtId="0" fontId="14" fillId="0" borderId="0" xfId="0" applyFont="1" applyBorder="1" applyAlignment="1">
      <alignment wrapText="1"/>
    </xf>
    <xf numFmtId="0" fontId="14" fillId="0" borderId="0" xfId="0" applyFont="1" applyAlignment="1">
      <alignment wrapText="1"/>
    </xf>
    <xf numFmtId="0" fontId="14" fillId="0" borderId="7" xfId="0" applyFont="1" applyFill="1" applyBorder="1" applyAlignment="1">
      <alignment vertical="center" wrapText="1"/>
    </xf>
    <xf numFmtId="9" fontId="14" fillId="0" borderId="7" xfId="0" applyNumberFormat="1" applyFont="1" applyFill="1" applyBorder="1" applyAlignment="1">
      <alignment horizontal="center" vertical="center" wrapText="1"/>
    </xf>
    <xf numFmtId="0" fontId="14" fillId="0" borderId="18" xfId="0" applyFont="1" applyFill="1" applyBorder="1" applyAlignment="1">
      <alignment vertical="center" wrapText="1"/>
    </xf>
    <xf numFmtId="0" fontId="14" fillId="0" borderId="0" xfId="0" applyFont="1" applyAlignment="1">
      <alignment horizontal="center" vertical="center" wrapText="1"/>
    </xf>
    <xf numFmtId="166" fontId="14" fillId="0" borderId="7" xfId="0" applyNumberFormat="1" applyFont="1" applyBorder="1" applyAlignment="1">
      <alignment vertical="center" wrapText="1"/>
    </xf>
    <xf numFmtId="1" fontId="14" fillId="0" borderId="7" xfId="0" applyNumberFormat="1" applyFont="1" applyBorder="1" applyAlignment="1">
      <alignment horizontal="center" vertical="center" wrapText="1"/>
    </xf>
    <xf numFmtId="0" fontId="14" fillId="0" borderId="9" xfId="0" applyFont="1" applyBorder="1" applyAlignment="1">
      <alignment horizontal="center" vertical="center" wrapText="1"/>
    </xf>
    <xf numFmtId="166" fontId="14" fillId="0" borderId="11" xfId="0" applyNumberFormat="1" applyFont="1" applyBorder="1" applyAlignment="1">
      <alignment horizontal="center" vertical="center" wrapText="1"/>
    </xf>
    <xf numFmtId="0" fontId="14" fillId="0" borderId="12" xfId="0" applyFont="1" applyBorder="1" applyAlignment="1">
      <alignment horizontal="center" vertical="center" wrapText="1"/>
    </xf>
    <xf numFmtId="1" fontId="14" fillId="0" borderId="13" xfId="1" applyNumberFormat="1" applyFont="1" applyBorder="1" applyAlignment="1">
      <alignment horizontal="center" vertical="center" wrapText="1"/>
    </xf>
    <xf numFmtId="9" fontId="14" fillId="0" borderId="14" xfId="1" applyFont="1" applyBorder="1" applyAlignment="1">
      <alignment horizontal="center" vertical="center" wrapText="1"/>
    </xf>
    <xf numFmtId="0" fontId="14" fillId="2" borderId="0" xfId="0" applyFont="1" applyFill="1" applyAlignment="1">
      <alignment horizontal="center" vertical="center" wrapText="1"/>
    </xf>
    <xf numFmtId="166" fontId="14" fillId="2" borderId="0" xfId="0" applyNumberFormat="1" applyFont="1" applyFill="1" applyAlignment="1">
      <alignment vertical="center" wrapText="1"/>
    </xf>
    <xf numFmtId="0" fontId="14" fillId="3" borderId="0" xfId="0" applyFont="1" applyFill="1" applyAlignment="1">
      <alignment horizontal="center" vertical="center" wrapText="1"/>
    </xf>
    <xf numFmtId="166" fontId="14" fillId="3" borderId="0" xfId="0" applyNumberFormat="1" applyFont="1" applyFill="1" applyAlignment="1">
      <alignment vertical="center" wrapText="1"/>
    </xf>
    <xf numFmtId="0" fontId="14" fillId="4" borderId="0" xfId="0" applyFont="1" applyFill="1" applyAlignment="1">
      <alignment horizontal="center" vertical="center" wrapText="1"/>
    </xf>
    <xf numFmtId="166" fontId="14" fillId="4" borderId="0" xfId="0" applyNumberFormat="1" applyFont="1" applyFill="1" applyAlignment="1">
      <alignment vertical="center" wrapText="1"/>
    </xf>
    <xf numFmtId="9" fontId="7" fillId="0" borderId="22" xfId="1" applyFont="1" applyBorder="1" applyAlignment="1">
      <alignment vertical="center" wrapText="1"/>
    </xf>
    <xf numFmtId="9" fontId="7" fillId="2" borderId="29" xfId="0" applyNumberFormat="1" applyFont="1" applyFill="1" applyBorder="1" applyAlignment="1">
      <alignment wrapText="1"/>
    </xf>
    <xf numFmtId="9" fontId="7" fillId="3" borderId="29" xfId="0" applyNumberFormat="1" applyFont="1" applyFill="1" applyBorder="1" applyAlignment="1">
      <alignment wrapText="1"/>
    </xf>
    <xf numFmtId="9" fontId="7" fillId="0" borderId="24" xfId="1" applyFont="1" applyBorder="1" applyAlignment="1">
      <alignment vertical="center" wrapText="1"/>
    </xf>
    <xf numFmtId="9" fontId="7" fillId="2" borderId="31" xfId="0" applyNumberFormat="1" applyFont="1" applyFill="1" applyBorder="1" applyAlignment="1">
      <alignment wrapText="1"/>
    </xf>
    <xf numFmtId="9" fontId="7" fillId="3" borderId="31" xfId="0" applyNumberFormat="1" applyFont="1" applyFill="1" applyBorder="1" applyAlignment="1">
      <alignment wrapText="1"/>
    </xf>
    <xf numFmtId="9" fontId="7" fillId="0" borderId="27" xfId="1" applyFont="1" applyBorder="1" applyAlignment="1">
      <alignment vertical="center" wrapText="1"/>
    </xf>
    <xf numFmtId="9" fontId="7" fillId="2" borderId="32" xfId="0" applyNumberFormat="1" applyFont="1" applyFill="1" applyBorder="1" applyAlignment="1">
      <alignment wrapText="1"/>
    </xf>
    <xf numFmtId="9" fontId="7" fillId="3" borderId="32" xfId="0" applyNumberFormat="1" applyFont="1" applyFill="1" applyBorder="1" applyAlignment="1">
      <alignment wrapText="1"/>
    </xf>
    <xf numFmtId="0" fontId="8" fillId="6" borderId="29" xfId="0" applyFont="1" applyFill="1" applyBorder="1" applyAlignment="1">
      <alignment wrapText="1"/>
    </xf>
    <xf numFmtId="0" fontId="8" fillId="6" borderId="31" xfId="0" applyFont="1" applyFill="1" applyBorder="1" applyAlignment="1">
      <alignment wrapText="1"/>
    </xf>
    <xf numFmtId="0" fontId="8" fillId="6" borderId="32" xfId="0" applyFont="1" applyFill="1" applyBorder="1" applyAlignment="1">
      <alignment wrapText="1"/>
    </xf>
    <xf numFmtId="0" fontId="8" fillId="6" borderId="29" xfId="0" applyFont="1" applyFill="1" applyBorder="1" applyAlignment="1">
      <alignment horizontal="center" wrapText="1"/>
    </xf>
    <xf numFmtId="0" fontId="14" fillId="0" borderId="39" xfId="0" applyFont="1" applyFill="1" applyBorder="1" applyAlignment="1">
      <alignment horizontal="center" wrapText="1"/>
    </xf>
    <xf numFmtId="0" fontId="14" fillId="0" borderId="35" xfId="0" applyFont="1" applyFill="1" applyBorder="1" applyAlignment="1">
      <alignment horizontal="center" wrapText="1"/>
    </xf>
    <xf numFmtId="0" fontId="14" fillId="0" borderId="42" xfId="0" applyFont="1" applyFill="1" applyBorder="1" applyAlignment="1">
      <alignment horizontal="center" wrapText="1"/>
    </xf>
    <xf numFmtId="0" fontId="7" fillId="0" borderId="41" xfId="4" applyFont="1" applyBorder="1" applyAlignment="1" applyProtection="1">
      <alignment vertical="center" wrapText="1"/>
    </xf>
    <xf numFmtId="0" fontId="7" fillId="0" borderId="37" xfId="4" applyFont="1" applyBorder="1" applyAlignment="1" applyProtection="1">
      <alignment vertical="center" wrapText="1"/>
    </xf>
    <xf numFmtId="0" fontId="7" fillId="0" borderId="43" xfId="4" applyFont="1" applyBorder="1" applyAlignment="1" applyProtection="1">
      <alignment vertical="center" wrapText="1"/>
    </xf>
    <xf numFmtId="0" fontId="12" fillId="0" borderId="41" xfId="4" applyFont="1" applyBorder="1" applyAlignment="1" applyProtection="1">
      <alignment vertical="center" wrapText="1"/>
    </xf>
    <xf numFmtId="0" fontId="12" fillId="0" borderId="37" xfId="4" applyFont="1" applyBorder="1" applyAlignment="1" applyProtection="1">
      <alignment vertical="center" wrapText="1"/>
    </xf>
    <xf numFmtId="0" fontId="12" fillId="0" borderId="43" xfId="4" applyFont="1" applyBorder="1" applyAlignment="1" applyProtection="1">
      <alignment vertical="center" wrapText="1"/>
    </xf>
    <xf numFmtId="0" fontId="14" fillId="0" borderId="39" xfId="0" applyFont="1" applyBorder="1" applyAlignment="1">
      <alignment wrapText="1"/>
    </xf>
    <xf numFmtId="0" fontId="14" fillId="0" borderId="35" xfId="0" applyFont="1" applyBorder="1" applyAlignment="1">
      <alignment wrapText="1"/>
    </xf>
    <xf numFmtId="0" fontId="14" fillId="0" borderId="42" xfId="0" applyFont="1" applyBorder="1" applyAlignment="1">
      <alignment wrapText="1"/>
    </xf>
    <xf numFmtId="0" fontId="14" fillId="0" borderId="40" xfId="0" applyFont="1" applyBorder="1" applyAlignment="1">
      <alignment wrapText="1"/>
    </xf>
    <xf numFmtId="0" fontId="14" fillId="0" borderId="36" xfId="0" applyFont="1" applyBorder="1" applyAlignment="1">
      <alignment wrapText="1"/>
    </xf>
    <xf numFmtId="0" fontId="14" fillId="0" borderId="8" xfId="0" applyFont="1" applyBorder="1" applyAlignment="1">
      <alignment wrapText="1"/>
    </xf>
    <xf numFmtId="0" fontId="0" fillId="0" borderId="7" xfId="0" applyBorder="1"/>
    <xf numFmtId="0" fontId="7" fillId="0" borderId="7" xfId="2" applyNumberFormat="1" applyBorder="1" applyAlignment="1">
      <alignment horizontal="center" vertical="center" wrapText="1"/>
    </xf>
    <xf numFmtId="0" fontId="14" fillId="0" borderId="0" xfId="0" applyFont="1" applyFill="1" applyBorder="1" applyAlignment="1">
      <alignment vertical="center" wrapText="1"/>
    </xf>
    <xf numFmtId="0" fontId="0" fillId="0" borderId="0" xfId="0" applyFill="1" applyBorder="1"/>
    <xf numFmtId="0" fontId="0" fillId="0" borderId="0" xfId="0" applyFill="1" applyBorder="1" applyAlignment="1">
      <alignment horizontal="center" vertical="center" wrapText="1"/>
    </xf>
    <xf numFmtId="9" fontId="14" fillId="0" borderId="7" xfId="1" applyFont="1" applyFill="1" applyBorder="1" applyAlignment="1">
      <alignment horizontal="center" vertical="center" wrapText="1"/>
    </xf>
    <xf numFmtId="0" fontId="0" fillId="0" borderId="0" xfId="0" applyFill="1" applyAlignment="1">
      <alignment horizontal="center"/>
    </xf>
    <xf numFmtId="17" fontId="7" fillId="0" borderId="15" xfId="2" applyNumberFormat="1" applyBorder="1" applyAlignment="1">
      <alignment horizontal="center" vertical="center" wrapText="1"/>
    </xf>
    <xf numFmtId="0" fontId="8" fillId="0" borderId="33" xfId="2" applyNumberFormat="1" applyFont="1" applyBorder="1" applyAlignment="1">
      <alignment horizontal="center" vertical="center" wrapText="1"/>
    </xf>
    <xf numFmtId="0" fontId="14" fillId="0" borderId="45" xfId="0" applyFont="1" applyBorder="1" applyAlignment="1">
      <alignment horizontal="center" vertical="center" wrapText="1"/>
    </xf>
    <xf numFmtId="166" fontId="14" fillId="0" borderId="32" xfId="0" applyNumberFormat="1" applyFont="1" applyBorder="1" applyAlignment="1">
      <alignment horizontal="center" vertical="center" wrapText="1"/>
    </xf>
    <xf numFmtId="0" fontId="3" fillId="0" borderId="0" xfId="0" applyFont="1"/>
    <xf numFmtId="9" fontId="13" fillId="0" borderId="7" xfId="0" applyNumberFormat="1" applyFont="1" applyFill="1" applyBorder="1" applyAlignment="1">
      <alignment horizontal="center" vertical="center" wrapText="1"/>
    </xf>
    <xf numFmtId="0" fontId="8" fillId="6" borderId="17" xfId="2" applyNumberFormat="1" applyFont="1" applyFill="1" applyBorder="1" applyAlignment="1">
      <alignment horizontal="center" vertical="center" wrapText="1"/>
    </xf>
    <xf numFmtId="0" fontId="8" fillId="6" borderId="7" xfId="2" applyNumberFormat="1" applyFont="1" applyFill="1" applyBorder="1" applyAlignment="1">
      <alignment horizontal="center" vertical="center" wrapText="1"/>
    </xf>
    <xf numFmtId="0" fontId="8" fillId="6" borderId="34" xfId="0" applyFont="1" applyFill="1" applyBorder="1" applyAlignment="1">
      <alignment horizontal="center" wrapText="1"/>
    </xf>
    <xf numFmtId="0" fontId="0" fillId="0" borderId="0" xfId="0" applyAlignment="1">
      <alignment horizontal="center"/>
    </xf>
    <xf numFmtId="0" fontId="14" fillId="0" borderId="15" xfId="0" applyFont="1" applyFill="1" applyBorder="1" applyAlignment="1">
      <alignment vertical="center" wrapText="1"/>
    </xf>
    <xf numFmtId="166" fontId="14" fillId="2" borderId="31" xfId="0" applyNumberFormat="1" applyFont="1" applyFill="1" applyBorder="1" applyAlignment="1">
      <alignment horizontal="center" vertical="center" wrapText="1"/>
    </xf>
    <xf numFmtId="9" fontId="14" fillId="0" borderId="46" xfId="0" applyNumberFormat="1" applyFont="1" applyBorder="1" applyAlignment="1">
      <alignment horizontal="center" vertical="center" wrapText="1"/>
    </xf>
    <xf numFmtId="167" fontId="14" fillId="0" borderId="7" xfId="0" applyNumberFormat="1" applyFont="1" applyFill="1" applyBorder="1" applyAlignment="1">
      <alignment vertical="center" wrapText="1"/>
    </xf>
    <xf numFmtId="0" fontId="20" fillId="0" borderId="7" xfId="0" applyFont="1" applyBorder="1" applyAlignment="1">
      <alignment horizontal="left" vertical="center" wrapText="1"/>
    </xf>
    <xf numFmtId="0" fontId="20" fillId="0" borderId="7" xfId="0" applyFont="1" applyFill="1" applyBorder="1" applyAlignment="1">
      <alignment vertical="center" wrapText="1"/>
    </xf>
    <xf numFmtId="0" fontId="21" fillId="0" borderId="33" xfId="0" applyFont="1" applyBorder="1" applyAlignment="1">
      <alignment horizontal="center" vertical="center" wrapText="1"/>
    </xf>
    <xf numFmtId="0" fontId="21" fillId="6" borderId="33" xfId="0" applyFont="1" applyFill="1" applyBorder="1" applyAlignment="1">
      <alignment horizontal="center" vertical="center" wrapText="1"/>
    </xf>
    <xf numFmtId="0" fontId="21" fillId="6" borderId="32" xfId="0" applyFont="1" applyFill="1" applyBorder="1" applyAlignment="1">
      <alignment horizontal="center" vertical="center" wrapText="1"/>
    </xf>
    <xf numFmtId="14" fontId="21" fillId="0" borderId="32" xfId="0" applyNumberFormat="1" applyFont="1" applyBorder="1" applyAlignment="1">
      <alignment horizontal="center" wrapText="1"/>
    </xf>
    <xf numFmtId="0" fontId="20" fillId="0" borderId="26" xfId="0" applyFont="1" applyFill="1" applyBorder="1" applyAlignment="1">
      <alignment vertical="center" wrapText="1"/>
    </xf>
    <xf numFmtId="0" fontId="20" fillId="0" borderId="14" xfId="0" applyFont="1" applyFill="1" applyBorder="1" applyAlignment="1">
      <alignment vertical="center" wrapText="1"/>
    </xf>
    <xf numFmtId="9" fontId="7" fillId="4" borderId="22" xfId="0" applyNumberFormat="1" applyFont="1" applyFill="1" applyBorder="1" applyAlignment="1">
      <alignment wrapText="1"/>
    </xf>
    <xf numFmtId="9" fontId="7" fillId="4" borderId="24" xfId="0" applyNumberFormat="1" applyFont="1" applyFill="1" applyBorder="1" applyAlignment="1">
      <alignment wrapText="1"/>
    </xf>
    <xf numFmtId="9" fontId="7" fillId="4" borderId="27" xfId="0" applyNumberFormat="1" applyFont="1" applyFill="1" applyBorder="1" applyAlignment="1">
      <alignment wrapText="1"/>
    </xf>
    <xf numFmtId="9" fontId="7" fillId="0" borderId="0" xfId="0" applyNumberFormat="1" applyFont="1" applyFill="1" applyBorder="1" applyAlignment="1">
      <alignment horizontal="center" wrapText="1"/>
    </xf>
    <xf numFmtId="9" fontId="7" fillId="0" borderId="29" xfId="0" applyNumberFormat="1" applyFont="1" applyFill="1" applyBorder="1" applyAlignment="1">
      <alignment horizontal="center" wrapText="1"/>
    </xf>
    <xf numFmtId="9" fontId="7" fillId="0" borderId="31" xfId="0" applyNumberFormat="1" applyFont="1" applyFill="1" applyBorder="1" applyAlignment="1">
      <alignment horizontal="center" wrapText="1"/>
    </xf>
    <xf numFmtId="9" fontId="7" fillId="0" borderId="32" xfId="0" applyNumberFormat="1" applyFont="1" applyFill="1" applyBorder="1" applyAlignment="1">
      <alignment horizontal="center" wrapText="1"/>
    </xf>
    <xf numFmtId="0" fontId="7" fillId="0" borderId="0" xfId="0" applyFont="1" applyFill="1" applyBorder="1" applyAlignment="1">
      <alignment horizontal="center" vertical="center" wrapText="1"/>
    </xf>
    <xf numFmtId="0" fontId="8" fillId="0" borderId="0" xfId="0" applyFont="1" applyFill="1" applyBorder="1" applyAlignment="1">
      <alignment wrapText="1"/>
    </xf>
    <xf numFmtId="9" fontId="7" fillId="0" borderId="0" xfId="1" applyFont="1" applyFill="1" applyBorder="1" applyAlignment="1">
      <alignment vertical="center" wrapText="1"/>
    </xf>
    <xf numFmtId="9" fontId="7" fillId="0" borderId="0" xfId="0" applyNumberFormat="1" applyFont="1" applyFill="1" applyBorder="1" applyAlignment="1">
      <alignment wrapText="1"/>
    </xf>
    <xf numFmtId="0" fontId="8" fillId="0" borderId="0" xfId="2" applyNumberFormat="1" applyFont="1" applyBorder="1" applyAlignment="1">
      <alignment horizontal="center" vertical="center" wrapText="1"/>
    </xf>
    <xf numFmtId="9" fontId="7" fillId="0" borderId="16" xfId="1" applyFont="1" applyFill="1" applyBorder="1" applyAlignment="1">
      <alignment horizontal="center" vertical="center" wrapText="1"/>
    </xf>
    <xf numFmtId="0" fontId="8" fillId="0" borderId="0" xfId="2" applyNumberFormat="1" applyFont="1" applyBorder="1" applyAlignment="1">
      <alignment vertical="center" wrapText="1"/>
    </xf>
    <xf numFmtId="0" fontId="14" fillId="7" borderId="7" xfId="0" applyFont="1" applyFill="1" applyBorder="1" applyAlignment="1">
      <alignment vertical="center" wrapText="1"/>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9" fillId="0" borderId="47"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5" xfId="0" applyFont="1" applyBorder="1" applyAlignment="1">
      <alignment vertical="center" wrapText="1"/>
    </xf>
    <xf numFmtId="0" fontId="3" fillId="5" borderId="15" xfId="0" applyFont="1" applyFill="1" applyBorder="1" applyAlignment="1">
      <alignment horizontal="center" vertical="center" wrapText="1"/>
    </xf>
    <xf numFmtId="0" fontId="14" fillId="0" borderId="48" xfId="0" applyFont="1" applyBorder="1" applyAlignment="1">
      <alignment vertical="center" wrapText="1"/>
    </xf>
    <xf numFmtId="0" fontId="0" fillId="0" borderId="48" xfId="0" applyBorder="1"/>
    <xf numFmtId="0" fontId="14" fillId="0" borderId="48" xfId="0" applyFont="1" applyFill="1" applyBorder="1" applyAlignment="1">
      <alignment vertical="center" wrapText="1"/>
    </xf>
    <xf numFmtId="0" fontId="14" fillId="0" borderId="6" xfId="0" applyFont="1" applyFill="1" applyBorder="1" applyAlignment="1">
      <alignment vertical="center" wrapText="1"/>
    </xf>
    <xf numFmtId="0" fontId="14" fillId="7" borderId="48" xfId="0" applyFont="1" applyFill="1" applyBorder="1" applyAlignment="1">
      <alignment vertical="center" wrapText="1"/>
    </xf>
    <xf numFmtId="9" fontId="13" fillId="0" borderId="48" xfId="0" applyNumberFormat="1" applyFont="1" applyFill="1" applyBorder="1" applyAlignment="1">
      <alignment horizontal="center" vertical="center" wrapText="1"/>
    </xf>
    <xf numFmtId="9" fontId="14" fillId="0" borderId="48" xfId="0" applyNumberFormat="1" applyFont="1" applyFill="1" applyBorder="1" applyAlignment="1">
      <alignment horizontal="center" vertical="center" wrapText="1"/>
    </xf>
    <xf numFmtId="9" fontId="14" fillId="0" borderId="48" xfId="1" applyFont="1" applyFill="1" applyBorder="1" applyAlignment="1">
      <alignment horizontal="center" vertical="center" wrapText="1"/>
    </xf>
    <xf numFmtId="167" fontId="14" fillId="0" borderId="48" xfId="0" applyNumberFormat="1" applyFont="1" applyFill="1" applyBorder="1" applyAlignment="1">
      <alignment vertical="center" wrapText="1"/>
    </xf>
    <xf numFmtId="166" fontId="14" fillId="0" borderId="48" xfId="0" applyNumberFormat="1" applyFont="1" applyBorder="1" applyAlignment="1">
      <alignment vertical="center" wrapText="1"/>
    </xf>
    <xf numFmtId="1" fontId="14" fillId="0" borderId="48" xfId="0" applyNumberFormat="1" applyFont="1" applyBorder="1" applyAlignment="1">
      <alignment horizontal="center" vertical="center" wrapText="1"/>
    </xf>
    <xf numFmtId="0" fontId="14" fillId="0" borderId="10" xfId="0" applyFont="1" applyBorder="1" applyAlignment="1">
      <alignment vertical="center" wrapText="1"/>
    </xf>
    <xf numFmtId="0" fontId="0" fillId="0" borderId="10" xfId="0" applyBorder="1"/>
    <xf numFmtId="0" fontId="14" fillId="0" borderId="10" xfId="0" applyFont="1" applyFill="1" applyBorder="1" applyAlignment="1">
      <alignment vertical="center" wrapText="1"/>
    </xf>
    <xf numFmtId="0" fontId="14" fillId="0" borderId="52" xfId="0" applyFont="1" applyFill="1" applyBorder="1" applyAlignment="1">
      <alignment vertical="center" wrapText="1"/>
    </xf>
    <xf numFmtId="0" fontId="14" fillId="7" borderId="10" xfId="0" applyFont="1" applyFill="1" applyBorder="1" applyAlignment="1">
      <alignment vertical="center" wrapText="1"/>
    </xf>
    <xf numFmtId="9" fontId="13" fillId="0" borderId="10" xfId="0" applyNumberFormat="1" applyFont="1" applyFill="1" applyBorder="1" applyAlignment="1">
      <alignment horizontal="center" vertical="center" wrapText="1"/>
    </xf>
    <xf numFmtId="9" fontId="14" fillId="0" borderId="10" xfId="0" applyNumberFormat="1" applyFont="1" applyFill="1" applyBorder="1" applyAlignment="1">
      <alignment horizontal="center" vertical="center" wrapText="1"/>
    </xf>
    <xf numFmtId="9" fontId="14" fillId="0" borderId="10" xfId="1" applyFont="1" applyFill="1" applyBorder="1" applyAlignment="1">
      <alignment horizontal="center" vertical="center" wrapText="1"/>
    </xf>
    <xf numFmtId="167" fontId="14" fillId="0" borderId="10" xfId="0" applyNumberFormat="1" applyFont="1" applyFill="1" applyBorder="1" applyAlignment="1">
      <alignment vertical="center" wrapText="1"/>
    </xf>
    <xf numFmtId="166" fontId="14" fillId="0" borderId="10" xfId="0" applyNumberFormat="1" applyFont="1" applyBorder="1" applyAlignment="1">
      <alignment vertical="center" wrapText="1"/>
    </xf>
    <xf numFmtId="1" fontId="14" fillId="0" borderId="10" xfId="0" applyNumberFormat="1" applyFont="1" applyBorder="1" applyAlignment="1">
      <alignment horizontal="center" vertical="center" wrapText="1"/>
    </xf>
    <xf numFmtId="0" fontId="0" fillId="0" borderId="11" xfId="0" applyBorder="1"/>
    <xf numFmtId="0" fontId="0" fillId="0" borderId="26" xfId="0" applyBorder="1"/>
    <xf numFmtId="0" fontId="14" fillId="0" borderId="13" xfId="0" applyFont="1" applyBorder="1" applyAlignment="1">
      <alignment horizontal="center" vertical="center" wrapText="1"/>
    </xf>
    <xf numFmtId="0" fontId="14" fillId="0" borderId="13" xfId="0" applyFont="1" applyBorder="1" applyAlignment="1">
      <alignment vertical="center" wrapText="1"/>
    </xf>
    <xf numFmtId="0" fontId="14" fillId="0" borderId="13" xfId="0" applyFont="1" applyFill="1" applyBorder="1" applyAlignment="1">
      <alignment vertical="center" wrapText="1"/>
    </xf>
    <xf numFmtId="0" fontId="14" fillId="0" borderId="54" xfId="0" applyFont="1" applyFill="1" applyBorder="1" applyAlignment="1">
      <alignment vertical="center" wrapText="1"/>
    </xf>
    <xf numFmtId="0" fontId="14" fillId="7" borderId="13" xfId="0" applyFont="1" applyFill="1" applyBorder="1" applyAlignment="1">
      <alignment vertical="center" wrapText="1"/>
    </xf>
    <xf numFmtId="9" fontId="13" fillId="0" borderId="13" xfId="0" applyNumberFormat="1" applyFont="1" applyFill="1" applyBorder="1" applyAlignment="1">
      <alignment horizontal="center" vertical="center" wrapText="1"/>
    </xf>
    <xf numFmtId="9" fontId="14" fillId="0" borderId="13" xfId="0" applyNumberFormat="1" applyFont="1" applyFill="1" applyBorder="1" applyAlignment="1">
      <alignment horizontal="center" vertical="center" wrapText="1"/>
    </xf>
    <xf numFmtId="9" fontId="14" fillId="0" borderId="13" xfId="1" applyFont="1" applyFill="1" applyBorder="1" applyAlignment="1">
      <alignment horizontal="center" vertical="center" wrapText="1"/>
    </xf>
    <xf numFmtId="167" fontId="14" fillId="0" borderId="13" xfId="0" applyNumberFormat="1" applyFont="1" applyFill="1" applyBorder="1" applyAlignment="1">
      <alignment vertical="center" wrapText="1"/>
    </xf>
    <xf numFmtId="166" fontId="14" fillId="0" borderId="13" xfId="0" applyNumberFormat="1" applyFont="1" applyBorder="1" applyAlignment="1">
      <alignment vertical="center" wrapText="1"/>
    </xf>
    <xf numFmtId="1" fontId="14" fillId="0" borderId="13" xfId="0" applyNumberFormat="1" applyFont="1" applyBorder="1" applyAlignment="1">
      <alignment horizontal="center" vertical="center" wrapText="1"/>
    </xf>
    <xf numFmtId="0" fontId="0" fillId="0" borderId="13" xfId="0" applyBorder="1"/>
    <xf numFmtId="0" fontId="0" fillId="0" borderId="14" xfId="0" applyBorder="1"/>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0" fillId="0" borderId="15" xfId="0" applyBorder="1"/>
    <xf numFmtId="0" fontId="14" fillId="0" borderId="21" xfId="0" applyFont="1" applyFill="1" applyBorder="1" applyAlignment="1">
      <alignment vertical="center" wrapText="1"/>
    </xf>
    <xf numFmtId="0" fontId="14" fillId="7" borderId="15" xfId="0" applyFont="1" applyFill="1" applyBorder="1" applyAlignment="1">
      <alignment vertical="center" wrapText="1"/>
    </xf>
    <xf numFmtId="9" fontId="13" fillId="0" borderId="15" xfId="0" applyNumberFormat="1" applyFont="1" applyFill="1" applyBorder="1" applyAlignment="1">
      <alignment horizontal="center" vertical="center" wrapText="1"/>
    </xf>
    <xf numFmtId="9" fontId="14" fillId="0" borderId="15" xfId="0" applyNumberFormat="1" applyFont="1" applyFill="1" applyBorder="1" applyAlignment="1">
      <alignment horizontal="center" vertical="center" wrapText="1"/>
    </xf>
    <xf numFmtId="9" fontId="14" fillId="0" borderId="15" xfId="1" applyFont="1" applyFill="1" applyBorder="1" applyAlignment="1">
      <alignment horizontal="center" vertical="center" wrapText="1"/>
    </xf>
    <xf numFmtId="167" fontId="14" fillId="0" borderId="15" xfId="0" applyNumberFormat="1" applyFont="1" applyFill="1" applyBorder="1" applyAlignment="1">
      <alignment vertical="center" wrapText="1"/>
    </xf>
    <xf numFmtId="166" fontId="14" fillId="0" borderId="15" xfId="0" applyNumberFormat="1" applyFont="1" applyBorder="1" applyAlignment="1">
      <alignment vertical="center" wrapText="1"/>
    </xf>
    <xf numFmtId="1" fontId="14" fillId="0" borderId="15" xfId="0" applyNumberFormat="1" applyFont="1" applyBorder="1" applyAlignment="1">
      <alignment horizontal="center" vertical="center" wrapText="1"/>
    </xf>
    <xf numFmtId="0" fontId="14" fillId="0" borderId="23" xfId="0" applyFont="1" applyBorder="1" applyAlignment="1">
      <alignment horizontal="center" vertical="center" wrapText="1"/>
    </xf>
    <xf numFmtId="0" fontId="14" fillId="0" borderId="55" xfId="0" applyFont="1" applyBorder="1" applyAlignment="1">
      <alignment horizontal="center" vertical="center" wrapText="1"/>
    </xf>
    <xf numFmtId="17" fontId="8" fillId="5" borderId="15" xfId="2" applyNumberFormat="1" applyFont="1" applyFill="1" applyBorder="1" applyAlignment="1">
      <alignment horizontal="center" vertical="center" wrapText="1"/>
    </xf>
    <xf numFmtId="166" fontId="3" fillId="5" borderId="15" xfId="0" applyNumberFormat="1" applyFont="1" applyFill="1" applyBorder="1" applyAlignment="1">
      <alignment horizontal="center" vertical="center" wrapText="1"/>
    </xf>
    <xf numFmtId="0" fontId="3" fillId="5" borderId="59" xfId="0" applyFont="1" applyFill="1" applyBorder="1" applyAlignment="1">
      <alignment horizontal="center" vertical="center" wrapText="1"/>
    </xf>
    <xf numFmtId="9" fontId="0" fillId="0" borderId="0" xfId="1" applyFont="1"/>
    <xf numFmtId="0" fontId="24" fillId="0" borderId="33" xfId="0" applyFont="1" applyBorder="1" applyAlignment="1">
      <alignment vertical="center" wrapText="1"/>
    </xf>
    <xf numFmtId="10" fontId="0" fillId="8" borderId="7" xfId="0" applyNumberFormat="1" applyFont="1" applyFill="1" applyBorder="1" applyAlignment="1">
      <alignment horizontal="center" vertical="center"/>
    </xf>
    <xf numFmtId="10" fontId="0" fillId="8" borderId="26" xfId="0" applyNumberFormat="1" applyFont="1" applyFill="1" applyBorder="1" applyAlignment="1">
      <alignment horizontal="center" vertical="center"/>
    </xf>
    <xf numFmtId="0" fontId="14" fillId="0" borderId="10" xfId="0" applyFont="1" applyBorder="1" applyAlignment="1">
      <alignment horizontal="center" vertical="center" wrapText="1"/>
    </xf>
    <xf numFmtId="0" fontId="22" fillId="0" borderId="52" xfId="0" applyFont="1" applyBorder="1"/>
    <xf numFmtId="0" fontId="0" fillId="0" borderId="0" xfId="0" applyFont="1" applyAlignment="1">
      <alignment horizontal="left"/>
    </xf>
    <xf numFmtId="0" fontId="0" fillId="0" borderId="0" xfId="0" applyFont="1" applyFill="1" applyBorder="1" applyAlignment="1">
      <alignment horizontal="left"/>
    </xf>
    <xf numFmtId="0" fontId="14" fillId="0" borderId="0" xfId="0" applyFont="1" applyFill="1" applyBorder="1" applyAlignment="1">
      <alignment horizontal="left" vertical="center" wrapText="1"/>
    </xf>
    <xf numFmtId="0" fontId="0" fillId="0" borderId="14" xfId="0" applyFont="1" applyBorder="1" applyAlignment="1">
      <alignment horizontal="left"/>
    </xf>
    <xf numFmtId="0" fontId="0" fillId="0" borderId="52" xfId="0" applyBorder="1"/>
    <xf numFmtId="0" fontId="0" fillId="0" borderId="67" xfId="0" applyBorder="1"/>
    <xf numFmtId="0" fontId="0" fillId="0" borderId="54" xfId="0" applyBorder="1"/>
    <xf numFmtId="0" fontId="0" fillId="0" borderId="0" xfId="0" applyAlignment="1">
      <alignment wrapText="1"/>
    </xf>
    <xf numFmtId="0" fontId="0" fillId="0" borderId="61" xfId="0" applyBorder="1"/>
    <xf numFmtId="166" fontId="14" fillId="0" borderId="0" xfId="0" applyNumberFormat="1" applyFont="1" applyBorder="1" applyAlignment="1">
      <alignment horizontal="center" vertical="center" wrapText="1"/>
    </xf>
    <xf numFmtId="12" fontId="0" fillId="0" borderId="0" xfId="0" applyNumberFormat="1"/>
    <xf numFmtId="9" fontId="0" fillId="0" borderId="0" xfId="0" applyNumberFormat="1"/>
    <xf numFmtId="0" fontId="3" fillId="5" borderId="61" xfId="0" applyFont="1" applyFill="1" applyBorder="1" applyAlignment="1">
      <alignment horizontal="center" vertical="center" wrapText="1"/>
    </xf>
    <xf numFmtId="10" fontId="0" fillId="0" borderId="7" xfId="0" applyNumberFormat="1" applyBorder="1" applyAlignment="1">
      <alignment horizontal="left" wrapText="1"/>
    </xf>
    <xf numFmtId="13" fontId="0" fillId="0" borderId="7" xfId="0" applyNumberFormat="1" applyBorder="1" applyAlignment="1">
      <alignment horizontal="left" wrapText="1"/>
    </xf>
    <xf numFmtId="9" fontId="0" fillId="0" borderId="7" xfId="0" applyNumberFormat="1" applyBorder="1" applyAlignment="1">
      <alignment horizontal="left" wrapText="1"/>
    </xf>
    <xf numFmtId="0" fontId="0" fillId="0" borderId="7" xfId="0" applyBorder="1" applyAlignment="1">
      <alignment horizontal="left" wrapText="1"/>
    </xf>
    <xf numFmtId="0" fontId="0" fillId="0" borderId="7" xfId="0" applyBorder="1" applyAlignment="1">
      <alignment horizontal="left" vertical="center"/>
    </xf>
    <xf numFmtId="0" fontId="3" fillId="5" borderId="68" xfId="0" applyFont="1" applyFill="1" applyBorder="1" applyAlignment="1">
      <alignment horizontal="center" vertical="center" wrapText="1"/>
    </xf>
    <xf numFmtId="13" fontId="0" fillId="0" borderId="10" xfId="0" applyNumberFormat="1" applyBorder="1" applyAlignment="1">
      <alignment horizontal="left" vertical="center" wrapText="1"/>
    </xf>
    <xf numFmtId="0" fontId="0" fillId="0" borderId="10" xfId="0" applyBorder="1" applyAlignment="1">
      <alignment horizontal="left" vertical="center"/>
    </xf>
    <xf numFmtId="13" fontId="0" fillId="0" borderId="10" xfId="0" applyNumberFormat="1" applyBorder="1" applyAlignment="1">
      <alignment horizontal="left" wrapText="1"/>
    </xf>
    <xf numFmtId="0" fontId="0" fillId="0" borderId="13" xfId="0" applyBorder="1" applyAlignment="1">
      <alignment horizontal="left" vertical="center"/>
    </xf>
    <xf numFmtId="0" fontId="0" fillId="0" borderId="7" xfId="0" applyBorder="1" applyAlignment="1">
      <alignment horizontal="left"/>
    </xf>
    <xf numFmtId="0" fontId="0" fillId="0" borderId="13" xfId="0" applyBorder="1" applyAlignment="1">
      <alignment horizontal="left"/>
    </xf>
    <xf numFmtId="0" fontId="0" fillId="0" borderId="13" xfId="0" applyBorder="1" applyAlignment="1">
      <alignment horizontal="left" wrapText="1"/>
    </xf>
    <xf numFmtId="0" fontId="0" fillId="0" borderId="10" xfId="0" applyBorder="1" applyAlignment="1">
      <alignment horizontal="left"/>
    </xf>
    <xf numFmtId="0" fontId="0" fillId="0" borderId="10" xfId="0" applyBorder="1" applyAlignment="1">
      <alignment horizontal="left" wrapText="1"/>
    </xf>
    <xf numFmtId="0" fontId="0" fillId="0" borderId="61" xfId="0" applyBorder="1" applyAlignment="1">
      <alignment horizontal="left" vertical="center"/>
    </xf>
    <xf numFmtId="13" fontId="0" fillId="0" borderId="61" xfId="0" applyNumberFormat="1" applyBorder="1" applyAlignment="1">
      <alignment horizontal="left" vertical="center" wrapText="1"/>
    </xf>
    <xf numFmtId="0" fontId="25" fillId="0" borderId="59" xfId="0" applyFont="1" applyBorder="1" applyAlignment="1">
      <alignment horizontal="left" vertical="center" wrapText="1"/>
    </xf>
    <xf numFmtId="9" fontId="0" fillId="0" borderId="26" xfId="0" applyNumberFormat="1" applyBorder="1" applyAlignment="1">
      <alignment horizontal="left"/>
    </xf>
    <xf numFmtId="9" fontId="0" fillId="0" borderId="14" xfId="0" applyNumberFormat="1" applyBorder="1" applyAlignment="1">
      <alignment horizontal="left"/>
    </xf>
    <xf numFmtId="9" fontId="0" fillId="0" borderId="11" xfId="0" applyNumberFormat="1" applyBorder="1" applyAlignment="1">
      <alignment horizontal="left"/>
    </xf>
    <xf numFmtId="9" fontId="0" fillId="0" borderId="68" xfId="0" applyNumberFormat="1" applyBorder="1" applyAlignment="1">
      <alignment horizontal="left" vertical="center"/>
    </xf>
    <xf numFmtId="0" fontId="0" fillId="0" borderId="26" xfId="0" applyBorder="1" applyAlignment="1">
      <alignment horizontal="left"/>
    </xf>
    <xf numFmtId="9" fontId="0" fillId="0" borderId="26" xfId="0" applyNumberFormat="1" applyBorder="1" applyAlignment="1">
      <alignment horizontal="left" vertical="center"/>
    </xf>
    <xf numFmtId="10" fontId="0" fillId="0" borderId="11" xfId="0" applyNumberFormat="1" applyBorder="1" applyAlignment="1">
      <alignment horizontal="left" vertical="center"/>
    </xf>
    <xf numFmtId="10" fontId="0" fillId="0" borderId="13" xfId="0" applyNumberFormat="1" applyBorder="1" applyAlignment="1">
      <alignment horizontal="left" wrapText="1"/>
    </xf>
    <xf numFmtId="9" fontId="0" fillId="0" borderId="10" xfId="1" applyFont="1" applyBorder="1" applyAlignment="1">
      <alignment horizontal="left" wrapText="1"/>
    </xf>
    <xf numFmtId="9" fontId="0" fillId="0" borderId="7" xfId="1" applyFont="1" applyBorder="1" applyAlignment="1">
      <alignment horizontal="left" vertical="center" wrapText="1"/>
    </xf>
    <xf numFmtId="9" fontId="0" fillId="0" borderId="13" xfId="1" applyFont="1" applyBorder="1" applyAlignment="1">
      <alignment horizontal="left" wrapText="1"/>
    </xf>
    <xf numFmtId="9" fontId="0" fillId="0" borderId="7" xfId="1" applyFont="1" applyBorder="1" applyAlignment="1">
      <alignment horizontal="left" wrapText="1"/>
    </xf>
    <xf numFmtId="9" fontId="0" fillId="0" borderId="10" xfId="0" applyNumberFormat="1" applyBorder="1" applyAlignment="1">
      <alignment horizontal="left" vertical="center" wrapText="1"/>
    </xf>
    <xf numFmtId="0" fontId="22" fillId="0" borderId="11" xfId="0" applyFont="1" applyBorder="1"/>
    <xf numFmtId="0" fontId="22" fillId="0" borderId="0" xfId="0" applyFont="1"/>
    <xf numFmtId="0" fontId="22" fillId="0" borderId="0" xfId="0" applyFont="1" applyFill="1" applyBorder="1"/>
    <xf numFmtId="0" fontId="7" fillId="0" borderId="0" xfId="0" applyFont="1" applyFill="1" applyBorder="1" applyAlignment="1">
      <alignment vertical="center" wrapText="1"/>
    </xf>
    <xf numFmtId="0" fontId="22" fillId="0" borderId="14" xfId="0" applyFont="1" applyBorder="1"/>
    <xf numFmtId="0" fontId="23" fillId="0" borderId="0" xfId="0" applyFont="1"/>
    <xf numFmtId="0" fontId="0" fillId="0" borderId="19" xfId="0" applyBorder="1"/>
    <xf numFmtId="166" fontId="3" fillId="5" borderId="21" xfId="0" applyNumberFormat="1" applyFont="1" applyFill="1" applyBorder="1" applyAlignment="1">
      <alignment horizontal="center" vertical="center" wrapText="1"/>
    </xf>
    <xf numFmtId="0" fontId="0" fillId="0" borderId="18" xfId="0" applyBorder="1"/>
    <xf numFmtId="0" fontId="0" fillId="0" borderId="54" xfId="0" applyFont="1" applyBorder="1" applyAlignment="1">
      <alignment horizontal="left"/>
    </xf>
    <xf numFmtId="0" fontId="0" fillId="0" borderId="21" xfId="0" applyBorder="1"/>
    <xf numFmtId="0" fontId="22" fillId="0" borderId="54" xfId="0" applyFont="1" applyBorder="1"/>
    <xf numFmtId="0" fontId="0" fillId="0" borderId="60" xfId="0" applyBorder="1"/>
    <xf numFmtId="169" fontId="0" fillId="0" borderId="7" xfId="40" applyNumberFormat="1" applyFont="1" applyBorder="1" applyAlignment="1">
      <alignment horizontal="left" wrapText="1"/>
    </xf>
    <xf numFmtId="0" fontId="0" fillId="0" borderId="18" xfId="0" applyBorder="1" applyAlignment="1">
      <alignment horizontal="center" vertical="center"/>
    </xf>
    <xf numFmtId="0" fontId="0" fillId="0" borderId="47" xfId="0" applyBorder="1"/>
    <xf numFmtId="0" fontId="0" fillId="0" borderId="25" xfId="0" applyBorder="1"/>
    <xf numFmtId="1" fontId="0" fillId="0" borderId="0" xfId="0" applyNumberFormat="1"/>
    <xf numFmtId="0" fontId="26" fillId="5" borderId="59" xfId="0" applyFont="1" applyFill="1" applyBorder="1" applyAlignment="1">
      <alignment horizontal="center" vertical="center" wrapText="1"/>
    </xf>
    <xf numFmtId="0" fontId="26" fillId="5" borderId="61" xfId="0" applyFont="1" applyFill="1" applyBorder="1" applyAlignment="1">
      <alignment horizontal="center" vertical="center" wrapText="1"/>
    </xf>
    <xf numFmtId="17" fontId="27" fillId="5" borderId="61" xfId="2" applyNumberFormat="1" applyFont="1" applyFill="1" applyBorder="1" applyAlignment="1">
      <alignment horizontal="center" vertical="center" wrapText="1"/>
    </xf>
    <xf numFmtId="166" fontId="26" fillId="5" borderId="61" xfId="0" applyNumberFormat="1" applyFont="1" applyFill="1" applyBorder="1" applyAlignment="1">
      <alignment horizontal="center" vertical="center" wrapText="1"/>
    </xf>
    <xf numFmtId="166" fontId="26" fillId="5" borderId="68" xfId="0" applyNumberFormat="1" applyFont="1" applyFill="1" applyBorder="1" applyAlignment="1">
      <alignment horizontal="center" vertical="center" wrapText="1"/>
    </xf>
    <xf numFmtId="166" fontId="26" fillId="5" borderId="33" xfId="0" applyNumberFormat="1" applyFont="1" applyFill="1" applyBorder="1" applyAlignment="1">
      <alignment horizontal="center" vertical="center" wrapText="1"/>
    </xf>
    <xf numFmtId="0" fontId="29" fillId="0" borderId="34" xfId="0" applyFont="1" applyBorder="1" applyAlignment="1">
      <alignment horizontal="center" vertical="center" wrapText="1"/>
    </xf>
    <xf numFmtId="0" fontId="30" fillId="0" borderId="10" xfId="0" applyFont="1" applyBorder="1" applyAlignment="1">
      <alignment vertical="center" wrapText="1"/>
    </xf>
    <xf numFmtId="0" fontId="31" fillId="0" borderId="10" xfId="0" applyFont="1" applyBorder="1" applyAlignment="1">
      <alignment vertical="center" wrapText="1"/>
    </xf>
    <xf numFmtId="0" fontId="32" fillId="0" borderId="52" xfId="0" applyFont="1" applyBorder="1"/>
    <xf numFmtId="0" fontId="32" fillId="0" borderId="56" xfId="0" applyFont="1" applyBorder="1"/>
    <xf numFmtId="13" fontId="30" fillId="0" borderId="52" xfId="0" applyNumberFormat="1" applyFont="1" applyBorder="1" applyAlignment="1">
      <alignment horizontal="center" vertical="center" wrapText="1"/>
    </xf>
    <xf numFmtId="0" fontId="30" fillId="0" borderId="52" xfId="0" applyFont="1" applyFill="1" applyBorder="1" applyAlignment="1">
      <alignment horizontal="center" vertical="center" wrapText="1"/>
    </xf>
    <xf numFmtId="0" fontId="30" fillId="7" borderId="10" xfId="0" applyFont="1" applyFill="1" applyBorder="1" applyAlignment="1">
      <alignment horizontal="center" vertical="center" wrapText="1"/>
    </xf>
    <xf numFmtId="9" fontId="27" fillId="0" borderId="10" xfId="0" applyNumberFormat="1" applyFont="1" applyFill="1" applyBorder="1" applyAlignment="1">
      <alignment horizontal="center" vertical="center" wrapText="1"/>
    </xf>
    <xf numFmtId="9" fontId="30" fillId="0" borderId="10" xfId="0" applyNumberFormat="1" applyFont="1" applyFill="1" applyBorder="1" applyAlignment="1">
      <alignment horizontal="center" vertical="center" wrapText="1"/>
    </xf>
    <xf numFmtId="9" fontId="30" fillId="0" borderId="10" xfId="1" applyFont="1" applyFill="1" applyBorder="1" applyAlignment="1">
      <alignment horizontal="center" vertical="center" wrapText="1"/>
    </xf>
    <xf numFmtId="0" fontId="30" fillId="0" borderId="10" xfId="0" applyFont="1" applyFill="1" applyBorder="1" applyAlignment="1">
      <alignment vertical="center" wrapText="1"/>
    </xf>
    <xf numFmtId="0" fontId="30" fillId="0" borderId="10" xfId="0" applyFont="1" applyBorder="1" applyAlignment="1">
      <alignment horizontal="center" vertical="center" wrapText="1"/>
    </xf>
    <xf numFmtId="167" fontId="30" fillId="0" borderId="10" xfId="0" applyNumberFormat="1" applyFont="1" applyFill="1" applyBorder="1" applyAlignment="1">
      <alignment horizontal="center" vertical="center" wrapText="1"/>
    </xf>
    <xf numFmtId="166" fontId="30" fillId="0" borderId="10" xfId="0" applyNumberFormat="1" applyFont="1" applyBorder="1" applyAlignment="1">
      <alignment vertical="center" wrapText="1"/>
    </xf>
    <xf numFmtId="1" fontId="30" fillId="0" borderId="10" xfId="0" applyNumberFormat="1" applyFont="1" applyBorder="1" applyAlignment="1">
      <alignment horizontal="center" vertical="center" wrapText="1"/>
    </xf>
    <xf numFmtId="1" fontId="30" fillId="0" borderId="56" xfId="0" applyNumberFormat="1" applyFont="1" applyBorder="1" applyAlignment="1">
      <alignment horizontal="center" vertical="center" wrapText="1"/>
    </xf>
    <xf numFmtId="1" fontId="29" fillId="0" borderId="11" xfId="0" applyNumberFormat="1" applyFont="1" applyBorder="1" applyAlignment="1">
      <alignment horizontal="center" vertical="center" wrapText="1"/>
    </xf>
    <xf numFmtId="0" fontId="29" fillId="0" borderId="0" xfId="0" applyFont="1" applyBorder="1" applyAlignment="1">
      <alignment horizontal="center" vertical="center" wrapText="1"/>
    </xf>
    <xf numFmtId="0" fontId="30" fillId="0" borderId="7" xfId="0" applyFont="1" applyBorder="1" applyAlignment="1">
      <alignment vertical="center" wrapText="1"/>
    </xf>
    <xf numFmtId="0" fontId="31" fillId="0" borderId="7" xfId="0" applyFont="1" applyBorder="1" applyAlignment="1">
      <alignment vertical="center" wrapText="1"/>
    </xf>
    <xf numFmtId="0" fontId="32" fillId="0" borderId="18" xfId="0" applyFont="1" applyBorder="1"/>
    <xf numFmtId="0" fontId="32" fillId="0" borderId="16" xfId="0" applyFont="1" applyBorder="1"/>
    <xf numFmtId="0" fontId="30" fillId="0" borderId="18" xfId="0" applyFont="1" applyBorder="1" applyAlignment="1">
      <alignment horizontal="center" vertical="center" wrapText="1"/>
    </xf>
    <xf numFmtId="0" fontId="30" fillId="0" borderId="18" xfId="0" applyFont="1" applyFill="1" applyBorder="1" applyAlignment="1">
      <alignment horizontal="center" vertical="center" wrapText="1"/>
    </xf>
    <xf numFmtId="0" fontId="30" fillId="7" borderId="7" xfId="0" applyFont="1" applyFill="1" applyBorder="1" applyAlignment="1">
      <alignment horizontal="center" vertical="center" wrapText="1"/>
    </xf>
    <xf numFmtId="10" fontId="27" fillId="0" borderId="7" xfId="0" applyNumberFormat="1" applyFont="1" applyFill="1" applyBorder="1" applyAlignment="1">
      <alignment horizontal="center" vertical="center" wrapText="1"/>
    </xf>
    <xf numFmtId="9" fontId="30" fillId="0" borderId="7" xfId="0" applyNumberFormat="1" applyFont="1" applyFill="1" applyBorder="1" applyAlignment="1">
      <alignment horizontal="center" vertical="center" wrapText="1"/>
    </xf>
    <xf numFmtId="9" fontId="30" fillId="0" borderId="7" xfId="1" applyFont="1" applyFill="1" applyBorder="1" applyAlignment="1">
      <alignment horizontal="center" vertical="center" wrapText="1"/>
    </xf>
    <xf numFmtId="0" fontId="30" fillId="0" borderId="7" xfId="0" applyFont="1" applyFill="1" applyBorder="1" applyAlignment="1">
      <alignment vertical="center" wrapText="1"/>
    </xf>
    <xf numFmtId="0" fontId="30" fillId="0" borderId="7" xfId="0" applyFont="1" applyBorder="1" applyAlignment="1">
      <alignment horizontal="center" vertical="center" wrapText="1"/>
    </xf>
    <xf numFmtId="167" fontId="30" fillId="0" borderId="7" xfId="0" applyNumberFormat="1" applyFont="1" applyFill="1" applyBorder="1" applyAlignment="1">
      <alignment horizontal="center" vertical="center" wrapText="1"/>
    </xf>
    <xf numFmtId="166" fontId="30" fillId="0" borderId="7" xfId="0" applyNumberFormat="1" applyFont="1" applyBorder="1" applyAlignment="1">
      <alignment vertical="center" wrapText="1"/>
    </xf>
    <xf numFmtId="1" fontId="30" fillId="0" borderId="7" xfId="0" applyNumberFormat="1" applyFont="1" applyBorder="1" applyAlignment="1">
      <alignment horizontal="center" vertical="center" wrapText="1"/>
    </xf>
    <xf numFmtId="1" fontId="30" fillId="0" borderId="16" xfId="0" applyNumberFormat="1" applyFont="1" applyBorder="1" applyAlignment="1">
      <alignment horizontal="center" vertical="center" wrapText="1"/>
    </xf>
    <xf numFmtId="1" fontId="29" fillId="0" borderId="26" xfId="0" applyNumberFormat="1" applyFont="1" applyBorder="1" applyAlignment="1">
      <alignment horizontal="center" vertical="center" wrapText="1"/>
    </xf>
    <xf numFmtId="10" fontId="33" fillId="0" borderId="0" xfId="0" applyNumberFormat="1" applyFont="1" applyBorder="1" applyAlignment="1">
      <alignment horizontal="center" vertical="center" wrapText="1"/>
    </xf>
    <xf numFmtId="0" fontId="30" fillId="0" borderId="7" xfId="0" applyFont="1" applyFill="1" applyBorder="1" applyAlignment="1">
      <alignment horizontal="center" vertical="center" wrapText="1"/>
    </xf>
    <xf numFmtId="9" fontId="27" fillId="0" borderId="7" xfId="0" applyNumberFormat="1" applyFont="1" applyFill="1" applyBorder="1" applyAlignment="1">
      <alignment horizontal="center" vertical="center" wrapText="1"/>
    </xf>
    <xf numFmtId="0" fontId="30" fillId="0" borderId="16" xfId="0" applyFont="1" applyBorder="1" applyAlignment="1">
      <alignment horizontal="center" vertical="center" wrapText="1"/>
    </xf>
    <xf numFmtId="9" fontId="30" fillId="0" borderId="7" xfId="1" applyFont="1" applyBorder="1" applyAlignment="1">
      <alignment horizontal="center" vertical="center" wrapText="1"/>
    </xf>
    <xf numFmtId="9" fontId="29" fillId="0" borderId="26" xfId="1" applyFont="1" applyBorder="1" applyAlignment="1">
      <alignment horizontal="center" vertical="center" wrapText="1"/>
    </xf>
    <xf numFmtId="0" fontId="29" fillId="0" borderId="55" xfId="0" applyFont="1" applyBorder="1" applyAlignment="1">
      <alignment horizontal="left" vertical="center" wrapText="1"/>
    </xf>
    <xf numFmtId="0" fontId="29" fillId="0" borderId="13" xfId="0" applyFont="1" applyBorder="1" applyAlignment="1">
      <alignment horizontal="left" vertical="center" wrapText="1"/>
    </xf>
    <xf numFmtId="0" fontId="31" fillId="0" borderId="13" xfId="0" applyFont="1" applyBorder="1" applyAlignment="1">
      <alignment vertical="center" wrapText="1"/>
    </xf>
    <xf numFmtId="0" fontId="29" fillId="0" borderId="13" xfId="0" applyFont="1" applyFill="1" applyBorder="1" applyAlignment="1">
      <alignment horizontal="left" vertical="center" wrapText="1"/>
    </xf>
    <xf numFmtId="9" fontId="29" fillId="0" borderId="13" xfId="0" applyNumberFormat="1"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7" borderId="13" xfId="0" applyFont="1" applyFill="1" applyBorder="1" applyAlignment="1">
      <alignment horizontal="center" vertical="center" wrapText="1"/>
    </xf>
    <xf numFmtId="9" fontId="27" fillId="0" borderId="13" xfId="0" applyNumberFormat="1" applyFont="1" applyFill="1" applyBorder="1" applyAlignment="1">
      <alignment horizontal="center" vertical="center" wrapText="1"/>
    </xf>
    <xf numFmtId="9" fontId="30" fillId="0" borderId="13" xfId="0" applyNumberFormat="1" applyFont="1" applyFill="1" applyBorder="1" applyAlignment="1">
      <alignment horizontal="left" vertical="center" wrapText="1"/>
    </xf>
    <xf numFmtId="9" fontId="30" fillId="0" borderId="13" xfId="1" applyFont="1" applyFill="1" applyBorder="1" applyAlignment="1">
      <alignment horizontal="left" vertical="center" wrapText="1"/>
    </xf>
    <xf numFmtId="0" fontId="30" fillId="0" borderId="13" xfId="0" applyFont="1" applyFill="1" applyBorder="1" applyAlignment="1">
      <alignment horizontal="left" vertical="center" wrapText="1"/>
    </xf>
    <xf numFmtId="0" fontId="30" fillId="0" borderId="13" xfId="0" applyFont="1" applyBorder="1" applyAlignment="1">
      <alignment horizontal="center" vertical="center" wrapText="1"/>
    </xf>
    <xf numFmtId="167" fontId="30" fillId="0" borderId="13" xfId="0" applyNumberFormat="1" applyFont="1" applyFill="1" applyBorder="1" applyAlignment="1">
      <alignment horizontal="center" vertical="center" wrapText="1"/>
    </xf>
    <xf numFmtId="166" fontId="30" fillId="0" borderId="13" xfId="0" applyNumberFormat="1" applyFont="1" applyBorder="1" applyAlignment="1">
      <alignment horizontal="left" vertical="center" wrapText="1"/>
    </xf>
    <xf numFmtId="1" fontId="30" fillId="0" borderId="13" xfId="0" applyNumberFormat="1" applyFont="1" applyBorder="1" applyAlignment="1">
      <alignment horizontal="left" vertical="center" wrapText="1"/>
    </xf>
    <xf numFmtId="1" fontId="30" fillId="0" borderId="64" xfId="0" applyNumberFormat="1" applyFont="1" applyBorder="1" applyAlignment="1">
      <alignment horizontal="left" vertical="center" wrapText="1"/>
    </xf>
    <xf numFmtId="1" fontId="29" fillId="0" borderId="14" xfId="0" applyNumberFormat="1" applyFont="1" applyBorder="1" applyAlignment="1">
      <alignment horizontal="left" vertical="center" wrapText="1"/>
    </xf>
    <xf numFmtId="0" fontId="34" fillId="0" borderId="7" xfId="0" applyFont="1" applyBorder="1"/>
    <xf numFmtId="0" fontId="29" fillId="0" borderId="13" xfId="0" applyFont="1" applyFill="1" applyBorder="1" applyAlignment="1">
      <alignment horizontal="center" vertical="center" wrapText="1"/>
    </xf>
    <xf numFmtId="167" fontId="30" fillId="0" borderId="7" xfId="0" applyNumberFormat="1" applyFont="1" applyFill="1" applyBorder="1" applyAlignment="1">
      <alignment vertical="center" wrapText="1"/>
    </xf>
    <xf numFmtId="0" fontId="31" fillId="0" borderId="15" xfId="0" applyFont="1" applyBorder="1" applyAlignment="1">
      <alignment vertical="center" wrapText="1"/>
    </xf>
    <xf numFmtId="0" fontId="34" fillId="0" borderId="15" xfId="0" applyFont="1" applyBorder="1"/>
    <xf numFmtId="0" fontId="30" fillId="7" borderId="15" xfId="0" applyFont="1" applyFill="1" applyBorder="1" applyAlignment="1">
      <alignment horizontal="center" vertical="center" wrapText="1"/>
    </xf>
    <xf numFmtId="9" fontId="27" fillId="0" borderId="15" xfId="0" applyNumberFormat="1" applyFont="1" applyFill="1" applyBorder="1" applyAlignment="1">
      <alignment horizontal="center" vertical="center" wrapText="1"/>
    </xf>
    <xf numFmtId="9" fontId="30" fillId="0" borderId="15" xfId="0" applyNumberFormat="1" applyFont="1" applyFill="1" applyBorder="1" applyAlignment="1">
      <alignment horizontal="center" vertical="center" wrapText="1"/>
    </xf>
    <xf numFmtId="9" fontId="30" fillId="0" borderId="15" xfId="1" applyFont="1" applyFill="1" applyBorder="1" applyAlignment="1">
      <alignment horizontal="center" vertical="center" wrapText="1"/>
    </xf>
    <xf numFmtId="0" fontId="30" fillId="0" borderId="15" xfId="0" applyFont="1" applyFill="1" applyBorder="1" applyAlignment="1">
      <alignment vertical="center" wrapText="1"/>
    </xf>
    <xf numFmtId="0" fontId="30" fillId="0" borderId="15" xfId="0" applyFont="1" applyBorder="1" applyAlignment="1">
      <alignment horizontal="center" vertical="center" wrapText="1"/>
    </xf>
    <xf numFmtId="167" fontId="30" fillId="0" borderId="15" xfId="0" applyNumberFormat="1" applyFont="1" applyFill="1" applyBorder="1" applyAlignment="1">
      <alignment vertical="center" wrapText="1"/>
    </xf>
    <xf numFmtId="166" fontId="30" fillId="0" borderId="15" xfId="0" applyNumberFormat="1" applyFont="1" applyBorder="1" applyAlignment="1">
      <alignment vertical="center" wrapText="1"/>
    </xf>
    <xf numFmtId="1" fontId="30" fillId="0" borderId="15" xfId="0" applyNumberFormat="1" applyFont="1" applyBorder="1" applyAlignment="1">
      <alignment horizontal="center" vertical="center" wrapText="1"/>
    </xf>
    <xf numFmtId="1" fontId="30" fillId="0" borderId="20" xfId="0" applyNumberFormat="1" applyFont="1" applyBorder="1" applyAlignment="1">
      <alignment horizontal="center" vertical="center" wrapText="1"/>
    </xf>
    <xf numFmtId="1" fontId="29" fillId="0" borderId="67" xfId="0" applyNumberFormat="1" applyFont="1" applyBorder="1" applyAlignment="1">
      <alignment horizontal="center" vertical="center" wrapText="1"/>
    </xf>
    <xf numFmtId="0" fontId="29" fillId="0" borderId="28" xfId="0" applyFont="1" applyBorder="1" applyAlignment="1">
      <alignment horizontal="center" vertical="center" wrapText="1"/>
    </xf>
    <xf numFmtId="0" fontId="34" fillId="0" borderId="13" xfId="0" applyFont="1" applyBorder="1"/>
    <xf numFmtId="166" fontId="28" fillId="0" borderId="13" xfId="0" applyNumberFormat="1" applyFont="1" applyFill="1" applyBorder="1" applyAlignment="1">
      <alignment horizontal="center" vertical="center" wrapText="1"/>
    </xf>
    <xf numFmtId="166" fontId="27" fillId="0" borderId="13" xfId="0" applyNumberFormat="1" applyFont="1" applyFill="1" applyBorder="1" applyAlignment="1">
      <alignment horizontal="center" vertical="center" wrapText="1"/>
    </xf>
    <xf numFmtId="9" fontId="30" fillId="0" borderId="13" xfId="0" applyNumberFormat="1" applyFont="1" applyFill="1" applyBorder="1" applyAlignment="1">
      <alignment horizontal="center" vertical="center" wrapText="1"/>
    </xf>
    <xf numFmtId="9" fontId="30" fillId="0" borderId="13" xfId="1" applyFont="1" applyFill="1" applyBorder="1" applyAlignment="1">
      <alignment horizontal="center" vertical="center" wrapText="1"/>
    </xf>
    <xf numFmtId="0" fontId="30" fillId="0" borderId="13" xfId="0" applyFont="1" applyFill="1" applyBorder="1" applyAlignment="1">
      <alignment vertical="center" wrapText="1"/>
    </xf>
    <xf numFmtId="167" fontId="30" fillId="0" borderId="13" xfId="0" applyNumberFormat="1" applyFont="1" applyFill="1" applyBorder="1" applyAlignment="1">
      <alignment vertical="center" wrapText="1"/>
    </xf>
    <xf numFmtId="166" fontId="30" fillId="0" borderId="13" xfId="0" applyNumberFormat="1" applyFont="1" applyBorder="1" applyAlignment="1">
      <alignment vertical="center" wrapText="1"/>
    </xf>
    <xf numFmtId="1" fontId="30" fillId="0" borderId="13" xfId="0" applyNumberFormat="1" applyFont="1" applyBorder="1" applyAlignment="1">
      <alignment horizontal="center" vertical="center" wrapText="1"/>
    </xf>
    <xf numFmtId="1" fontId="30" fillId="0" borderId="64" xfId="0" applyNumberFormat="1" applyFont="1" applyBorder="1" applyAlignment="1">
      <alignment horizontal="center" vertical="center" wrapText="1"/>
    </xf>
    <xf numFmtId="1" fontId="29" fillId="0" borderId="14" xfId="0" applyNumberFormat="1" applyFont="1" applyBorder="1" applyAlignment="1">
      <alignment horizontal="center" vertical="center" wrapText="1"/>
    </xf>
    <xf numFmtId="0" fontId="29" fillId="0" borderId="34" xfId="0" applyFont="1" applyBorder="1" applyAlignment="1">
      <alignment horizontal="center" vertical="center"/>
    </xf>
    <xf numFmtId="0" fontId="34" fillId="0" borderId="52" xfId="0" applyFont="1" applyBorder="1"/>
    <xf numFmtId="0" fontId="34" fillId="0" borderId="56" xfId="0" applyFont="1" applyBorder="1"/>
    <xf numFmtId="0" fontId="31" fillId="0" borderId="52" xfId="0" applyFont="1" applyBorder="1" applyAlignment="1">
      <alignment horizontal="center" vertical="center" wrapText="1"/>
    </xf>
    <xf numFmtId="167" fontId="30" fillId="0" borderId="10" xfId="0" applyNumberFormat="1" applyFont="1" applyFill="1" applyBorder="1" applyAlignment="1">
      <alignment vertical="center" wrapText="1"/>
    </xf>
    <xf numFmtId="0" fontId="29" fillId="0" borderId="0" xfId="0" applyFont="1" applyBorder="1" applyAlignment="1">
      <alignment horizontal="center" vertical="center"/>
    </xf>
    <xf numFmtId="0" fontId="30" fillId="8" borderId="7" xfId="0" applyFont="1" applyFill="1" applyBorder="1" applyAlignment="1">
      <alignment vertical="center" wrapText="1"/>
    </xf>
    <xf numFmtId="0" fontId="34" fillId="0" borderId="16" xfId="0" applyFont="1" applyBorder="1"/>
    <xf numFmtId="0" fontId="31" fillId="0" borderId="7" xfId="0" applyFont="1" applyBorder="1" applyAlignment="1">
      <alignment horizontal="center" vertical="center" wrapText="1"/>
    </xf>
    <xf numFmtId="0" fontId="31" fillId="8" borderId="7" xfId="0" applyFont="1" applyFill="1" applyBorder="1" applyAlignment="1">
      <alignment vertical="center" wrapText="1"/>
    </xf>
    <xf numFmtId="0" fontId="34" fillId="0" borderId="20" xfId="0" applyFont="1" applyBorder="1"/>
    <xf numFmtId="9" fontId="31" fillId="0" borderId="7" xfId="0" applyNumberFormat="1" applyFont="1" applyBorder="1" applyAlignment="1">
      <alignment horizontal="center" vertical="center" wrapText="1"/>
    </xf>
    <xf numFmtId="0" fontId="29" fillId="0" borderId="28" xfId="0" applyFont="1" applyBorder="1" applyAlignment="1">
      <alignment horizontal="center" vertical="center"/>
    </xf>
    <xf numFmtId="0" fontId="34" fillId="0" borderId="64" xfId="0" applyFont="1" applyBorder="1"/>
    <xf numFmtId="0" fontId="34" fillId="0" borderId="10" xfId="0" applyFont="1" applyBorder="1"/>
    <xf numFmtId="0" fontId="31" fillId="0" borderId="10" xfId="0" applyFont="1" applyBorder="1" applyAlignment="1">
      <alignment horizontal="center" vertical="center" wrapText="1"/>
    </xf>
    <xf numFmtId="0" fontId="30" fillId="0" borderId="10" xfId="0" applyFont="1" applyFill="1" applyBorder="1" applyAlignment="1">
      <alignment horizontal="center" vertical="center" wrapText="1"/>
    </xf>
    <xf numFmtId="168" fontId="29" fillId="0" borderId="11" xfId="0" applyNumberFormat="1" applyFont="1" applyBorder="1" applyAlignment="1">
      <alignment horizontal="center" vertical="center" wrapText="1"/>
    </xf>
    <xf numFmtId="0" fontId="29" fillId="0" borderId="44" xfId="0" applyFont="1" applyBorder="1" applyAlignment="1">
      <alignment horizontal="center" vertical="center" wrapText="1"/>
    </xf>
    <xf numFmtId="0" fontId="31" fillId="0" borderId="48" xfId="0" applyFont="1" applyBorder="1" applyAlignment="1">
      <alignment vertical="center" wrapText="1"/>
    </xf>
    <xf numFmtId="0" fontId="35" fillId="0" borderId="13" xfId="0" applyFont="1" applyBorder="1" applyAlignment="1">
      <alignment vertical="center" wrapText="1"/>
    </xf>
    <xf numFmtId="10" fontId="34" fillId="0" borderId="8" xfId="1" applyNumberFormat="1" applyFont="1" applyBorder="1" applyAlignment="1">
      <alignment horizontal="center" vertical="center" wrapText="1"/>
    </xf>
    <xf numFmtId="0" fontId="29" fillId="0" borderId="50" xfId="0" applyFont="1" applyBorder="1" applyAlignment="1">
      <alignment horizontal="center" vertical="center" wrapText="1"/>
    </xf>
    <xf numFmtId="0" fontId="31" fillId="0" borderId="66" xfId="0" applyFont="1" applyBorder="1" applyAlignment="1">
      <alignment vertical="center" wrapText="1"/>
    </xf>
    <xf numFmtId="0" fontId="35" fillId="0" borderId="7" xfId="0" applyFont="1" applyFill="1" applyBorder="1" applyAlignment="1">
      <alignment vertical="center" wrapText="1"/>
    </xf>
    <xf numFmtId="10" fontId="34" fillId="0" borderId="36" xfId="1" applyNumberFormat="1" applyFont="1" applyFill="1" applyBorder="1" applyAlignment="1">
      <alignment horizontal="center" vertical="center" wrapText="1"/>
    </xf>
    <xf numFmtId="0" fontId="32" fillId="0" borderId="10" xfId="0" applyFont="1" applyBorder="1"/>
    <xf numFmtId="9" fontId="30" fillId="0" borderId="10" xfId="0" applyNumberFormat="1" applyFont="1" applyBorder="1" applyAlignment="1">
      <alignment horizontal="center" vertical="center" wrapText="1"/>
    </xf>
    <xf numFmtId="0" fontId="32" fillId="0" borderId="7" xfId="0" applyFont="1" applyBorder="1"/>
    <xf numFmtId="9" fontId="30" fillId="0" borderId="7" xfId="0" applyNumberFormat="1" applyFont="1" applyBorder="1" applyAlignment="1">
      <alignment horizontal="center" vertical="center" wrapText="1"/>
    </xf>
    <xf numFmtId="166" fontId="29" fillId="0" borderId="26" xfId="1" applyNumberFormat="1" applyFont="1" applyBorder="1" applyAlignment="1">
      <alignment horizontal="center" vertical="center" wrapText="1"/>
    </xf>
    <xf numFmtId="0" fontId="30" fillId="8" borderId="13" xfId="0" applyFont="1" applyFill="1" applyBorder="1" applyAlignment="1">
      <alignment vertical="center" wrapText="1"/>
    </xf>
    <xf numFmtId="0" fontId="30" fillId="0" borderId="13" xfId="0" applyFont="1" applyBorder="1" applyAlignment="1">
      <alignment vertical="center" wrapText="1"/>
    </xf>
    <xf numFmtId="0" fontId="32" fillId="0" borderId="13" xfId="0" applyFont="1" applyBorder="1"/>
    <xf numFmtId="166" fontId="31" fillId="0" borderId="13" xfId="0" applyNumberFormat="1" applyFont="1" applyBorder="1" applyAlignment="1">
      <alignment horizontal="center" vertical="center" wrapText="1"/>
    </xf>
    <xf numFmtId="9" fontId="29" fillId="0" borderId="14" xfId="1" applyFont="1" applyBorder="1" applyAlignment="1">
      <alignment horizontal="center" vertical="center" wrapText="1"/>
    </xf>
    <xf numFmtId="0" fontId="29" fillId="0" borderId="10" xfId="0" applyFont="1" applyBorder="1" applyAlignment="1">
      <alignment horizontal="center" vertical="center" wrapText="1"/>
    </xf>
    <xf numFmtId="0" fontId="31" fillId="0" borderId="56" xfId="0" applyFont="1" applyBorder="1" applyAlignment="1">
      <alignment vertical="center" wrapText="1"/>
    </xf>
    <xf numFmtId="10" fontId="31" fillId="0" borderId="52" xfId="0" applyNumberFormat="1" applyFont="1" applyBorder="1" applyAlignment="1">
      <alignment horizontal="center" vertical="center" wrapText="1"/>
    </xf>
    <xf numFmtId="9" fontId="29" fillId="0" borderId="11" xfId="1" applyFont="1" applyBorder="1" applyAlignment="1">
      <alignment horizontal="center" vertical="center" wrapText="1"/>
    </xf>
    <xf numFmtId="0" fontId="29" fillId="0" borderId="7" xfId="0" applyFont="1" applyBorder="1" applyAlignment="1">
      <alignment horizontal="center" vertical="center" wrapText="1"/>
    </xf>
    <xf numFmtId="0" fontId="31" fillId="0" borderId="18" xfId="0" applyFont="1" applyBorder="1" applyAlignment="1">
      <alignment horizontal="center" vertical="center" wrapText="1"/>
    </xf>
    <xf numFmtId="0" fontId="29" fillId="0" borderId="15" xfId="0" applyFont="1" applyBorder="1" applyAlignment="1">
      <alignment horizontal="center" vertical="center" wrapText="1"/>
    </xf>
    <xf numFmtId="9" fontId="31" fillId="0" borderId="21" xfId="0" applyNumberFormat="1" applyFont="1" applyBorder="1" applyAlignment="1">
      <alignment horizontal="center" vertical="center" wrapText="1"/>
    </xf>
    <xf numFmtId="0" fontId="30" fillId="0" borderId="21" xfId="0" applyFont="1" applyFill="1" applyBorder="1" applyAlignment="1">
      <alignment horizontal="center" vertical="center" wrapText="1"/>
    </xf>
    <xf numFmtId="9" fontId="29" fillId="0" borderId="67" xfId="1" applyFont="1" applyBorder="1" applyAlignment="1">
      <alignment horizontal="center" vertical="center" wrapText="1"/>
    </xf>
    <xf numFmtId="10" fontId="29" fillId="0" borderId="72" xfId="1" applyNumberFormat="1" applyFont="1" applyBorder="1" applyAlignment="1">
      <alignment horizontal="center" vertical="center" wrapText="1"/>
    </xf>
    <xf numFmtId="0" fontId="29" fillId="0" borderId="47" xfId="0" applyFont="1" applyBorder="1" applyAlignment="1">
      <alignment horizontal="center" vertical="center" wrapText="1"/>
    </xf>
    <xf numFmtId="0" fontId="31" fillId="0" borderId="47" xfId="0" applyFont="1" applyBorder="1" applyAlignment="1">
      <alignment vertical="center" wrapText="1"/>
    </xf>
    <xf numFmtId="0" fontId="34" fillId="0" borderId="47" xfId="0" applyFont="1" applyBorder="1"/>
    <xf numFmtId="0" fontId="31" fillId="0" borderId="19" xfId="0" applyFont="1" applyBorder="1" applyAlignment="1">
      <alignment vertical="center" wrapText="1"/>
    </xf>
    <xf numFmtId="10" fontId="31" fillId="0" borderId="25" xfId="0" applyNumberFormat="1" applyFont="1" applyBorder="1" applyAlignment="1">
      <alignment horizontal="center" vertical="center" wrapText="1"/>
    </xf>
    <xf numFmtId="0" fontId="30" fillId="0" borderId="25" xfId="0" applyFont="1" applyFill="1" applyBorder="1" applyAlignment="1">
      <alignment horizontal="center" vertical="center" wrapText="1"/>
    </xf>
    <xf numFmtId="0" fontId="30" fillId="7" borderId="47" xfId="0" applyFont="1" applyFill="1" applyBorder="1" applyAlignment="1">
      <alignment horizontal="center" vertical="center" wrapText="1"/>
    </xf>
    <xf numFmtId="9" fontId="30" fillId="0" borderId="47" xfId="0" applyNumberFormat="1" applyFont="1" applyFill="1" applyBorder="1" applyAlignment="1">
      <alignment horizontal="center" vertical="center" wrapText="1"/>
    </xf>
    <xf numFmtId="9" fontId="30" fillId="0" borderId="47" xfId="1" applyFont="1" applyFill="1" applyBorder="1" applyAlignment="1">
      <alignment horizontal="center" vertical="center" wrapText="1"/>
    </xf>
    <xf numFmtId="0" fontId="30" fillId="0" borderId="47" xfId="0" applyFont="1" applyFill="1" applyBorder="1" applyAlignment="1">
      <alignment vertical="center" wrapText="1"/>
    </xf>
    <xf numFmtId="0" fontId="30" fillId="0" borderId="47" xfId="0" applyFont="1" applyBorder="1" applyAlignment="1">
      <alignment horizontal="center" vertical="center" wrapText="1"/>
    </xf>
    <xf numFmtId="167" fontId="30" fillId="0" borderId="47" xfId="0" applyNumberFormat="1" applyFont="1" applyFill="1" applyBorder="1" applyAlignment="1">
      <alignment vertical="center" wrapText="1"/>
    </xf>
    <xf numFmtId="166" fontId="30" fillId="0" borderId="47" xfId="0" applyNumberFormat="1" applyFont="1" applyBorder="1" applyAlignment="1">
      <alignment vertical="center" wrapText="1"/>
    </xf>
    <xf numFmtId="1" fontId="30" fillId="0" borderId="47" xfId="0" applyNumberFormat="1" applyFont="1" applyBorder="1" applyAlignment="1">
      <alignment horizontal="center" vertical="center" wrapText="1"/>
    </xf>
    <xf numFmtId="1" fontId="30" fillId="0" borderId="19" xfId="0" applyNumberFormat="1" applyFont="1" applyBorder="1" applyAlignment="1">
      <alignment horizontal="center" vertical="center" wrapText="1"/>
    </xf>
    <xf numFmtId="9" fontId="29" fillId="0" borderId="72" xfId="1" applyNumberFormat="1" applyFont="1" applyBorder="1" applyAlignment="1">
      <alignment horizontal="center" vertical="center" wrapText="1"/>
    </xf>
    <xf numFmtId="0" fontId="29" fillId="0" borderId="13" xfId="0" applyFont="1" applyBorder="1" applyAlignment="1">
      <alignment horizontal="center" vertical="center" wrapText="1"/>
    </xf>
    <xf numFmtId="0" fontId="31" fillId="0" borderId="64" xfId="0" applyFont="1" applyBorder="1" applyAlignment="1">
      <alignment vertical="center" wrapText="1"/>
    </xf>
    <xf numFmtId="0" fontId="31" fillId="0" borderId="54" xfId="0" applyFont="1" applyBorder="1" applyAlignment="1">
      <alignment horizontal="center" vertical="center" wrapText="1"/>
    </xf>
    <xf numFmtId="0" fontId="30" fillId="0" borderId="54" xfId="0" applyFont="1" applyFill="1" applyBorder="1" applyAlignment="1">
      <alignment horizontal="center" vertical="center" wrapText="1"/>
    </xf>
    <xf numFmtId="0" fontId="30" fillId="0" borderId="49" xfId="0" applyFont="1" applyBorder="1" applyAlignment="1">
      <alignment horizontal="center" vertical="center" wrapText="1"/>
    </xf>
    <xf numFmtId="9" fontId="30" fillId="0" borderId="52" xfId="0" applyNumberFormat="1" applyFont="1" applyBorder="1" applyAlignment="1">
      <alignment horizontal="center" vertical="center" wrapText="1"/>
    </xf>
    <xf numFmtId="0" fontId="30" fillId="0" borderId="50" xfId="0" applyFont="1" applyBorder="1" applyAlignment="1">
      <alignment horizontal="center" vertical="center" wrapText="1"/>
    </xf>
    <xf numFmtId="0" fontId="30" fillId="0" borderId="54" xfId="0" applyFont="1" applyBorder="1" applyAlignment="1">
      <alignment horizontal="center" vertical="center" wrapText="1"/>
    </xf>
    <xf numFmtId="1" fontId="30" fillId="0" borderId="14" xfId="0" applyNumberFormat="1" applyFont="1" applyBorder="1" applyAlignment="1">
      <alignment horizontal="center" vertical="center" wrapText="1"/>
    </xf>
    <xf numFmtId="0" fontId="30" fillId="0" borderId="56" xfId="0" applyFont="1" applyBorder="1" applyAlignment="1">
      <alignment vertical="center" wrapText="1"/>
    </xf>
    <xf numFmtId="0" fontId="34" fillId="0" borderId="54" xfId="0" applyFont="1" applyBorder="1"/>
    <xf numFmtId="0" fontId="29" fillId="0" borderId="49" xfId="0" applyFont="1" applyBorder="1" applyAlignment="1">
      <alignment horizontal="center" vertical="center" wrapText="1"/>
    </xf>
    <xf numFmtId="0" fontId="30" fillId="8" borderId="10" xfId="0" applyFont="1" applyFill="1" applyBorder="1" applyAlignment="1">
      <alignment vertical="center" wrapText="1"/>
    </xf>
    <xf numFmtId="0" fontId="32" fillId="8" borderId="52" xfId="0" applyFont="1" applyFill="1" applyBorder="1" applyAlignment="1">
      <alignment horizontal="left"/>
    </xf>
    <xf numFmtId="0" fontId="32" fillId="8" borderId="10" xfId="0" applyFont="1" applyFill="1" applyBorder="1" applyAlignment="1">
      <alignment horizontal="left"/>
    </xf>
    <xf numFmtId="0" fontId="32" fillId="8" borderId="10" xfId="0" applyFont="1" applyFill="1" applyBorder="1" applyAlignment="1">
      <alignment vertical="center" wrapText="1"/>
    </xf>
    <xf numFmtId="0" fontId="27" fillId="0" borderId="10" xfId="1" applyNumberFormat="1" applyFont="1" applyFill="1" applyBorder="1" applyAlignment="1">
      <alignment horizontal="center" vertical="center" wrapText="1"/>
    </xf>
    <xf numFmtId="0" fontId="29" fillId="0" borderId="17" xfId="0" applyFont="1" applyBorder="1" applyAlignment="1">
      <alignment horizontal="center" vertical="center" wrapText="1"/>
    </xf>
    <xf numFmtId="0" fontId="32" fillId="8" borderId="18" xfId="0" applyFont="1" applyFill="1" applyBorder="1"/>
    <xf numFmtId="0" fontId="32" fillId="8" borderId="7" xfId="0" applyFont="1" applyFill="1" applyBorder="1"/>
    <xf numFmtId="0" fontId="32" fillId="8" borderId="7" xfId="0" applyFont="1" applyFill="1" applyBorder="1" applyAlignment="1">
      <alignment vertical="center" wrapText="1"/>
    </xf>
    <xf numFmtId="0" fontId="30" fillId="8" borderId="15" xfId="0" applyFont="1" applyFill="1" applyBorder="1" applyAlignment="1">
      <alignment vertical="center" wrapText="1"/>
    </xf>
    <xf numFmtId="0" fontId="32" fillId="0" borderId="15" xfId="0" applyFont="1" applyBorder="1"/>
    <xf numFmtId="0" fontId="28" fillId="0" borderId="59" xfId="0" applyFont="1" applyBorder="1" applyAlignment="1">
      <alignment horizontal="left" vertical="center" wrapText="1"/>
    </xf>
    <xf numFmtId="0" fontId="29" fillId="0" borderId="2" xfId="0" applyFont="1" applyBorder="1" applyAlignment="1">
      <alignment horizontal="center" vertical="center" wrapText="1"/>
    </xf>
    <xf numFmtId="0" fontId="31" fillId="0" borderId="61" xfId="0" applyFont="1" applyBorder="1" applyAlignment="1">
      <alignment vertical="center" wrapText="1"/>
    </xf>
    <xf numFmtId="0" fontId="34" fillId="0" borderId="61" xfId="0" applyFont="1" applyBorder="1"/>
    <xf numFmtId="9" fontId="27" fillId="0" borderId="61" xfId="0" applyNumberFormat="1" applyFont="1" applyFill="1" applyBorder="1" applyAlignment="1">
      <alignment horizontal="center" vertical="center" wrapText="1"/>
    </xf>
    <xf numFmtId="9" fontId="30" fillId="0" borderId="61" xfId="0" applyNumberFormat="1" applyFont="1" applyFill="1" applyBorder="1" applyAlignment="1">
      <alignment horizontal="center" vertical="center" wrapText="1"/>
    </xf>
    <xf numFmtId="9" fontId="30" fillId="0" borderId="61" xfId="1" applyFont="1" applyFill="1" applyBorder="1" applyAlignment="1">
      <alignment horizontal="center" vertical="center" wrapText="1"/>
    </xf>
    <xf numFmtId="0" fontId="30" fillId="0" borderId="61" xfId="0" applyFont="1" applyFill="1" applyBorder="1" applyAlignment="1">
      <alignment vertical="center" wrapText="1"/>
    </xf>
    <xf numFmtId="0" fontId="30" fillId="0" borderId="61" xfId="0" applyFont="1" applyBorder="1" applyAlignment="1">
      <alignment horizontal="center" vertical="center" wrapText="1"/>
    </xf>
    <xf numFmtId="167" fontId="30" fillId="0" borderId="61" xfId="0" applyNumberFormat="1" applyFont="1" applyFill="1" applyBorder="1" applyAlignment="1">
      <alignment vertical="center" wrapText="1"/>
    </xf>
    <xf numFmtId="166" fontId="30" fillId="0" borderId="61" xfId="0" applyNumberFormat="1" applyFont="1" applyBorder="1" applyAlignment="1">
      <alignment vertical="center" wrapText="1"/>
    </xf>
    <xf numFmtId="1" fontId="30" fillId="0" borderId="61" xfId="0" applyNumberFormat="1" applyFont="1" applyBorder="1" applyAlignment="1">
      <alignment horizontal="center" vertical="center" wrapText="1"/>
    </xf>
    <xf numFmtId="1" fontId="30" fillId="0" borderId="62" xfId="0" applyNumberFormat="1" applyFont="1" applyBorder="1" applyAlignment="1">
      <alignment horizontal="center" vertical="center" wrapText="1"/>
    </xf>
    <xf numFmtId="1" fontId="29" fillId="0" borderId="68" xfId="0" applyNumberFormat="1" applyFont="1" applyBorder="1" applyAlignment="1">
      <alignment horizontal="center" vertical="center" wrapText="1"/>
    </xf>
    <xf numFmtId="170" fontId="29" fillId="0" borderId="26" xfId="0" applyNumberFormat="1" applyFont="1" applyBorder="1" applyAlignment="1">
      <alignment horizontal="center" vertical="center" wrapText="1"/>
    </xf>
    <xf numFmtId="0" fontId="29" fillId="0" borderId="6" xfId="0" applyFont="1" applyBorder="1" applyAlignment="1">
      <alignment horizontal="center" vertical="center" wrapText="1"/>
    </xf>
    <xf numFmtId="0" fontId="29" fillId="0" borderId="48" xfId="0" applyFont="1" applyFill="1" applyBorder="1" applyAlignment="1">
      <alignment horizontal="left" vertical="center" wrapText="1"/>
    </xf>
    <xf numFmtId="0" fontId="29" fillId="0" borderId="48" xfId="0" applyFont="1" applyBorder="1" applyAlignment="1">
      <alignment vertical="center" wrapText="1"/>
    </xf>
    <xf numFmtId="0" fontId="34" fillId="0" borderId="48" xfId="0" applyFont="1" applyBorder="1"/>
    <xf numFmtId="9" fontId="27" fillId="0" borderId="47" xfId="0" applyNumberFormat="1" applyFont="1" applyFill="1" applyBorder="1" applyAlignment="1">
      <alignment horizontal="center" vertical="center" wrapText="1"/>
    </xf>
    <xf numFmtId="9" fontId="30" fillId="0" borderId="48" xfId="0" applyNumberFormat="1" applyFont="1" applyFill="1" applyBorder="1" applyAlignment="1">
      <alignment horizontal="center" vertical="center" wrapText="1"/>
    </xf>
    <xf numFmtId="9" fontId="30" fillId="0" borderId="48" xfId="1" applyFont="1" applyFill="1" applyBorder="1" applyAlignment="1">
      <alignment horizontal="center" vertical="center" wrapText="1"/>
    </xf>
    <xf numFmtId="0" fontId="30" fillId="0" borderId="48" xfId="0" applyFont="1" applyFill="1" applyBorder="1" applyAlignment="1">
      <alignment vertical="center" wrapText="1"/>
    </xf>
    <xf numFmtId="0" fontId="30" fillId="0" borderId="48" xfId="0" applyFont="1" applyBorder="1" applyAlignment="1">
      <alignment horizontal="center" vertical="center" wrapText="1"/>
    </xf>
    <xf numFmtId="167" fontId="30" fillId="0" borderId="48" xfId="0" applyNumberFormat="1" applyFont="1" applyFill="1" applyBorder="1" applyAlignment="1">
      <alignment vertical="center" wrapText="1"/>
    </xf>
    <xf numFmtId="166" fontId="30" fillId="0" borderId="48" xfId="0" applyNumberFormat="1" applyFont="1" applyBorder="1" applyAlignment="1">
      <alignment vertical="center" wrapText="1"/>
    </xf>
    <xf numFmtId="1" fontId="30" fillId="0" borderId="48" xfId="0" applyNumberFormat="1" applyFont="1" applyBorder="1" applyAlignment="1">
      <alignment horizontal="center" vertical="center" wrapText="1"/>
    </xf>
    <xf numFmtId="1" fontId="30" fillId="0" borderId="4" xfId="0" applyNumberFormat="1" applyFont="1" applyBorder="1" applyAlignment="1">
      <alignment horizontal="center" vertical="center" wrapText="1"/>
    </xf>
    <xf numFmtId="9" fontId="29" fillId="0" borderId="69" xfId="1" applyFont="1" applyBorder="1" applyAlignment="1">
      <alignment horizontal="center" vertical="center" wrapText="1"/>
    </xf>
    <xf numFmtId="0" fontId="29" fillId="0" borderId="54" xfId="0" applyFont="1" applyBorder="1" applyAlignment="1">
      <alignment horizontal="center" vertical="center" wrapText="1"/>
    </xf>
    <xf numFmtId="0" fontId="29" fillId="0" borderId="13" xfId="0" applyFont="1" applyBorder="1" applyAlignment="1">
      <alignment vertical="center" wrapText="1"/>
    </xf>
    <xf numFmtId="9" fontId="30" fillId="0" borderId="54" xfId="0" applyNumberFormat="1" applyFont="1" applyFill="1" applyBorder="1" applyAlignment="1">
      <alignment horizontal="center" vertical="center" wrapText="1"/>
    </xf>
    <xf numFmtId="166" fontId="3" fillId="5" borderId="3" xfId="0" applyNumberFormat="1" applyFont="1" applyFill="1" applyBorder="1" applyAlignment="1">
      <alignment horizontal="center" vertical="center" wrapText="1"/>
    </xf>
    <xf numFmtId="1" fontId="29" fillId="0" borderId="41" xfId="0" applyNumberFormat="1" applyFont="1" applyBorder="1" applyAlignment="1">
      <alignment horizontal="center" vertical="center" wrapText="1"/>
    </xf>
    <xf numFmtId="1" fontId="29" fillId="0" borderId="37" xfId="0" applyNumberFormat="1" applyFont="1" applyBorder="1" applyAlignment="1">
      <alignment horizontal="center" vertical="center" wrapText="1"/>
    </xf>
    <xf numFmtId="1" fontId="29" fillId="0" borderId="37" xfId="0" applyNumberFormat="1" applyFont="1" applyBorder="1" applyAlignment="1">
      <alignment horizontal="left" vertical="center" wrapText="1"/>
    </xf>
    <xf numFmtId="1" fontId="29" fillId="0" borderId="43" xfId="0" applyNumberFormat="1" applyFont="1" applyBorder="1" applyAlignment="1">
      <alignment horizontal="left" vertical="center" wrapText="1"/>
    </xf>
    <xf numFmtId="1" fontId="29" fillId="0" borderId="77" xfId="0" applyNumberFormat="1" applyFont="1" applyBorder="1" applyAlignment="1">
      <alignment horizontal="center" vertical="center" wrapText="1"/>
    </xf>
    <xf numFmtId="1" fontId="29" fillId="0" borderId="43" xfId="0" applyNumberFormat="1" applyFont="1" applyBorder="1" applyAlignment="1">
      <alignment horizontal="center" vertical="center" wrapText="1"/>
    </xf>
    <xf numFmtId="1" fontId="29" fillId="0" borderId="41" xfId="0" applyNumberFormat="1" applyFont="1" applyBorder="1" applyAlignment="1">
      <alignment horizontal="left" vertical="center" wrapText="1"/>
    </xf>
    <xf numFmtId="1" fontId="29" fillId="0" borderId="77" xfId="0" applyNumberFormat="1" applyFont="1" applyBorder="1" applyAlignment="1">
      <alignment horizontal="left" vertical="center" wrapText="1"/>
    </xf>
    <xf numFmtId="1" fontId="29" fillId="0" borderId="75" xfId="0" applyNumberFormat="1" applyFont="1" applyBorder="1" applyAlignment="1">
      <alignment horizontal="left" vertical="center" wrapText="1"/>
    </xf>
    <xf numFmtId="1" fontId="30" fillId="0" borderId="41" xfId="0" applyNumberFormat="1" applyFont="1" applyBorder="1" applyAlignment="1">
      <alignment horizontal="left" vertical="center" wrapText="1"/>
    </xf>
    <xf numFmtId="1" fontId="30" fillId="0" borderId="43" xfId="0" applyNumberFormat="1" applyFont="1" applyBorder="1" applyAlignment="1">
      <alignment horizontal="center" vertical="center" wrapText="1"/>
    </xf>
    <xf numFmtId="1" fontId="29" fillId="0" borderId="3" xfId="0" applyNumberFormat="1" applyFont="1" applyBorder="1" applyAlignment="1">
      <alignment horizontal="center" vertical="center" wrapText="1"/>
    </xf>
    <xf numFmtId="1" fontId="29" fillId="0" borderId="78" xfId="0" applyNumberFormat="1" applyFont="1" applyBorder="1" applyAlignment="1">
      <alignment horizontal="left" vertical="center" wrapText="1"/>
    </xf>
    <xf numFmtId="9" fontId="27" fillId="0" borderId="63" xfId="0" applyNumberFormat="1" applyFont="1" applyFill="1" applyBorder="1" applyAlignment="1">
      <alignment horizontal="center" vertical="center" wrapText="1"/>
    </xf>
    <xf numFmtId="0" fontId="30" fillId="7" borderId="63"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61" xfId="0" applyFont="1" applyFill="1" applyBorder="1" applyAlignment="1">
      <alignment horizontal="center" vertical="center" wrapText="1"/>
    </xf>
    <xf numFmtId="0" fontId="30" fillId="0" borderId="47" xfId="0" applyFont="1" applyFill="1" applyBorder="1" applyAlignment="1">
      <alignment horizontal="center" vertical="center" wrapText="1"/>
    </xf>
    <xf numFmtId="0" fontId="30" fillId="0" borderId="64" xfId="0" applyFont="1" applyFill="1" applyBorder="1" applyAlignment="1">
      <alignment horizontal="center" vertical="center" wrapText="1"/>
    </xf>
    <xf numFmtId="10" fontId="34" fillId="4" borderId="57" xfId="0" applyNumberFormat="1" applyFont="1" applyFill="1" applyBorder="1" applyAlignment="1">
      <alignment horizontal="center" vertical="center"/>
    </xf>
    <xf numFmtId="10" fontId="34" fillId="3" borderId="7" xfId="0" applyNumberFormat="1" applyFont="1" applyFill="1" applyBorder="1" applyAlignment="1">
      <alignment horizontal="center" vertical="center"/>
    </xf>
    <xf numFmtId="10" fontId="34" fillId="2" borderId="26" xfId="0" applyNumberFormat="1" applyFont="1" applyFill="1" applyBorder="1" applyAlignment="1">
      <alignment horizontal="center" vertical="center"/>
    </xf>
    <xf numFmtId="0" fontId="32" fillId="0" borderId="10" xfId="0" applyFont="1" applyBorder="1" applyAlignment="1">
      <alignment vertical="center" wrapText="1"/>
    </xf>
    <xf numFmtId="9" fontId="32" fillId="0" borderId="52" xfId="0" applyNumberFormat="1" applyFont="1" applyBorder="1" applyAlignment="1">
      <alignment horizontal="center" vertical="center" wrapText="1"/>
    </xf>
    <xf numFmtId="0" fontId="32" fillId="0" borderId="52" xfId="0" applyFont="1" applyFill="1" applyBorder="1" applyAlignment="1">
      <alignment horizontal="center" vertical="center" wrapText="1"/>
    </xf>
    <xf numFmtId="0" fontId="32" fillId="7" borderId="10" xfId="0" applyFont="1" applyFill="1" applyBorder="1" applyAlignment="1">
      <alignment horizontal="center" vertical="center" wrapText="1"/>
    </xf>
    <xf numFmtId="0" fontId="34" fillId="0" borderId="64" xfId="0" applyFont="1" applyFill="1" applyBorder="1" applyAlignment="1">
      <alignment vertical="center" wrapText="1"/>
    </xf>
    <xf numFmtId="9" fontId="35" fillId="0" borderId="54" xfId="0" applyNumberFormat="1" applyFont="1" applyBorder="1" applyAlignment="1">
      <alignment horizontal="center" vertical="center" wrapText="1"/>
    </xf>
    <xf numFmtId="0" fontId="32" fillId="0" borderId="54" xfId="0" applyFont="1" applyFill="1" applyBorder="1" applyAlignment="1">
      <alignment horizontal="center" vertical="center" wrapText="1"/>
    </xf>
    <xf numFmtId="0" fontId="32" fillId="7" borderId="13" xfId="0" applyFont="1" applyFill="1" applyBorder="1" applyAlignment="1">
      <alignment horizontal="center" vertical="center" wrapText="1"/>
    </xf>
    <xf numFmtId="0" fontId="32" fillId="8" borderId="52" xfId="0" applyFont="1" applyFill="1" applyBorder="1" applyAlignment="1">
      <alignment horizontal="center" vertical="center" wrapText="1"/>
    </xf>
    <xf numFmtId="0" fontId="32" fillId="8" borderId="18" xfId="0" applyFont="1" applyFill="1" applyBorder="1" applyAlignment="1">
      <alignment horizontal="center" vertical="center" wrapText="1"/>
    </xf>
    <xf numFmtId="0" fontId="32" fillId="7" borderId="7" xfId="0" applyFont="1" applyFill="1" applyBorder="1" applyAlignment="1">
      <alignment horizontal="center" vertical="center" wrapText="1"/>
    </xf>
    <xf numFmtId="0" fontId="32" fillId="0" borderId="18" xfId="0" applyFont="1" applyFill="1" applyBorder="1" applyAlignment="1">
      <alignment horizontal="center" vertical="center" wrapText="1"/>
    </xf>
    <xf numFmtId="9" fontId="32" fillId="8" borderId="18" xfId="0" applyNumberFormat="1" applyFont="1" applyFill="1" applyBorder="1" applyAlignment="1">
      <alignment horizontal="center" vertical="center" wrapText="1"/>
    </xf>
    <xf numFmtId="0" fontId="32" fillId="0" borderId="15" xfId="0" applyFont="1" applyBorder="1" applyAlignment="1">
      <alignment vertical="center" wrapText="1"/>
    </xf>
    <xf numFmtId="9" fontId="32" fillId="0" borderId="21" xfId="0" applyNumberFormat="1" applyFont="1" applyBorder="1" applyAlignment="1">
      <alignment horizontal="center" vertical="center" wrapText="1"/>
    </xf>
    <xf numFmtId="0" fontId="32" fillId="8" borderId="21" xfId="0" applyFont="1" applyFill="1" applyBorder="1" applyAlignment="1">
      <alignment horizontal="center" vertical="center" wrapText="1"/>
    </xf>
    <xf numFmtId="0" fontId="32" fillId="7" borderId="15" xfId="0" applyFont="1" applyFill="1" applyBorder="1" applyAlignment="1">
      <alignment horizontal="center" vertical="center" wrapText="1"/>
    </xf>
    <xf numFmtId="0" fontId="35" fillId="0" borderId="61" xfId="0" applyFont="1" applyBorder="1" applyAlignment="1">
      <alignment vertical="center" wrapText="1"/>
    </xf>
    <xf numFmtId="10" fontId="35" fillId="0" borderId="60" xfId="0" applyNumberFormat="1" applyFont="1" applyBorder="1" applyAlignment="1">
      <alignment horizontal="center" vertical="center" wrapText="1"/>
    </xf>
    <xf numFmtId="0" fontId="32" fillId="0" borderId="60" xfId="0" applyFont="1" applyFill="1" applyBorder="1" applyAlignment="1">
      <alignment horizontal="center" vertical="center" wrapText="1"/>
    </xf>
    <xf numFmtId="0" fontId="32" fillId="7" borderId="61" xfId="0" applyFont="1" applyFill="1" applyBorder="1" applyAlignment="1">
      <alignment horizontal="center" vertical="center" wrapText="1"/>
    </xf>
    <xf numFmtId="0" fontId="35" fillId="0" borderId="10" xfId="0" applyFont="1" applyBorder="1" applyAlignment="1">
      <alignment vertical="center" wrapText="1"/>
    </xf>
    <xf numFmtId="0" fontId="35" fillId="0" borderId="52" xfId="0" applyFont="1" applyBorder="1" applyAlignment="1">
      <alignment horizontal="center" vertical="center" wrapText="1"/>
    </xf>
    <xf numFmtId="0" fontId="35" fillId="0" borderId="7" xfId="0" applyFont="1" applyBorder="1" applyAlignment="1">
      <alignment vertical="center" wrapText="1"/>
    </xf>
    <xf numFmtId="0" fontId="35" fillId="0" borderId="18" xfId="0" applyFont="1" applyBorder="1" applyAlignment="1">
      <alignment horizontal="center" vertical="center" wrapText="1"/>
    </xf>
    <xf numFmtId="2" fontId="35" fillId="0" borderId="54" xfId="0" applyNumberFormat="1" applyFont="1" applyBorder="1" applyAlignment="1">
      <alignment horizontal="center" vertical="center" wrapText="1"/>
    </xf>
    <xf numFmtId="0" fontId="34" fillId="0" borderId="48" xfId="0" applyFont="1" applyFill="1" applyBorder="1" applyAlignment="1">
      <alignment vertical="center" wrapText="1"/>
    </xf>
    <xf numFmtId="9" fontId="34" fillId="0" borderId="48" xfId="0" applyNumberFormat="1" applyFont="1" applyFill="1" applyBorder="1" applyAlignment="1">
      <alignment horizontal="center" vertical="center" wrapText="1"/>
    </xf>
    <xf numFmtId="0" fontId="32" fillId="0" borderId="48" xfId="0" applyFont="1" applyFill="1" applyBorder="1" applyAlignment="1">
      <alignment horizontal="center" vertical="center" wrapText="1"/>
    </xf>
    <xf numFmtId="0" fontId="32" fillId="7" borderId="48" xfId="0" applyFont="1" applyFill="1" applyBorder="1" applyAlignment="1">
      <alignment horizontal="center" vertical="center" wrapText="1"/>
    </xf>
    <xf numFmtId="0" fontId="34" fillId="0" borderId="13" xfId="0" applyFont="1" applyFill="1" applyBorder="1" applyAlignment="1">
      <alignment vertical="center" wrapText="1"/>
    </xf>
    <xf numFmtId="9" fontId="34" fillId="0" borderId="54" xfId="0" applyNumberFormat="1" applyFont="1" applyFill="1" applyBorder="1" applyAlignment="1">
      <alignment horizontal="center" vertical="center" wrapText="1"/>
    </xf>
    <xf numFmtId="0" fontId="32" fillId="8" borderId="54" xfId="0" applyFont="1" applyFill="1" applyBorder="1" applyAlignment="1">
      <alignment horizontal="center" vertical="center" wrapText="1"/>
    </xf>
    <xf numFmtId="0" fontId="32" fillId="7" borderId="64" xfId="0" applyFont="1" applyFill="1" applyBorder="1" applyAlignment="1">
      <alignment horizontal="center" vertical="center" wrapText="1"/>
    </xf>
    <xf numFmtId="166" fontId="26" fillId="5" borderId="3" xfId="0" applyNumberFormat="1" applyFont="1" applyFill="1" applyBorder="1" applyAlignment="1">
      <alignment horizontal="center" vertical="center" wrapText="1"/>
    </xf>
    <xf numFmtId="9" fontId="29" fillId="0" borderId="37" xfId="1" applyFont="1" applyBorder="1" applyAlignment="1">
      <alignment horizontal="center" vertical="center" wrapText="1"/>
    </xf>
    <xf numFmtId="168" fontId="29" fillId="0" borderId="41" xfId="0" applyNumberFormat="1" applyFont="1" applyBorder="1" applyAlignment="1">
      <alignment horizontal="center" vertical="center" wrapText="1"/>
    </xf>
    <xf numFmtId="166" fontId="29" fillId="0" borderId="37" xfId="1" applyNumberFormat="1" applyFont="1" applyBorder="1" applyAlignment="1">
      <alignment horizontal="center" vertical="center" wrapText="1"/>
    </xf>
    <xf numFmtId="9" fontId="29" fillId="0" borderId="43" xfId="1" applyFont="1" applyBorder="1" applyAlignment="1">
      <alignment horizontal="center" vertical="center" wrapText="1"/>
    </xf>
    <xf numFmtId="9" fontId="29" fillId="0" borderId="41" xfId="1" applyFont="1" applyBorder="1" applyAlignment="1">
      <alignment horizontal="center" vertical="center" wrapText="1"/>
    </xf>
    <xf numFmtId="9" fontId="29" fillId="0" borderId="77" xfId="1" applyFont="1" applyBorder="1" applyAlignment="1">
      <alignment horizontal="center" vertical="center" wrapText="1"/>
    </xf>
    <xf numFmtId="10" fontId="29" fillId="0" borderId="75" xfId="1" applyNumberFormat="1" applyFont="1" applyBorder="1" applyAlignment="1">
      <alignment horizontal="center" vertical="center" wrapText="1"/>
    </xf>
    <xf numFmtId="9" fontId="29" fillId="0" borderId="75" xfId="1" applyNumberFormat="1" applyFont="1" applyBorder="1" applyAlignment="1">
      <alignment horizontal="center" vertical="center" wrapText="1"/>
    </xf>
    <xf numFmtId="170" fontId="29" fillId="0" borderId="37" xfId="0" applyNumberFormat="1" applyFont="1" applyBorder="1" applyAlignment="1">
      <alignment horizontal="center" vertical="center" wrapText="1"/>
    </xf>
    <xf numFmtId="9" fontId="29" fillId="0" borderId="78" xfId="1" applyFont="1" applyBorder="1" applyAlignment="1">
      <alignment horizontal="center" vertical="center" wrapText="1"/>
    </xf>
    <xf numFmtId="0" fontId="36" fillId="0" borderId="0" xfId="0" applyFont="1"/>
    <xf numFmtId="0" fontId="36" fillId="0" borderId="0" xfId="0" applyFont="1" applyAlignment="1">
      <alignment horizontal="center"/>
    </xf>
    <xf numFmtId="0" fontId="36" fillId="0" borderId="0" xfId="0" applyFont="1" applyAlignment="1">
      <alignment wrapText="1"/>
    </xf>
    <xf numFmtId="0" fontId="36" fillId="0" borderId="0" xfId="0" applyFont="1" applyFill="1" applyBorder="1"/>
    <xf numFmtId="0" fontId="36" fillId="0" borderId="0" xfId="0" applyFont="1" applyAlignment="1"/>
    <xf numFmtId="0" fontId="36" fillId="0" borderId="0" xfId="0" applyFont="1" applyFill="1" applyBorder="1" applyAlignment="1"/>
    <xf numFmtId="0" fontId="36" fillId="0" borderId="0" xfId="0" applyFont="1" applyFill="1" applyBorder="1" applyAlignment="1">
      <alignment horizontal="center" vertical="center"/>
    </xf>
    <xf numFmtId="166" fontId="37" fillId="12" borderId="9" xfId="0" applyNumberFormat="1" applyFont="1" applyFill="1" applyBorder="1" applyAlignment="1">
      <alignment horizontal="center" vertical="center"/>
    </xf>
    <xf numFmtId="166" fontId="37" fillId="12" borderId="10" xfId="0" applyNumberFormat="1" applyFont="1" applyFill="1" applyBorder="1" applyAlignment="1">
      <alignment horizontal="center" vertical="center"/>
    </xf>
    <xf numFmtId="166" fontId="37" fillId="12" borderId="11" xfId="0" applyNumberFormat="1" applyFont="1" applyFill="1" applyBorder="1" applyAlignment="1">
      <alignment horizontal="center" vertical="center"/>
    </xf>
    <xf numFmtId="0" fontId="36" fillId="0" borderId="0" xfId="0" applyFont="1" applyFill="1" applyBorder="1" applyAlignment="1">
      <alignment vertical="center" wrapText="1"/>
    </xf>
    <xf numFmtId="0" fontId="36" fillId="8" borderId="33" xfId="0" applyFont="1" applyFill="1" applyBorder="1" applyAlignment="1">
      <alignment horizontal="left" vertical="center" wrapText="1"/>
    </xf>
    <xf numFmtId="0" fontId="36" fillId="8" borderId="1" xfId="0" applyFont="1" applyFill="1" applyBorder="1" applyAlignment="1">
      <alignment vertical="center" wrapText="1"/>
    </xf>
    <xf numFmtId="0" fontId="36" fillId="8" borderId="84" xfId="0" applyFont="1" applyFill="1" applyBorder="1" applyAlignment="1">
      <alignment horizontal="center" vertical="center" wrapText="1"/>
    </xf>
    <xf numFmtId="0" fontId="39" fillId="8" borderId="60" xfId="0" applyFont="1" applyFill="1" applyBorder="1" applyAlignment="1">
      <alignment vertical="center" wrapText="1"/>
    </xf>
    <xf numFmtId="0" fontId="39" fillId="8" borderId="61" xfId="0" applyFont="1" applyFill="1" applyBorder="1" applyAlignment="1">
      <alignment vertical="center" wrapText="1"/>
    </xf>
    <xf numFmtId="166" fontId="36" fillId="8" borderId="33" xfId="0" applyNumberFormat="1" applyFont="1" applyFill="1" applyBorder="1" applyAlignment="1">
      <alignment horizontal="center" vertical="center" wrapText="1"/>
    </xf>
    <xf numFmtId="10" fontId="36" fillId="8" borderId="33" xfId="1" applyNumberFormat="1" applyFont="1" applyFill="1" applyBorder="1" applyAlignment="1">
      <alignment horizontal="center" vertical="center" wrapText="1"/>
    </xf>
    <xf numFmtId="10" fontId="36" fillId="6" borderId="68" xfId="1" applyNumberFormat="1" applyFont="1" applyFill="1" applyBorder="1" applyAlignment="1">
      <alignment horizontal="center" vertical="center"/>
    </xf>
    <xf numFmtId="10" fontId="36" fillId="8" borderId="33" xfId="0" applyNumberFormat="1" applyFont="1" applyFill="1" applyBorder="1" applyAlignment="1">
      <alignment horizontal="center" vertical="center"/>
    </xf>
    <xf numFmtId="10" fontId="36" fillId="4" borderId="59" xfId="0" applyNumberFormat="1" applyFont="1" applyFill="1" applyBorder="1" applyAlignment="1">
      <alignment horizontal="center" vertical="center" wrapText="1"/>
    </xf>
    <xf numFmtId="10" fontId="36" fillId="3" borderId="63" xfId="0" applyNumberFormat="1" applyFont="1" applyFill="1" applyBorder="1" applyAlignment="1">
      <alignment horizontal="center" vertical="center" wrapText="1"/>
    </xf>
    <xf numFmtId="10" fontId="36" fillId="10" borderId="68" xfId="0" applyNumberFormat="1" applyFont="1" applyFill="1" applyBorder="1" applyAlignment="1">
      <alignment horizontal="center" vertical="center" wrapText="1"/>
    </xf>
    <xf numFmtId="10" fontId="36" fillId="8" borderId="59" xfId="0" applyNumberFormat="1" applyFont="1" applyFill="1" applyBorder="1" applyAlignment="1">
      <alignment horizontal="center" vertical="center"/>
    </xf>
    <xf numFmtId="10" fontId="36" fillId="8" borderId="61" xfId="0" applyNumberFormat="1" applyFont="1" applyFill="1" applyBorder="1" applyAlignment="1">
      <alignment horizontal="center" vertical="center"/>
    </xf>
    <xf numFmtId="10" fontId="36" fillId="8" borderId="61" xfId="1" applyNumberFormat="1" applyFont="1" applyFill="1" applyBorder="1" applyAlignment="1">
      <alignment horizontal="center" vertical="center"/>
    </xf>
    <xf numFmtId="10" fontId="36" fillId="8" borderId="68" xfId="1" applyNumberFormat="1" applyFont="1" applyFill="1" applyBorder="1" applyAlignment="1">
      <alignment horizontal="center" vertical="center"/>
    </xf>
    <xf numFmtId="0" fontId="41" fillId="0" borderId="3" xfId="0" applyFont="1" applyBorder="1" applyAlignment="1">
      <alignment vertical="center" wrapText="1"/>
    </xf>
    <xf numFmtId="0" fontId="36" fillId="8" borderId="0" xfId="0" applyFont="1" applyFill="1"/>
    <xf numFmtId="0" fontId="36" fillId="8" borderId="0" xfId="0" applyFont="1" applyFill="1" applyBorder="1"/>
    <xf numFmtId="0" fontId="36" fillId="8" borderId="0" xfId="0" applyFont="1" applyFill="1" applyBorder="1" applyAlignment="1">
      <alignment vertical="center" wrapText="1"/>
    </xf>
    <xf numFmtId="0" fontId="36" fillId="0" borderId="33" xfId="0" applyFont="1" applyBorder="1" applyAlignment="1">
      <alignment horizontal="left" vertical="center" wrapText="1"/>
    </xf>
    <xf numFmtId="0" fontId="41" fillId="0" borderId="23" xfId="0" applyFont="1" applyBorder="1" applyAlignment="1">
      <alignment vertical="center" wrapText="1"/>
    </xf>
    <xf numFmtId="0" fontId="41" fillId="0" borderId="63" xfId="0" applyFont="1" applyBorder="1" applyAlignment="1">
      <alignment vertical="center" wrapText="1"/>
    </xf>
    <xf numFmtId="166" fontId="36" fillId="0" borderId="29" xfId="0" applyNumberFormat="1" applyFont="1" applyBorder="1" applyAlignment="1">
      <alignment horizontal="center" vertical="center" wrapText="1"/>
    </xf>
    <xf numFmtId="1" fontId="36" fillId="0" borderId="29" xfId="0" applyNumberFormat="1" applyFont="1" applyBorder="1" applyAlignment="1">
      <alignment horizontal="center" vertical="center" wrapText="1"/>
    </xf>
    <xf numFmtId="9" fontId="36" fillId="6" borderId="71" xfId="1" applyFont="1" applyFill="1" applyBorder="1" applyAlignment="1">
      <alignment horizontal="center" vertical="center"/>
    </xf>
    <xf numFmtId="10" fontId="36" fillId="0" borderId="29" xfId="0" applyNumberFormat="1" applyFont="1" applyBorder="1" applyAlignment="1">
      <alignment horizontal="center" vertical="center"/>
    </xf>
    <xf numFmtId="10" fontId="36" fillId="4" borderId="51" xfId="0" applyNumberFormat="1" applyFont="1" applyFill="1" applyBorder="1" applyAlignment="1">
      <alignment horizontal="center" vertical="center" wrapText="1"/>
    </xf>
    <xf numFmtId="10" fontId="36" fillId="10" borderId="71" xfId="0" applyNumberFormat="1" applyFont="1" applyFill="1" applyBorder="1" applyAlignment="1">
      <alignment horizontal="center" vertical="center" wrapText="1"/>
    </xf>
    <xf numFmtId="0" fontId="36" fillId="0" borderId="40" xfId="0" applyFont="1" applyBorder="1" applyAlignment="1">
      <alignment horizontal="left" vertical="center" wrapText="1"/>
    </xf>
    <xf numFmtId="0" fontId="36" fillId="0" borderId="76" xfId="0" applyFont="1" applyBorder="1" applyAlignment="1">
      <alignment horizontal="left" vertical="center" wrapText="1"/>
    </xf>
    <xf numFmtId="0" fontId="36" fillId="0" borderId="40" xfId="0" applyFont="1" applyBorder="1" applyAlignment="1">
      <alignment vertical="center" wrapText="1"/>
    </xf>
    <xf numFmtId="0" fontId="36" fillId="0" borderId="8" xfId="0" applyFont="1" applyBorder="1" applyAlignment="1">
      <alignment vertical="center" wrapText="1"/>
    </xf>
    <xf numFmtId="0" fontId="36" fillId="0" borderId="32" xfId="0" applyFont="1" applyBorder="1" applyAlignment="1">
      <alignment horizontal="left" vertical="center" wrapText="1"/>
    </xf>
    <xf numFmtId="0" fontId="41" fillId="0" borderId="55" xfId="0" applyFont="1" applyBorder="1" applyAlignment="1">
      <alignment vertical="center" wrapText="1"/>
    </xf>
    <xf numFmtId="0" fontId="41" fillId="0" borderId="66" xfId="0" applyFont="1" applyBorder="1" applyAlignment="1">
      <alignment vertical="center" wrapText="1"/>
    </xf>
    <xf numFmtId="10" fontId="36" fillId="0" borderId="32" xfId="1" applyNumberFormat="1" applyFont="1" applyBorder="1" applyAlignment="1">
      <alignment horizontal="center" vertical="center" wrapText="1"/>
    </xf>
    <xf numFmtId="10" fontId="36" fillId="0" borderId="32" xfId="0" applyNumberFormat="1" applyFont="1" applyBorder="1" applyAlignment="1">
      <alignment horizontal="center" vertical="center"/>
    </xf>
    <xf numFmtId="165" fontId="36" fillId="0" borderId="0" xfId="0" applyNumberFormat="1" applyFont="1"/>
    <xf numFmtId="165" fontId="36" fillId="0" borderId="0" xfId="1" applyNumberFormat="1" applyFont="1"/>
    <xf numFmtId="10" fontId="36" fillId="0" borderId="0" xfId="1" applyNumberFormat="1" applyFont="1"/>
    <xf numFmtId="0" fontId="36" fillId="0" borderId="84" xfId="0" applyFont="1" applyBorder="1" applyAlignment="1">
      <alignment horizontal="center" vertical="center" wrapText="1"/>
    </xf>
    <xf numFmtId="166" fontId="36" fillId="0" borderId="33" xfId="0" applyNumberFormat="1" applyFont="1" applyBorder="1" applyAlignment="1">
      <alignment horizontal="center" vertical="center" wrapText="1"/>
    </xf>
    <xf numFmtId="2" fontId="36" fillId="0" borderId="33" xfId="0" applyNumberFormat="1" applyFont="1" applyBorder="1" applyAlignment="1">
      <alignment horizontal="center" vertical="center" wrapText="1"/>
    </xf>
    <xf numFmtId="2" fontId="36" fillId="6" borderId="68" xfId="1" applyNumberFormat="1" applyFont="1" applyFill="1" applyBorder="1" applyAlignment="1">
      <alignment horizontal="center" vertical="center"/>
    </xf>
    <xf numFmtId="2" fontId="36" fillId="0" borderId="33" xfId="0" applyNumberFormat="1" applyFont="1" applyBorder="1" applyAlignment="1">
      <alignment horizontal="center" vertical="center"/>
    </xf>
    <xf numFmtId="10" fontId="36" fillId="3" borderId="61" xfId="0" applyNumberFormat="1" applyFont="1" applyFill="1" applyBorder="1" applyAlignment="1">
      <alignment horizontal="center" vertical="center" wrapText="1"/>
    </xf>
    <xf numFmtId="2" fontId="36" fillId="0" borderId="59" xfId="0" applyNumberFormat="1" applyFont="1" applyBorder="1" applyAlignment="1">
      <alignment horizontal="center" vertical="center"/>
    </xf>
    <xf numFmtId="2" fontId="36" fillId="0" borderId="61" xfId="0" applyNumberFormat="1" applyFont="1" applyFill="1" applyBorder="1" applyAlignment="1">
      <alignment horizontal="center" vertical="center"/>
    </xf>
    <xf numFmtId="2" fontId="36" fillId="0" borderId="61" xfId="0" applyNumberFormat="1" applyFont="1" applyBorder="1" applyAlignment="1">
      <alignment horizontal="center" vertical="center"/>
    </xf>
    <xf numFmtId="2" fontId="36" fillId="0" borderId="61" xfId="1" applyNumberFormat="1" applyFont="1" applyBorder="1" applyAlignment="1">
      <alignment horizontal="center" vertical="center"/>
    </xf>
    <xf numFmtId="10" fontId="36" fillId="0" borderId="33" xfId="1" applyNumberFormat="1" applyFont="1" applyBorder="1" applyAlignment="1">
      <alignment horizontal="center" vertical="center" wrapText="1"/>
    </xf>
    <xf numFmtId="10" fontId="36" fillId="0" borderId="33" xfId="0" applyNumberFormat="1" applyFont="1" applyBorder="1" applyAlignment="1">
      <alignment horizontal="center" vertical="center"/>
    </xf>
    <xf numFmtId="10" fontId="36" fillId="0" borderId="59" xfId="0" applyNumberFormat="1" applyFont="1" applyBorder="1" applyAlignment="1">
      <alignment horizontal="center" vertical="center"/>
    </xf>
    <xf numFmtId="10" fontId="36" fillId="0" borderId="61" xfId="0" applyNumberFormat="1" applyFont="1" applyBorder="1" applyAlignment="1">
      <alignment horizontal="center" vertical="center"/>
    </xf>
    <xf numFmtId="10" fontId="36" fillId="0" borderId="61" xfId="1" applyNumberFormat="1" applyFont="1" applyBorder="1" applyAlignment="1">
      <alignment horizontal="center" vertical="center"/>
    </xf>
    <xf numFmtId="0" fontId="36" fillId="0" borderId="3" xfId="0" applyFont="1" applyBorder="1" applyAlignment="1">
      <alignment vertical="center" wrapText="1"/>
    </xf>
    <xf numFmtId="0" fontId="36" fillId="0" borderId="88" xfId="0" applyFont="1" applyBorder="1" applyAlignment="1">
      <alignment horizontal="center" vertical="center" wrapText="1"/>
    </xf>
    <xf numFmtId="0" fontId="39" fillId="0" borderId="23" xfId="0" applyFont="1" applyBorder="1" applyAlignment="1">
      <alignment vertical="center" wrapText="1"/>
    </xf>
    <xf numFmtId="0" fontId="39" fillId="0" borderId="63" xfId="0" applyFont="1" applyBorder="1" applyAlignment="1">
      <alignment vertical="center" wrapText="1"/>
    </xf>
    <xf numFmtId="10" fontId="36" fillId="0" borderId="31" xfId="1" applyNumberFormat="1" applyFont="1" applyBorder="1" applyAlignment="1">
      <alignment horizontal="center" vertical="center" wrapText="1"/>
    </xf>
    <xf numFmtId="10" fontId="36" fillId="6" borderId="72" xfId="1" applyNumberFormat="1" applyFont="1" applyFill="1" applyBorder="1" applyAlignment="1">
      <alignment horizontal="center" vertical="center"/>
    </xf>
    <xf numFmtId="10" fontId="36" fillId="0" borderId="31" xfId="1" applyNumberFormat="1" applyFont="1" applyBorder="1" applyAlignment="1">
      <alignment horizontal="center" vertical="center"/>
    </xf>
    <xf numFmtId="0" fontId="36" fillId="4" borderId="53" xfId="0" applyFont="1" applyFill="1" applyBorder="1" applyAlignment="1">
      <alignment horizontal="center" vertical="center" wrapText="1"/>
    </xf>
    <xf numFmtId="0" fontId="36" fillId="3" borderId="47" xfId="0" applyFont="1" applyFill="1" applyBorder="1" applyAlignment="1">
      <alignment horizontal="center" vertical="center" wrapText="1"/>
    </xf>
    <xf numFmtId="0" fontId="36" fillId="10" borderId="72" xfId="0" applyFont="1" applyFill="1" applyBorder="1" applyAlignment="1">
      <alignment horizontal="center" vertical="center" wrapText="1"/>
    </xf>
    <xf numFmtId="0" fontId="36" fillId="0" borderId="75" xfId="0" applyFont="1" applyBorder="1" applyAlignment="1">
      <alignment vertical="center" wrapText="1"/>
    </xf>
    <xf numFmtId="0" fontId="39" fillId="0" borderId="60" xfId="0" applyFont="1" applyBorder="1" applyAlignment="1">
      <alignment vertical="center" wrapText="1"/>
    </xf>
    <xf numFmtId="0" fontId="39" fillId="0" borderId="61" xfId="0" applyFont="1" applyBorder="1" applyAlignment="1">
      <alignment vertical="center" wrapText="1"/>
    </xf>
    <xf numFmtId="0" fontId="36" fillId="0" borderId="33" xfId="0" applyFont="1" applyBorder="1" applyAlignment="1">
      <alignment horizontal="center" vertical="center"/>
    </xf>
    <xf numFmtId="0" fontId="36" fillId="4" borderId="59" xfId="0" applyFont="1" applyFill="1" applyBorder="1" applyAlignment="1">
      <alignment horizontal="center" vertical="center" wrapText="1"/>
    </xf>
    <xf numFmtId="0" fontId="36" fillId="10" borderId="68" xfId="0" applyFont="1" applyFill="1" applyBorder="1" applyAlignment="1">
      <alignment horizontal="center" vertical="center" wrapText="1"/>
    </xf>
    <xf numFmtId="0" fontId="36" fillId="0" borderId="59" xfId="0" applyFont="1" applyBorder="1" applyAlignment="1">
      <alignment horizontal="center" vertical="center"/>
    </xf>
    <xf numFmtId="0" fontId="36" fillId="0" borderId="61" xfId="0" applyFont="1" applyBorder="1" applyAlignment="1">
      <alignment horizontal="center" vertical="center"/>
    </xf>
    <xf numFmtId="10" fontId="36" fillId="0" borderId="68" xfId="1" applyNumberFormat="1" applyFont="1" applyBorder="1" applyAlignment="1">
      <alignment horizontal="center" vertical="center"/>
    </xf>
    <xf numFmtId="10" fontId="36" fillId="0" borderId="29" xfId="1" applyNumberFormat="1" applyFont="1" applyBorder="1" applyAlignment="1">
      <alignment horizontal="center" vertical="center" wrapText="1"/>
    </xf>
    <xf numFmtId="10" fontId="36" fillId="0" borderId="59" xfId="1" applyNumberFormat="1" applyFont="1" applyBorder="1" applyAlignment="1">
      <alignment horizontal="center" vertical="center"/>
    </xf>
    <xf numFmtId="10" fontId="36" fillId="0" borderId="58" xfId="1" applyNumberFormat="1" applyFont="1" applyBorder="1" applyAlignment="1">
      <alignment horizontal="left" vertical="center" wrapText="1"/>
    </xf>
    <xf numFmtId="0" fontId="36" fillId="0" borderId="40" xfId="0" applyFont="1" applyBorder="1" applyAlignment="1">
      <alignment horizontal="left" vertical="center" wrapText="1"/>
    </xf>
    <xf numFmtId="0" fontId="36" fillId="0" borderId="85" xfId="0" applyFont="1" applyBorder="1" applyAlignment="1">
      <alignment horizontal="center" vertical="center" wrapText="1"/>
    </xf>
    <xf numFmtId="0" fontId="36" fillId="0" borderId="86" xfId="0" applyFont="1" applyBorder="1" applyAlignment="1">
      <alignment horizontal="center" vertical="center" wrapText="1"/>
    </xf>
    <xf numFmtId="0" fontId="36" fillId="0" borderId="87" xfId="0" applyFont="1" applyBorder="1" applyAlignment="1">
      <alignment horizontal="center" vertical="center" wrapText="1"/>
    </xf>
    <xf numFmtId="0" fontId="36" fillId="0" borderId="33" xfId="0" applyFont="1" applyBorder="1" applyAlignment="1">
      <alignment horizontal="left" vertical="center" wrapText="1"/>
    </xf>
    <xf numFmtId="166" fontId="36" fillId="0" borderId="29" xfId="0" applyNumberFormat="1" applyFont="1" applyBorder="1" applyAlignment="1">
      <alignment horizontal="center" vertical="center" wrapText="1"/>
    </xf>
    <xf numFmtId="166" fontId="36" fillId="0" borderId="31" xfId="0" applyNumberFormat="1" applyFont="1" applyBorder="1" applyAlignment="1">
      <alignment horizontal="center" vertical="center" wrapText="1"/>
    </xf>
    <xf numFmtId="166" fontId="36" fillId="0" borderId="32" xfId="0" applyNumberFormat="1" applyFont="1" applyBorder="1" applyAlignment="1">
      <alignment horizontal="center" vertical="center" wrapText="1"/>
    </xf>
    <xf numFmtId="9" fontId="36" fillId="6" borderId="46" xfId="1" applyFont="1" applyFill="1" applyBorder="1" applyAlignment="1">
      <alignment horizontal="center" vertical="center"/>
    </xf>
    <xf numFmtId="10" fontId="36" fillId="10" borderId="72" xfId="0" applyNumberFormat="1" applyFont="1" applyFill="1" applyBorder="1" applyAlignment="1">
      <alignment horizontal="center" vertical="center" wrapText="1"/>
    </xf>
    <xf numFmtId="10" fontId="36" fillId="10" borderId="46" xfId="0" applyNumberFormat="1" applyFont="1" applyFill="1" applyBorder="1" applyAlignment="1">
      <alignment horizontal="center" vertical="center" wrapText="1"/>
    </xf>
    <xf numFmtId="10" fontId="36" fillId="3" borderId="47" xfId="0" applyNumberFormat="1" applyFont="1" applyFill="1" applyBorder="1" applyAlignment="1">
      <alignment horizontal="center" vertical="center" wrapText="1"/>
    </xf>
    <xf numFmtId="10" fontId="36" fillId="3" borderId="66" xfId="0" applyNumberFormat="1" applyFont="1" applyFill="1" applyBorder="1" applyAlignment="1">
      <alignment horizontal="center" vertical="center" wrapText="1"/>
    </xf>
    <xf numFmtId="10" fontId="36" fillId="4" borderId="53" xfId="0" applyNumberFormat="1" applyFont="1" applyFill="1" applyBorder="1" applyAlignment="1">
      <alignment horizontal="center" vertical="center" wrapText="1"/>
    </xf>
    <xf numFmtId="10" fontId="36" fillId="4" borderId="45" xfId="0" applyNumberFormat="1" applyFont="1" applyFill="1" applyBorder="1" applyAlignment="1">
      <alignment horizontal="center" vertical="center" wrapText="1"/>
    </xf>
    <xf numFmtId="0" fontId="36" fillId="0" borderId="28" xfId="0" applyFont="1" applyBorder="1" applyAlignment="1">
      <alignment horizontal="left" vertical="center" wrapText="1"/>
    </xf>
    <xf numFmtId="0" fontId="36" fillId="0" borderId="90" xfId="0" applyFont="1" applyBorder="1" applyAlignment="1">
      <alignment horizontal="center" vertical="center" wrapText="1"/>
    </xf>
    <xf numFmtId="0" fontId="36" fillId="8" borderId="27" xfId="0" applyFont="1" applyFill="1" applyBorder="1" applyAlignment="1">
      <alignment vertical="center" wrapText="1"/>
    </xf>
    <xf numFmtId="0" fontId="36" fillId="0" borderId="29" xfId="0" applyFont="1" applyBorder="1" applyAlignment="1">
      <alignment vertical="center" wrapText="1"/>
    </xf>
    <xf numFmtId="0" fontId="36" fillId="0" borderId="1" xfId="0" applyFont="1" applyBorder="1" applyAlignment="1">
      <alignment horizontal="left" vertical="center"/>
    </xf>
    <xf numFmtId="0" fontId="36" fillId="0" borderId="85" xfId="0" applyFont="1" applyBorder="1" applyAlignment="1">
      <alignment horizontal="center" vertical="center"/>
    </xf>
    <xf numFmtId="0" fontId="39" fillId="8" borderId="25" xfId="0" applyFont="1" applyFill="1" applyBorder="1" applyAlignment="1">
      <alignment vertical="center" wrapText="1"/>
    </xf>
    <xf numFmtId="0" fontId="39" fillId="8" borderId="47" xfId="0" applyFont="1" applyFill="1" applyBorder="1" applyAlignment="1">
      <alignment vertical="center" wrapText="1"/>
    </xf>
    <xf numFmtId="10" fontId="36" fillId="0" borderId="31" xfId="0" applyNumberFormat="1" applyFont="1" applyBorder="1" applyAlignment="1">
      <alignment horizontal="center" vertical="center"/>
    </xf>
    <xf numFmtId="0" fontId="36" fillId="0" borderId="33" xfId="0" applyFont="1" applyBorder="1" applyAlignment="1">
      <alignment vertical="center" wrapText="1"/>
    </xf>
    <xf numFmtId="0" fontId="36" fillId="0" borderId="28" xfId="0" quotePrefix="1" applyFont="1" applyBorder="1" applyAlignment="1">
      <alignment vertical="center" wrapText="1"/>
    </xf>
    <xf numFmtId="0" fontId="36" fillId="0" borderId="33" xfId="0" quotePrefix="1" applyFont="1" applyBorder="1" applyAlignment="1">
      <alignment horizontal="left" vertical="center" wrapText="1"/>
    </xf>
    <xf numFmtId="10" fontId="36" fillId="6" borderId="71" xfId="1" applyNumberFormat="1" applyFont="1" applyFill="1" applyBorder="1" applyAlignment="1">
      <alignment horizontal="center" vertical="center"/>
    </xf>
    <xf numFmtId="9" fontId="36" fillId="4" borderId="51" xfId="0" applyNumberFormat="1" applyFont="1" applyFill="1" applyBorder="1" applyAlignment="1">
      <alignment horizontal="center" vertical="center" wrapText="1"/>
    </xf>
    <xf numFmtId="0" fontId="36" fillId="0" borderId="30" xfId="0" applyFont="1" applyBorder="1" applyAlignment="1">
      <alignment vertical="center" wrapText="1"/>
    </xf>
    <xf numFmtId="0" fontId="36" fillId="0" borderId="32" xfId="0" quotePrefix="1" applyFont="1" applyBorder="1" applyAlignment="1">
      <alignment horizontal="left" vertical="center" wrapText="1"/>
    </xf>
    <xf numFmtId="0" fontId="36" fillId="0" borderId="32" xfId="0" applyFont="1" applyFill="1" applyBorder="1" applyAlignment="1">
      <alignment horizontal="center" vertical="center"/>
    </xf>
    <xf numFmtId="0" fontId="36" fillId="3" borderId="66" xfId="0" applyFont="1" applyFill="1" applyBorder="1" applyAlignment="1">
      <alignment horizontal="center" vertical="center" wrapText="1"/>
    </xf>
    <xf numFmtId="0" fontId="36" fillId="10" borderId="46" xfId="0" applyFont="1" applyFill="1" applyBorder="1" applyAlignment="1">
      <alignment horizontal="center" vertical="center" wrapText="1"/>
    </xf>
    <xf numFmtId="0" fontId="36" fillId="0" borderId="58" xfId="0" applyFont="1" applyBorder="1" applyAlignment="1">
      <alignment vertical="center" wrapText="1"/>
    </xf>
    <xf numFmtId="0" fontId="41" fillId="0" borderId="60" xfId="0" applyFont="1" applyBorder="1" applyAlignment="1">
      <alignment vertical="center" wrapText="1"/>
    </xf>
    <xf numFmtId="0" fontId="41" fillId="0" borderId="61" xfId="0" applyFont="1" applyBorder="1" applyAlignment="1">
      <alignment vertical="center" wrapText="1"/>
    </xf>
    <xf numFmtId="0" fontId="41" fillId="0" borderId="61" xfId="0" applyFont="1" applyFill="1" applyBorder="1" applyAlignment="1">
      <alignment vertical="center" wrapText="1"/>
    </xf>
    <xf numFmtId="166" fontId="36" fillId="0" borderId="33" xfId="0" applyNumberFormat="1" applyFont="1" applyFill="1" applyBorder="1" applyAlignment="1">
      <alignment horizontal="center" vertical="center" wrapText="1"/>
    </xf>
    <xf numFmtId="0" fontId="36" fillId="3" borderId="61" xfId="0" quotePrefix="1" applyFont="1" applyFill="1" applyBorder="1" applyAlignment="1">
      <alignment horizontal="center" vertical="center" wrapText="1"/>
    </xf>
    <xf numFmtId="0" fontId="39" fillId="0" borderId="87" xfId="0" applyFont="1" applyBorder="1" applyAlignment="1">
      <alignment horizontal="center" vertical="center" wrapText="1"/>
    </xf>
    <xf numFmtId="0" fontId="39" fillId="0" borderId="55" xfId="0" applyFont="1" applyBorder="1" applyAlignment="1">
      <alignment vertical="center" wrapText="1"/>
    </xf>
    <xf numFmtId="0" fontId="39" fillId="0" borderId="66" xfId="0" applyFont="1" applyBorder="1" applyAlignment="1">
      <alignment vertical="center" wrapText="1"/>
    </xf>
    <xf numFmtId="0" fontId="39" fillId="0" borderId="74" xfId="0" applyFont="1" applyBorder="1" applyAlignment="1">
      <alignment vertical="center" wrapText="1"/>
    </xf>
    <xf numFmtId="10" fontId="36" fillId="6" borderId="46" xfId="1" applyNumberFormat="1" applyFont="1" applyFill="1" applyBorder="1" applyAlignment="1">
      <alignment horizontal="center" vertical="center"/>
    </xf>
    <xf numFmtId="0" fontId="39" fillId="0" borderId="84" xfId="0" applyFont="1" applyBorder="1" applyAlignment="1">
      <alignment horizontal="center" vertical="center" wrapText="1"/>
    </xf>
    <xf numFmtId="0" fontId="39" fillId="0" borderId="62" xfId="0" applyFont="1" applyBorder="1" applyAlignment="1">
      <alignment vertical="center" wrapText="1"/>
    </xf>
    <xf numFmtId="166" fontId="39" fillId="0" borderId="33" xfId="0" applyNumberFormat="1" applyFont="1" applyBorder="1" applyAlignment="1">
      <alignment horizontal="center" vertical="center" wrapText="1"/>
    </xf>
    <xf numFmtId="9" fontId="36" fillId="0" borderId="33" xfId="0" applyNumberFormat="1" applyFont="1" applyBorder="1" applyAlignment="1">
      <alignment horizontal="center" vertical="center"/>
    </xf>
    <xf numFmtId="10" fontId="36" fillId="0" borderId="3" xfId="1" applyNumberFormat="1" applyFont="1" applyBorder="1" applyAlignment="1">
      <alignment horizontal="left" vertical="center" wrapText="1"/>
    </xf>
    <xf numFmtId="0" fontId="36" fillId="8" borderId="75" xfId="0" applyFont="1" applyFill="1" applyBorder="1" applyAlignment="1">
      <alignment vertical="center" wrapText="1"/>
    </xf>
    <xf numFmtId="10" fontId="36" fillId="0" borderId="33" xfId="1" applyNumberFormat="1" applyFont="1" applyBorder="1" applyAlignment="1">
      <alignment horizontal="center" vertical="center"/>
    </xf>
    <xf numFmtId="0" fontId="39" fillId="8" borderId="55" xfId="0" applyFont="1" applyFill="1" applyBorder="1" applyAlignment="1">
      <alignment vertical="center" wrapText="1"/>
    </xf>
    <xf numFmtId="0" fontId="39" fillId="8" borderId="66" xfId="0" applyFont="1" applyFill="1" applyBorder="1" applyAlignment="1">
      <alignment vertical="center" wrapText="1"/>
    </xf>
    <xf numFmtId="0" fontId="36" fillId="0" borderId="1" xfId="0" applyFont="1" applyBorder="1" applyAlignment="1">
      <alignment horizontal="left" vertical="center" wrapText="1"/>
    </xf>
    <xf numFmtId="0" fontId="36" fillId="0" borderId="32" xfId="0" applyFont="1" applyBorder="1" applyAlignment="1">
      <alignment vertical="center" wrapText="1"/>
    </xf>
    <xf numFmtId="0" fontId="39" fillId="0" borderId="38" xfId="0" applyFont="1" applyBorder="1" applyAlignment="1">
      <alignment vertical="center" wrapText="1"/>
    </xf>
    <xf numFmtId="0" fontId="41" fillId="0" borderId="62" xfId="0" applyFont="1" applyFill="1" applyBorder="1" applyAlignment="1">
      <alignment vertical="center" wrapText="1"/>
    </xf>
    <xf numFmtId="0" fontId="41" fillId="0" borderId="74" xfId="0" applyFont="1" applyBorder="1" applyAlignment="1">
      <alignment vertical="center" wrapText="1"/>
    </xf>
    <xf numFmtId="0" fontId="39" fillId="8" borderId="62" xfId="0" applyFont="1" applyFill="1" applyBorder="1" applyAlignment="1">
      <alignment vertical="center" wrapText="1"/>
    </xf>
    <xf numFmtId="0" fontId="41" fillId="0" borderId="38" xfId="0" applyFont="1" applyBorder="1" applyAlignment="1">
      <alignment vertical="center" wrapText="1"/>
    </xf>
    <xf numFmtId="0" fontId="39" fillId="8" borderId="19" xfId="0" applyFont="1" applyFill="1" applyBorder="1" applyAlignment="1">
      <alignment vertical="center" wrapText="1"/>
    </xf>
    <xf numFmtId="0" fontId="39" fillId="8" borderId="74" xfId="0" applyFont="1" applyFill="1" applyBorder="1" applyAlignment="1">
      <alignment vertical="center" wrapText="1"/>
    </xf>
    <xf numFmtId="0" fontId="39" fillId="7" borderId="29" xfId="0" applyFont="1" applyFill="1" applyBorder="1" applyAlignment="1">
      <alignment horizontal="left" vertical="center" wrapText="1"/>
    </xf>
    <xf numFmtId="0" fontId="39" fillId="7" borderId="33" xfId="0" applyFont="1" applyFill="1" applyBorder="1" applyAlignment="1">
      <alignment horizontal="left" vertical="center" wrapText="1"/>
    </xf>
    <xf numFmtId="0" fontId="36" fillId="7" borderId="32" xfId="0" applyFont="1" applyFill="1" applyBorder="1" applyAlignment="1">
      <alignment horizontal="left" vertical="center" wrapText="1"/>
    </xf>
    <xf numFmtId="0" fontId="36" fillId="7" borderId="29" xfId="0" applyFont="1" applyFill="1" applyBorder="1" applyAlignment="1">
      <alignment horizontal="left" vertical="center" wrapText="1"/>
    </xf>
    <xf numFmtId="0" fontId="39" fillId="7" borderId="32" xfId="0" applyFont="1" applyFill="1" applyBorder="1" applyAlignment="1">
      <alignment horizontal="left" vertical="center" wrapText="1"/>
    </xf>
    <xf numFmtId="0" fontId="36" fillId="7" borderId="33" xfId="0" applyFont="1" applyFill="1" applyBorder="1" applyAlignment="1">
      <alignment horizontal="left" vertical="center" wrapText="1"/>
    </xf>
    <xf numFmtId="0" fontId="36" fillId="7" borderId="31" xfId="0" applyFont="1" applyFill="1" applyBorder="1" applyAlignment="1">
      <alignment horizontal="left" vertical="center" wrapText="1"/>
    </xf>
    <xf numFmtId="166" fontId="37" fillId="13" borderId="12" xfId="0" applyNumberFormat="1" applyFont="1" applyFill="1" applyBorder="1" applyAlignment="1">
      <alignment horizontal="center" vertical="center"/>
    </xf>
    <xf numFmtId="166" fontId="37" fillId="13" borderId="13" xfId="0" applyNumberFormat="1" applyFont="1" applyFill="1" applyBorder="1" applyAlignment="1">
      <alignment horizontal="center" vertical="center"/>
    </xf>
    <xf numFmtId="166" fontId="37" fillId="13" borderId="14" xfId="0" applyNumberFormat="1" applyFont="1" applyFill="1" applyBorder="1" applyAlignment="1">
      <alignment horizontal="center" vertical="center"/>
    </xf>
    <xf numFmtId="2" fontId="36" fillId="0" borderId="68" xfId="1" applyNumberFormat="1" applyFont="1" applyBorder="1" applyAlignment="1">
      <alignment horizontal="center" vertical="center"/>
    </xf>
    <xf numFmtId="9" fontId="36" fillId="0" borderId="61" xfId="1" applyNumberFormat="1" applyFont="1" applyBorder="1" applyAlignment="1">
      <alignment horizontal="center" vertical="center"/>
    </xf>
    <xf numFmtId="9" fontId="36" fillId="0" borderId="68" xfId="1" applyNumberFormat="1" applyFont="1" applyBorder="1" applyAlignment="1">
      <alignment horizontal="center" vertical="center"/>
    </xf>
    <xf numFmtId="9" fontId="36" fillId="2" borderId="59" xfId="1" applyFont="1" applyFill="1" applyBorder="1" applyAlignment="1">
      <alignment horizontal="center" vertical="center"/>
    </xf>
    <xf numFmtId="9" fontId="36" fillId="2" borderId="59" xfId="0" applyNumberFormat="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9" fontId="36" fillId="2" borderId="59" xfId="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171" fontId="36" fillId="2" borderId="61" xfId="40" applyNumberFormat="1" applyFont="1" applyFill="1" applyBorder="1" applyAlignment="1">
      <alignment horizontal="center" vertical="center"/>
    </xf>
    <xf numFmtId="171" fontId="36" fillId="2" borderId="68" xfId="40" applyNumberFormat="1" applyFont="1" applyFill="1" applyBorder="1" applyAlignment="1">
      <alignment horizontal="center" vertical="center"/>
    </xf>
    <xf numFmtId="10" fontId="36" fillId="2" borderId="61" xfId="0" applyNumberFormat="1" applyFont="1" applyFill="1" applyBorder="1" applyAlignment="1">
      <alignment horizontal="center" vertical="center"/>
    </xf>
    <xf numFmtId="10" fontId="36" fillId="2" borderId="68" xfId="0" applyNumberFormat="1" applyFont="1" applyFill="1" applyBorder="1" applyAlignment="1">
      <alignment horizontal="center" vertical="center"/>
    </xf>
    <xf numFmtId="9" fontId="36" fillId="2" borderId="68" xfId="0" applyNumberFormat="1" applyFont="1" applyFill="1" applyBorder="1" applyAlignment="1">
      <alignment horizontal="center" vertical="center"/>
    </xf>
    <xf numFmtId="9" fontId="36" fillId="3" borderId="63" xfId="0" applyNumberFormat="1" applyFont="1" applyFill="1" applyBorder="1" applyAlignment="1">
      <alignment horizontal="center" vertical="center" wrapText="1"/>
    </xf>
    <xf numFmtId="9" fontId="36" fillId="10" borderId="71" xfId="0" applyNumberFormat="1" applyFont="1" applyFill="1" applyBorder="1" applyAlignment="1">
      <alignment horizontal="center" vertical="center" wrapText="1"/>
    </xf>
    <xf numFmtId="9" fontId="36" fillId="4" borderId="59" xfId="0" applyNumberFormat="1" applyFont="1" applyFill="1" applyBorder="1" applyAlignment="1">
      <alignment horizontal="center" vertical="center" wrapText="1"/>
    </xf>
    <xf numFmtId="9" fontId="36" fillId="3" borderId="61" xfId="0" applyNumberFormat="1" applyFont="1" applyFill="1" applyBorder="1" applyAlignment="1">
      <alignment horizontal="center" vertical="center" wrapText="1"/>
    </xf>
    <xf numFmtId="9" fontId="36" fillId="10" borderId="68" xfId="0" applyNumberFormat="1" applyFont="1" applyFill="1" applyBorder="1" applyAlignment="1">
      <alignment horizontal="center" vertical="center" wrapText="1"/>
    </xf>
    <xf numFmtId="9" fontId="36" fillId="0" borderId="59" xfId="0" applyNumberFormat="1" applyFont="1" applyBorder="1" applyAlignment="1">
      <alignment horizontal="center" vertical="center"/>
    </xf>
    <xf numFmtId="0" fontId="36" fillId="0" borderId="33" xfId="40" applyNumberFormat="1" applyFont="1" applyFill="1" applyBorder="1" applyAlignment="1">
      <alignment horizontal="center" vertical="center" wrapText="1"/>
    </xf>
    <xf numFmtId="0" fontId="36" fillId="6" borderId="68" xfId="40" applyNumberFormat="1" applyFont="1" applyFill="1" applyBorder="1" applyAlignment="1">
      <alignment horizontal="center" vertical="center"/>
    </xf>
    <xf numFmtId="0" fontId="36" fillId="0" borderId="33" xfId="40" applyNumberFormat="1" applyFont="1" applyFill="1" applyBorder="1" applyAlignment="1">
      <alignment horizontal="center" vertical="center"/>
    </xf>
    <xf numFmtId="0" fontId="36" fillId="0" borderId="59" xfId="1" applyNumberFormat="1" applyFont="1" applyBorder="1" applyAlignment="1">
      <alignment horizontal="center" vertical="center"/>
    </xf>
    <xf numFmtId="0" fontId="36" fillId="0" borderId="61" xfId="1" applyNumberFormat="1" applyFont="1" applyBorder="1" applyAlignment="1">
      <alignment horizontal="center" vertical="center"/>
    </xf>
    <xf numFmtId="0" fontId="36" fillId="0" borderId="68" xfId="1" applyNumberFormat="1" applyFont="1" applyBorder="1" applyAlignment="1">
      <alignment horizontal="center" vertical="center"/>
    </xf>
    <xf numFmtId="0" fontId="36" fillId="0" borderId="59" xfId="1" applyNumberFormat="1" applyFont="1" applyFill="1" applyBorder="1" applyAlignment="1">
      <alignment horizontal="center" vertical="center"/>
    </xf>
    <xf numFmtId="0" fontId="36" fillId="0" borderId="61" xfId="1" applyNumberFormat="1" applyFont="1" applyFill="1" applyBorder="1" applyAlignment="1">
      <alignment horizontal="center" vertical="center"/>
    </xf>
    <xf numFmtId="0" fontId="36" fillId="0" borderId="68" xfId="1" applyNumberFormat="1" applyFont="1" applyFill="1" applyBorder="1" applyAlignment="1">
      <alignment horizontal="center" vertical="center"/>
    </xf>
    <xf numFmtId="9" fontId="36" fillId="0" borderId="59" xfId="1" applyFont="1" applyBorder="1" applyAlignment="1">
      <alignment horizontal="center" vertical="center"/>
    </xf>
    <xf numFmtId="9" fontId="36" fillId="0" borderId="61" xfId="1" applyFont="1" applyBorder="1" applyAlignment="1">
      <alignment horizontal="center" vertical="center"/>
    </xf>
    <xf numFmtId="9" fontId="36" fillId="0" borderId="68" xfId="1" applyFont="1" applyBorder="1" applyAlignment="1">
      <alignment horizontal="center" vertical="center"/>
    </xf>
    <xf numFmtId="9" fontId="36" fillId="4" borderId="45" xfId="0" applyNumberFormat="1" applyFont="1" applyFill="1" applyBorder="1" applyAlignment="1">
      <alignment horizontal="center" vertical="center" wrapText="1"/>
    </xf>
    <xf numFmtId="9" fontId="36" fillId="0" borderId="59" xfId="1" applyFont="1" applyBorder="1" applyAlignment="1">
      <alignment vertical="center"/>
    </xf>
    <xf numFmtId="9" fontId="36" fillId="0" borderId="61" xfId="1" applyFont="1" applyBorder="1" applyAlignment="1">
      <alignment vertical="center"/>
    </xf>
    <xf numFmtId="9" fontId="36" fillId="0" borderId="68" xfId="1" applyFont="1" applyBorder="1" applyAlignment="1">
      <alignment vertical="center"/>
    </xf>
    <xf numFmtId="169" fontId="36" fillId="2" borderId="59" xfId="40" applyNumberFormat="1" applyFont="1" applyFill="1" applyBorder="1" applyAlignment="1">
      <alignment horizontal="center" vertical="center"/>
    </xf>
    <xf numFmtId="0" fontId="46" fillId="8" borderId="33" xfId="0" applyFont="1" applyFill="1" applyBorder="1" applyAlignment="1">
      <alignment horizontal="left" vertical="center" wrapText="1"/>
    </xf>
    <xf numFmtId="0" fontId="46" fillId="0" borderId="33" xfId="0" applyFont="1" applyBorder="1" applyAlignment="1">
      <alignment horizontal="left" vertical="center" wrapText="1"/>
    </xf>
    <xf numFmtId="0" fontId="46" fillId="0" borderId="33" xfId="0" applyFont="1" applyBorder="1" applyAlignment="1">
      <alignment vertical="center" wrapText="1"/>
    </xf>
    <xf numFmtId="0" fontId="46" fillId="8" borderId="33" xfId="0" applyFont="1" applyFill="1" applyBorder="1" applyAlignment="1">
      <alignment vertical="center" wrapText="1"/>
    </xf>
    <xf numFmtId="10" fontId="0" fillId="0" borderId="0" xfId="0" applyNumberFormat="1"/>
    <xf numFmtId="0" fontId="47" fillId="0" borderId="33" xfId="0" applyFont="1" applyBorder="1" applyAlignment="1">
      <alignment vertical="center" wrapText="1"/>
    </xf>
    <xf numFmtId="10" fontId="0" fillId="0" borderId="33" xfId="1" applyNumberFormat="1" applyFont="1" applyBorder="1" applyAlignment="1">
      <alignment horizontal="center" vertical="center"/>
    </xf>
    <xf numFmtId="10" fontId="37" fillId="2" borderId="33" xfId="0" applyNumberFormat="1" applyFont="1" applyFill="1" applyBorder="1" applyAlignment="1">
      <alignment vertical="center"/>
    </xf>
    <xf numFmtId="10" fontId="36" fillId="0" borderId="59" xfId="1" applyNumberFormat="1" applyFont="1" applyBorder="1" applyAlignment="1">
      <alignment horizontal="center" vertical="center"/>
    </xf>
    <xf numFmtId="3" fontId="36" fillId="0" borderId="0" xfId="0" applyNumberFormat="1" applyFont="1"/>
    <xf numFmtId="3" fontId="36" fillId="0" borderId="0" xfId="0" applyNumberFormat="1" applyFont="1" applyFill="1" applyBorder="1" applyAlignment="1">
      <alignment horizontal="center" vertical="center" wrapText="1"/>
    </xf>
    <xf numFmtId="3" fontId="36" fillId="0" borderId="0" xfId="0" applyNumberFormat="1" applyFont="1" applyFill="1" applyBorder="1" applyAlignment="1">
      <alignment horizontal="center" vertical="center"/>
    </xf>
    <xf numFmtId="3" fontId="36" fillId="0" borderId="0" xfId="0" applyNumberFormat="1" applyFont="1" applyAlignment="1">
      <alignment horizontal="center" vertical="center"/>
    </xf>
    <xf numFmtId="3" fontId="36" fillId="0" borderId="0" xfId="0" applyNumberFormat="1" applyFont="1" applyAlignment="1">
      <alignment horizontal="center" vertical="center" wrapText="1"/>
    </xf>
    <xf numFmtId="172" fontId="36" fillId="0" borderId="0" xfId="40" applyNumberFormat="1" applyFont="1" applyFill="1" applyBorder="1" applyAlignment="1">
      <alignment vertical="center" wrapText="1"/>
    </xf>
    <xf numFmtId="41" fontId="36" fillId="0" borderId="0" xfId="40" applyFont="1"/>
    <xf numFmtId="41" fontId="36" fillId="0" borderId="0" xfId="0" applyNumberFormat="1" applyFont="1"/>
    <xf numFmtId="0" fontId="36" fillId="0" borderId="3" xfId="0" applyFont="1" applyFill="1" applyBorder="1" applyAlignment="1">
      <alignment vertical="center" wrapText="1"/>
    </xf>
    <xf numFmtId="10" fontId="36" fillId="0" borderId="58" xfId="1" applyNumberFormat="1" applyFont="1" applyFill="1" applyBorder="1" applyAlignment="1">
      <alignment horizontal="left" vertical="center" wrapText="1"/>
    </xf>
    <xf numFmtId="0" fontId="39" fillId="8" borderId="3" xfId="0" applyFont="1" applyFill="1" applyBorder="1" applyAlignment="1">
      <alignment vertical="center" wrapText="1"/>
    </xf>
    <xf numFmtId="0" fontId="41" fillId="8" borderId="30" xfId="0" applyFont="1" applyFill="1" applyBorder="1" applyAlignment="1">
      <alignment vertical="center" wrapText="1"/>
    </xf>
    <xf numFmtId="4" fontId="36" fillId="0" borderId="0" xfId="0" applyNumberFormat="1" applyFont="1" applyFill="1" applyBorder="1"/>
    <xf numFmtId="10" fontId="36" fillId="8" borderId="3" xfId="1" applyNumberFormat="1" applyFont="1" applyFill="1" applyBorder="1" applyAlignment="1">
      <alignment horizontal="left" vertical="center" wrapText="1"/>
    </xf>
    <xf numFmtId="10" fontId="36" fillId="0" borderId="61" xfId="1" applyNumberFormat="1" applyFont="1" applyBorder="1" applyAlignment="1">
      <alignment horizontal="center" vertical="center"/>
    </xf>
    <xf numFmtId="0" fontId="45" fillId="11" borderId="33" xfId="0" applyFont="1" applyFill="1" applyBorder="1" applyAlignment="1">
      <alignment horizontal="center" vertical="center"/>
    </xf>
    <xf numFmtId="0" fontId="45" fillId="11" borderId="33" xfId="0" applyFont="1" applyFill="1" applyBorder="1" applyAlignment="1">
      <alignment horizontal="center" vertical="center" wrapText="1"/>
    </xf>
    <xf numFmtId="169" fontId="36" fillId="0" borderId="24" xfId="40" applyNumberFormat="1" applyFont="1" applyBorder="1" applyAlignment="1">
      <alignment horizontal="left" vertical="center" wrapText="1"/>
    </xf>
    <xf numFmtId="169" fontId="36" fillId="0" borderId="27" xfId="40" applyNumberFormat="1" applyFont="1" applyBorder="1" applyAlignment="1">
      <alignment horizontal="left" vertical="center" wrapText="1"/>
    </xf>
    <xf numFmtId="169" fontId="36" fillId="8" borderId="27" xfId="40" applyNumberFormat="1" applyFont="1" applyFill="1" applyBorder="1" applyAlignment="1">
      <alignment vertical="center" wrapText="1"/>
    </xf>
    <xf numFmtId="169" fontId="36" fillId="0" borderId="1" xfId="40" applyNumberFormat="1" applyFont="1" applyBorder="1" applyAlignment="1">
      <alignment horizontal="left" vertical="center"/>
    </xf>
    <xf numFmtId="169" fontId="36" fillId="0" borderId="22" xfId="40" applyNumberFormat="1" applyFont="1" applyBorder="1" applyAlignment="1">
      <alignment horizontal="left" vertical="center" wrapText="1"/>
    </xf>
    <xf numFmtId="169" fontId="36" fillId="0" borderId="33" xfId="40" applyNumberFormat="1" applyFont="1" applyBorder="1" applyAlignment="1">
      <alignment horizontal="left" vertical="center" wrapText="1"/>
    </xf>
    <xf numFmtId="169" fontId="36" fillId="0" borderId="1" xfId="40" applyNumberFormat="1" applyFont="1" applyBorder="1" applyAlignment="1">
      <alignment horizontal="left" vertical="center" wrapText="1"/>
    </xf>
    <xf numFmtId="169" fontId="36" fillId="0" borderId="0" xfId="0" applyNumberFormat="1" applyFont="1"/>
    <xf numFmtId="0" fontId="0" fillId="0" borderId="59" xfId="0" applyBorder="1" applyAlignment="1">
      <alignment vertical="center" wrapText="1"/>
    </xf>
    <xf numFmtId="9" fontId="0" fillId="0" borderId="68" xfId="1" applyFont="1" applyBorder="1" applyAlignment="1">
      <alignment vertical="center"/>
    </xf>
    <xf numFmtId="0" fontId="4" fillId="0" borderId="0" xfId="0" applyFont="1" applyAlignment="1"/>
    <xf numFmtId="10" fontId="36" fillId="0" borderId="61" xfId="1" applyNumberFormat="1" applyFont="1" applyBorder="1" applyAlignment="1">
      <alignment horizontal="center" vertical="center"/>
    </xf>
    <xf numFmtId="164" fontId="36" fillId="0" borderId="0" xfId="43" applyFont="1"/>
    <xf numFmtId="164" fontId="36" fillId="0" borderId="0" xfId="0" applyNumberFormat="1" applyFont="1"/>
    <xf numFmtId="9" fontId="36" fillId="0" borderId="0" xfId="1" applyFont="1"/>
    <xf numFmtId="4" fontId="36" fillId="0" borderId="0" xfId="0" applyNumberFormat="1" applyFont="1"/>
    <xf numFmtId="10" fontId="36" fillId="0" borderId="61" xfId="1" applyNumberFormat="1" applyFont="1" applyBorder="1" applyAlignment="1">
      <alignment horizontal="center" vertical="center"/>
    </xf>
    <xf numFmtId="10" fontId="36" fillId="0" borderId="61" xfId="1" applyNumberFormat="1" applyFont="1" applyBorder="1" applyAlignment="1">
      <alignment horizontal="center" vertical="center"/>
    </xf>
    <xf numFmtId="1" fontId="0" fillId="0" borderId="0" xfId="0" applyNumberFormat="1" applyAlignment="1">
      <alignment vertical="top" wrapText="1"/>
    </xf>
    <xf numFmtId="3" fontId="0" fillId="0" borderId="0" xfId="0" applyNumberFormat="1"/>
    <xf numFmtId="0" fontId="0" fillId="0" borderId="0" xfId="0" quotePrefix="1"/>
    <xf numFmtId="42" fontId="0" fillId="0" borderId="0" xfId="44" applyFont="1"/>
    <xf numFmtId="42" fontId="0" fillId="0" borderId="0" xfId="0" applyNumberFormat="1"/>
    <xf numFmtId="173" fontId="0" fillId="0" borderId="0" xfId="0" applyNumberFormat="1"/>
    <xf numFmtId="174" fontId="0" fillId="0" borderId="0" xfId="0" applyNumberFormat="1"/>
    <xf numFmtId="10" fontId="36" fillId="0" borderId="61" xfId="1" applyNumberFormat="1" applyFont="1" applyBorder="1" applyAlignment="1">
      <alignment horizontal="center" vertical="center"/>
    </xf>
    <xf numFmtId="0" fontId="0" fillId="0" borderId="0" xfId="0" applyAlignment="1">
      <alignment horizontal="center" wrapText="1"/>
    </xf>
    <xf numFmtId="41" fontId="0" fillId="0" borderId="0" xfId="40" applyFont="1" applyAlignment="1">
      <alignment horizontal="right"/>
    </xf>
    <xf numFmtId="169" fontId="0" fillId="0" borderId="0" xfId="0" applyNumberFormat="1" applyAlignment="1">
      <alignment horizontal="right"/>
    </xf>
    <xf numFmtId="2" fontId="0" fillId="0" borderId="0" xfId="0" applyNumberFormat="1" applyAlignment="1">
      <alignment horizontal="right"/>
    </xf>
    <xf numFmtId="2" fontId="36" fillId="0" borderId="0" xfId="0" applyNumberFormat="1" applyFont="1" applyFill="1" applyBorder="1" applyAlignment="1">
      <alignment vertical="center" wrapText="1"/>
    </xf>
    <xf numFmtId="1" fontId="36" fillId="0" borderId="0" xfId="0" applyNumberFormat="1" applyFont="1" applyFill="1" applyBorder="1" applyAlignment="1">
      <alignment vertical="center" wrapText="1"/>
    </xf>
    <xf numFmtId="10" fontId="36" fillId="0" borderId="61" xfId="1" applyNumberFormat="1" applyFont="1" applyBorder="1" applyAlignment="1">
      <alignment horizontal="center" vertical="center"/>
    </xf>
    <xf numFmtId="2" fontId="0" fillId="0" borderId="0" xfId="0" applyNumberFormat="1"/>
    <xf numFmtId="10" fontId="0" fillId="0" borderId="33" xfId="1" applyNumberFormat="1" applyFont="1" applyBorder="1" applyAlignment="1">
      <alignment horizontal="center" vertical="center"/>
    </xf>
    <xf numFmtId="0" fontId="46" fillId="0" borderId="33" xfId="0" applyFont="1" applyBorder="1" applyAlignment="1">
      <alignment horizontal="left" vertical="center" wrapText="1"/>
    </xf>
    <xf numFmtId="10" fontId="0" fillId="0" borderId="29" xfId="1" applyNumberFormat="1" applyFont="1" applyBorder="1" applyAlignment="1">
      <alignment horizontal="center" vertical="center"/>
    </xf>
    <xf numFmtId="10" fontId="0" fillId="0" borderId="32" xfId="1" applyNumberFormat="1" applyFont="1" applyBorder="1" applyAlignment="1">
      <alignment horizontal="center" vertical="center"/>
    </xf>
    <xf numFmtId="0" fontId="45" fillId="11" borderId="29" xfId="0" applyFont="1" applyFill="1" applyBorder="1" applyAlignment="1">
      <alignment horizontal="center" vertical="center"/>
    </xf>
    <xf numFmtId="0" fontId="37" fillId="2" borderId="1" xfId="0" applyFont="1" applyFill="1" applyBorder="1" applyAlignment="1">
      <alignment horizontal="center"/>
    </xf>
    <xf numFmtId="0" fontId="37" fillId="2" borderId="2" xfId="0" applyFont="1" applyFill="1" applyBorder="1" applyAlignment="1">
      <alignment horizontal="center"/>
    </xf>
    <xf numFmtId="0" fontId="37" fillId="2" borderId="3" xfId="0" applyFont="1" applyFill="1" applyBorder="1" applyAlignment="1">
      <alignment horizontal="center"/>
    </xf>
    <xf numFmtId="0" fontId="45" fillId="11" borderId="33" xfId="0" applyFont="1" applyFill="1" applyBorder="1" applyAlignment="1">
      <alignment horizontal="center" vertical="center"/>
    </xf>
    <xf numFmtId="0" fontId="45" fillId="11" borderId="33" xfId="0" applyFont="1" applyFill="1" applyBorder="1" applyAlignment="1">
      <alignment horizontal="center" vertical="center" wrapText="1"/>
    </xf>
    <xf numFmtId="169" fontId="39" fillId="0" borderId="29" xfId="40" applyNumberFormat="1" applyFont="1" applyBorder="1" applyAlignment="1">
      <alignment horizontal="center" vertical="center" wrapText="1"/>
    </xf>
    <xf numFmtId="169" fontId="39" fillId="0" borderId="32" xfId="40" applyNumberFormat="1" applyFont="1" applyBorder="1" applyAlignment="1">
      <alignment horizontal="center" vertical="center" wrapText="1"/>
    </xf>
    <xf numFmtId="0" fontId="36" fillId="0" borderId="24" xfId="0" applyFont="1" applyFill="1" applyBorder="1" applyAlignment="1">
      <alignment horizontal="center" vertical="center" wrapText="1"/>
    </xf>
    <xf numFmtId="169" fontId="36" fillId="0" borderId="29" xfId="40" applyNumberFormat="1" applyFont="1" applyBorder="1" applyAlignment="1">
      <alignment horizontal="center" vertical="center" wrapText="1"/>
    </xf>
    <xf numFmtId="169" fontId="36" fillId="0" borderId="31" xfId="40" applyNumberFormat="1" applyFont="1" applyBorder="1" applyAlignment="1">
      <alignment horizontal="center" vertical="center" wrapText="1"/>
    </xf>
    <xf numFmtId="169" fontId="36" fillId="0" borderId="32" xfId="40" applyNumberFormat="1" applyFont="1" applyBorder="1" applyAlignment="1">
      <alignment horizontal="center" vertical="center" wrapText="1"/>
    </xf>
    <xf numFmtId="10" fontId="36" fillId="0" borderId="40" xfId="1" applyNumberFormat="1" applyFont="1" applyBorder="1" applyAlignment="1">
      <alignment horizontal="center" vertical="center"/>
    </xf>
    <xf numFmtId="10" fontId="36" fillId="0" borderId="76" xfId="1" applyNumberFormat="1" applyFont="1" applyBorder="1" applyAlignment="1">
      <alignment horizontal="center" vertical="center"/>
    </xf>
    <xf numFmtId="10" fontId="36" fillId="10" borderId="11" xfId="1" applyNumberFormat="1" applyFont="1" applyFill="1" applyBorder="1" applyAlignment="1">
      <alignment horizontal="center" vertical="center" wrapText="1"/>
    </xf>
    <xf numFmtId="10" fontId="36" fillId="10" borderId="67" xfId="1" applyNumberFormat="1" applyFont="1" applyFill="1" applyBorder="1" applyAlignment="1">
      <alignment horizontal="center" vertical="center" wrapText="1"/>
    </xf>
    <xf numFmtId="1" fontId="36" fillId="0" borderId="40" xfId="0" applyNumberFormat="1" applyFont="1" applyBorder="1" applyAlignment="1">
      <alignment horizontal="center" vertical="center" wrapText="1"/>
    </xf>
    <xf numFmtId="1" fontId="36" fillId="0" borderId="76" xfId="0" applyNumberFormat="1" applyFont="1" applyBorder="1" applyAlignment="1">
      <alignment horizontal="center" vertical="center" wrapText="1"/>
    </xf>
    <xf numFmtId="10" fontId="36" fillId="4" borderId="9" xfId="1" applyNumberFormat="1" applyFont="1" applyFill="1" applyBorder="1" applyAlignment="1">
      <alignment horizontal="center" vertical="center" wrapText="1"/>
    </xf>
    <xf numFmtId="10" fontId="36" fillId="4" borderId="70" xfId="1" applyNumberFormat="1" applyFont="1" applyFill="1" applyBorder="1" applyAlignment="1">
      <alignment horizontal="center" vertical="center" wrapText="1"/>
    </xf>
    <xf numFmtId="10" fontId="36" fillId="3" borderId="10" xfId="1" applyNumberFormat="1" applyFont="1" applyFill="1" applyBorder="1" applyAlignment="1">
      <alignment horizontal="center" vertical="center" wrapText="1"/>
    </xf>
    <xf numFmtId="10" fontId="36" fillId="3" borderId="15" xfId="1" applyNumberFormat="1" applyFont="1" applyFill="1" applyBorder="1" applyAlignment="1">
      <alignment horizontal="center" vertical="center" wrapText="1"/>
    </xf>
    <xf numFmtId="166" fontId="36" fillId="0" borderId="40" xfId="0" applyNumberFormat="1" applyFont="1" applyBorder="1" applyAlignment="1">
      <alignment horizontal="center" vertical="center" wrapText="1"/>
    </xf>
    <xf numFmtId="166" fontId="36" fillId="0" borderId="76" xfId="0" applyNumberFormat="1" applyFont="1" applyBorder="1" applyAlignment="1">
      <alignment horizontal="center" vertical="center" wrapText="1"/>
    </xf>
    <xf numFmtId="0" fontId="39" fillId="0" borderId="56" xfId="0" applyFont="1" applyBorder="1" applyAlignment="1">
      <alignment horizontal="left" vertical="center" wrapText="1"/>
    </xf>
    <xf numFmtId="0" fontId="39" fillId="0" borderId="20" xfId="0" applyFont="1" applyBorder="1" applyAlignment="1">
      <alignment horizontal="left" vertical="center" wrapText="1"/>
    </xf>
    <xf numFmtId="10" fontId="36" fillId="6" borderId="11" xfId="1" applyNumberFormat="1" applyFont="1" applyFill="1" applyBorder="1" applyAlignment="1">
      <alignment horizontal="center" vertical="center"/>
    </xf>
    <xf numFmtId="10" fontId="36" fillId="6" borderId="67" xfId="1" applyNumberFormat="1" applyFont="1" applyFill="1" applyBorder="1" applyAlignment="1">
      <alignment horizontal="center" vertical="center"/>
    </xf>
    <xf numFmtId="0" fontId="36" fillId="7" borderId="29" xfId="0" applyFont="1" applyFill="1" applyBorder="1" applyAlignment="1">
      <alignment horizontal="left" vertical="center" wrapText="1"/>
    </xf>
    <xf numFmtId="0" fontId="36" fillId="7" borderId="32" xfId="0" applyFont="1" applyFill="1" applyBorder="1" applyAlignment="1">
      <alignment horizontal="left" vertical="center" wrapText="1"/>
    </xf>
    <xf numFmtId="0" fontId="36" fillId="0" borderId="30" xfId="0" applyFont="1" applyBorder="1" applyAlignment="1">
      <alignment horizontal="left" vertical="center" wrapText="1"/>
    </xf>
    <xf numFmtId="0" fontId="36" fillId="0" borderId="58" xfId="0" applyFont="1" applyBorder="1" applyAlignment="1">
      <alignment horizontal="left" vertical="center" wrapText="1"/>
    </xf>
    <xf numFmtId="0" fontId="39" fillId="8" borderId="38" xfId="0" applyFont="1" applyFill="1" applyBorder="1" applyAlignment="1">
      <alignment horizontal="left" vertical="center" wrapText="1"/>
    </xf>
    <xf numFmtId="0" fontId="39" fillId="8" borderId="74" xfId="0" applyFont="1" applyFill="1" applyBorder="1" applyAlignment="1">
      <alignment horizontal="left" vertical="center" wrapText="1"/>
    </xf>
    <xf numFmtId="0" fontId="39" fillId="8" borderId="63" xfId="0" applyFont="1" applyFill="1" applyBorder="1" applyAlignment="1">
      <alignment horizontal="left" vertical="center" wrapText="1"/>
    </xf>
    <xf numFmtId="0" fontId="39" fillId="8" borderId="66" xfId="0" applyFont="1" applyFill="1" applyBorder="1" applyAlignment="1">
      <alignment horizontal="left" vertical="center" wrapText="1"/>
    </xf>
    <xf numFmtId="10" fontId="36" fillId="3" borderId="63" xfId="0" applyNumberFormat="1" applyFont="1" applyFill="1" applyBorder="1" applyAlignment="1">
      <alignment horizontal="center" vertical="center" wrapText="1"/>
    </xf>
    <xf numFmtId="10" fontId="36" fillId="3" borderId="66" xfId="0" applyNumberFormat="1" applyFont="1" applyFill="1" applyBorder="1" applyAlignment="1">
      <alignment horizontal="center" vertical="center" wrapText="1"/>
    </xf>
    <xf numFmtId="10" fontId="36" fillId="4" borderId="51" xfId="0" applyNumberFormat="1" applyFont="1" applyFill="1" applyBorder="1" applyAlignment="1">
      <alignment horizontal="center" vertical="center" wrapText="1"/>
    </xf>
    <xf numFmtId="10" fontId="36" fillId="4" borderId="45" xfId="0" applyNumberFormat="1" applyFont="1" applyFill="1" applyBorder="1" applyAlignment="1">
      <alignment horizontal="center" vertical="center" wrapText="1"/>
    </xf>
    <xf numFmtId="0" fontId="36" fillId="0" borderId="29" xfId="0" applyFont="1" applyBorder="1" applyAlignment="1">
      <alignment horizontal="center" vertical="center"/>
    </xf>
    <xf numFmtId="0" fontId="36" fillId="0" borderId="32" xfId="0" applyFont="1" applyBorder="1" applyAlignment="1">
      <alignment horizontal="center" vertical="center"/>
    </xf>
    <xf numFmtId="10" fontId="36" fillId="6" borderId="34" xfId="1" applyNumberFormat="1" applyFont="1" applyFill="1" applyBorder="1" applyAlignment="1">
      <alignment horizontal="center" vertical="center"/>
    </xf>
    <xf numFmtId="10" fontId="36" fillId="6" borderId="28" xfId="1" applyNumberFormat="1" applyFont="1" applyFill="1" applyBorder="1" applyAlignment="1">
      <alignment horizontal="center" vertical="center"/>
    </xf>
    <xf numFmtId="6" fontId="36" fillId="6" borderId="29" xfId="1" applyNumberFormat="1" applyFont="1" applyFill="1" applyBorder="1" applyAlignment="1">
      <alignment horizontal="center" vertical="center" wrapText="1"/>
    </xf>
    <xf numFmtId="6" fontId="36" fillId="6" borderId="32" xfId="1" applyNumberFormat="1" applyFont="1" applyFill="1" applyBorder="1" applyAlignment="1">
      <alignment horizontal="center" vertical="center" wrapText="1"/>
    </xf>
    <xf numFmtId="10" fontId="36" fillId="0" borderId="29" xfId="1" applyNumberFormat="1" applyFont="1" applyBorder="1" applyAlignment="1">
      <alignment horizontal="center" vertical="center" wrapText="1"/>
    </xf>
    <xf numFmtId="10" fontId="36" fillId="0" borderId="32" xfId="1" applyNumberFormat="1" applyFont="1" applyBorder="1" applyAlignment="1">
      <alignment horizontal="center" vertical="center" wrapText="1"/>
    </xf>
    <xf numFmtId="166" fontId="36" fillId="0" borderId="29" xfId="0" applyNumberFormat="1" applyFont="1" applyBorder="1" applyAlignment="1">
      <alignment horizontal="center" vertical="center" wrapText="1"/>
    </xf>
    <xf numFmtId="166" fontId="36" fillId="0" borderId="32" xfId="0" applyNumberFormat="1" applyFont="1" applyBorder="1" applyAlignment="1">
      <alignment horizontal="center" vertical="center" wrapText="1"/>
    </xf>
    <xf numFmtId="10" fontId="36" fillId="10" borderId="71" xfId="0" applyNumberFormat="1" applyFont="1" applyFill="1" applyBorder="1" applyAlignment="1">
      <alignment horizontal="center" vertical="center" wrapText="1"/>
    </xf>
    <xf numFmtId="10" fontId="36" fillId="10" borderId="46" xfId="0" applyNumberFormat="1" applyFont="1" applyFill="1" applyBorder="1" applyAlignment="1">
      <alignment horizontal="center" vertical="center" wrapText="1"/>
    </xf>
    <xf numFmtId="10" fontId="36" fillId="0" borderId="29" xfId="0" applyNumberFormat="1" applyFont="1" applyBorder="1" applyAlignment="1">
      <alignment horizontal="center" vertical="center"/>
    </xf>
    <xf numFmtId="10" fontId="36" fillId="0" borderId="32" xfId="0" applyNumberFormat="1" applyFont="1" applyBorder="1" applyAlignment="1">
      <alignment horizontal="center" vertical="center"/>
    </xf>
    <xf numFmtId="9" fontId="36" fillId="0" borderId="63" xfId="1" applyFont="1" applyBorder="1" applyAlignment="1">
      <alignment horizontal="center" vertical="center"/>
    </xf>
    <xf numFmtId="9" fontId="36" fillId="0" borderId="66" xfId="1" applyFont="1" applyBorder="1" applyAlignment="1">
      <alignment horizontal="center" vertical="center"/>
    </xf>
    <xf numFmtId="0" fontId="38" fillId="11" borderId="63" xfId="0" applyFont="1" applyFill="1" applyBorder="1" applyAlignment="1">
      <alignment horizontal="center" vertical="center" wrapText="1"/>
    </xf>
    <xf numFmtId="0" fontId="38" fillId="11" borderId="47" xfId="0" applyFont="1" applyFill="1" applyBorder="1" applyAlignment="1">
      <alignment horizontal="center" vertical="center" wrapText="1"/>
    </xf>
    <xf numFmtId="0" fontId="38" fillId="11" borderId="51" xfId="0" applyFont="1" applyFill="1" applyBorder="1" applyAlignment="1">
      <alignment horizontal="center" vertical="center"/>
    </xf>
    <xf numFmtId="0" fontId="38" fillId="11" borderId="53" xfId="0" applyFont="1" applyFill="1" applyBorder="1" applyAlignment="1">
      <alignment horizontal="center" vertical="center"/>
    </xf>
    <xf numFmtId="0" fontId="38" fillId="11" borderId="51" xfId="0" applyFont="1" applyFill="1" applyBorder="1" applyAlignment="1">
      <alignment horizontal="center" vertical="center" wrapText="1"/>
    </xf>
    <xf numFmtId="0" fontId="38" fillId="11" borderId="53" xfId="0" applyFont="1" applyFill="1" applyBorder="1" applyAlignment="1">
      <alignment horizontal="center" vertical="center" wrapText="1"/>
    </xf>
    <xf numFmtId="0" fontId="36" fillId="0" borderId="29" xfId="0" quotePrefix="1" applyFont="1" applyBorder="1" applyAlignment="1">
      <alignment horizontal="left" vertical="center" wrapText="1"/>
    </xf>
    <xf numFmtId="0" fontId="36" fillId="0" borderId="32" xfId="0" quotePrefix="1" applyFont="1" applyBorder="1" applyAlignment="1">
      <alignment horizontal="left" vertical="center" wrapText="1"/>
    </xf>
    <xf numFmtId="0" fontId="36" fillId="0" borderId="31" xfId="0" applyFont="1" applyBorder="1" applyAlignment="1">
      <alignment horizontal="left" vertical="center" wrapText="1"/>
    </xf>
    <xf numFmtId="0" fontId="36" fillId="0" borderId="32" xfId="0" applyFont="1" applyBorder="1" applyAlignment="1">
      <alignment horizontal="left" vertical="center" wrapText="1"/>
    </xf>
    <xf numFmtId="0" fontId="36" fillId="0" borderId="29" xfId="0" applyFont="1" applyBorder="1" applyAlignment="1">
      <alignment horizontal="center" vertical="center" wrapText="1"/>
    </xf>
    <xf numFmtId="0" fontId="36" fillId="0" borderId="31" xfId="0" applyFont="1" applyBorder="1" applyAlignment="1">
      <alignment horizontal="center" vertical="center" wrapText="1"/>
    </xf>
    <xf numFmtId="0" fontId="39" fillId="0" borderId="29" xfId="0" applyFont="1" applyBorder="1" applyAlignment="1">
      <alignment horizontal="left" vertical="center" wrapText="1"/>
    </xf>
    <xf numFmtId="0" fontId="39" fillId="0" borderId="32" xfId="0" applyFont="1" applyBorder="1" applyAlignment="1">
      <alignment horizontal="left" vertical="center" wrapText="1"/>
    </xf>
    <xf numFmtId="0" fontId="36" fillId="0" borderId="29" xfId="0" quotePrefix="1" applyFont="1" applyBorder="1" applyAlignment="1">
      <alignment horizontal="center" vertical="center" wrapText="1"/>
    </xf>
    <xf numFmtId="0" fontId="36" fillId="0" borderId="32" xfId="0" applyFont="1" applyBorder="1" applyAlignment="1">
      <alignment horizontal="center" vertical="center" wrapText="1"/>
    </xf>
    <xf numFmtId="0" fontId="39" fillId="0" borderId="29" xfId="0" quotePrefix="1" applyFont="1" applyBorder="1" applyAlignment="1">
      <alignment horizontal="left" vertical="center" wrapText="1"/>
    </xf>
    <xf numFmtId="0" fontId="39" fillId="0" borderId="65" xfId="0" applyFont="1" applyBorder="1" applyAlignment="1">
      <alignment horizontal="left" vertical="center" wrapText="1"/>
    </xf>
    <xf numFmtId="0" fontId="39" fillId="0" borderId="89" xfId="0" applyFont="1" applyBorder="1" applyAlignment="1">
      <alignment horizontal="left" vertical="center" wrapText="1"/>
    </xf>
    <xf numFmtId="0" fontId="38" fillId="11" borderId="22" xfId="0" applyFont="1" applyFill="1" applyBorder="1" applyAlignment="1">
      <alignment horizontal="center" vertical="center"/>
    </xf>
    <xf numFmtId="0" fontId="38" fillId="11" borderId="34" xfId="0" applyFont="1" applyFill="1" applyBorder="1" applyAlignment="1">
      <alignment horizontal="center" vertical="center"/>
    </xf>
    <xf numFmtId="0" fontId="38" fillId="11" borderId="30" xfId="0" applyFont="1" applyFill="1" applyBorder="1" applyAlignment="1">
      <alignment horizontal="center" vertical="center"/>
    </xf>
    <xf numFmtId="0" fontId="38" fillId="11" borderId="31" xfId="0" applyFont="1" applyFill="1" applyBorder="1" applyAlignment="1">
      <alignment horizontal="center" vertical="center"/>
    </xf>
    <xf numFmtId="0" fontId="38" fillId="11" borderId="32" xfId="0" applyFont="1" applyFill="1" applyBorder="1" applyAlignment="1">
      <alignment horizontal="center" vertical="center"/>
    </xf>
    <xf numFmtId="0" fontId="37" fillId="9" borderId="1" xfId="0" applyFont="1" applyFill="1" applyBorder="1" applyAlignment="1">
      <alignment horizontal="center" vertical="center"/>
    </xf>
    <xf numFmtId="0" fontId="37" fillId="9" borderId="2" xfId="0" applyFont="1" applyFill="1" applyBorder="1" applyAlignment="1">
      <alignment horizontal="center" vertical="center"/>
    </xf>
    <xf numFmtId="0" fontId="37" fillId="9" borderId="3" xfId="0" applyFont="1" applyFill="1" applyBorder="1" applyAlignment="1">
      <alignment horizontal="center" vertical="center"/>
    </xf>
    <xf numFmtId="10" fontId="36" fillId="0" borderId="61" xfId="1" applyNumberFormat="1" applyFont="1" applyBorder="1" applyAlignment="1">
      <alignment horizontal="center" vertical="center"/>
    </xf>
    <xf numFmtId="10" fontId="36" fillId="0" borderId="8" xfId="1" applyNumberFormat="1" applyFont="1" applyBorder="1" applyAlignment="1">
      <alignment horizontal="center" vertical="center"/>
    </xf>
    <xf numFmtId="1" fontId="36" fillId="0" borderId="8" xfId="0" applyNumberFormat="1" applyFont="1" applyBorder="1" applyAlignment="1">
      <alignment horizontal="center" vertical="center" wrapText="1"/>
    </xf>
    <xf numFmtId="166" fontId="36" fillId="0" borderId="8" xfId="0" applyNumberFormat="1" applyFont="1" applyBorder="1" applyAlignment="1">
      <alignment horizontal="center" vertical="center" wrapText="1"/>
    </xf>
    <xf numFmtId="0" fontId="39" fillId="0" borderId="64" xfId="0" applyFont="1" applyBorder="1" applyAlignment="1">
      <alignment horizontal="left" vertical="center" wrapText="1"/>
    </xf>
    <xf numFmtId="0" fontId="39" fillId="0" borderId="10" xfId="0" applyFont="1" applyBorder="1" applyAlignment="1">
      <alignment horizontal="left" vertical="center" wrapText="1"/>
    </xf>
    <xf numFmtId="0" fontId="39" fillId="0" borderId="13" xfId="0" applyFont="1" applyBorder="1" applyAlignment="1">
      <alignment horizontal="left" vertical="center" wrapText="1"/>
    </xf>
    <xf numFmtId="0" fontId="36" fillId="0" borderId="39" xfId="0" applyFont="1" applyBorder="1" applyAlignment="1">
      <alignment horizontal="left" vertical="center" wrapText="1"/>
    </xf>
    <xf numFmtId="0" fontId="36" fillId="0" borderId="35" xfId="0" applyFont="1" applyBorder="1" applyAlignment="1">
      <alignment horizontal="left" vertical="center" wrapText="1"/>
    </xf>
    <xf numFmtId="0" fontId="36" fillId="0" borderId="80" xfId="0" applyFont="1" applyBorder="1" applyAlignment="1">
      <alignment horizontal="left" vertical="center" wrapText="1"/>
    </xf>
    <xf numFmtId="0" fontId="36" fillId="0" borderId="42" xfId="0" applyFont="1" applyBorder="1" applyAlignment="1">
      <alignment horizontal="left" vertical="center" wrapText="1"/>
    </xf>
    <xf numFmtId="0" fontId="39" fillId="0" borderId="73" xfId="0" applyFont="1" applyBorder="1" applyAlignment="1">
      <alignment horizontal="left" vertical="center" wrapText="1"/>
    </xf>
    <xf numFmtId="0" fontId="36" fillId="0" borderId="79" xfId="0" applyFont="1" applyBorder="1" applyAlignment="1">
      <alignment horizontal="left" vertical="center" wrapText="1"/>
    </xf>
    <xf numFmtId="0" fontId="36" fillId="0" borderId="36" xfId="0" applyFont="1" applyBorder="1" applyAlignment="1">
      <alignment horizontal="left" vertical="center" wrapText="1"/>
    </xf>
    <xf numFmtId="0" fontId="36" fillId="0" borderId="8" xfId="0" applyFont="1" applyBorder="1" applyAlignment="1">
      <alignment horizontal="left" vertical="center" wrapText="1"/>
    </xf>
    <xf numFmtId="0" fontId="39" fillId="0" borderId="63" xfId="0" applyFont="1" applyBorder="1" applyAlignment="1">
      <alignment horizontal="left" vertical="center" wrapText="1"/>
    </xf>
    <xf numFmtId="0" fontId="39" fillId="0" borderId="66" xfId="0" applyFont="1" applyBorder="1" applyAlignment="1">
      <alignment horizontal="left" vertical="center" wrapText="1"/>
    </xf>
    <xf numFmtId="0" fontId="39" fillId="0" borderId="47" xfId="0" applyFont="1" applyBorder="1" applyAlignment="1">
      <alignment horizontal="left" vertical="center" wrapText="1"/>
    </xf>
    <xf numFmtId="0" fontId="38" fillId="11" borderId="29" xfId="0" applyFont="1" applyFill="1" applyBorder="1" applyAlignment="1">
      <alignment horizontal="center" vertical="center" wrapText="1"/>
    </xf>
    <xf numFmtId="0" fontId="38" fillId="11" borderId="31" xfId="0" applyFont="1" applyFill="1" applyBorder="1" applyAlignment="1">
      <alignment horizontal="center" vertical="center" wrapText="1"/>
    </xf>
    <xf numFmtId="0" fontId="38" fillId="11" borderId="32" xfId="0" applyFont="1" applyFill="1" applyBorder="1" applyAlignment="1">
      <alignment horizontal="center" vertical="center" wrapText="1"/>
    </xf>
    <xf numFmtId="0" fontId="38" fillId="11" borderId="38" xfId="0" applyFont="1" applyFill="1" applyBorder="1" applyAlignment="1">
      <alignment horizontal="center" vertical="center"/>
    </xf>
    <xf numFmtId="0" fontId="38" fillId="11" borderId="23" xfId="0" applyFont="1" applyFill="1" applyBorder="1" applyAlignment="1">
      <alignment horizontal="center" vertical="center"/>
    </xf>
    <xf numFmtId="0" fontId="38" fillId="11" borderId="19" xfId="0" applyFont="1" applyFill="1" applyBorder="1" applyAlignment="1">
      <alignment horizontal="center" vertical="center"/>
    </xf>
    <xf numFmtId="0" fontId="38" fillId="11" borderId="25" xfId="0" applyFont="1" applyFill="1" applyBorder="1" applyAlignment="1">
      <alignment horizontal="center" vertical="center"/>
    </xf>
    <xf numFmtId="10" fontId="36" fillId="4" borderId="12" xfId="1" applyNumberFormat="1" applyFont="1" applyFill="1" applyBorder="1" applyAlignment="1">
      <alignment horizontal="center" vertical="center" wrapText="1"/>
    </xf>
    <xf numFmtId="0" fontId="39" fillId="0" borderId="15" xfId="0" applyFont="1" applyBorder="1" applyAlignment="1">
      <alignment horizontal="left" vertical="center" wrapText="1"/>
    </xf>
    <xf numFmtId="10" fontId="36" fillId="0" borderId="59" xfId="1" applyNumberFormat="1" applyFont="1" applyBorder="1" applyAlignment="1">
      <alignment horizontal="left" vertical="center"/>
    </xf>
    <xf numFmtId="0" fontId="36" fillId="0" borderId="29" xfId="0" applyFont="1" applyBorder="1" applyAlignment="1">
      <alignment horizontal="left" vertical="center" wrapText="1"/>
    </xf>
    <xf numFmtId="0" fontId="36" fillId="0" borderId="33" xfId="0" applyFont="1" applyBorder="1" applyAlignment="1">
      <alignment horizontal="left" vertical="center" wrapText="1"/>
    </xf>
    <xf numFmtId="0" fontId="36" fillId="0" borderId="91" xfId="0" applyFont="1" applyBorder="1" applyAlignment="1">
      <alignment horizontal="center" vertical="center" wrapText="1"/>
    </xf>
    <xf numFmtId="0" fontId="36" fillId="0" borderId="92" xfId="0" applyFont="1" applyBorder="1" applyAlignment="1">
      <alignment horizontal="center" vertical="center" wrapText="1"/>
    </xf>
    <xf numFmtId="0" fontId="36" fillId="0" borderId="40" xfId="0" applyFont="1" applyBorder="1" applyAlignment="1">
      <alignment horizontal="left" vertical="center" wrapText="1"/>
    </xf>
    <xf numFmtId="0" fontId="36" fillId="0" borderId="76" xfId="0" applyFont="1" applyBorder="1" applyAlignment="1">
      <alignment horizontal="left" vertical="center" wrapText="1"/>
    </xf>
    <xf numFmtId="0" fontId="36" fillId="0" borderId="81" xfId="0" applyFont="1" applyBorder="1" applyAlignment="1">
      <alignment horizontal="left" vertical="center" wrapText="1"/>
    </xf>
    <xf numFmtId="0" fontId="36" fillId="0" borderId="88" xfId="0" applyFont="1" applyBorder="1" applyAlignment="1">
      <alignment horizontal="center" vertical="center" wrapText="1"/>
    </xf>
    <xf numFmtId="0" fontId="36" fillId="0" borderId="95" xfId="0" applyFont="1" applyBorder="1" applyAlignment="1">
      <alignment horizontal="center" vertical="center" wrapText="1"/>
    </xf>
    <xf numFmtId="1" fontId="36" fillId="0" borderId="29" xfId="0" applyNumberFormat="1" applyFont="1" applyBorder="1" applyAlignment="1">
      <alignment horizontal="center" vertical="center" wrapText="1"/>
    </xf>
    <xf numFmtId="1" fontId="36" fillId="0" borderId="32" xfId="0" applyNumberFormat="1" applyFont="1" applyBorder="1" applyAlignment="1">
      <alignment horizontal="center" vertical="center" wrapText="1"/>
    </xf>
    <xf numFmtId="0" fontId="39" fillId="8" borderId="34" xfId="0" applyFont="1" applyFill="1" applyBorder="1" applyAlignment="1">
      <alignment horizontal="left" vertical="center" wrapText="1"/>
    </xf>
    <xf numFmtId="0" fontId="39" fillId="8" borderId="28" xfId="0" applyFont="1" applyFill="1" applyBorder="1" applyAlignment="1">
      <alignment horizontal="left" vertical="center" wrapText="1"/>
    </xf>
    <xf numFmtId="0" fontId="36" fillId="0" borderId="63" xfId="0" applyFont="1" applyBorder="1" applyAlignment="1">
      <alignment horizontal="left" vertical="center"/>
    </xf>
    <xf numFmtId="0" fontId="36" fillId="0" borderId="66" xfId="0" applyFont="1" applyBorder="1" applyAlignment="1">
      <alignment horizontal="left" vertical="center"/>
    </xf>
    <xf numFmtId="0" fontId="39" fillId="8" borderId="93" xfId="0" applyFont="1" applyFill="1" applyBorder="1" applyAlignment="1">
      <alignment horizontal="left" vertical="center" wrapText="1"/>
    </xf>
    <xf numFmtId="0" fontId="39" fillId="8" borderId="94" xfId="0" applyFont="1" applyFill="1" applyBorder="1" applyAlignment="1">
      <alignment horizontal="left" vertical="center" wrapText="1"/>
    </xf>
    <xf numFmtId="0" fontId="36" fillId="0" borderId="85" xfId="0" applyFont="1" applyBorder="1" applyAlignment="1">
      <alignment horizontal="center" vertical="center" wrapText="1"/>
    </xf>
    <xf numFmtId="0" fontId="36" fillId="0" borderId="87" xfId="0" applyFont="1" applyBorder="1" applyAlignment="1">
      <alignment horizontal="center" vertical="center" wrapText="1"/>
    </xf>
    <xf numFmtId="0" fontId="38" fillId="11" borderId="29" xfId="40" applyNumberFormat="1" applyFont="1" applyFill="1" applyBorder="1" applyAlignment="1">
      <alignment horizontal="center" vertical="center" wrapText="1"/>
    </xf>
    <xf numFmtId="0" fontId="38" fillId="11" borderId="31" xfId="40" applyNumberFormat="1" applyFont="1" applyFill="1" applyBorder="1" applyAlignment="1">
      <alignment horizontal="center" vertical="center"/>
    </xf>
    <xf numFmtId="9" fontId="36" fillId="6" borderId="71" xfId="1" applyFont="1" applyFill="1" applyBorder="1" applyAlignment="1">
      <alignment horizontal="center" vertical="center"/>
    </xf>
    <xf numFmtId="9" fontId="36" fillId="6" borderId="46" xfId="1" applyFont="1" applyFill="1" applyBorder="1" applyAlignment="1">
      <alignment horizontal="center" vertical="center"/>
    </xf>
    <xf numFmtId="166" fontId="37" fillId="13" borderId="81" xfId="0" applyNumberFormat="1" applyFont="1" applyFill="1" applyBorder="1" applyAlignment="1">
      <alignment horizontal="center" vertical="center"/>
    </xf>
    <xf numFmtId="166" fontId="37" fillId="13" borderId="44" xfId="0" applyNumberFormat="1" applyFont="1" applyFill="1" applyBorder="1" applyAlignment="1">
      <alignment horizontal="center" vertical="center"/>
    </xf>
    <xf numFmtId="166" fontId="37" fillId="13" borderId="77" xfId="0" applyNumberFormat="1" applyFont="1" applyFill="1" applyBorder="1" applyAlignment="1">
      <alignment horizontal="center" vertical="center"/>
    </xf>
    <xf numFmtId="0" fontId="38" fillId="11" borderId="63" xfId="0" applyFont="1" applyFill="1" applyBorder="1" applyAlignment="1">
      <alignment horizontal="center" vertical="center"/>
    </xf>
    <xf numFmtId="0" fontId="38" fillId="11" borderId="47" xfId="0" applyFont="1" applyFill="1" applyBorder="1" applyAlignment="1">
      <alignment horizontal="center" vertical="center"/>
    </xf>
    <xf numFmtId="166" fontId="37" fillId="12" borderId="30" xfId="0" applyNumberFormat="1" applyFont="1" applyFill="1" applyBorder="1" applyAlignment="1">
      <alignment horizontal="center" vertical="center"/>
    </xf>
    <xf numFmtId="166" fontId="37" fillId="12" borderId="75" xfId="0" applyNumberFormat="1" applyFont="1" applyFill="1" applyBorder="1" applyAlignment="1">
      <alignment horizontal="center" vertical="center"/>
    </xf>
    <xf numFmtId="166" fontId="38" fillId="11" borderId="29" xfId="0" applyNumberFormat="1" applyFont="1" applyFill="1" applyBorder="1" applyAlignment="1">
      <alignment horizontal="center" vertical="center"/>
    </xf>
    <xf numFmtId="166" fontId="38" fillId="11" borderId="31" xfId="0" applyNumberFormat="1" applyFont="1" applyFill="1" applyBorder="1" applyAlignment="1">
      <alignment horizontal="center" vertical="center"/>
    </xf>
    <xf numFmtId="166" fontId="38" fillId="11" borderId="29" xfId="0" applyNumberFormat="1" applyFont="1" applyFill="1" applyBorder="1" applyAlignment="1">
      <alignment horizontal="center" vertical="center" wrapText="1"/>
    </xf>
    <xf numFmtId="166" fontId="38" fillId="11" borderId="31" xfId="0" applyNumberFormat="1" applyFont="1" applyFill="1" applyBorder="1" applyAlignment="1">
      <alignment horizontal="center" vertical="center" wrapText="1"/>
    </xf>
    <xf numFmtId="166" fontId="38" fillId="11" borderId="1" xfId="0" applyNumberFormat="1" applyFont="1" applyFill="1" applyBorder="1" applyAlignment="1">
      <alignment horizontal="center" vertical="center"/>
    </xf>
    <xf numFmtId="166" fontId="38" fillId="11" borderId="2" xfId="0" applyNumberFormat="1" applyFont="1" applyFill="1" applyBorder="1" applyAlignment="1">
      <alignment horizontal="center" vertical="center"/>
    </xf>
    <xf numFmtId="166" fontId="38" fillId="11" borderId="3" xfId="0" applyNumberFormat="1" applyFont="1" applyFill="1" applyBorder="1" applyAlignment="1">
      <alignment horizontal="center" vertical="center"/>
    </xf>
    <xf numFmtId="10" fontId="36" fillId="0" borderId="30" xfId="1" applyNumberFormat="1" applyFont="1" applyBorder="1" applyAlignment="1">
      <alignment horizontal="left" vertical="center" wrapText="1"/>
    </xf>
    <xf numFmtId="10" fontId="36" fillId="0" borderId="58" xfId="1" applyNumberFormat="1" applyFont="1" applyBorder="1" applyAlignment="1">
      <alignment horizontal="left" vertical="center" wrapText="1"/>
    </xf>
    <xf numFmtId="166" fontId="38" fillId="11" borderId="22" xfId="0" applyNumberFormat="1" applyFont="1" applyFill="1" applyBorder="1" applyAlignment="1">
      <alignment horizontal="center" vertical="center"/>
    </xf>
    <xf numFmtId="166" fontId="38" fillId="11" borderId="34" xfId="0" applyNumberFormat="1" applyFont="1" applyFill="1" applyBorder="1" applyAlignment="1">
      <alignment horizontal="center" vertical="center"/>
    </xf>
    <xf numFmtId="166" fontId="37" fillId="5" borderId="22" xfId="0" applyNumberFormat="1" applyFont="1" applyFill="1" applyBorder="1" applyAlignment="1">
      <alignment horizontal="center" vertical="center"/>
    </xf>
    <xf numFmtId="166" fontId="37" fillId="5" borderId="34" xfId="0" applyNumberFormat="1" applyFont="1" applyFill="1" applyBorder="1" applyAlignment="1">
      <alignment horizontal="center" vertical="center"/>
    </xf>
    <xf numFmtId="166" fontId="37" fillId="5" borderId="30" xfId="0" applyNumberFormat="1" applyFont="1" applyFill="1" applyBorder="1" applyAlignment="1">
      <alignment horizontal="center" vertical="center"/>
    </xf>
    <xf numFmtId="166" fontId="37" fillId="5" borderId="24" xfId="0" applyNumberFormat="1" applyFont="1" applyFill="1" applyBorder="1" applyAlignment="1">
      <alignment horizontal="center" vertical="center"/>
    </xf>
    <xf numFmtId="166" fontId="37" fillId="5" borderId="0" xfId="0" applyNumberFormat="1" applyFont="1" applyFill="1" applyBorder="1" applyAlignment="1">
      <alignment horizontal="center" vertical="center"/>
    </xf>
    <xf numFmtId="166" fontId="37" fillId="5" borderId="75" xfId="0" applyNumberFormat="1" applyFont="1" applyFill="1" applyBorder="1" applyAlignment="1">
      <alignment horizontal="center" vertical="center"/>
    </xf>
    <xf numFmtId="166" fontId="37" fillId="5" borderId="27" xfId="0" applyNumberFormat="1" applyFont="1" applyFill="1" applyBorder="1" applyAlignment="1">
      <alignment horizontal="center" vertical="center"/>
    </xf>
    <xf numFmtId="166" fontId="37" fillId="5" borderId="28" xfId="0" applyNumberFormat="1" applyFont="1" applyFill="1" applyBorder="1" applyAlignment="1">
      <alignment horizontal="center" vertical="center"/>
    </xf>
    <xf numFmtId="166" fontId="37" fillId="5" borderId="58" xfId="0" applyNumberFormat="1" applyFont="1" applyFill="1" applyBorder="1" applyAlignment="1">
      <alignment horizontal="center" vertical="center"/>
    </xf>
    <xf numFmtId="10" fontId="36" fillId="3" borderId="13" xfId="1" applyNumberFormat="1" applyFont="1" applyFill="1" applyBorder="1" applyAlignment="1">
      <alignment horizontal="center" vertical="center" wrapText="1"/>
    </xf>
    <xf numFmtId="0" fontId="36" fillId="0" borderId="41" xfId="0" applyFont="1" applyBorder="1" applyAlignment="1">
      <alignment horizontal="left" vertical="center" wrapText="1"/>
    </xf>
    <xf numFmtId="0" fontId="36" fillId="0" borderId="77" xfId="0" applyFont="1" applyBorder="1" applyAlignment="1">
      <alignment horizontal="left" vertical="center" wrapText="1"/>
    </xf>
    <xf numFmtId="0" fontId="36" fillId="0" borderId="30" xfId="0" applyFont="1" applyFill="1" applyBorder="1" applyAlignment="1">
      <alignment horizontal="left" vertical="center" wrapText="1"/>
    </xf>
    <xf numFmtId="0" fontId="36" fillId="0" borderId="58" xfId="0" applyFont="1" applyFill="1" applyBorder="1" applyAlignment="1">
      <alignment horizontal="left" vertical="center" wrapText="1"/>
    </xf>
    <xf numFmtId="9" fontId="36" fillId="2" borderId="59" xfId="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9" fontId="36" fillId="0" borderId="71" xfId="1" applyFont="1" applyBorder="1" applyAlignment="1">
      <alignment horizontal="center" vertical="center"/>
    </xf>
    <xf numFmtId="9" fontId="36" fillId="0" borderId="46" xfId="1" applyFont="1" applyBorder="1" applyAlignment="1">
      <alignment horizontal="center" vertical="center"/>
    </xf>
    <xf numFmtId="10" fontId="36" fillId="0" borderId="63" xfId="1" applyNumberFormat="1" applyFont="1" applyBorder="1" applyAlignment="1">
      <alignment horizontal="center" vertical="center"/>
    </xf>
    <xf numFmtId="0" fontId="39" fillId="0" borderId="31" xfId="0" applyFont="1" applyBorder="1" applyAlignment="1">
      <alignment horizontal="left" vertical="center" wrapText="1"/>
    </xf>
    <xf numFmtId="10" fontId="36" fillId="10" borderId="14" xfId="1" applyNumberFormat="1" applyFont="1" applyFill="1" applyBorder="1" applyAlignment="1">
      <alignment horizontal="center" vertical="center" wrapText="1"/>
    </xf>
    <xf numFmtId="10" fontId="36" fillId="0" borderId="59" xfId="1" applyNumberFormat="1" applyFont="1" applyBorder="1" applyAlignment="1">
      <alignment horizontal="center" vertical="center"/>
    </xf>
    <xf numFmtId="0" fontId="36" fillId="0" borderId="82" xfId="0" applyFont="1" applyBorder="1" applyAlignment="1">
      <alignment horizontal="center" vertical="center" wrapText="1"/>
    </xf>
    <xf numFmtId="0" fontId="36" fillId="0" borderId="83" xfId="0" applyFont="1" applyBorder="1" applyAlignment="1">
      <alignment horizontal="center" vertical="center" wrapText="1"/>
    </xf>
    <xf numFmtId="9" fontId="36" fillId="0" borderId="51" xfId="0" applyNumberFormat="1" applyFont="1" applyBorder="1" applyAlignment="1">
      <alignment horizontal="center" vertical="center"/>
    </xf>
    <xf numFmtId="0" fontId="36" fillId="0" borderId="45" xfId="0" applyFont="1" applyBorder="1" applyAlignment="1">
      <alignment horizontal="center" vertical="center"/>
    </xf>
    <xf numFmtId="9" fontId="36" fillId="0" borderId="71" xfId="0" applyNumberFormat="1" applyFont="1" applyBorder="1" applyAlignment="1">
      <alignment horizontal="center" vertical="center"/>
    </xf>
    <xf numFmtId="0" fontId="36" fillId="0" borderId="46" xfId="0" applyFont="1" applyBorder="1" applyAlignment="1">
      <alignment horizontal="center" vertical="center"/>
    </xf>
    <xf numFmtId="9" fontId="36" fillId="0" borderId="63" xfId="0" applyNumberFormat="1" applyFont="1" applyBorder="1" applyAlignment="1">
      <alignment horizontal="center" vertical="center"/>
    </xf>
    <xf numFmtId="0" fontId="36" fillId="0" borderId="66" xfId="0" applyFont="1" applyBorder="1" applyAlignment="1">
      <alignment horizontal="center" vertical="center"/>
    </xf>
    <xf numFmtId="9" fontId="36" fillId="0" borderId="51" xfId="1" applyFont="1" applyBorder="1" applyAlignment="1">
      <alignment horizontal="center" vertical="center"/>
    </xf>
    <xf numFmtId="9" fontId="36" fillId="0" borderId="45" xfId="1" applyFont="1" applyBorder="1" applyAlignment="1">
      <alignment horizontal="center" vertical="center"/>
    </xf>
    <xf numFmtId="10" fontId="36" fillId="0" borderId="51" xfId="1" applyNumberFormat="1" applyFont="1" applyBorder="1" applyAlignment="1">
      <alignment horizontal="center" vertical="center"/>
    </xf>
    <xf numFmtId="10" fontId="36" fillId="0" borderId="45" xfId="1" applyNumberFormat="1" applyFont="1" applyBorder="1" applyAlignment="1">
      <alignment horizontal="center" vertical="center"/>
    </xf>
    <xf numFmtId="9" fontId="36" fillId="0" borderId="63" xfId="1" applyNumberFormat="1" applyFont="1" applyBorder="1" applyAlignment="1">
      <alignment horizontal="center" vertical="center"/>
    </xf>
    <xf numFmtId="0" fontId="6" fillId="0" borderId="7" xfId="0" applyFont="1" applyBorder="1" applyAlignment="1">
      <alignment horizontal="center" vertical="center"/>
    </xf>
    <xf numFmtId="0" fontId="11" fillId="0" borderId="20" xfId="0" applyFont="1" applyBorder="1" applyAlignment="1">
      <alignment horizontal="center" vertical="center"/>
    </xf>
    <xf numFmtId="0" fontId="11" fillId="0" borderId="44" xfId="0" applyFont="1" applyBorder="1" applyAlignment="1">
      <alignment horizontal="center" vertical="center"/>
    </xf>
    <xf numFmtId="0" fontId="11" fillId="0" borderId="2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6" fillId="0" borderId="7" xfId="0" applyFont="1" applyFill="1" applyBorder="1" applyAlignment="1">
      <alignment horizontal="center" vertical="center"/>
    </xf>
    <xf numFmtId="14" fontId="6" fillId="0" borderId="7" xfId="0" applyNumberFormat="1" applyFont="1" applyFill="1" applyBorder="1" applyAlignment="1">
      <alignment horizontal="center" vertical="center"/>
    </xf>
    <xf numFmtId="0" fontId="28" fillId="0" borderId="9" xfId="0" applyFont="1" applyBorder="1" applyAlignment="1">
      <alignment horizontal="left" vertical="center" wrapText="1"/>
    </xf>
    <xf numFmtId="0" fontId="28" fillId="0" borderId="53" xfId="0" applyFont="1" applyBorder="1" applyAlignment="1">
      <alignment horizontal="left" vertical="center" wrapText="1"/>
    </xf>
    <xf numFmtId="0" fontId="28" fillId="0" borderId="12" xfId="0" applyFont="1" applyBorder="1" applyAlignment="1">
      <alignment horizontal="left" vertical="center" wrapText="1"/>
    </xf>
    <xf numFmtId="0" fontId="28" fillId="0" borderId="51" xfId="0" applyFont="1" applyBorder="1" applyAlignment="1">
      <alignment horizontal="left" vertical="center" wrapText="1"/>
    </xf>
    <xf numFmtId="0" fontId="28" fillId="0" borderId="45" xfId="0" applyFont="1" applyBorder="1" applyAlignment="1">
      <alignment horizontal="left" vertical="center" wrapText="1"/>
    </xf>
    <xf numFmtId="0" fontId="28" fillId="0" borderId="9" xfId="0" applyFont="1" applyBorder="1" applyAlignment="1">
      <alignment horizontal="left" vertical="center"/>
    </xf>
    <xf numFmtId="0" fontId="28" fillId="0" borderId="57" xfId="0" applyFont="1" applyBorder="1" applyAlignment="1">
      <alignment horizontal="left" vertical="center"/>
    </xf>
    <xf numFmtId="0" fontId="28" fillId="0" borderId="12" xfId="0" applyFont="1" applyBorder="1" applyAlignment="1">
      <alignment horizontal="left" vertical="center"/>
    </xf>
    <xf numFmtId="0" fontId="28" fillId="0" borderId="57" xfId="0" applyFont="1" applyBorder="1" applyAlignment="1">
      <alignment horizontal="left" vertical="center" wrapText="1"/>
    </xf>
    <xf numFmtId="0" fontId="28" fillId="0" borderId="51" xfId="0" applyFont="1" applyBorder="1" applyAlignment="1">
      <alignment horizontal="center" vertical="center" wrapText="1"/>
    </xf>
    <xf numFmtId="0" fontId="28" fillId="0" borderId="53" xfId="0" applyFont="1" applyBorder="1" applyAlignment="1">
      <alignment horizontal="center" vertical="center" wrapText="1"/>
    </xf>
    <xf numFmtId="0" fontId="28" fillId="0" borderId="45" xfId="0" applyFont="1" applyBorder="1" applyAlignment="1">
      <alignment horizontal="center" vertical="center" wrapText="1"/>
    </xf>
    <xf numFmtId="0" fontId="15" fillId="0" borderId="7" xfId="0" applyFont="1" applyFill="1" applyBorder="1" applyAlignment="1">
      <alignment horizontal="center" wrapText="1"/>
    </xf>
    <xf numFmtId="0" fontId="15" fillId="0" borderId="7" xfId="0" applyFont="1" applyFill="1" applyBorder="1" applyAlignment="1">
      <alignment horizontal="center"/>
    </xf>
    <xf numFmtId="0" fontId="11" fillId="0" borderId="20"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7" fillId="0" borderId="51" xfId="0" applyFont="1" applyBorder="1" applyAlignment="1">
      <alignment horizontal="left" vertical="center" wrapText="1"/>
    </xf>
    <xf numFmtId="0" fontId="27" fillId="0" borderId="45" xfId="0" applyFont="1" applyBorder="1" applyAlignment="1">
      <alignment horizontal="left" vertical="center" wrapText="1"/>
    </xf>
    <xf numFmtId="0" fontId="25" fillId="0" borderId="9" xfId="0" applyFont="1" applyBorder="1" applyAlignment="1">
      <alignment horizontal="left" vertical="center" wrapText="1"/>
    </xf>
    <xf numFmtId="0" fontId="25" fillId="0" borderId="57" xfId="0" applyFont="1" applyBorder="1" applyAlignment="1">
      <alignment horizontal="left" vertical="center" wrapText="1"/>
    </xf>
    <xf numFmtId="0" fontId="25" fillId="0" borderId="12" xfId="0" applyFont="1" applyBorder="1" applyAlignment="1">
      <alignment horizontal="left" vertical="center" wrapText="1"/>
    </xf>
    <xf numFmtId="0" fontId="25" fillId="0" borderId="9"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57" xfId="0" applyFont="1" applyBorder="1" applyAlignment="1">
      <alignment horizontal="center" vertical="center" wrapText="1"/>
    </xf>
    <xf numFmtId="0" fontId="0" fillId="0" borderId="0" xfId="0" applyAlignment="1">
      <alignment horizontal="center"/>
    </xf>
    <xf numFmtId="0" fontId="19" fillId="0" borderId="47" xfId="0" applyFont="1" applyBorder="1" applyAlignment="1">
      <alignment horizontal="left" vertical="center" wrapText="1"/>
    </xf>
    <xf numFmtId="0" fontId="14" fillId="0" borderId="51" xfId="0" applyFont="1" applyBorder="1" applyAlignment="1">
      <alignment horizontal="left" vertical="center" wrapText="1"/>
    </xf>
    <xf numFmtId="0" fontId="14" fillId="0" borderId="53" xfId="0" applyFont="1" applyBorder="1" applyAlignment="1">
      <alignment horizontal="left" vertical="center" wrapText="1"/>
    </xf>
    <xf numFmtId="0" fontId="14" fillId="0" borderId="45" xfId="0" applyFont="1" applyBorder="1" applyAlignment="1">
      <alignment horizontal="left" vertical="center" wrapText="1"/>
    </xf>
    <xf numFmtId="0" fontId="8" fillId="6" borderId="1" xfId="0" applyFont="1" applyFill="1" applyBorder="1" applyAlignment="1">
      <alignment horizontal="center"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2" xfId="0" applyFont="1" applyBorder="1" applyAlignment="1">
      <alignment horizontal="left" wrapText="1"/>
    </xf>
    <xf numFmtId="0" fontId="14" fillId="0" borderId="50" xfId="0" applyFont="1" applyBorder="1" applyAlignment="1">
      <alignment horizontal="left" wrapText="1"/>
    </xf>
    <xf numFmtId="0" fontId="14" fillId="0" borderId="43" xfId="0" applyFont="1" applyBorder="1" applyAlignment="1">
      <alignment horizontal="left" wrapText="1"/>
    </xf>
    <xf numFmtId="0" fontId="14" fillId="0" borderId="39" xfId="0" applyFont="1" applyBorder="1" applyAlignment="1">
      <alignment horizontal="left" wrapText="1"/>
    </xf>
    <xf numFmtId="0" fontId="14" fillId="0" borderId="49" xfId="0" applyFont="1" applyBorder="1" applyAlignment="1">
      <alignment horizontal="left" wrapText="1"/>
    </xf>
    <xf numFmtId="0" fontId="14" fillId="0" borderId="41" xfId="0" applyFont="1" applyBorder="1" applyAlignment="1">
      <alignment horizontal="left" wrapText="1"/>
    </xf>
    <xf numFmtId="0" fontId="14" fillId="0" borderId="35" xfId="0" applyFont="1" applyBorder="1" applyAlignment="1">
      <alignment horizontal="left" wrapText="1"/>
    </xf>
    <xf numFmtId="0" fontId="14" fillId="0" borderId="17" xfId="0" applyFont="1" applyBorder="1" applyAlignment="1">
      <alignment horizontal="left" wrapText="1"/>
    </xf>
    <xf numFmtId="0" fontId="14" fillId="0" borderId="37" xfId="0" applyFont="1" applyBorder="1" applyAlignment="1">
      <alignment horizontal="left" wrapText="1"/>
    </xf>
    <xf numFmtId="0" fontId="14" fillId="0" borderId="35" xfId="0" applyFont="1" applyBorder="1" applyAlignment="1">
      <alignment horizontal="center" wrapText="1"/>
    </xf>
    <xf numFmtId="0" fontId="14" fillId="0" borderId="17" xfId="0" applyFont="1" applyBorder="1" applyAlignment="1">
      <alignment horizontal="center" wrapText="1"/>
    </xf>
    <xf numFmtId="0" fontId="14" fillId="0" borderId="37" xfId="0" applyFont="1" applyBorder="1" applyAlignment="1">
      <alignment horizontal="center" wrapText="1"/>
    </xf>
    <xf numFmtId="0" fontId="4" fillId="0" borderId="31" xfId="0" applyFont="1" applyFill="1" applyBorder="1" applyAlignment="1">
      <alignment horizontal="center" vertical="center" textRotation="90"/>
    </xf>
    <xf numFmtId="0" fontId="4" fillId="0" borderId="32" xfId="0" applyFont="1" applyFill="1" applyBorder="1" applyAlignment="1">
      <alignment horizontal="center" vertical="center" textRotation="90"/>
    </xf>
    <xf numFmtId="0" fontId="16" fillId="6" borderId="1" xfId="4" applyFont="1" applyFill="1" applyBorder="1" applyAlignment="1" applyProtection="1">
      <alignment horizontal="center" wrapText="1"/>
    </xf>
    <xf numFmtId="0" fontId="16" fillId="6" borderId="3" xfId="4" applyFont="1" applyFill="1" applyBorder="1" applyAlignment="1" applyProtection="1">
      <alignment horizontal="center" wrapText="1"/>
    </xf>
    <xf numFmtId="0" fontId="21" fillId="6" borderId="29" xfId="0" applyFont="1" applyFill="1" applyBorder="1" applyAlignment="1">
      <alignment horizontal="center" vertical="center" wrapText="1"/>
    </xf>
    <xf numFmtId="0" fontId="21" fillId="6" borderId="31"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wrapText="1"/>
    </xf>
    <xf numFmtId="0" fontId="21" fillId="0" borderId="32" xfId="0" applyFont="1" applyBorder="1" applyAlignment="1">
      <alignment horizontal="center" vertical="center" wrapText="1"/>
    </xf>
    <xf numFmtId="0" fontId="8" fillId="0" borderId="1" xfId="2" applyNumberFormat="1" applyFont="1" applyBorder="1" applyAlignment="1">
      <alignment horizontal="center" vertical="center" wrapText="1"/>
    </xf>
    <xf numFmtId="0" fontId="8" fillId="0" borderId="2" xfId="2" applyNumberFormat="1" applyFont="1" applyBorder="1" applyAlignment="1">
      <alignment horizontal="center" vertical="center" wrapText="1"/>
    </xf>
    <xf numFmtId="0" fontId="8" fillId="0" borderId="3" xfId="2" applyNumberFormat="1" applyFont="1" applyBorder="1" applyAlignment="1">
      <alignment horizontal="center" vertical="center" wrapText="1"/>
    </xf>
    <xf numFmtId="0" fontId="7" fillId="6" borderId="1" xfId="0" applyFont="1" applyFill="1" applyBorder="1" applyAlignment="1">
      <alignment horizontal="center" wrapText="1"/>
    </xf>
    <xf numFmtId="0" fontId="7" fillId="6" borderId="0" xfId="0" applyFont="1" applyFill="1" applyBorder="1" applyAlignment="1">
      <alignment horizontal="center" wrapText="1"/>
    </xf>
    <xf numFmtId="0" fontId="7" fillId="6" borderId="2" xfId="0" applyFont="1" applyFill="1" applyBorder="1" applyAlignment="1">
      <alignment horizontal="center" wrapText="1"/>
    </xf>
    <xf numFmtId="0" fontId="7" fillId="6" borderId="34" xfId="0" applyFont="1" applyFill="1" applyBorder="1" applyAlignment="1">
      <alignment horizontal="center" wrapText="1"/>
    </xf>
    <xf numFmtId="0" fontId="7" fillId="6" borderId="30" xfId="0" applyFont="1" applyFill="1" applyBorder="1" applyAlignment="1">
      <alignment horizontal="center" wrapText="1"/>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8" xfId="0" applyFont="1" applyBorder="1" applyAlignment="1">
      <alignment horizontal="center" vertical="center" wrapText="1"/>
    </xf>
    <xf numFmtId="0" fontId="15" fillId="0" borderId="22" xfId="0" applyFont="1" applyFill="1" applyBorder="1" applyAlignment="1">
      <alignment horizontal="center" wrapText="1"/>
    </xf>
    <xf numFmtId="0" fontId="15" fillId="0" borderId="23" xfId="0" applyFont="1" applyFill="1" applyBorder="1" applyAlignment="1">
      <alignment horizontal="center"/>
    </xf>
    <xf numFmtId="0" fontId="15" fillId="0" borderId="24" xfId="0" applyFont="1" applyFill="1" applyBorder="1" applyAlignment="1">
      <alignment horizontal="center"/>
    </xf>
    <xf numFmtId="0" fontId="15" fillId="0" borderId="25" xfId="0" applyFont="1" applyFill="1" applyBorder="1" applyAlignment="1">
      <alignment horizontal="center"/>
    </xf>
    <xf numFmtId="0" fontId="8" fillId="0" borderId="38"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14" fillId="0" borderId="7" xfId="0" applyFont="1" applyFill="1" applyBorder="1" applyAlignment="1">
      <alignment horizontal="center" vertical="center" wrapText="1"/>
    </xf>
    <xf numFmtId="0" fontId="14" fillId="0" borderId="26" xfId="0" applyFont="1" applyFill="1" applyBorder="1" applyAlignment="1">
      <alignment horizontal="center" vertical="center" wrapText="1"/>
    </xf>
    <xf numFmtId="14" fontId="14" fillId="0" borderId="13" xfId="0" applyNumberFormat="1" applyFont="1" applyFill="1" applyBorder="1" applyAlignment="1">
      <alignment horizontal="center" vertical="center" wrapText="1"/>
    </xf>
    <xf numFmtId="14" fontId="14" fillId="0" borderId="14" xfId="0" applyNumberFormat="1" applyFont="1" applyFill="1" applyBorder="1" applyAlignment="1">
      <alignment horizontal="center" vertical="center" wrapText="1"/>
    </xf>
  </cellXfs>
  <cellStyles count="45">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2" xfId="4"/>
    <cellStyle name="Hipervínculo visitado" xfId="5"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Millares [0]" xfId="40" builtinId="6"/>
    <cellStyle name="Millares [0] 2" xfId="42"/>
    <cellStyle name="Millares 2" xfId="39"/>
    <cellStyle name="Millares 2 2" xfId="41"/>
    <cellStyle name="Moneda" xfId="43" builtinId="4"/>
    <cellStyle name="Moneda [0]" xfId="44" builtinId="7"/>
    <cellStyle name="Normal" xfId="0" builtinId="0"/>
    <cellStyle name="Normal 2" xfId="2"/>
    <cellStyle name="Porcentaje" xfId="1" builtinId="5"/>
    <cellStyle name="Porcentual 2" xfId="3"/>
  </cellStyles>
  <dxfs count="20">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colors>
    <mruColors>
      <color rgb="FFFF3300"/>
      <color rgb="FFFFFF99"/>
      <color rgb="FFDEEE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
              <a:t>Efectividad del Sistema</a:t>
            </a:r>
          </a:p>
        </c:rich>
      </c:tx>
      <c:layout>
        <c:manualLayout>
          <c:xMode val="edge"/>
          <c:yMode val="edge"/>
          <c:x val="0.77215826691019995"/>
          <c:y val="1.5334937111064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169543015387563"/>
          <c:y val="0.18890037735182399"/>
          <c:w val="0.809522844390128"/>
          <c:h val="0.55647569306362499"/>
        </c:manualLayout>
      </c:layout>
      <c:barChart>
        <c:barDir val="col"/>
        <c:grouping val="clustered"/>
        <c:varyColors val="0"/>
        <c:ser>
          <c:idx val="0"/>
          <c:order val="0"/>
          <c:tx>
            <c:strRef>
              <c:f>DE!$E$27</c:f>
              <c:strCache>
                <c:ptCount val="1"/>
                <c:pt idx="0">
                  <c:v>Efectividad del Sistema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DE!$E$28:$E$39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B73-4AC0-BFB5-F62706EA2AC1}"/>
            </c:ext>
          </c:extLst>
        </c:ser>
        <c:dLbls>
          <c:showLegendKey val="0"/>
          <c:showVal val="0"/>
          <c:showCatName val="0"/>
          <c:showSerName val="0"/>
          <c:showPercent val="0"/>
          <c:showBubbleSize val="0"/>
        </c:dLbls>
        <c:gapWidth val="150"/>
        <c:axId val="-1398697088"/>
        <c:axId val="-1386076864"/>
      </c:barChart>
      <c:lineChart>
        <c:grouping val="standard"/>
        <c:varyColors val="0"/>
        <c:ser>
          <c:idx val="1"/>
          <c:order val="1"/>
          <c:tx>
            <c:strRef>
              <c:f>DE!$F$27</c:f>
              <c:strCache>
                <c:ptCount val="1"/>
                <c:pt idx="0">
                  <c:v>Meta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DE!$F$28:$F$39</c:f>
              <c:numCache>
                <c:formatCode>0%</c:formatCode>
                <c:ptCount val="12"/>
                <c:pt idx="0">
                  <c:v>0.1</c:v>
                </c:pt>
                <c:pt idx="1">
                  <c:v>0.1</c:v>
                </c:pt>
                <c:pt idx="2">
                  <c:v>0.1</c:v>
                </c:pt>
                <c:pt idx="3">
                  <c:v>0.1</c:v>
                </c:pt>
                <c:pt idx="4">
                  <c:v>0.1</c:v>
                </c:pt>
                <c:pt idx="5">
                  <c:v>0.1</c:v>
                </c:pt>
                <c:pt idx="6">
                  <c:v>0.1</c:v>
                </c:pt>
                <c:pt idx="7">
                  <c:v>0.1</c:v>
                </c:pt>
                <c:pt idx="8">
                  <c:v>0.1</c:v>
                </c:pt>
                <c:pt idx="9">
                  <c:v>0.1</c:v>
                </c:pt>
                <c:pt idx="10">
                  <c:v>0.1</c:v>
                </c:pt>
                <c:pt idx="11">
                  <c:v>0.1</c:v>
                </c:pt>
              </c:numCache>
            </c:numRef>
          </c:val>
          <c:smooth val="0"/>
          <c:extLst>
            <c:ext xmlns:c16="http://schemas.microsoft.com/office/drawing/2014/chart" uri="{C3380CC4-5D6E-409C-BE32-E72D297353CC}">
              <c16:uniqueId val="{00000001-7B73-4AC0-BFB5-F62706EA2AC1}"/>
            </c:ext>
          </c:extLst>
        </c:ser>
        <c:dLbls>
          <c:showLegendKey val="0"/>
          <c:showVal val="0"/>
          <c:showCatName val="0"/>
          <c:showSerName val="0"/>
          <c:showPercent val="0"/>
          <c:showBubbleSize val="0"/>
        </c:dLbls>
        <c:marker val="1"/>
        <c:smooth val="0"/>
        <c:axId val="-1398697088"/>
        <c:axId val="-1386076864"/>
      </c:lineChart>
      <c:dateAx>
        <c:axId val="-1398697088"/>
        <c:scaling>
          <c:orientation val="minMax"/>
        </c:scaling>
        <c:delete val="0"/>
        <c:axPos val="b"/>
        <c:numFmt formatCode="mmm\-yy"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86076864"/>
        <c:crosses val="autoZero"/>
        <c:auto val="1"/>
        <c:lblOffset val="100"/>
        <c:baseTimeUnit val="months"/>
      </c:dateAx>
      <c:valAx>
        <c:axId val="-13860768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986970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799" l="0.70000000000000095" r="0.70000000000000095" t="0.75000000000000799"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432706</xdr:colOff>
      <xdr:row>0</xdr:row>
      <xdr:rowOff>81642</xdr:rowOff>
    </xdr:from>
    <xdr:to>
      <xdr:col>16</xdr:col>
      <xdr:colOff>321035</xdr:colOff>
      <xdr:row>0</xdr:row>
      <xdr:rowOff>4827761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2706" y="81642"/>
          <a:ext cx="4634594" cy="47461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0</xdr:col>
      <xdr:colOff>2145094</xdr:colOff>
      <xdr:row>3</xdr:row>
      <xdr:rowOff>127000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2</xdr:col>
      <xdr:colOff>1039514</xdr:colOff>
      <xdr:row>3</xdr:row>
      <xdr:rowOff>127000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85163</xdr:colOff>
      <xdr:row>25</xdr:row>
      <xdr:rowOff>61634</xdr:rowOff>
    </xdr:from>
    <xdr:to>
      <xdr:col>14</xdr:col>
      <xdr:colOff>38100</xdr:colOff>
      <xdr:row>40</xdr:row>
      <xdr:rowOff>38100</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822231</xdr:colOff>
      <xdr:row>0</xdr:row>
      <xdr:rowOff>56030</xdr:rowOff>
    </xdr:from>
    <xdr:to>
      <xdr:col>2</xdr:col>
      <xdr:colOff>520886</xdr:colOff>
      <xdr:row>3</xdr:row>
      <xdr:rowOff>71605</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1031781" y="56030"/>
          <a:ext cx="679730" cy="701375"/>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0.05196</cdr:x>
      <cdr:y>0.38222</cdr:y>
    </cdr:from>
    <cdr:to>
      <cdr:x>0.12556</cdr:x>
      <cdr:y>0.68838</cdr:y>
    </cdr:to>
    <cdr:sp macro="" textlink="">
      <cdr:nvSpPr>
        <cdr:cNvPr id="2" name="2 Flecha arriba"/>
        <cdr:cNvSpPr/>
      </cdr:nvSpPr>
      <cdr:spPr>
        <a:xfrm xmlns:a="http://schemas.openxmlformats.org/drawingml/2006/main">
          <a:off x="374651" y="1203326"/>
          <a:ext cx="530786" cy="963890"/>
        </a:xfrm>
        <a:prstGeom xmlns:a="http://schemas.openxmlformats.org/drawingml/2006/main" prst="upArrow">
          <a:avLst>
            <a:gd name="adj1" fmla="val 50000"/>
            <a:gd name="adj2" fmla="val 47398"/>
          </a:avLst>
        </a:prstGeom>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vert270" lIns="0" tIns="0" rIns="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1000" b="1"/>
            <a:t>Mejor</a:t>
          </a:r>
          <a:r>
            <a:rPr lang="es-CO" sz="1100" b="1"/>
            <a:t> si sube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oonambulo\Documents\ETITC\2017\Presupuesto\D:\C\Registros_Calidad\INDICADORES\Guia_indicadores_Proc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landeaccion\Downloads\INDICADORE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rimiento Cupos"/>
      <sheetName val="Logros alcanzad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O "/>
      <sheetName val="ARTES-MUSICA "/>
      <sheetName val="SALUD "/>
      <sheetName val="TRABAJO SOCIAL"/>
      <sheetName val="PSICOLOGIA "/>
      <sheetName val="REC. DEPORTES "/>
      <sheetName val="PASTORAL PES"/>
      <sheetName val="PASTORAL BTO "/>
    </sheetNames>
    <sheetDataSet>
      <sheetData sheetId="0"/>
      <sheetData sheetId="1">
        <row r="30">
          <cell r="AC30">
            <v>0.98</v>
          </cell>
          <cell r="AE30">
            <v>14677</v>
          </cell>
        </row>
      </sheetData>
      <sheetData sheetId="2">
        <row r="15">
          <cell r="AC15">
            <v>1</v>
          </cell>
          <cell r="AE15">
            <v>74</v>
          </cell>
        </row>
      </sheetData>
      <sheetData sheetId="3">
        <row r="20">
          <cell r="AC20">
            <v>97.6</v>
          </cell>
          <cell r="AE20">
            <v>1741</v>
          </cell>
        </row>
      </sheetData>
      <sheetData sheetId="4">
        <row r="22">
          <cell r="AC22">
            <v>92.142857142857139</v>
          </cell>
          <cell r="AE22">
            <v>1056</v>
          </cell>
        </row>
      </sheetData>
      <sheetData sheetId="5">
        <row r="18">
          <cell r="AC18">
            <v>99</v>
          </cell>
          <cell r="AE18">
            <v>154</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K20"/>
  <sheetViews>
    <sheetView zoomScale="85" zoomScaleNormal="85" workbookViewId="0">
      <selection activeCell="F7" sqref="F7"/>
    </sheetView>
  </sheetViews>
  <sheetFormatPr baseColWidth="10" defaultColWidth="11.42578125" defaultRowHeight="15"/>
  <cols>
    <col min="1" max="1" width="54.85546875" customWidth="1"/>
    <col min="2" max="2" width="15.42578125" bestFit="1" customWidth="1"/>
    <col min="3" max="3" width="4" customWidth="1"/>
    <col min="4" max="4" width="36.85546875" customWidth="1"/>
    <col min="5" max="5" width="13.42578125" bestFit="1" customWidth="1"/>
    <col min="7" max="7" width="54.140625" customWidth="1"/>
    <col min="9" max="10" width="13.42578125" bestFit="1" customWidth="1"/>
    <col min="11" max="11" width="18.42578125" customWidth="1"/>
  </cols>
  <sheetData>
    <row r="1" spans="1:11" ht="27" thickBot="1">
      <c r="A1" s="780" t="s">
        <v>486</v>
      </c>
      <c r="B1" s="781"/>
      <c r="C1" s="781"/>
      <c r="D1" s="782"/>
      <c r="E1" s="722">
        <f>+AVERAGE('Tablero Estratégico'!AQ6:AQ29)</f>
        <v>0.92882261020702572</v>
      </c>
      <c r="G1" s="780" t="s">
        <v>487</v>
      </c>
      <c r="H1" s="781"/>
      <c r="I1" s="782"/>
      <c r="J1" s="722">
        <f>+SUMPRODUCT(H4:H13,I4:I13)</f>
        <v>0.91595026248742872</v>
      </c>
    </row>
    <row r="2" spans="1:11" ht="15.75" thickBot="1">
      <c r="B2" s="719"/>
    </row>
    <row r="3" spans="1:11" ht="38.25" customHeight="1" thickBot="1">
      <c r="A3" s="784" t="s">
        <v>454</v>
      </c>
      <c r="B3" s="784"/>
      <c r="D3" s="783" t="s">
        <v>455</v>
      </c>
      <c r="E3" s="783"/>
      <c r="G3" s="779" t="s">
        <v>461</v>
      </c>
      <c r="H3" s="779"/>
      <c r="I3" s="739" t="s">
        <v>471</v>
      </c>
      <c r="J3" s="740" t="s">
        <v>472</v>
      </c>
    </row>
    <row r="4" spans="1:11" ht="32.25" thickBot="1">
      <c r="A4" s="717" t="s">
        <v>180</v>
      </c>
      <c r="B4" s="721">
        <f>+IFERROR(AVERAGE('Tablero Estratégico'!AQ6:AQ7),0)</f>
        <v>0.97499999999999998</v>
      </c>
      <c r="D4" s="717" t="s">
        <v>73</v>
      </c>
      <c r="E4" s="721">
        <f>+IFERROR(AVERAGE('Tablero Estratégico'!AQ6:AQ9,'Tablero Estratégico'!AQ13),"")</f>
        <v>0.9375</v>
      </c>
      <c r="G4" s="749" t="s">
        <v>473</v>
      </c>
      <c r="H4" s="750">
        <f t="array" ref="H4:H13">+TRANSPOSE('Tablero Estratégico'!C30:L30)</f>
        <v>0.90000604481109714</v>
      </c>
      <c r="I4" s="750">
        <v>0.16</v>
      </c>
      <c r="J4" s="750">
        <f>+I4*H4</f>
        <v>0.14400096716977553</v>
      </c>
      <c r="K4" s="751" t="str">
        <f>TEXT(J4,"0,00%")&amp;"
"&amp;" "&amp;G4&amp;"
(Avance "&amp;TEXT(H4,"0,00%")&amp;")"</f>
        <v>14,40%
 FACTOR 1. MISIÓN, VISIÓN Y PROYECTO INSTITUCIONAL Y DE PROGRAMA
(Avance 90,00%)</v>
      </c>
    </row>
    <row r="5" spans="1:11" ht="79.5" thickBot="1">
      <c r="A5" s="717" t="s">
        <v>181</v>
      </c>
      <c r="B5" s="721">
        <f>+IFERROR(AVERAGE('Tablero Estratégico'!AQ8:AQ11),"")</f>
        <v>1</v>
      </c>
      <c r="D5" s="717" t="s">
        <v>74</v>
      </c>
      <c r="E5" s="721" t="str">
        <f>+IFERROR(AVERAGE('Tablero Estratégico'!AQ10:AQ11),"")</f>
        <v/>
      </c>
      <c r="G5" s="749" t="s">
        <v>462</v>
      </c>
      <c r="H5" s="750">
        <v>0.89284243444976075</v>
      </c>
      <c r="I5" s="750">
        <v>0.15</v>
      </c>
      <c r="J5" s="750">
        <f t="shared" ref="J5:J13" si="0">+I5*H5</f>
        <v>0.13392636516746412</v>
      </c>
      <c r="K5" s="751" t="str">
        <f t="shared" ref="K5:K13" si="1">TEXT(J5,"0,00%")&amp;"
"&amp;" "&amp;G5&amp;"
(Avance "&amp;TEXT(H5,"0,00%")&amp;")"</f>
        <v>13,39%
 FACTOR 2. LOS ESTUDIANTES.
(Avance 89,28%)</v>
      </c>
    </row>
    <row r="6" spans="1:11" ht="48" thickBot="1">
      <c r="A6" s="715" t="s">
        <v>190</v>
      </c>
      <c r="B6" s="721">
        <f>+IFERROR(AVERAGE('Tablero Estratégico'!AQ12),"")</f>
        <v>0.65714285714285725</v>
      </c>
      <c r="D6" s="718" t="s">
        <v>429</v>
      </c>
      <c r="E6" s="721">
        <f>+IFERROR(AVERAGE('Tablero Estratégico'!AQ12,'Tablero Estratégico'!AQ24),"")</f>
        <v>0.80288721804511287</v>
      </c>
      <c r="G6" s="749" t="s">
        <v>463</v>
      </c>
      <c r="H6" s="750">
        <v>0.91245125949419015</v>
      </c>
      <c r="I6" s="750">
        <v>0.11</v>
      </c>
      <c r="J6" s="750">
        <f t="shared" si="0"/>
        <v>0.10036963854436091</v>
      </c>
      <c r="K6" s="751" t="str">
        <f t="shared" si="1"/>
        <v>10,04%
 FACTOR 3. PROFESORES
(Avance 91,25%)</v>
      </c>
    </row>
    <row r="7" spans="1:11" ht="63.75" thickBot="1">
      <c r="A7" s="716" t="s">
        <v>178</v>
      </c>
      <c r="B7" s="721">
        <f>+IFERROR(AVERAGE('Tablero Estratégico'!AQ13),"")</f>
        <v>0.8</v>
      </c>
      <c r="D7" s="717" t="s">
        <v>48</v>
      </c>
      <c r="E7" s="721" t="str">
        <f>+IFERROR(AVERAGE('Tablero Estratégico'!AQ14:AQ17),"")</f>
        <v/>
      </c>
      <c r="G7" s="749" t="s">
        <v>464</v>
      </c>
      <c r="H7" s="750">
        <v>0.91627901069036233</v>
      </c>
      <c r="I7" s="750">
        <v>0.13</v>
      </c>
      <c r="J7" s="750">
        <f t="shared" si="0"/>
        <v>0.11911627138974711</v>
      </c>
      <c r="K7" s="751" t="str">
        <f t="shared" si="1"/>
        <v>11,91%
 FACTOR 4. PROCESOS ACADÉMICOS
(Avance 91,63%)</v>
      </c>
    </row>
    <row r="8" spans="1:11" ht="63.75" thickBot="1">
      <c r="A8" s="716" t="s">
        <v>182</v>
      </c>
      <c r="B8" s="721" t="str">
        <f>+IFERROR(AVERAGE('Tablero Estratégico'!AQ14),"")</f>
        <v/>
      </c>
      <c r="D8" s="720" t="s">
        <v>75</v>
      </c>
      <c r="E8" s="721">
        <f>+IFERROR(AVERAGE('Tablero Estratégico'!AQ18:AQ19),"")</f>
        <v>1</v>
      </c>
      <c r="G8" s="749" t="s">
        <v>465</v>
      </c>
      <c r="H8" s="750">
        <v>0.96875</v>
      </c>
      <c r="I8" s="750">
        <v>0.05</v>
      </c>
      <c r="J8" s="750">
        <f t="shared" si="0"/>
        <v>4.8437500000000001E-2</v>
      </c>
      <c r="K8" s="751" t="str">
        <f t="shared" si="1"/>
        <v>4,84%
 FACTOR 5. VISIBILIDAD NACIONAL E INTERNACIONAL
(Avance 96,88%)</v>
      </c>
    </row>
    <row r="9" spans="1:11" ht="32.25" thickBot="1">
      <c r="A9" s="716" t="s">
        <v>183</v>
      </c>
      <c r="B9" s="721" t="str">
        <f>+IFERROR(AVERAGE('Tablero Estratégico'!AQ15),"")</f>
        <v/>
      </c>
      <c r="D9" s="717" t="s">
        <v>79</v>
      </c>
      <c r="E9" s="721">
        <f>+IFERROR(AVERAGE('Tablero Estratégico'!AQ20:AQ21),"")</f>
        <v>0.97368421052631582</v>
      </c>
      <c r="G9" s="749" t="s">
        <v>466</v>
      </c>
      <c r="H9" s="750">
        <v>0.89714302173615856</v>
      </c>
      <c r="I9" s="750">
        <v>0.09</v>
      </c>
      <c r="J9" s="750">
        <f t="shared" si="0"/>
        <v>8.0742871956254264E-2</v>
      </c>
      <c r="K9" s="751" t="str">
        <f t="shared" si="1"/>
        <v>8,07%
 FACTOR 6. INVESTIGACIÓN, INNOVACIÓN Y CREACIÓN ARTÍSTICA Y CULTURAL.
(Avance 89,71%)</v>
      </c>
    </row>
    <row r="10" spans="1:11" ht="32.25" thickBot="1">
      <c r="A10" s="717" t="s">
        <v>184</v>
      </c>
      <c r="B10" s="721" t="str">
        <f>+IFERROR(AVERAGE('Tablero Estratégico'!AQ16),"")</f>
        <v/>
      </c>
      <c r="D10" s="717" t="s">
        <v>431</v>
      </c>
      <c r="E10" s="721">
        <f>+IFERROR(AVERAGE('Tablero Estratégico'!AQ22),"")</f>
        <v>0.91863517060367439</v>
      </c>
      <c r="G10" s="749" t="s">
        <v>467</v>
      </c>
      <c r="H10" s="750">
        <v>0.96875</v>
      </c>
      <c r="I10" s="750">
        <v>0.08</v>
      </c>
      <c r="J10" s="750">
        <f t="shared" si="0"/>
        <v>7.7499999999999999E-2</v>
      </c>
      <c r="K10" s="751" t="str">
        <f t="shared" si="1"/>
        <v>7,75%
 FACTOR 7. BIENESTAR INSTITUCIONAL
(Avance 96,88%)</v>
      </c>
    </row>
    <row r="11" spans="1:11" ht="32.25" thickBot="1">
      <c r="A11" s="717" t="s">
        <v>185</v>
      </c>
      <c r="B11" s="721" t="str">
        <f>+IFERROR(AVERAGE('Tablero Estratégico'!AQ17),"")</f>
        <v/>
      </c>
      <c r="D11" s="717" t="s">
        <v>72</v>
      </c>
      <c r="E11" s="721">
        <f>+IFERROR(AVERAGE('Tablero Estratégico'!AQ27),"")</f>
        <v>0.74773815885167472</v>
      </c>
      <c r="G11" s="749" t="s">
        <v>468</v>
      </c>
      <c r="H11" s="750">
        <v>0.9321541805683039</v>
      </c>
      <c r="I11" s="750">
        <v>0.06</v>
      </c>
      <c r="J11" s="750">
        <f t="shared" si="0"/>
        <v>5.5929250834098235E-2</v>
      </c>
      <c r="K11" s="751" t="str">
        <f t="shared" si="1"/>
        <v>5,59%
 FACTOR 8. ORGANIZACIÓN, ADMINISTRACION Y GESTION.
(Avance 93,22%)</v>
      </c>
    </row>
    <row r="12" spans="1:11" ht="63.75" thickBot="1">
      <c r="A12" s="720" t="s">
        <v>177</v>
      </c>
      <c r="B12" s="721">
        <f>+IFERROR(AVERAGE('Tablero Estratégico'!AQ18:AQ19),"")</f>
        <v>1</v>
      </c>
      <c r="D12" s="716" t="s">
        <v>81</v>
      </c>
      <c r="E12" s="721">
        <f>+IFERROR(AVERAGE('Tablero Estratégico'!AQ26),"")</f>
        <v>1</v>
      </c>
      <c r="G12" s="749" t="s">
        <v>469</v>
      </c>
      <c r="H12" s="750">
        <v>0.89284243444976075</v>
      </c>
      <c r="I12" s="750">
        <v>0.1</v>
      </c>
      <c r="J12" s="750">
        <f t="shared" si="0"/>
        <v>8.9284243444976083E-2</v>
      </c>
      <c r="K12" s="751" t="str">
        <f t="shared" si="1"/>
        <v>8,93%
 FACTOR 9. IMPACTO DE LOS EGRESADOS EN EL MEDIO.
(Avance 89,28%)</v>
      </c>
    </row>
    <row r="13" spans="1:11" ht="16.5" thickBot="1">
      <c r="A13" s="776" t="s">
        <v>187</v>
      </c>
      <c r="B13" s="775">
        <f>+IFERROR(AVERAGE('Tablero Estratégico'!AQ20:AQ21),"")</f>
        <v>0.97368421052631582</v>
      </c>
      <c r="D13" s="716" t="s">
        <v>142</v>
      </c>
      <c r="E13" s="721">
        <f>+IFERROR(AVERAGE('Tablero Estratégico'!AQ28),"")</f>
        <v>0.97</v>
      </c>
      <c r="G13" s="749" t="s">
        <v>470</v>
      </c>
      <c r="H13" s="750">
        <v>0.95204505686789143</v>
      </c>
      <c r="I13" s="750">
        <v>7.0000000000000007E-2</v>
      </c>
      <c r="J13" s="750">
        <f t="shared" si="0"/>
        <v>6.6643153980752406E-2</v>
      </c>
      <c r="K13" s="751" t="str">
        <f t="shared" si="1"/>
        <v>6,66%
 FACTOR 10. RECURSOS FÍSICOS Y FINANCIEROS.
(Avance 95,20%)</v>
      </c>
    </row>
    <row r="14" spans="1:11" ht="32.25" thickBot="1">
      <c r="A14" s="776"/>
      <c r="B14" s="775"/>
      <c r="D14" s="716" t="s">
        <v>77</v>
      </c>
      <c r="E14" s="721">
        <f>+IFERROR(AVERAGE('Tablero Estratégico'!AQ29),"")</f>
        <v>0.99282296650717716</v>
      </c>
    </row>
    <row r="15" spans="1:11" ht="48" thickBot="1">
      <c r="A15" s="716" t="s">
        <v>179</v>
      </c>
      <c r="B15" s="777">
        <f>+IFERROR(AVERAGE('Tablero Estratégico'!AQ22:AQ22),"")</f>
        <v>0.91863517060367439</v>
      </c>
    </row>
    <row r="16" spans="1:11" ht="16.5" thickBot="1">
      <c r="A16" s="716" t="s">
        <v>188</v>
      </c>
      <c r="B16" s="778"/>
    </row>
    <row r="17" spans="1:2" ht="32.25" thickBot="1">
      <c r="A17" s="717" t="s">
        <v>186</v>
      </c>
      <c r="B17" s="721">
        <f>+IFERROR(AVERAGE('Tablero Estratégico'!AQ24:AQ27),"")</f>
        <v>0.898789912599681</v>
      </c>
    </row>
    <row r="18" spans="1:2" ht="63.75" thickBot="1">
      <c r="A18" s="717" t="s">
        <v>189</v>
      </c>
      <c r="B18" s="721">
        <f>+IFERROR(AVERAGE('Tablero Estratégico'!AQ28:AQ29),"")</f>
        <v>0.98141148325358851</v>
      </c>
    </row>
    <row r="19" spans="1:2" ht="15" customHeight="1"/>
    <row r="20" spans="1:2" ht="15.75" customHeight="1"/>
  </sheetData>
  <mergeCells count="8">
    <mergeCell ref="B13:B14"/>
    <mergeCell ref="A13:A14"/>
    <mergeCell ref="B15:B16"/>
    <mergeCell ref="G3:H3"/>
    <mergeCell ref="G1:I1"/>
    <mergeCell ref="A1:D1"/>
    <mergeCell ref="D3:E3"/>
    <mergeCell ref="A3: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filterMode="1">
    <pageSetUpPr fitToPage="1"/>
  </sheetPr>
  <dimension ref="A1:BV43"/>
  <sheetViews>
    <sheetView tabSelected="1" topLeftCell="A3" zoomScale="40" zoomScaleNormal="40" zoomScalePageLayoutView="40" workbookViewId="0">
      <pane xSplit="17" ySplit="3" topLeftCell="AM6" activePane="bottomRight" state="frozen"/>
      <selection activeCell="A3" sqref="A3"/>
      <selection pane="topRight" activeCell="I3" sqref="I3"/>
      <selection pane="bottomLeft" activeCell="A6" sqref="A6"/>
      <selection pane="bottomRight" activeCell="AO6" sqref="AO6"/>
    </sheetView>
  </sheetViews>
  <sheetFormatPr baseColWidth="10" defaultColWidth="10.85546875" defaultRowHeight="26.25"/>
  <cols>
    <col min="1" max="1" width="36.28515625" style="515" hidden="1" customWidth="1"/>
    <col min="2" max="2" width="48" style="515" hidden="1" customWidth="1"/>
    <col min="3" max="12" width="23.42578125" style="515" hidden="1" customWidth="1"/>
    <col min="13" max="13" width="58.5703125" style="517" hidden="1" customWidth="1"/>
    <col min="14" max="14" width="6.42578125" style="515" customWidth="1"/>
    <col min="15" max="15" width="35.85546875" style="515" customWidth="1"/>
    <col min="16" max="16" width="23.42578125" style="516" customWidth="1"/>
    <col min="17" max="17" width="70.7109375" style="515" customWidth="1"/>
    <col min="18" max="18" width="42.42578125" style="515" customWidth="1"/>
    <col min="19" max="19" width="14.140625" style="515" customWidth="1"/>
    <col min="20" max="20" width="19.7109375" style="515" customWidth="1"/>
    <col min="21" max="21" width="23.28515625" style="515" customWidth="1"/>
    <col min="22" max="22" width="30.140625" style="515" bestFit="1" customWidth="1"/>
    <col min="23" max="23" width="20.42578125" style="515" customWidth="1"/>
    <col min="24" max="24" width="18.85546875" style="517" customWidth="1"/>
    <col min="25" max="25" width="23.42578125" style="517" customWidth="1"/>
    <col min="26" max="26" width="20.7109375" style="517" customWidth="1"/>
    <col min="27" max="29" width="17.42578125" style="515" hidden="1" customWidth="1"/>
    <col min="30" max="30" width="32.7109375" style="515" hidden="1" customWidth="1"/>
    <col min="31" max="32" width="31.7109375" style="515" hidden="1" customWidth="1"/>
    <col min="33" max="34" width="15" style="515" customWidth="1"/>
    <col min="35" max="35" width="18.5703125" style="515" customWidth="1"/>
    <col min="36" max="36" width="31.28515625" style="515" customWidth="1"/>
    <col min="37" max="37" width="50.7109375" style="515" customWidth="1"/>
    <col min="38" max="38" width="42.140625" style="515" customWidth="1"/>
    <col min="39" max="39" width="53.5703125" style="515" customWidth="1"/>
    <col min="40" max="40" width="45.140625" style="515" customWidth="1"/>
    <col min="41" max="41" width="50.140625" style="515" customWidth="1"/>
    <col min="42" max="42" width="174.28515625" style="517" customWidth="1"/>
    <col min="43" max="43" width="13.140625" style="515" hidden="1" customWidth="1"/>
    <col min="44" max="44" width="13" style="515" hidden="1" customWidth="1"/>
    <col min="45" max="45" width="27.7109375" style="515" hidden="1" customWidth="1"/>
    <col min="46" max="46" width="40.7109375" style="515" hidden="1" customWidth="1"/>
    <col min="47" max="47" width="27.7109375" style="515" hidden="1" customWidth="1"/>
    <col min="48" max="48" width="65" style="515" hidden="1" customWidth="1"/>
    <col min="49" max="49" width="35.7109375" style="515" hidden="1" customWidth="1"/>
    <col min="50" max="50" width="34" style="515" hidden="1" customWidth="1"/>
    <col min="51" max="51" width="36.85546875" style="515" hidden="1" customWidth="1"/>
    <col min="52" max="52" width="31.42578125" style="515" hidden="1" customWidth="1"/>
    <col min="53" max="53" width="49.7109375" style="515" hidden="1" customWidth="1"/>
    <col min="54" max="54" width="65" style="515" hidden="1" customWidth="1"/>
    <col min="55" max="55" width="58.5703125" style="515" hidden="1" customWidth="1"/>
    <col min="56" max="56" width="72.5703125" style="515" hidden="1" customWidth="1"/>
    <col min="57" max="57" width="78.28515625" style="515" hidden="1" customWidth="1"/>
    <col min="58" max="58" width="11.42578125" style="515" hidden="1" customWidth="1"/>
    <col min="59" max="60" width="40.85546875" style="515" hidden="1" customWidth="1"/>
    <col min="61" max="61" width="50.140625" style="515" hidden="1" customWidth="1"/>
    <col min="62" max="62" width="24.42578125" style="515" hidden="1" customWidth="1"/>
    <col min="63" max="67" width="50.140625" style="515" hidden="1" customWidth="1"/>
    <col min="68" max="69" width="32.28515625" style="515" hidden="1" customWidth="1"/>
    <col min="70" max="70" width="27.140625" style="515" hidden="1" customWidth="1"/>
    <col min="71" max="74" width="32.28515625" style="515" bestFit="1" customWidth="1"/>
    <col min="75" max="16384" width="10.85546875" style="515"/>
  </cols>
  <sheetData>
    <row r="1" spans="1:53" ht="409.5" customHeight="1" thickBot="1">
      <c r="A1" s="859" t="s">
        <v>191</v>
      </c>
      <c r="B1" s="860"/>
      <c r="C1" s="860"/>
      <c r="D1" s="860"/>
      <c r="E1" s="860"/>
      <c r="F1" s="860"/>
      <c r="G1" s="860"/>
      <c r="H1" s="860"/>
      <c r="I1" s="860"/>
      <c r="J1" s="860"/>
      <c r="K1" s="860"/>
      <c r="L1" s="860"/>
      <c r="M1" s="860"/>
      <c r="N1" s="860"/>
      <c r="O1" s="860"/>
      <c r="P1" s="860"/>
      <c r="Q1" s="860"/>
      <c r="R1" s="860"/>
      <c r="S1" s="860"/>
      <c r="T1" s="860"/>
      <c r="U1" s="860"/>
      <c r="V1" s="860"/>
      <c r="W1" s="860"/>
      <c r="X1" s="860"/>
      <c r="Y1" s="860"/>
      <c r="Z1" s="860"/>
      <c r="AA1" s="860"/>
      <c r="AB1" s="860"/>
      <c r="AC1" s="860"/>
      <c r="AD1" s="860"/>
      <c r="AE1" s="860"/>
      <c r="AF1" s="860"/>
      <c r="AG1" s="860"/>
      <c r="AH1" s="860"/>
      <c r="AI1" s="860"/>
      <c r="AJ1" s="860"/>
      <c r="AK1" s="860"/>
      <c r="AL1" s="860"/>
      <c r="AM1" s="860"/>
      <c r="AN1" s="860"/>
      <c r="AO1" s="860"/>
      <c r="AP1" s="861"/>
    </row>
    <row r="2" spans="1:53" ht="27" thickBot="1">
      <c r="AQ2" s="518"/>
      <c r="AR2" s="518"/>
      <c r="AS2" s="518"/>
      <c r="AT2" s="518"/>
      <c r="AU2" s="518"/>
      <c r="AV2" s="518"/>
      <c r="AW2" s="518"/>
      <c r="AX2" s="518"/>
      <c r="AY2" s="518"/>
      <c r="AZ2" s="518"/>
      <c r="BA2" s="518"/>
    </row>
    <row r="3" spans="1:53" s="519" customFormat="1" ht="27" thickBot="1">
      <c r="A3" s="880" t="s">
        <v>393</v>
      </c>
      <c r="B3" s="837" t="s">
        <v>33</v>
      </c>
      <c r="C3" s="854" t="s">
        <v>461</v>
      </c>
      <c r="D3" s="855"/>
      <c r="E3" s="855"/>
      <c r="F3" s="855"/>
      <c r="G3" s="855"/>
      <c r="H3" s="855"/>
      <c r="I3" s="855"/>
      <c r="J3" s="855"/>
      <c r="K3" s="855"/>
      <c r="L3" s="856"/>
      <c r="M3" s="839" t="s">
        <v>424</v>
      </c>
      <c r="N3" s="883" t="s">
        <v>292</v>
      </c>
      <c r="O3" s="884"/>
      <c r="P3" s="835" t="s">
        <v>423</v>
      </c>
      <c r="Q3" s="916" t="s">
        <v>392</v>
      </c>
      <c r="R3" s="883" t="s">
        <v>391</v>
      </c>
      <c r="S3" s="880" t="s">
        <v>442</v>
      </c>
      <c r="T3" s="920" t="s">
        <v>390</v>
      </c>
      <c r="U3" s="922" t="s">
        <v>402</v>
      </c>
      <c r="V3" s="909" t="s">
        <v>403</v>
      </c>
      <c r="W3" s="920" t="s">
        <v>40</v>
      </c>
      <c r="X3" s="924" t="s">
        <v>394</v>
      </c>
      <c r="Y3" s="925"/>
      <c r="Z3" s="926"/>
      <c r="AA3" s="931"/>
      <c r="AB3" s="932"/>
      <c r="AC3" s="933"/>
      <c r="AD3" s="929" t="s">
        <v>398</v>
      </c>
      <c r="AE3" s="930"/>
      <c r="AF3" s="930"/>
      <c r="AG3" s="930"/>
      <c r="AH3" s="930"/>
      <c r="AI3" s="930"/>
      <c r="AJ3" s="930"/>
      <c r="AK3" s="930"/>
      <c r="AL3" s="930"/>
      <c r="AM3" s="930"/>
      <c r="AN3" s="930"/>
      <c r="AO3" s="930"/>
      <c r="AP3" s="926"/>
      <c r="AQ3" s="521"/>
      <c r="AR3" s="521"/>
      <c r="AS3" s="521"/>
      <c r="AT3" s="521"/>
      <c r="AU3" s="521"/>
      <c r="AV3" s="521"/>
      <c r="AW3" s="521"/>
      <c r="AX3" s="521"/>
      <c r="AY3" s="520"/>
      <c r="AZ3" s="520"/>
    </row>
    <row r="4" spans="1:53" s="519" customFormat="1">
      <c r="A4" s="881"/>
      <c r="B4" s="838"/>
      <c r="C4" s="857">
        <v>1</v>
      </c>
      <c r="D4" s="857">
        <v>2</v>
      </c>
      <c r="E4" s="857">
        <v>3</v>
      </c>
      <c r="F4" s="857">
        <v>4</v>
      </c>
      <c r="G4" s="857">
        <v>5</v>
      </c>
      <c r="H4" s="857">
        <v>6</v>
      </c>
      <c r="I4" s="857">
        <v>7</v>
      </c>
      <c r="J4" s="857">
        <v>8</v>
      </c>
      <c r="K4" s="857">
        <v>9</v>
      </c>
      <c r="L4" s="857">
        <v>10</v>
      </c>
      <c r="M4" s="840"/>
      <c r="N4" s="885"/>
      <c r="O4" s="886"/>
      <c r="P4" s="836"/>
      <c r="Q4" s="917"/>
      <c r="R4" s="885"/>
      <c r="S4" s="881"/>
      <c r="T4" s="921"/>
      <c r="U4" s="923"/>
      <c r="V4" s="910"/>
      <c r="W4" s="921"/>
      <c r="X4" s="522" t="s">
        <v>395</v>
      </c>
      <c r="Y4" s="523" t="s">
        <v>396</v>
      </c>
      <c r="Z4" s="524" t="s">
        <v>397</v>
      </c>
      <c r="AA4" s="934"/>
      <c r="AB4" s="935"/>
      <c r="AC4" s="936"/>
      <c r="AD4" s="522" t="s">
        <v>195</v>
      </c>
      <c r="AE4" s="523" t="s">
        <v>194</v>
      </c>
      <c r="AF4" s="523" t="s">
        <v>195</v>
      </c>
      <c r="AG4" s="523" t="s">
        <v>196</v>
      </c>
      <c r="AH4" s="523" t="s">
        <v>318</v>
      </c>
      <c r="AI4" s="523" t="s">
        <v>319</v>
      </c>
      <c r="AJ4" s="523" t="s">
        <v>375</v>
      </c>
      <c r="AK4" s="523" t="s">
        <v>474</v>
      </c>
      <c r="AL4" s="523" t="s">
        <v>446</v>
      </c>
      <c r="AM4" s="523" t="s">
        <v>447</v>
      </c>
      <c r="AN4" s="523" t="s">
        <v>444</v>
      </c>
      <c r="AO4" s="524" t="s">
        <v>445</v>
      </c>
      <c r="AP4" s="918" t="s">
        <v>163</v>
      </c>
      <c r="AQ4" s="521"/>
      <c r="AR4" s="521"/>
      <c r="AS4" s="521"/>
      <c r="AT4" s="521"/>
      <c r="AU4" s="521"/>
      <c r="AV4" s="521"/>
      <c r="AW4" s="521"/>
      <c r="AX4" s="521"/>
      <c r="AY4" s="520"/>
      <c r="AZ4" s="520"/>
    </row>
    <row r="5" spans="1:53" s="519" customFormat="1" ht="27" thickBot="1">
      <c r="A5" s="882"/>
      <c r="B5" s="838"/>
      <c r="C5" s="858"/>
      <c r="D5" s="858"/>
      <c r="E5" s="858"/>
      <c r="F5" s="858"/>
      <c r="G5" s="858"/>
      <c r="H5" s="858"/>
      <c r="I5" s="858"/>
      <c r="J5" s="858"/>
      <c r="K5" s="858"/>
      <c r="L5" s="858"/>
      <c r="M5" s="840"/>
      <c r="N5" s="885"/>
      <c r="O5" s="886"/>
      <c r="P5" s="836"/>
      <c r="Q5" s="917"/>
      <c r="R5" s="885"/>
      <c r="S5" s="882"/>
      <c r="T5" s="921"/>
      <c r="U5" s="923"/>
      <c r="V5" s="910"/>
      <c r="W5" s="921"/>
      <c r="X5" s="913"/>
      <c r="Y5" s="914"/>
      <c r="Z5" s="915"/>
      <c r="AA5" s="937"/>
      <c r="AB5" s="938"/>
      <c r="AC5" s="939"/>
      <c r="AD5" s="674"/>
      <c r="AE5" s="675"/>
      <c r="AF5" s="675"/>
      <c r="AG5" s="675"/>
      <c r="AH5" s="675"/>
      <c r="AI5" s="675"/>
      <c r="AJ5" s="675"/>
      <c r="AK5" s="675"/>
      <c r="AL5" s="675"/>
      <c r="AM5" s="675"/>
      <c r="AN5" s="675"/>
      <c r="AO5" s="676"/>
      <c r="AP5" s="919"/>
      <c r="AQ5" s="521"/>
      <c r="AR5" s="521"/>
      <c r="AS5" s="521"/>
      <c r="AT5" s="521"/>
      <c r="AU5" s="521"/>
      <c r="AV5" s="521"/>
      <c r="AW5" s="521"/>
      <c r="AX5" s="521"/>
      <c r="AY5" s="520"/>
      <c r="AZ5" s="520"/>
    </row>
    <row r="6" spans="1:53" ht="129.75" customHeight="1" thickBot="1">
      <c r="A6" s="890" t="s">
        <v>180</v>
      </c>
      <c r="B6" s="869" t="s">
        <v>73</v>
      </c>
      <c r="C6" s="788">
        <f>+AVERAGE($AQ$6:$AQ$9,AQ13)</f>
        <v>0.9375</v>
      </c>
      <c r="D6" s="788">
        <f>+C6</f>
        <v>0.9375</v>
      </c>
      <c r="E6" s="788">
        <f t="shared" ref="E6:L6" si="0">+D6</f>
        <v>0.9375</v>
      </c>
      <c r="F6" s="788">
        <f t="shared" si="0"/>
        <v>0.9375</v>
      </c>
      <c r="G6" s="788">
        <f t="shared" si="0"/>
        <v>0.9375</v>
      </c>
      <c r="H6" s="788">
        <f t="shared" si="0"/>
        <v>0.9375</v>
      </c>
      <c r="I6" s="788">
        <f t="shared" si="0"/>
        <v>0.9375</v>
      </c>
      <c r="J6" s="788">
        <f t="shared" si="0"/>
        <v>0.9375</v>
      </c>
      <c r="K6" s="788">
        <f t="shared" si="0"/>
        <v>0.9375</v>
      </c>
      <c r="L6" s="788">
        <f t="shared" si="0"/>
        <v>0.9375</v>
      </c>
      <c r="M6" s="841" t="s">
        <v>426</v>
      </c>
      <c r="N6" s="583">
        <v>1</v>
      </c>
      <c r="O6" s="584" t="s">
        <v>116</v>
      </c>
      <c r="P6" s="585" t="s">
        <v>112</v>
      </c>
      <c r="Q6" s="585" t="s">
        <v>422</v>
      </c>
      <c r="R6" s="660" t="s">
        <v>156</v>
      </c>
      <c r="S6" s="667" t="s">
        <v>100</v>
      </c>
      <c r="T6" s="609" t="s">
        <v>108</v>
      </c>
      <c r="U6" s="601" t="s">
        <v>152</v>
      </c>
      <c r="V6" s="631">
        <v>0</v>
      </c>
      <c r="W6" s="552">
        <v>1</v>
      </c>
      <c r="X6" s="632">
        <v>0.94</v>
      </c>
      <c r="Y6" s="692">
        <v>0.96</v>
      </c>
      <c r="Z6" s="693">
        <v>1</v>
      </c>
      <c r="AA6" s="680">
        <v>0.95</v>
      </c>
      <c r="AB6" s="682">
        <v>0.96</v>
      </c>
      <c r="AC6" s="691">
        <v>1</v>
      </c>
      <c r="AD6" s="579"/>
      <c r="AE6" s="580"/>
      <c r="AF6" s="580"/>
      <c r="AG6" s="581"/>
      <c r="AH6" s="581"/>
      <c r="AI6" s="581">
        <v>0</v>
      </c>
      <c r="AJ6" s="581"/>
      <c r="AK6" s="581"/>
      <c r="AL6" s="581"/>
      <c r="AM6" s="581"/>
      <c r="AN6" s="581">
        <v>0</v>
      </c>
      <c r="AO6" s="600">
        <v>0</v>
      </c>
      <c r="AP6" s="633" t="s">
        <v>497</v>
      </c>
      <c r="AQ6" s="525">
        <f>+IF(IF(AM6="","",IFERROR(AM6/AC6,0))&gt;1,1,IF(AM6="","",IFERROR(AM6/AC6,0)))</f>
        <v>1</v>
      </c>
      <c r="AR6" s="525"/>
      <c r="AS6" s="525"/>
      <c r="AT6" s="525"/>
      <c r="AU6" s="525"/>
      <c r="AV6" s="525"/>
      <c r="AW6" s="525"/>
      <c r="AX6" s="518"/>
      <c r="AY6" s="518"/>
      <c r="AZ6" s="518"/>
    </row>
    <row r="7" spans="1:53" ht="408.75" customHeight="1" thickBot="1">
      <c r="A7" s="891"/>
      <c r="B7" s="871"/>
      <c r="C7" s="789"/>
      <c r="D7" s="789"/>
      <c r="E7" s="789"/>
      <c r="F7" s="789"/>
      <c r="G7" s="789"/>
      <c r="H7" s="789"/>
      <c r="I7" s="789"/>
      <c r="J7" s="789"/>
      <c r="K7" s="789"/>
      <c r="L7" s="789"/>
      <c r="M7" s="842"/>
      <c r="N7" s="567">
        <v>2</v>
      </c>
      <c r="O7" s="593" t="s">
        <v>379</v>
      </c>
      <c r="P7" s="594" t="s">
        <v>113</v>
      </c>
      <c r="Q7" s="594" t="s">
        <v>409</v>
      </c>
      <c r="R7" s="650" t="s">
        <v>380</v>
      </c>
      <c r="S7" s="668" t="s">
        <v>100</v>
      </c>
      <c r="T7" s="568" t="s">
        <v>107</v>
      </c>
      <c r="U7" s="577" t="s">
        <v>152</v>
      </c>
      <c r="V7" s="533">
        <v>0.5</v>
      </c>
      <c r="W7" s="578">
        <v>0.63</v>
      </c>
      <c r="X7" s="694">
        <v>0.5</v>
      </c>
      <c r="Y7" s="695">
        <v>0.63</v>
      </c>
      <c r="Z7" s="696">
        <v>1</v>
      </c>
      <c r="AA7" s="681">
        <f>+X7</f>
        <v>0.5</v>
      </c>
      <c r="AB7" s="682">
        <f>+Y7</f>
        <v>0.63</v>
      </c>
      <c r="AC7" s="683">
        <v>1</v>
      </c>
      <c r="AD7" s="579">
        <v>0.73333333333333295</v>
      </c>
      <c r="AE7" s="580"/>
      <c r="AF7" s="580"/>
      <c r="AG7" s="581">
        <v>0.8</v>
      </c>
      <c r="AH7" s="581">
        <v>0.8</v>
      </c>
      <c r="AI7" s="581">
        <v>0.8</v>
      </c>
      <c r="AJ7" s="581">
        <v>0.85</v>
      </c>
      <c r="AK7" s="757">
        <v>0.9</v>
      </c>
      <c r="AL7" s="581">
        <v>0.92</v>
      </c>
      <c r="AM7" s="581">
        <v>0.94</v>
      </c>
      <c r="AN7" s="581">
        <v>0.95</v>
      </c>
      <c r="AO7" s="600"/>
      <c r="AP7" s="582" t="s">
        <v>490</v>
      </c>
      <c r="AQ7" s="525">
        <f>+IF(IF(AN7="","",IFERROR(AN7/AC7,0))&gt;1,1,IF(AN7="","",IFERROR(AN7/AC7,0)))</f>
        <v>0.95</v>
      </c>
      <c r="AR7" s="525"/>
      <c r="AS7" s="525"/>
      <c r="AT7" s="525"/>
      <c r="AU7" s="525"/>
      <c r="AV7" s="525"/>
      <c r="AW7" s="525"/>
      <c r="AX7" s="518"/>
      <c r="AY7" s="518"/>
      <c r="AZ7" s="518"/>
    </row>
    <row r="8" spans="1:53" ht="246.75" customHeight="1" thickBot="1">
      <c r="A8" s="874" t="s">
        <v>181</v>
      </c>
      <c r="B8" s="870"/>
      <c r="C8" s="789"/>
      <c r="D8" s="789"/>
      <c r="E8" s="789"/>
      <c r="F8" s="789"/>
      <c r="G8" s="789"/>
      <c r="H8" s="789"/>
      <c r="I8" s="789"/>
      <c r="J8" s="789"/>
      <c r="K8" s="789"/>
      <c r="L8" s="789"/>
      <c r="M8" s="843" t="s">
        <v>425</v>
      </c>
      <c r="N8" s="605">
        <v>3</v>
      </c>
      <c r="O8" s="584" t="s">
        <v>149</v>
      </c>
      <c r="P8" s="585" t="s">
        <v>112</v>
      </c>
      <c r="Q8" s="585" t="s">
        <v>150</v>
      </c>
      <c r="R8" s="660" t="s">
        <v>118</v>
      </c>
      <c r="S8" s="667" t="s">
        <v>100</v>
      </c>
      <c r="T8" s="610" t="s">
        <v>144</v>
      </c>
      <c r="U8" s="586" t="s">
        <v>152</v>
      </c>
      <c r="V8" s="587" t="s">
        <v>152</v>
      </c>
      <c r="W8" s="588" t="s">
        <v>152</v>
      </c>
      <c r="X8" s="589"/>
      <c r="Y8" s="590"/>
      <c r="Z8" s="591"/>
      <c r="AA8" s="680">
        <v>0</v>
      </c>
      <c r="AB8" s="682">
        <v>0.85</v>
      </c>
      <c r="AC8" s="683">
        <v>0.91</v>
      </c>
      <c r="AD8" s="602"/>
      <c r="AE8" s="581"/>
      <c r="AF8" s="581"/>
      <c r="AG8" s="581"/>
      <c r="AH8" s="581"/>
      <c r="AI8" s="581"/>
      <c r="AJ8" s="581"/>
      <c r="AK8" s="581"/>
      <c r="AL8" s="581"/>
      <c r="AM8" s="581"/>
      <c r="AN8" s="581"/>
      <c r="AO8" s="600"/>
      <c r="AP8" s="592" t="s">
        <v>456</v>
      </c>
      <c r="AQ8" s="525" t="str">
        <f t="shared" ref="AQ8:AQ17" si="1">+IF(AD8="","",IFERROR(AD8/AC8,0))</f>
        <v/>
      </c>
      <c r="AR8" s="525"/>
      <c r="AS8" s="525"/>
      <c r="AT8" s="525"/>
      <c r="AU8" s="525"/>
      <c r="AV8" s="525"/>
      <c r="AW8" s="525"/>
      <c r="AX8" s="518"/>
      <c r="AY8" s="518"/>
      <c r="AZ8" s="518"/>
    </row>
    <row r="9" spans="1:53" ht="141.75" customHeight="1" thickBot="1">
      <c r="A9" s="875"/>
      <c r="B9" s="872"/>
      <c r="C9" s="790"/>
      <c r="D9" s="790"/>
      <c r="E9" s="790"/>
      <c r="F9" s="790"/>
      <c r="G9" s="790"/>
      <c r="H9" s="790"/>
      <c r="I9" s="790"/>
      <c r="J9" s="790"/>
      <c r="K9" s="790"/>
      <c r="L9" s="790"/>
      <c r="M9" s="844"/>
      <c r="N9" s="620">
        <v>4</v>
      </c>
      <c r="O9" s="593" t="s">
        <v>117</v>
      </c>
      <c r="P9" s="594" t="s">
        <v>112</v>
      </c>
      <c r="Q9" s="594" t="s">
        <v>172</v>
      </c>
      <c r="R9" s="650" t="s">
        <v>119</v>
      </c>
      <c r="S9" s="668" t="s">
        <v>100</v>
      </c>
      <c r="T9" s="568" t="s">
        <v>108</v>
      </c>
      <c r="U9" s="577">
        <v>0.88200000000000001</v>
      </c>
      <c r="V9" s="533">
        <v>0.9</v>
      </c>
      <c r="W9" s="595" t="s">
        <v>401</v>
      </c>
      <c r="X9" s="596" t="s">
        <v>376</v>
      </c>
      <c r="Y9" s="695">
        <v>0.7</v>
      </c>
      <c r="Z9" s="597" t="s">
        <v>448</v>
      </c>
      <c r="AA9" s="680">
        <v>0</v>
      </c>
      <c r="AB9" s="682">
        <v>0.7</v>
      </c>
      <c r="AC9" s="683">
        <v>0.9</v>
      </c>
      <c r="AD9" s="697"/>
      <c r="AE9" s="599"/>
      <c r="AF9" s="599"/>
      <c r="AG9" s="581"/>
      <c r="AH9" s="581"/>
      <c r="AI9" s="581">
        <v>0.95</v>
      </c>
      <c r="AJ9" s="581"/>
      <c r="AK9" s="581"/>
      <c r="AL9" s="581"/>
      <c r="AM9" s="581"/>
      <c r="AN9" s="581">
        <v>0.95</v>
      </c>
      <c r="AO9" s="600"/>
      <c r="AP9" s="734" t="s">
        <v>458</v>
      </c>
      <c r="AQ9" s="525">
        <f>+IF(IF(AI9="","",IFERROR(AI9/AC9,0))&gt;1,1,IF(AI9="","",IFERROR(AI9/AC9,0)))</f>
        <v>1</v>
      </c>
      <c r="AR9" s="525"/>
      <c r="AS9" s="525"/>
      <c r="AT9" s="525"/>
      <c r="AU9" s="525"/>
      <c r="AV9" s="525"/>
      <c r="AW9" s="525"/>
      <c r="AX9" s="518"/>
      <c r="AY9" s="518"/>
      <c r="AZ9" s="518"/>
    </row>
    <row r="10" spans="1:53" ht="105.75" thickBot="1">
      <c r="A10" s="875"/>
      <c r="B10" s="871" t="s">
        <v>74</v>
      </c>
      <c r="C10" s="741"/>
      <c r="D10" s="741"/>
      <c r="E10" s="741"/>
      <c r="F10" s="741"/>
      <c r="G10" s="741"/>
      <c r="H10" s="741"/>
      <c r="I10" s="741"/>
      <c r="J10" s="741"/>
      <c r="K10" s="741"/>
      <c r="L10" s="741"/>
      <c r="M10" s="608" t="s">
        <v>427</v>
      </c>
      <c r="N10" s="620">
        <v>5</v>
      </c>
      <c r="O10" s="639" t="s">
        <v>175</v>
      </c>
      <c r="P10" s="640" t="s">
        <v>112</v>
      </c>
      <c r="Q10" s="641" t="s">
        <v>450</v>
      </c>
      <c r="R10" s="661" t="s">
        <v>192</v>
      </c>
      <c r="S10" s="668" t="s">
        <v>115</v>
      </c>
      <c r="T10" s="642" t="s">
        <v>144</v>
      </c>
      <c r="U10" s="698">
        <v>7.22</v>
      </c>
      <c r="V10" s="699">
        <v>7.71</v>
      </c>
      <c r="W10" s="700">
        <v>7.22</v>
      </c>
      <c r="X10" s="596">
        <v>7.71</v>
      </c>
      <c r="Y10" s="643">
        <v>7.29</v>
      </c>
      <c r="Z10" s="597">
        <v>7.22</v>
      </c>
      <c r="AA10" s="704">
        <f>+X10</f>
        <v>7.71</v>
      </c>
      <c r="AB10" s="705">
        <f>+Y10</f>
        <v>7.29</v>
      </c>
      <c r="AC10" s="706">
        <f>+Z10</f>
        <v>7.22</v>
      </c>
      <c r="AD10" s="701"/>
      <c r="AE10" s="702"/>
      <c r="AF10" s="702"/>
      <c r="AG10" s="702"/>
      <c r="AH10" s="702"/>
      <c r="AI10" s="702"/>
      <c r="AJ10" s="702"/>
      <c r="AK10" s="702"/>
      <c r="AL10" s="702"/>
      <c r="AM10" s="702"/>
      <c r="AN10" s="702"/>
      <c r="AO10" s="703"/>
      <c r="AP10" s="582"/>
      <c r="AQ10" s="525" t="str">
        <f t="shared" si="1"/>
        <v/>
      </c>
      <c r="AR10" s="525"/>
      <c r="AS10" s="525"/>
      <c r="AT10" s="525"/>
      <c r="AU10" s="525"/>
      <c r="AV10" s="525"/>
      <c r="AW10" s="525"/>
      <c r="AX10" s="518"/>
      <c r="AY10" s="518"/>
      <c r="AZ10" s="518"/>
    </row>
    <row r="11" spans="1:53" ht="79.5" thickBot="1">
      <c r="A11" s="876"/>
      <c r="B11" s="872"/>
      <c r="C11" s="742"/>
      <c r="D11" s="742"/>
      <c r="E11" s="742"/>
      <c r="F11" s="742"/>
      <c r="G11" s="742"/>
      <c r="H11" s="742"/>
      <c r="I11" s="742"/>
      <c r="J11" s="742"/>
      <c r="K11" s="742"/>
      <c r="L11" s="742"/>
      <c r="M11" s="634" t="s">
        <v>428</v>
      </c>
      <c r="N11" s="607">
        <v>6</v>
      </c>
      <c r="O11" s="560" t="s">
        <v>125</v>
      </c>
      <c r="P11" s="561" t="s">
        <v>112</v>
      </c>
      <c r="Q11" s="561" t="s">
        <v>153</v>
      </c>
      <c r="R11" s="662" t="s">
        <v>154</v>
      </c>
      <c r="S11" s="669" t="s">
        <v>100</v>
      </c>
      <c r="T11" s="611" t="s">
        <v>144</v>
      </c>
      <c r="U11" s="562">
        <v>0.91</v>
      </c>
      <c r="V11" s="612">
        <v>0.78028592927012796</v>
      </c>
      <c r="W11" s="635" t="s">
        <v>372</v>
      </c>
      <c r="X11" s="710">
        <v>0.78</v>
      </c>
      <c r="Y11" s="636" t="s">
        <v>451</v>
      </c>
      <c r="Z11" s="637" t="s">
        <v>449</v>
      </c>
      <c r="AA11" s="680">
        <v>0</v>
      </c>
      <c r="AB11" s="682">
        <v>0.78</v>
      </c>
      <c r="AC11" s="683">
        <v>0.91</v>
      </c>
      <c r="AD11" s="707"/>
      <c r="AE11" s="708"/>
      <c r="AF11" s="708"/>
      <c r="AG11" s="708"/>
      <c r="AH11" s="708"/>
      <c r="AI11" s="708"/>
      <c r="AJ11" s="708"/>
      <c r="AK11" s="708"/>
      <c r="AL11" s="708"/>
      <c r="AM11" s="708"/>
      <c r="AN11" s="708"/>
      <c r="AO11" s="709"/>
      <c r="AP11" s="638"/>
      <c r="AQ11" s="525" t="str">
        <f t="shared" si="1"/>
        <v/>
      </c>
      <c r="AR11" s="525"/>
      <c r="AS11" s="525"/>
      <c r="AT11" s="525"/>
      <c r="AU11" s="525"/>
      <c r="AV11" s="525"/>
      <c r="AW11" s="525"/>
      <c r="AX11" s="518"/>
      <c r="AY11" s="518"/>
      <c r="AZ11" s="518"/>
    </row>
    <row r="12" spans="1:53" s="543" customFormat="1" ht="319.5" customHeight="1" thickBot="1">
      <c r="A12" s="526" t="s">
        <v>190</v>
      </c>
      <c r="B12" s="527" t="s">
        <v>429</v>
      </c>
      <c r="C12" s="743">
        <f>+AVERAGE($AQ$12,AQ24)</f>
        <v>0.80288721804511287</v>
      </c>
      <c r="D12" s="743"/>
      <c r="E12" s="743">
        <f>+C12</f>
        <v>0.80288721804511287</v>
      </c>
      <c r="F12" s="743">
        <f>+E12</f>
        <v>0.80288721804511287</v>
      </c>
      <c r="G12" s="743"/>
      <c r="H12" s="743">
        <f>+F12</f>
        <v>0.80288721804511287</v>
      </c>
      <c r="I12" s="743"/>
      <c r="J12" s="743">
        <f>+H12</f>
        <v>0.80288721804511287</v>
      </c>
      <c r="K12" s="743"/>
      <c r="L12" s="743"/>
      <c r="M12" s="621" t="s">
        <v>430</v>
      </c>
      <c r="N12" s="528">
        <v>7</v>
      </c>
      <c r="O12" s="529" t="s">
        <v>358</v>
      </c>
      <c r="P12" s="530" t="s">
        <v>113</v>
      </c>
      <c r="Q12" s="530" t="s">
        <v>355</v>
      </c>
      <c r="R12" s="663" t="s">
        <v>294</v>
      </c>
      <c r="S12" s="669" t="s">
        <v>100</v>
      </c>
      <c r="T12" s="531" t="s">
        <v>148</v>
      </c>
      <c r="U12" s="532" t="s">
        <v>152</v>
      </c>
      <c r="V12" s="533">
        <v>0.7</v>
      </c>
      <c r="W12" s="534">
        <v>0.7</v>
      </c>
      <c r="X12" s="535" t="s">
        <v>363</v>
      </c>
      <c r="Y12" s="536" t="s">
        <v>404</v>
      </c>
      <c r="Z12" s="537" t="s">
        <v>405</v>
      </c>
      <c r="AA12" s="680">
        <v>0</v>
      </c>
      <c r="AB12" s="682">
        <v>0.5</v>
      </c>
      <c r="AC12" s="683">
        <v>0.7</v>
      </c>
      <c r="AD12" s="538">
        <v>0.7</v>
      </c>
      <c r="AE12" s="539"/>
      <c r="AF12" s="539"/>
      <c r="AG12" s="540"/>
      <c r="AH12" s="540"/>
      <c r="AI12" s="540">
        <v>0.46</v>
      </c>
      <c r="AJ12" s="540"/>
      <c r="AK12" s="540"/>
      <c r="AL12" s="540">
        <v>0.7</v>
      </c>
      <c r="AM12" s="540"/>
      <c r="AN12" s="540"/>
      <c r="AO12" s="541"/>
      <c r="AP12" s="542" t="s">
        <v>480</v>
      </c>
      <c r="AQ12" s="525">
        <f>+IF(IF(AI12="","",IFERROR(AI12/AC12,0))&gt;1,1,IF(AI12="","",IFERROR(AI12/AC12,0)))</f>
        <v>0.65714285714285725</v>
      </c>
      <c r="AR12" s="525"/>
      <c r="AS12" s="545"/>
      <c r="AT12" s="545"/>
      <c r="AU12" s="545"/>
      <c r="AV12" s="545"/>
      <c r="AW12" s="545"/>
      <c r="AX12" s="544"/>
      <c r="AY12" s="544"/>
      <c r="AZ12" s="544"/>
    </row>
    <row r="13" spans="1:53" ht="168.75" customHeight="1" thickBot="1">
      <c r="A13" s="546" t="s">
        <v>178</v>
      </c>
      <c r="B13" s="623" t="s">
        <v>73</v>
      </c>
      <c r="C13" s="744"/>
      <c r="D13" s="744"/>
      <c r="E13" s="744"/>
      <c r="F13" s="744"/>
      <c r="G13" s="744"/>
      <c r="H13" s="744"/>
      <c r="I13" s="744"/>
      <c r="J13" s="744"/>
      <c r="K13" s="744"/>
      <c r="L13" s="744"/>
      <c r="M13" s="608" t="s">
        <v>425</v>
      </c>
      <c r="N13" s="624">
        <v>8</v>
      </c>
      <c r="O13" s="547" t="s">
        <v>122</v>
      </c>
      <c r="P13" s="548" t="s">
        <v>121</v>
      </c>
      <c r="Q13" s="548" t="s">
        <v>123</v>
      </c>
      <c r="R13" s="664" t="s">
        <v>124</v>
      </c>
      <c r="S13" s="670" t="s">
        <v>100</v>
      </c>
      <c r="T13" s="549" t="s">
        <v>108</v>
      </c>
      <c r="U13" s="550" t="s">
        <v>152</v>
      </c>
      <c r="V13" s="551">
        <v>1</v>
      </c>
      <c r="W13" s="552">
        <v>1</v>
      </c>
      <c r="X13" s="553" t="s">
        <v>382</v>
      </c>
      <c r="Y13" s="536" t="s">
        <v>384</v>
      </c>
      <c r="Z13" s="554" t="s">
        <v>383</v>
      </c>
      <c r="AA13" s="680">
        <v>0.5</v>
      </c>
      <c r="AB13" s="682">
        <v>0.72</v>
      </c>
      <c r="AC13" s="683">
        <v>1</v>
      </c>
      <c r="AD13" s="579"/>
      <c r="AE13" s="580"/>
      <c r="AF13" s="580"/>
      <c r="AG13" s="581"/>
      <c r="AH13" s="581"/>
      <c r="AI13" s="581">
        <v>0.8</v>
      </c>
      <c r="AJ13" s="581"/>
      <c r="AK13" s="581"/>
      <c r="AL13" s="581"/>
      <c r="AM13" s="581"/>
      <c r="AN13" s="581"/>
      <c r="AO13" s="600"/>
      <c r="AP13" s="735" t="s">
        <v>459</v>
      </c>
      <c r="AQ13" s="525">
        <f>+IF(IF(AI13="","",IFERROR(AI13/AC13,0))&gt;1,1,IF(AI13="","",IFERROR(AI13/AC13,0)))</f>
        <v>0.8</v>
      </c>
      <c r="AR13" s="525"/>
      <c r="AS13" s="525"/>
      <c r="AT13" s="525"/>
      <c r="AU13" s="525"/>
      <c r="AV13" s="525"/>
      <c r="AW13" s="525"/>
      <c r="AX13" s="518"/>
      <c r="AY13" s="518"/>
      <c r="AZ13" s="518"/>
    </row>
    <row r="14" spans="1:53" ht="289.5" thickBot="1">
      <c r="A14" s="555" t="s">
        <v>182</v>
      </c>
      <c r="B14" s="869" t="s">
        <v>48</v>
      </c>
      <c r="C14" s="745"/>
      <c r="D14" s="745"/>
      <c r="E14" s="745"/>
      <c r="F14" s="745"/>
      <c r="G14" s="745"/>
      <c r="H14" s="745"/>
      <c r="I14" s="745"/>
      <c r="J14" s="745"/>
      <c r="K14" s="745"/>
      <c r="L14" s="745"/>
      <c r="M14" s="845" t="s">
        <v>432</v>
      </c>
      <c r="N14" s="954">
        <v>9</v>
      </c>
      <c r="O14" s="852" t="s">
        <v>126</v>
      </c>
      <c r="P14" s="877" t="s">
        <v>121</v>
      </c>
      <c r="Q14" s="867" t="s">
        <v>170</v>
      </c>
      <c r="R14" s="803" t="s">
        <v>129</v>
      </c>
      <c r="S14" s="807" t="s">
        <v>100</v>
      </c>
      <c r="T14" s="801" t="s">
        <v>144</v>
      </c>
      <c r="U14" s="795" t="s">
        <v>152</v>
      </c>
      <c r="V14" s="911">
        <v>1</v>
      </c>
      <c r="W14" s="791">
        <v>1</v>
      </c>
      <c r="X14" s="797" t="s">
        <v>373</v>
      </c>
      <c r="Y14" s="799" t="s">
        <v>385</v>
      </c>
      <c r="Z14" s="793" t="s">
        <v>374</v>
      </c>
      <c r="AA14" s="945">
        <v>0</v>
      </c>
      <c r="AB14" s="946">
        <v>0.6</v>
      </c>
      <c r="AC14" s="947">
        <v>0.8</v>
      </c>
      <c r="AD14" s="889"/>
      <c r="AE14" s="862"/>
      <c r="AF14" s="862"/>
      <c r="AG14" s="862"/>
      <c r="AH14" s="862"/>
      <c r="AI14" s="581"/>
      <c r="AJ14" s="581"/>
      <c r="AK14" s="581"/>
      <c r="AL14" s="581"/>
      <c r="AM14" s="581"/>
      <c r="AN14" s="581"/>
      <c r="AO14" s="600"/>
      <c r="AP14" s="927"/>
      <c r="AQ14" s="525" t="str">
        <f t="shared" si="1"/>
        <v/>
      </c>
      <c r="AR14" s="525"/>
      <c r="AS14" s="525"/>
      <c r="AT14" s="525"/>
      <c r="AU14" s="525"/>
      <c r="AV14" s="525"/>
      <c r="AW14" s="525"/>
      <c r="AX14" s="518"/>
      <c r="AY14" s="518"/>
      <c r="AZ14" s="518"/>
    </row>
    <row r="15" spans="1:53" ht="167.25" hidden="1" customHeight="1" thickBot="1">
      <c r="A15" s="556" t="s">
        <v>183</v>
      </c>
      <c r="B15" s="870"/>
      <c r="C15" s="741"/>
      <c r="D15" s="741"/>
      <c r="E15" s="741"/>
      <c r="F15" s="741"/>
      <c r="G15" s="741"/>
      <c r="H15" s="741"/>
      <c r="I15" s="741"/>
      <c r="J15" s="741"/>
      <c r="K15" s="741"/>
      <c r="L15" s="741"/>
      <c r="M15" s="846"/>
      <c r="N15" s="955"/>
      <c r="O15" s="873"/>
      <c r="P15" s="878"/>
      <c r="Q15" s="868"/>
      <c r="R15" s="866"/>
      <c r="S15" s="808"/>
      <c r="T15" s="865"/>
      <c r="U15" s="864"/>
      <c r="V15" s="912"/>
      <c r="W15" s="863"/>
      <c r="X15" s="887"/>
      <c r="Y15" s="940"/>
      <c r="Z15" s="952"/>
      <c r="AA15" s="945"/>
      <c r="AB15" s="946"/>
      <c r="AC15" s="947"/>
      <c r="AD15" s="889"/>
      <c r="AE15" s="862"/>
      <c r="AF15" s="862"/>
      <c r="AG15" s="862"/>
      <c r="AH15" s="862"/>
      <c r="AI15" s="581"/>
      <c r="AJ15" s="581"/>
      <c r="AK15" s="581"/>
      <c r="AL15" s="581"/>
      <c r="AM15" s="581"/>
      <c r="AN15" s="581"/>
      <c r="AO15" s="600"/>
      <c r="AP15" s="928"/>
      <c r="AQ15" s="525" t="str">
        <f t="shared" si="1"/>
        <v/>
      </c>
      <c r="AR15" s="525"/>
      <c r="AS15" s="525"/>
      <c r="AT15" s="525"/>
      <c r="AU15" s="525"/>
      <c r="AV15" s="525"/>
      <c r="AW15" s="525"/>
      <c r="AX15" s="518"/>
      <c r="AY15" s="518"/>
      <c r="AZ15" s="518"/>
    </row>
    <row r="16" spans="1:53" ht="158.25" thickBot="1">
      <c r="A16" s="557" t="s">
        <v>184</v>
      </c>
      <c r="B16" s="870"/>
      <c r="C16" s="741"/>
      <c r="D16" s="741"/>
      <c r="E16" s="741"/>
      <c r="F16" s="741"/>
      <c r="G16" s="741"/>
      <c r="H16" s="741"/>
      <c r="I16" s="741"/>
      <c r="J16" s="741"/>
      <c r="K16" s="741"/>
      <c r="L16" s="741"/>
      <c r="M16" s="841" t="s">
        <v>433</v>
      </c>
      <c r="N16" s="892">
        <v>10</v>
      </c>
      <c r="O16" s="852" t="s">
        <v>127</v>
      </c>
      <c r="P16" s="877" t="s">
        <v>121</v>
      </c>
      <c r="Q16" s="867" t="s">
        <v>169</v>
      </c>
      <c r="R16" s="803" t="s">
        <v>164</v>
      </c>
      <c r="S16" s="807" t="s">
        <v>100</v>
      </c>
      <c r="T16" s="801" t="s">
        <v>144</v>
      </c>
      <c r="U16" s="795" t="s">
        <v>152</v>
      </c>
      <c r="V16" s="805">
        <v>1</v>
      </c>
      <c r="W16" s="791">
        <v>1</v>
      </c>
      <c r="X16" s="797" t="s">
        <v>373</v>
      </c>
      <c r="Y16" s="799" t="s">
        <v>385</v>
      </c>
      <c r="Z16" s="793" t="s">
        <v>374</v>
      </c>
      <c r="AA16" s="945">
        <v>0</v>
      </c>
      <c r="AB16" s="946">
        <v>0.6</v>
      </c>
      <c r="AC16" s="947">
        <v>0.8</v>
      </c>
      <c r="AD16" s="953"/>
      <c r="AE16" s="862"/>
      <c r="AF16" s="862"/>
      <c r="AG16" s="862"/>
      <c r="AH16" s="862"/>
      <c r="AI16" s="862"/>
      <c r="AJ16" s="862"/>
      <c r="AK16" s="581"/>
      <c r="AL16" s="581"/>
      <c r="AM16" s="581"/>
      <c r="AN16" s="581"/>
      <c r="AO16" s="600"/>
      <c r="AP16" s="941"/>
      <c r="AQ16" s="525" t="str">
        <f t="shared" si="1"/>
        <v/>
      </c>
      <c r="AR16" s="525"/>
      <c r="AS16" s="525"/>
      <c r="AT16" s="525"/>
      <c r="AU16" s="525"/>
      <c r="AV16" s="525"/>
      <c r="AW16" s="525"/>
      <c r="AX16" s="518"/>
      <c r="AY16" s="518"/>
      <c r="AZ16" s="518"/>
    </row>
    <row r="17" spans="1:74" ht="165.75" hidden="1" customHeight="1" thickBot="1">
      <c r="A17" s="558" t="s">
        <v>185</v>
      </c>
      <c r="B17" s="870"/>
      <c r="C17" s="741"/>
      <c r="D17" s="741"/>
      <c r="E17" s="741"/>
      <c r="F17" s="741"/>
      <c r="G17" s="741"/>
      <c r="H17" s="741"/>
      <c r="I17" s="741"/>
      <c r="J17" s="741"/>
      <c r="K17" s="741"/>
      <c r="L17" s="741"/>
      <c r="M17" s="844"/>
      <c r="N17" s="893"/>
      <c r="O17" s="853"/>
      <c r="P17" s="879"/>
      <c r="Q17" s="888"/>
      <c r="R17" s="804"/>
      <c r="S17" s="808"/>
      <c r="T17" s="802"/>
      <c r="U17" s="796"/>
      <c r="V17" s="806"/>
      <c r="W17" s="792"/>
      <c r="X17" s="798"/>
      <c r="Y17" s="800"/>
      <c r="Z17" s="794"/>
      <c r="AA17" s="945"/>
      <c r="AB17" s="946"/>
      <c r="AC17" s="947"/>
      <c r="AD17" s="953"/>
      <c r="AE17" s="862"/>
      <c r="AF17" s="862"/>
      <c r="AG17" s="862"/>
      <c r="AH17" s="862"/>
      <c r="AI17" s="862"/>
      <c r="AJ17" s="862"/>
      <c r="AK17" s="581"/>
      <c r="AL17" s="581"/>
      <c r="AM17" s="581"/>
      <c r="AN17" s="581"/>
      <c r="AO17" s="600"/>
      <c r="AP17" s="942"/>
      <c r="AQ17" s="525" t="str">
        <f t="shared" si="1"/>
        <v/>
      </c>
      <c r="AR17" s="525"/>
      <c r="AS17" s="525"/>
      <c r="AT17" s="525"/>
      <c r="AU17" s="525"/>
      <c r="AV17" s="525"/>
      <c r="AW17" s="525"/>
      <c r="AX17" s="518"/>
      <c r="AY17" s="518"/>
      <c r="AZ17" s="518"/>
    </row>
    <row r="18" spans="1:74" ht="175.5" customHeight="1" thickBot="1">
      <c r="A18" s="951" t="s">
        <v>177</v>
      </c>
      <c r="B18" s="847" t="s">
        <v>75</v>
      </c>
      <c r="C18" s="785"/>
      <c r="D18" s="785"/>
      <c r="E18" s="785"/>
      <c r="F18" s="785">
        <f>+AVERAGE($AQ$18:$AQ$19)</f>
        <v>1</v>
      </c>
      <c r="G18" s="785"/>
      <c r="H18" s="785"/>
      <c r="I18" s="785">
        <f>+F18</f>
        <v>1</v>
      </c>
      <c r="J18" s="785"/>
      <c r="K18" s="785"/>
      <c r="L18" s="785"/>
      <c r="M18" s="851" t="s">
        <v>434</v>
      </c>
      <c r="N18" s="649">
        <v>11</v>
      </c>
      <c r="O18" s="593" t="s">
        <v>417</v>
      </c>
      <c r="P18" s="594" t="s">
        <v>113</v>
      </c>
      <c r="Q18" s="650" t="s">
        <v>416</v>
      </c>
      <c r="R18" s="650" t="s">
        <v>418</v>
      </c>
      <c r="S18" s="668" t="s">
        <v>100</v>
      </c>
      <c r="T18" s="651" t="s">
        <v>108</v>
      </c>
      <c r="U18" s="577" t="s">
        <v>152</v>
      </c>
      <c r="V18" s="533" t="s">
        <v>152</v>
      </c>
      <c r="W18" s="652">
        <v>0.05</v>
      </c>
      <c r="X18" s="535" t="s">
        <v>419</v>
      </c>
      <c r="Y18" s="572" t="s">
        <v>420</v>
      </c>
      <c r="Z18" s="537" t="s">
        <v>421</v>
      </c>
      <c r="AA18" s="680">
        <v>0</v>
      </c>
      <c r="AB18" s="682">
        <v>0.01</v>
      </c>
      <c r="AC18" s="683">
        <v>0.05</v>
      </c>
      <c r="AD18" s="598"/>
      <c r="AE18" s="599"/>
      <c r="AF18" s="599"/>
      <c r="AG18" s="581"/>
      <c r="AH18" s="581"/>
      <c r="AI18" s="581"/>
      <c r="AJ18" s="581"/>
      <c r="AK18" s="581"/>
      <c r="AL18" s="581"/>
      <c r="AM18" s="581"/>
      <c r="AN18" s="581"/>
      <c r="AO18" s="600"/>
      <c r="AP18" s="737" t="s">
        <v>460</v>
      </c>
      <c r="AQ18" s="525">
        <f>+IF(IF(AI18="","",IFERROR(AI18/AC18,0))&gt;1,1,IF(AI18="","",IFERROR(AI18/AC18,0)))</f>
        <v>1</v>
      </c>
      <c r="AR18" s="525"/>
      <c r="AS18" s="525"/>
      <c r="AT18" s="525"/>
      <c r="AU18" s="525"/>
      <c r="AV18" s="525"/>
      <c r="AW18" s="525"/>
      <c r="AX18" s="518"/>
      <c r="AY18" s="518"/>
      <c r="AZ18" s="518"/>
    </row>
    <row r="19" spans="1:74" ht="79.5" thickBot="1">
      <c r="A19" s="848"/>
      <c r="B19" s="848"/>
      <c r="C19" s="786"/>
      <c r="D19" s="786"/>
      <c r="E19" s="786"/>
      <c r="F19" s="786"/>
      <c r="G19" s="786"/>
      <c r="H19" s="786"/>
      <c r="I19" s="786"/>
      <c r="J19" s="786"/>
      <c r="K19" s="786"/>
      <c r="L19" s="786"/>
      <c r="M19" s="848"/>
      <c r="N19" s="644">
        <v>12</v>
      </c>
      <c r="O19" s="645" t="s">
        <v>167</v>
      </c>
      <c r="P19" s="646" t="s">
        <v>121</v>
      </c>
      <c r="Q19" s="647" t="s">
        <v>168</v>
      </c>
      <c r="R19" s="647" t="s">
        <v>130</v>
      </c>
      <c r="S19" s="671" t="s">
        <v>100</v>
      </c>
      <c r="T19" s="651" t="s">
        <v>108</v>
      </c>
      <c r="U19" s="562">
        <v>0.97599999999999998</v>
      </c>
      <c r="V19" s="648">
        <v>0.99250000000000005</v>
      </c>
      <c r="W19" s="563">
        <v>0.95</v>
      </c>
      <c r="X19" s="618" t="s">
        <v>361</v>
      </c>
      <c r="Y19" s="616" t="s">
        <v>386</v>
      </c>
      <c r="Z19" s="614" t="s">
        <v>362</v>
      </c>
      <c r="AA19" s="680">
        <v>0</v>
      </c>
      <c r="AB19" s="682">
        <v>0.9</v>
      </c>
      <c r="AC19" s="683">
        <v>0.95</v>
      </c>
      <c r="AD19" s="598"/>
      <c r="AE19" s="599"/>
      <c r="AF19" s="599"/>
      <c r="AG19" s="581"/>
      <c r="AH19" s="581"/>
      <c r="AI19" s="738">
        <v>0.95</v>
      </c>
      <c r="AJ19" s="581"/>
      <c r="AK19" s="581"/>
      <c r="AL19" s="581"/>
      <c r="AM19" s="581"/>
      <c r="AN19" s="581"/>
      <c r="AO19" s="600"/>
      <c r="AP19" s="733" t="s">
        <v>457</v>
      </c>
      <c r="AQ19" s="525">
        <f>+IF(IF(AI19="","",IFERROR(AI19/AC19,0))&gt;1,1,IF(AI19="","",IFERROR(AI19/AC19,0)))</f>
        <v>1</v>
      </c>
      <c r="AR19" s="525"/>
      <c r="AS19" s="525"/>
      <c r="AT19" s="525"/>
      <c r="AU19" s="525"/>
      <c r="AV19" s="525"/>
      <c r="AW19" s="525"/>
      <c r="AX19" s="518"/>
      <c r="AY19" s="518"/>
      <c r="AZ19" s="518"/>
    </row>
    <row r="20" spans="1:74" ht="105.75" thickBot="1">
      <c r="A20" s="894" t="s">
        <v>187</v>
      </c>
      <c r="B20" s="869" t="s">
        <v>79</v>
      </c>
      <c r="C20" s="788"/>
      <c r="D20" s="788"/>
      <c r="E20" s="785">
        <f>+AVERAGE($AQ$20:$AQ$21)</f>
        <v>0.97368421052631582</v>
      </c>
      <c r="F20" s="788"/>
      <c r="G20" s="788"/>
      <c r="H20" s="788"/>
      <c r="I20" s="788"/>
      <c r="J20" s="788">
        <f>+E20</f>
        <v>0.97368421052631582</v>
      </c>
      <c r="K20" s="788"/>
      <c r="L20" s="788"/>
      <c r="M20" s="849" t="s">
        <v>435</v>
      </c>
      <c r="N20" s="567">
        <v>13</v>
      </c>
      <c r="O20" s="529" t="s">
        <v>137</v>
      </c>
      <c r="P20" s="530" t="s">
        <v>112</v>
      </c>
      <c r="Q20" s="530" t="s">
        <v>365</v>
      </c>
      <c r="R20" s="663" t="s">
        <v>366</v>
      </c>
      <c r="S20" s="672" t="s">
        <v>100</v>
      </c>
      <c r="T20" s="568" t="s">
        <v>144</v>
      </c>
      <c r="U20" s="577">
        <v>0.41299999999999998</v>
      </c>
      <c r="V20" s="533">
        <v>0.75</v>
      </c>
      <c r="W20" s="655">
        <v>0.75</v>
      </c>
      <c r="X20" s="535" t="s">
        <v>415</v>
      </c>
      <c r="Y20" s="572" t="s">
        <v>414</v>
      </c>
      <c r="Z20" s="537" t="s">
        <v>413</v>
      </c>
      <c r="AA20" s="680">
        <v>0.41299999999999998</v>
      </c>
      <c r="AB20" s="682">
        <v>0.5</v>
      </c>
      <c r="AC20" s="683">
        <v>0.75</v>
      </c>
      <c r="AD20" s="711"/>
      <c r="AE20" s="712"/>
      <c r="AF20" s="712"/>
      <c r="AG20" s="712"/>
      <c r="AH20" s="712"/>
      <c r="AI20" s="712">
        <v>0.75</v>
      </c>
      <c r="AJ20" s="712"/>
      <c r="AK20" s="712"/>
      <c r="AL20" s="712"/>
      <c r="AM20" s="712"/>
      <c r="AN20" s="712"/>
      <c r="AO20" s="713"/>
      <c r="AP20" s="582"/>
      <c r="AQ20" s="525">
        <f>+IF(IF(AI20="","",IFERROR(AI20/AC20,0))&gt;1,1,IF(AI20="","",IFERROR(AI20/AC20,0)))</f>
        <v>1</v>
      </c>
      <c r="AR20" s="525"/>
      <c r="AS20" s="525"/>
      <c r="AT20" s="525"/>
      <c r="AU20" s="525"/>
      <c r="AV20" s="525"/>
      <c r="AW20" s="525"/>
      <c r="AX20" s="518"/>
      <c r="AY20" s="518"/>
      <c r="AZ20" s="518"/>
    </row>
    <row r="21" spans="1:74" ht="79.5" thickBot="1">
      <c r="A21" s="895"/>
      <c r="B21" s="896"/>
      <c r="C21" s="790"/>
      <c r="D21" s="790"/>
      <c r="E21" s="786"/>
      <c r="F21" s="790"/>
      <c r="G21" s="790"/>
      <c r="H21" s="790"/>
      <c r="I21" s="790"/>
      <c r="J21" s="790"/>
      <c r="K21" s="790"/>
      <c r="L21" s="790"/>
      <c r="M21" s="850"/>
      <c r="N21" s="606">
        <v>14</v>
      </c>
      <c r="O21" s="625" t="s">
        <v>138</v>
      </c>
      <c r="P21" s="626" t="s">
        <v>112</v>
      </c>
      <c r="Q21" s="626" t="s">
        <v>316</v>
      </c>
      <c r="R21" s="665" t="s">
        <v>158</v>
      </c>
      <c r="S21" s="673" t="s">
        <v>100</v>
      </c>
      <c r="T21" s="610" t="s">
        <v>452</v>
      </c>
      <c r="U21" s="586">
        <v>0.92800000000000005</v>
      </c>
      <c r="V21" s="587">
        <v>0.84782608695652173</v>
      </c>
      <c r="W21" s="627">
        <v>0.95</v>
      </c>
      <c r="X21" s="617" t="s">
        <v>400</v>
      </c>
      <c r="Y21" s="615" t="s">
        <v>399</v>
      </c>
      <c r="Z21" s="613" t="s">
        <v>362</v>
      </c>
      <c r="AA21" s="684">
        <v>0</v>
      </c>
      <c r="AB21" s="685">
        <v>0.92800000000000005</v>
      </c>
      <c r="AC21" s="686">
        <v>0.95</v>
      </c>
      <c r="AD21" s="711"/>
      <c r="AE21" s="712"/>
      <c r="AF21" s="712"/>
      <c r="AG21" s="712"/>
      <c r="AH21" s="712"/>
      <c r="AI21" s="712">
        <v>0.9</v>
      </c>
      <c r="AJ21" s="712"/>
      <c r="AK21" s="712"/>
      <c r="AL21" s="712"/>
      <c r="AM21" s="712"/>
      <c r="AN21" s="712"/>
      <c r="AO21" s="713"/>
      <c r="AP21" s="654"/>
      <c r="AQ21" s="525">
        <f>+IF(IF(AI21="","",IFERROR(AI21/AC21,0))&gt;1,1,IF(AI21="","",IFERROR(AI21/AC21,0)))</f>
        <v>0.94736842105263164</v>
      </c>
      <c r="AR21" s="525"/>
      <c r="AS21" s="525"/>
      <c r="AT21" s="525"/>
      <c r="AU21" s="525"/>
      <c r="AV21" s="525"/>
      <c r="AW21" s="525"/>
      <c r="AX21" s="518"/>
      <c r="AY21" s="518"/>
      <c r="AZ21" s="518"/>
    </row>
    <row r="22" spans="1:74" ht="93" customHeight="1" thickBot="1">
      <c r="A22" s="604" t="s">
        <v>179</v>
      </c>
      <c r="B22" s="890" t="s">
        <v>431</v>
      </c>
      <c r="C22" s="785">
        <f>+AVERAGE($AQ$22:$AQ$23)</f>
        <v>0.91863517060367439</v>
      </c>
      <c r="D22" s="785"/>
      <c r="E22" s="785"/>
      <c r="F22" s="785"/>
      <c r="G22" s="785"/>
      <c r="H22" s="785"/>
      <c r="I22" s="785"/>
      <c r="J22" s="785"/>
      <c r="K22" s="785"/>
      <c r="L22" s="785">
        <f>+C22</f>
        <v>0.91863517060367439</v>
      </c>
      <c r="M22" s="841" t="s">
        <v>436</v>
      </c>
      <c r="N22" s="897">
        <v>15</v>
      </c>
      <c r="O22" s="901" t="s">
        <v>134</v>
      </c>
      <c r="P22" s="903" t="s">
        <v>114</v>
      </c>
      <c r="Q22" s="813" t="s">
        <v>155</v>
      </c>
      <c r="R22" s="811" t="s">
        <v>136</v>
      </c>
      <c r="S22" s="807" t="s">
        <v>100</v>
      </c>
      <c r="T22" s="827" t="s">
        <v>148</v>
      </c>
      <c r="U22" s="899" t="s">
        <v>152</v>
      </c>
      <c r="V22" s="821">
        <v>0.98</v>
      </c>
      <c r="W22" s="819" t="s">
        <v>443</v>
      </c>
      <c r="X22" s="817" t="s">
        <v>376</v>
      </c>
      <c r="Y22" s="815" t="s">
        <v>387</v>
      </c>
      <c r="Z22" s="829" t="s">
        <v>369</v>
      </c>
      <c r="AA22" s="956">
        <v>0</v>
      </c>
      <c r="AB22" s="960">
        <v>0.7</v>
      </c>
      <c r="AC22" s="958">
        <v>0.9</v>
      </c>
      <c r="AD22" s="962">
        <v>0.98</v>
      </c>
      <c r="AE22" s="833"/>
      <c r="AF22" s="833"/>
      <c r="AG22" s="833"/>
      <c r="AH22" s="833"/>
      <c r="AI22" s="950">
        <f>+(0.826771653543307%)*100</f>
        <v>0.82677165354330695</v>
      </c>
      <c r="AJ22" s="833"/>
      <c r="AK22" s="833"/>
      <c r="AL22" s="950">
        <v>8.4677419354838718E-3</v>
      </c>
      <c r="AM22" s="833"/>
      <c r="AN22" s="833"/>
      <c r="AO22" s="948"/>
      <c r="AP22" s="943" t="s">
        <v>481</v>
      </c>
      <c r="AQ22" s="525">
        <f>+IF(IF(AI22="","",IFERROR(AI22/AC22,0))&gt;1,1,IF(AI22="","",IFERROR(AI22/AC22,0)))</f>
        <v>0.91863517060367439</v>
      </c>
      <c r="AR22" s="525"/>
      <c r="AS22" s="525"/>
      <c r="AT22" s="525"/>
      <c r="AU22" s="525"/>
      <c r="AV22" s="525"/>
      <c r="AW22" s="525"/>
      <c r="AX22" s="736">
        <f>+(3743220528*100)/11050804592</f>
        <v>33.872832487779455</v>
      </c>
      <c r="AY22" s="518"/>
      <c r="AZ22" s="518"/>
    </row>
    <row r="23" spans="1:74" ht="75.75" hidden="1" customHeight="1" thickBot="1">
      <c r="A23" s="559" t="s">
        <v>188</v>
      </c>
      <c r="B23" s="844"/>
      <c r="C23" s="786"/>
      <c r="D23" s="786"/>
      <c r="E23" s="786"/>
      <c r="F23" s="786"/>
      <c r="G23" s="786"/>
      <c r="H23" s="786"/>
      <c r="I23" s="786"/>
      <c r="J23" s="786"/>
      <c r="K23" s="786"/>
      <c r="L23" s="786"/>
      <c r="M23" s="844"/>
      <c r="N23" s="898"/>
      <c r="O23" s="902"/>
      <c r="P23" s="904"/>
      <c r="Q23" s="814"/>
      <c r="R23" s="812"/>
      <c r="S23" s="808"/>
      <c r="T23" s="828"/>
      <c r="U23" s="900"/>
      <c r="V23" s="822"/>
      <c r="W23" s="820"/>
      <c r="X23" s="818"/>
      <c r="Y23" s="816"/>
      <c r="Z23" s="830"/>
      <c r="AA23" s="957"/>
      <c r="AB23" s="961"/>
      <c r="AC23" s="959"/>
      <c r="AD23" s="963"/>
      <c r="AE23" s="834"/>
      <c r="AF23" s="834"/>
      <c r="AG23" s="834"/>
      <c r="AH23" s="834"/>
      <c r="AI23" s="834"/>
      <c r="AJ23" s="834"/>
      <c r="AK23" s="834"/>
      <c r="AL23" s="834"/>
      <c r="AM23" s="834"/>
      <c r="AN23" s="834"/>
      <c r="AO23" s="949"/>
      <c r="AP23" s="944"/>
      <c r="AQ23" s="525"/>
      <c r="AR23" s="525"/>
      <c r="AS23" s="515">
        <v>1</v>
      </c>
      <c r="AT23" s="525">
        <v>2</v>
      </c>
      <c r="AU23" s="525">
        <v>3</v>
      </c>
      <c r="AV23" s="525">
        <v>4</v>
      </c>
      <c r="AW23" s="525">
        <v>5</v>
      </c>
      <c r="AX23" s="518">
        <v>6</v>
      </c>
      <c r="AY23" s="518">
        <v>7</v>
      </c>
      <c r="AZ23" s="518">
        <v>8</v>
      </c>
      <c r="BA23" s="515">
        <v>9</v>
      </c>
      <c r="BB23" s="515">
        <v>10</v>
      </c>
      <c r="BC23" s="515">
        <v>11</v>
      </c>
      <c r="BD23" s="515">
        <v>12</v>
      </c>
    </row>
    <row r="24" spans="1:74" ht="408.75" customHeight="1" thickBot="1">
      <c r="A24" s="843" t="s">
        <v>186</v>
      </c>
      <c r="B24" s="622" t="s">
        <v>429</v>
      </c>
      <c r="C24" s="788"/>
      <c r="D24" s="788"/>
      <c r="E24" s="788"/>
      <c r="F24" s="788"/>
      <c r="G24" s="788"/>
      <c r="H24" s="788"/>
      <c r="I24" s="788"/>
      <c r="J24" s="788"/>
      <c r="K24" s="788"/>
      <c r="L24" s="788"/>
      <c r="M24" s="841" t="s">
        <v>437</v>
      </c>
      <c r="N24" s="907">
        <v>16</v>
      </c>
      <c r="O24" s="905" t="s">
        <v>406</v>
      </c>
      <c r="P24" s="813" t="s">
        <v>114</v>
      </c>
      <c r="Q24" s="813" t="s">
        <v>407</v>
      </c>
      <c r="R24" s="811" t="s">
        <v>411</v>
      </c>
      <c r="S24" s="807" t="s">
        <v>100</v>
      </c>
      <c r="T24" s="827" t="s">
        <v>107</v>
      </c>
      <c r="U24" s="825" t="s">
        <v>152</v>
      </c>
      <c r="V24" s="823" t="s">
        <v>412</v>
      </c>
      <c r="W24" s="831">
        <v>1</v>
      </c>
      <c r="X24" s="817" t="s">
        <v>381</v>
      </c>
      <c r="Y24" s="815" t="s">
        <v>408</v>
      </c>
      <c r="Z24" s="829" t="s">
        <v>362</v>
      </c>
      <c r="AA24" s="956">
        <v>0.85</v>
      </c>
      <c r="AB24" s="960">
        <v>0.95</v>
      </c>
      <c r="AC24" s="958">
        <v>0.95</v>
      </c>
      <c r="AD24" s="964">
        <f>2987610735.88/3166449610</f>
        <v>0.94352069473797817</v>
      </c>
      <c r="AE24" s="964">
        <f t="shared" ref="AE24:AF24" si="2">2987610735.88/3166449610</f>
        <v>0.94352069473797817</v>
      </c>
      <c r="AF24" s="964">
        <f t="shared" si="2"/>
        <v>0.94352069473797817</v>
      </c>
      <c r="AG24" s="964">
        <v>0.88627529013767692</v>
      </c>
      <c r="AH24" s="966">
        <f>3260138254.98/3834524769</f>
        <v>0.85020659700425061</v>
      </c>
      <c r="AI24" s="833">
        <f>3743220527.98/4226109249</f>
        <v>0.88573681072389143</v>
      </c>
      <c r="AJ24" s="833">
        <f>4661515070/6536325721</f>
        <v>0.71317055926748241</v>
      </c>
      <c r="AK24" s="833">
        <f>6200463579.79/7589971626</f>
        <v>0.81692842678750743</v>
      </c>
      <c r="AL24" s="833">
        <f>6374026878.53/8238680187</f>
        <v>0.77367087128685019</v>
      </c>
      <c r="AM24" s="833">
        <f>6616024046.53/8000000000</f>
        <v>0.82700300581624997</v>
      </c>
      <c r="AN24" s="950">
        <v>0.9012</v>
      </c>
      <c r="AO24" s="948"/>
      <c r="AP24" s="809" t="s">
        <v>491</v>
      </c>
      <c r="AQ24" s="787">
        <f>+IF(IF(AN24="","",IFERROR(AN24/AC24,0))&gt;1,1,IF(AN24="","",IFERROR(AN24/AC24,0)))</f>
        <v>0.94863157894736849</v>
      </c>
      <c r="AR24" s="525"/>
      <c r="AS24" s="725">
        <v>2217931658</v>
      </c>
      <c r="AT24" s="725">
        <v>2815469050</v>
      </c>
      <c r="AU24" s="725">
        <v>3166449610</v>
      </c>
      <c r="AV24" s="725">
        <v>3538975396</v>
      </c>
      <c r="AW24" s="725">
        <v>3834524764</v>
      </c>
      <c r="AX24" s="725">
        <v>4226109249</v>
      </c>
      <c r="AY24" s="726">
        <v>6536325721</v>
      </c>
      <c r="AZ24" s="726">
        <v>7589971626</v>
      </c>
      <c r="BA24" s="727">
        <v>8238680187</v>
      </c>
      <c r="BB24" s="727">
        <v>8853291139</v>
      </c>
      <c r="BC24" s="728">
        <v>10445752039</v>
      </c>
      <c r="BD24" s="728">
        <v>11050804592</v>
      </c>
      <c r="BE24" s="724">
        <f>58/7*12</f>
        <v>99.428571428571445</v>
      </c>
      <c r="BF24" s="755">
        <f>450000000/ 6536325721</f>
        <v>6.8846018268984607E-2</v>
      </c>
      <c r="BG24" s="753"/>
      <c r="BH24" s="753"/>
    </row>
    <row r="25" spans="1:74" ht="309" hidden="1" customHeight="1" thickBot="1">
      <c r="A25" s="843"/>
      <c r="B25" s="628" t="s">
        <v>72</v>
      </c>
      <c r="C25" s="790"/>
      <c r="D25" s="790"/>
      <c r="E25" s="790"/>
      <c r="F25" s="790"/>
      <c r="G25" s="790"/>
      <c r="H25" s="790"/>
      <c r="I25" s="790"/>
      <c r="J25" s="790"/>
      <c r="K25" s="790"/>
      <c r="L25" s="790"/>
      <c r="M25" s="810"/>
      <c r="N25" s="908"/>
      <c r="O25" s="906"/>
      <c r="P25" s="814"/>
      <c r="Q25" s="814"/>
      <c r="R25" s="812"/>
      <c r="S25" s="808"/>
      <c r="T25" s="828"/>
      <c r="U25" s="826"/>
      <c r="V25" s="824"/>
      <c r="W25" s="832"/>
      <c r="X25" s="818"/>
      <c r="Y25" s="816"/>
      <c r="Z25" s="830"/>
      <c r="AA25" s="957"/>
      <c r="AB25" s="961"/>
      <c r="AC25" s="959"/>
      <c r="AD25" s="965"/>
      <c r="AE25" s="965"/>
      <c r="AF25" s="965"/>
      <c r="AG25" s="965"/>
      <c r="AH25" s="834"/>
      <c r="AI25" s="834"/>
      <c r="AJ25" s="834"/>
      <c r="AK25" s="834"/>
      <c r="AL25" s="834"/>
      <c r="AM25" s="834"/>
      <c r="AN25" s="833"/>
      <c r="AO25" s="949"/>
      <c r="AP25" s="810"/>
      <c r="AQ25" s="787"/>
      <c r="AR25" s="525"/>
      <c r="AS25" s="725">
        <v>2101993441.28</v>
      </c>
      <c r="AT25" s="725">
        <v>2787274448.8800001</v>
      </c>
      <c r="AU25" s="725">
        <v>2987610735.8800001</v>
      </c>
      <c r="AV25" s="725">
        <f t="shared" ref="AV25:BD25" si="3">+AV24*$AV$27</f>
        <v>3399583964.8001056</v>
      </c>
      <c r="AW25" s="725">
        <f t="shared" si="3"/>
        <v>3683492378.9120655</v>
      </c>
      <c r="AX25" s="725">
        <f t="shared" si="3"/>
        <v>4059653325.827704</v>
      </c>
      <c r="AY25" s="725">
        <f t="shared" si="3"/>
        <v>6278876121.8678131</v>
      </c>
      <c r="AZ25" s="725">
        <f t="shared" si="3"/>
        <v>7291021537.5335665</v>
      </c>
      <c r="BA25" s="725">
        <f t="shared" si="3"/>
        <v>7914179083.1601295</v>
      </c>
      <c r="BB25" s="725">
        <f t="shared" si="3"/>
        <v>8504582039.7252808</v>
      </c>
      <c r="BC25" s="725">
        <f t="shared" si="3"/>
        <v>10034319869.021889</v>
      </c>
      <c r="BD25" s="725">
        <f t="shared" si="3"/>
        <v>10615540908.129719</v>
      </c>
      <c r="BG25" s="515">
        <f>3136506445.88/3538975396</f>
        <v>0.88627529013767692</v>
      </c>
      <c r="BH25" s="515">
        <f>3136506445.88/8853291139</f>
        <v>0.35427575989941701</v>
      </c>
      <c r="BJ25" s="515">
        <f>+(3260138254.98*100)/3834524769</f>
        <v>85.020659700425057</v>
      </c>
      <c r="BM25" s="515">
        <v>3834524764</v>
      </c>
      <c r="BN25" s="515">
        <f>+BM25*0.88</f>
        <v>3374381792.3200002</v>
      </c>
    </row>
    <row r="26" spans="1:74" ht="195" customHeight="1" thickBot="1">
      <c r="A26" s="843"/>
      <c r="B26" s="608" t="s">
        <v>81</v>
      </c>
      <c r="C26" s="746"/>
      <c r="D26" s="746"/>
      <c r="E26" s="746">
        <f>+AQ26</f>
        <v>1</v>
      </c>
      <c r="F26" s="746"/>
      <c r="G26" s="746">
        <f>+E26</f>
        <v>1</v>
      </c>
      <c r="H26" s="746">
        <f>+G26</f>
        <v>1</v>
      </c>
      <c r="I26" s="746"/>
      <c r="J26" s="746">
        <f>+H26</f>
        <v>1</v>
      </c>
      <c r="K26" s="746"/>
      <c r="L26" s="746">
        <f>+J26</f>
        <v>1</v>
      </c>
      <c r="M26" s="630" t="s">
        <v>438</v>
      </c>
      <c r="N26" s="567">
        <v>17</v>
      </c>
      <c r="O26" s="529" t="s">
        <v>140</v>
      </c>
      <c r="P26" s="530" t="s">
        <v>114</v>
      </c>
      <c r="Q26" s="530" t="s">
        <v>173</v>
      </c>
      <c r="R26" s="663" t="s">
        <v>165</v>
      </c>
      <c r="S26" s="672" t="s">
        <v>100</v>
      </c>
      <c r="T26" s="568" t="s">
        <v>107</v>
      </c>
      <c r="U26" s="569">
        <v>1.0374939776423666</v>
      </c>
      <c r="V26" s="570">
        <v>1.0195417137892298</v>
      </c>
      <c r="W26" s="571" t="s">
        <v>174</v>
      </c>
      <c r="X26" s="535" t="s">
        <v>371</v>
      </c>
      <c r="Y26" s="572" t="s">
        <v>388</v>
      </c>
      <c r="Z26" s="537" t="s">
        <v>360</v>
      </c>
      <c r="AA26" s="714">
        <v>0.75</v>
      </c>
      <c r="AB26" s="687">
        <v>0.9</v>
      </c>
      <c r="AC26" s="688">
        <v>1</v>
      </c>
      <c r="AD26" s="573">
        <f>6019533060/7921345976</f>
        <v>0.75991290851806115</v>
      </c>
      <c r="AE26" s="575"/>
      <c r="AF26" s="575"/>
      <c r="AG26" s="573">
        <f>773707133088/1013123177192</f>
        <v>0.76368515744791066</v>
      </c>
      <c r="AH26" s="574">
        <f>9245083591.98/12319201593.26</f>
        <v>0.75046126341808617</v>
      </c>
      <c r="AI26" s="574">
        <f>9245083591.98/12319201593.26</f>
        <v>0.75046126341808617</v>
      </c>
      <c r="AJ26" s="576">
        <f>14793738212.1/16570616320.75</f>
        <v>0.892769340967423</v>
      </c>
      <c r="AK26" s="576">
        <f>14793738212.1/16570616320.75</f>
        <v>0.892769340967423</v>
      </c>
      <c r="AL26" s="576">
        <f>18214740191.8/20154761424.97</f>
        <v>0.90374377586199139</v>
      </c>
      <c r="AM26" s="576">
        <f>19554218548.53/21735135297.01</f>
        <v>0.89965938933998635</v>
      </c>
      <c r="AN26" s="576">
        <f>21456571434.48/23537620568.35</f>
        <v>0.91158625708036545</v>
      </c>
      <c r="AO26" s="677"/>
      <c r="AP26" s="732" t="s">
        <v>496</v>
      </c>
      <c r="AQ26" s="772">
        <f>+IF(IF(ANI26="","",IFERROR(AN26/AC26,0))&gt;1,1,IF(AN26="","",IFERROR(AN26/AC26,0)))</f>
        <v>1</v>
      </c>
      <c r="AR26" s="525"/>
      <c r="AS26" s="525">
        <f>+AS24/$BD$24</f>
        <v>0.20070318315153499</v>
      </c>
      <c r="AT26" s="525">
        <f>+AT24/$BD$24</f>
        <v>0.25477502805888003</v>
      </c>
      <c r="AU26" s="525">
        <f>+AU24/$BD$24</f>
        <v>0.28653566205417164</v>
      </c>
      <c r="AV26" s="525">
        <f>+AV24/$BD$24</f>
        <v>0.32024594829610575</v>
      </c>
      <c r="AW26" s="525">
        <f>+AW24/$BD$24</f>
        <v>0.34699055006147916</v>
      </c>
      <c r="AX26" s="525">
        <f t="shared" ref="AX26:BD26" si="4">+AX24/$BD$24</f>
        <v>0.38242547986590986</v>
      </c>
      <c r="AY26" s="525">
        <f t="shared" si="4"/>
        <v>0.59147962183059832</v>
      </c>
      <c r="AZ26" s="525">
        <f t="shared" si="4"/>
        <v>0.68682524994556526</v>
      </c>
      <c r="BA26" s="525">
        <f t="shared" si="4"/>
        <v>0.74552763270868272</v>
      </c>
      <c r="BB26" s="525">
        <f t="shared" si="4"/>
        <v>0.80114448367037061</v>
      </c>
      <c r="BC26" s="525">
        <f t="shared" si="4"/>
        <v>0.94524809954218036</v>
      </c>
      <c r="BD26" s="525">
        <f t="shared" si="4"/>
        <v>1</v>
      </c>
      <c r="BF26" s="753"/>
      <c r="BG26" s="753"/>
      <c r="BH26" s="753"/>
      <c r="BI26" s="566"/>
      <c r="BM26" s="724">
        <v>4226109249</v>
      </c>
      <c r="BN26" s="515">
        <f t="shared" ref="BN26:BN32" si="5">+BM26*0.88</f>
        <v>3718976139.1199999</v>
      </c>
    </row>
    <row r="27" spans="1:74" ht="225.75" customHeight="1" thickBot="1">
      <c r="A27" s="844"/>
      <c r="B27" s="659" t="s">
        <v>72</v>
      </c>
      <c r="C27" s="746">
        <f>+AVERAGE(AQ24,AQ27)</f>
        <v>0.8481848688995216</v>
      </c>
      <c r="D27" s="746">
        <f>+C27</f>
        <v>0.8481848688995216</v>
      </c>
      <c r="E27" s="746">
        <f>+D27</f>
        <v>0.8481848688995216</v>
      </c>
      <c r="F27" s="746">
        <f>+E27</f>
        <v>0.8481848688995216</v>
      </c>
      <c r="G27" s="746"/>
      <c r="H27" s="746">
        <f>+F27</f>
        <v>0.8481848688995216</v>
      </c>
      <c r="I27" s="746"/>
      <c r="J27" s="746">
        <f>+H27</f>
        <v>0.8481848688995216</v>
      </c>
      <c r="K27" s="746">
        <f>+J27</f>
        <v>0.8481848688995216</v>
      </c>
      <c r="L27" s="746"/>
      <c r="M27" s="629" t="s">
        <v>439</v>
      </c>
      <c r="N27" s="567">
        <v>18</v>
      </c>
      <c r="O27" s="529" t="s">
        <v>120</v>
      </c>
      <c r="P27" s="530" t="s">
        <v>114</v>
      </c>
      <c r="Q27" s="530" t="s">
        <v>171</v>
      </c>
      <c r="R27" s="663" t="s">
        <v>151</v>
      </c>
      <c r="S27" s="672" t="s">
        <v>100</v>
      </c>
      <c r="T27" s="568" t="s">
        <v>107</v>
      </c>
      <c r="U27" s="577">
        <v>0.73499078333333334</v>
      </c>
      <c r="V27" s="533">
        <v>1.4277993471428572</v>
      </c>
      <c r="W27" s="578">
        <v>0.8</v>
      </c>
      <c r="X27" s="535" t="s">
        <v>377</v>
      </c>
      <c r="Y27" s="572" t="s">
        <v>453</v>
      </c>
      <c r="Z27" s="537" t="s">
        <v>362</v>
      </c>
      <c r="AA27" s="680">
        <v>0</v>
      </c>
      <c r="AB27" s="689">
        <v>0.73</v>
      </c>
      <c r="AC27" s="690">
        <v>0.95</v>
      </c>
      <c r="AD27" s="579">
        <f>307987081/1100000000</f>
        <v>0.27998825545454548</v>
      </c>
      <c r="AE27" s="580"/>
      <c r="AF27" s="580"/>
      <c r="AG27" s="579">
        <f>338538937/1100000000</f>
        <v>0.30776267000000002</v>
      </c>
      <c r="AH27" s="581">
        <f>349580219/1100000000</f>
        <v>0.31780019909090906</v>
      </c>
      <c r="AI27" s="581">
        <f>(53351402+89807034+448215465)/1100000000</f>
        <v>0.53761263727272723</v>
      </c>
      <c r="AJ27" s="708">
        <f>(97808814+112756799+476691525)/1100000000</f>
        <v>0.62477921636363631</v>
      </c>
      <c r="AK27" s="708">
        <f>(106373501+112756799+531123432)/1100000000</f>
        <v>0.6820488472727273</v>
      </c>
      <c r="AL27" s="678">
        <f>(107135889+112756799+556366168)/1100000000</f>
        <v>0.70568986909090914</v>
      </c>
      <c r="AM27" s="678">
        <f>(107336189+112756799+558082571)/1100000000</f>
        <v>0.7074323263636364</v>
      </c>
      <c r="AN27" s="773">
        <f>(107386889+112756799+561242688)/1100000000</f>
        <v>0.7103512509090909</v>
      </c>
      <c r="AO27" s="677"/>
      <c r="AP27" s="582" t="s">
        <v>488</v>
      </c>
      <c r="AQ27" s="525">
        <f>+IF(IF(AN27="","",IFERROR(AN27/AC27,0))&gt;1,1,IF(AN27="","",IFERROR(AN27/AC27,0)))</f>
        <v>0.74773815885167472</v>
      </c>
      <c r="AR27" s="525"/>
      <c r="AS27" s="525">
        <f>+AS25/AS24</f>
        <v>0.94772687593785176</v>
      </c>
      <c r="AT27" s="525">
        <f>+AT25/AT24</f>
        <v>0.98998582452185013</v>
      </c>
      <c r="AU27" s="525">
        <f>+AU25/AU24</f>
        <v>0.94352069473797817</v>
      </c>
      <c r="AV27" s="729">
        <f>+SUMPRODUCT(AS24:AU24,AS27:AU27)/SUM(AS24:AU24)</f>
        <v>0.96061248932178378</v>
      </c>
      <c r="AW27" s="525"/>
      <c r="AX27" s="518"/>
      <c r="AY27" s="518"/>
      <c r="AZ27" s="518"/>
      <c r="BA27" s="756"/>
      <c r="BF27" s="754"/>
      <c r="BG27" s="754"/>
      <c r="BH27" s="754"/>
      <c r="BM27" s="730">
        <v>6536325721</v>
      </c>
      <c r="BN27" s="515">
        <f t="shared" si="5"/>
        <v>5751966634.4800005</v>
      </c>
      <c r="BO27" s="730"/>
      <c r="BP27" s="730"/>
      <c r="BQ27" s="730"/>
      <c r="BR27" s="730"/>
      <c r="BS27" s="730"/>
      <c r="BT27" s="730"/>
      <c r="BU27" s="730"/>
      <c r="BV27" s="730"/>
    </row>
    <row r="28" spans="1:74" ht="162" customHeight="1" thickBot="1">
      <c r="A28" s="890" t="s">
        <v>189</v>
      </c>
      <c r="B28" s="658" t="s">
        <v>142</v>
      </c>
      <c r="C28" s="747"/>
      <c r="D28" s="747"/>
      <c r="E28" s="747"/>
      <c r="F28" s="747"/>
      <c r="G28" s="747"/>
      <c r="H28" s="747"/>
      <c r="I28" s="747"/>
      <c r="J28" s="747">
        <f>+AQ28</f>
        <v>0.97</v>
      </c>
      <c r="K28" s="747"/>
      <c r="L28" s="747"/>
      <c r="M28" s="630" t="s">
        <v>440</v>
      </c>
      <c r="N28" s="620">
        <v>19</v>
      </c>
      <c r="O28" s="529" t="s">
        <v>160</v>
      </c>
      <c r="P28" s="530" t="s">
        <v>112</v>
      </c>
      <c r="Q28" s="530" t="s">
        <v>159</v>
      </c>
      <c r="R28" s="663" t="s">
        <v>161</v>
      </c>
      <c r="S28" s="672" t="s">
        <v>100</v>
      </c>
      <c r="T28" s="568" t="s">
        <v>166</v>
      </c>
      <c r="U28" s="577">
        <v>0.67</v>
      </c>
      <c r="V28" s="533">
        <v>0.93</v>
      </c>
      <c r="W28" s="578">
        <v>1</v>
      </c>
      <c r="X28" s="535" t="s">
        <v>381</v>
      </c>
      <c r="Y28" s="572" t="s">
        <v>389</v>
      </c>
      <c r="Z28" s="537" t="s">
        <v>378</v>
      </c>
      <c r="AA28" s="680">
        <v>0</v>
      </c>
      <c r="AB28" s="689">
        <v>0.85</v>
      </c>
      <c r="AC28" s="690">
        <v>1</v>
      </c>
      <c r="AD28" s="697">
        <v>0.93</v>
      </c>
      <c r="AE28" s="580"/>
      <c r="AF28" s="580"/>
      <c r="AG28" s="581">
        <v>0.93</v>
      </c>
      <c r="AH28" s="581"/>
      <c r="AI28" s="581">
        <v>0.93</v>
      </c>
      <c r="AJ28" s="581"/>
      <c r="AK28" s="757">
        <v>0.95</v>
      </c>
      <c r="AL28" s="581"/>
      <c r="AM28" s="581">
        <v>0.97</v>
      </c>
      <c r="AN28" s="581"/>
      <c r="AO28" s="600"/>
      <c r="AP28" s="653" t="s">
        <v>482</v>
      </c>
      <c r="AQ28" s="525">
        <f>+IF(IF(AM28="","",IFERROR(AM28/AC28,0))&gt;1,1,IF(AM28="","",IFERROR(AM28/AC28,0)))</f>
        <v>0.97</v>
      </c>
      <c r="AR28" s="525"/>
      <c r="AS28" s="525"/>
      <c r="AT28" s="525"/>
      <c r="AU28" s="525"/>
      <c r="AV28" s="525"/>
      <c r="AW28" s="525"/>
      <c r="AX28" s="518"/>
      <c r="AY28" s="518"/>
      <c r="AZ28" s="518"/>
      <c r="BM28" s="724">
        <v>7589971626</v>
      </c>
      <c r="BN28" s="515">
        <f t="shared" si="5"/>
        <v>6679175030.8800001</v>
      </c>
      <c r="BO28" s="731"/>
      <c r="BP28" s="731"/>
    </row>
    <row r="29" spans="1:74" ht="158.25" thickBot="1">
      <c r="A29" s="844"/>
      <c r="B29" s="619" t="s">
        <v>77</v>
      </c>
      <c r="C29" s="747">
        <f>+AQ29</f>
        <v>0.99282296650717716</v>
      </c>
      <c r="D29" s="747"/>
      <c r="E29" s="747"/>
      <c r="F29" s="747">
        <f>+AQ29</f>
        <v>0.99282296650717716</v>
      </c>
      <c r="G29" s="747"/>
      <c r="H29" s="747"/>
      <c r="I29" s="747"/>
      <c r="J29" s="747">
        <f>+AQ29</f>
        <v>0.99282296650717716</v>
      </c>
      <c r="K29" s="747"/>
      <c r="L29" s="747"/>
      <c r="M29" s="634" t="s">
        <v>441</v>
      </c>
      <c r="N29" s="607">
        <v>20</v>
      </c>
      <c r="O29" s="656" t="s">
        <v>131</v>
      </c>
      <c r="P29" s="657" t="s">
        <v>114</v>
      </c>
      <c r="Q29" s="657" t="s">
        <v>410</v>
      </c>
      <c r="R29" s="666" t="s">
        <v>359</v>
      </c>
      <c r="S29" s="669" t="s">
        <v>100</v>
      </c>
      <c r="T29" s="611" t="s">
        <v>107</v>
      </c>
      <c r="U29" s="562">
        <v>0.88935026868588196</v>
      </c>
      <c r="V29" s="648">
        <v>0.90985324947589097</v>
      </c>
      <c r="W29" s="563">
        <v>1</v>
      </c>
      <c r="X29" s="618" t="s">
        <v>361</v>
      </c>
      <c r="Y29" s="616" t="s">
        <v>386</v>
      </c>
      <c r="Z29" s="614" t="s">
        <v>362</v>
      </c>
      <c r="AA29" s="680">
        <v>0</v>
      </c>
      <c r="AB29" s="689">
        <v>0.85</v>
      </c>
      <c r="AC29" s="690">
        <v>0.95</v>
      </c>
      <c r="AD29" s="723">
        <v>0.95622895622895621</v>
      </c>
      <c r="AE29" s="580"/>
      <c r="AF29" s="580"/>
      <c r="AG29" s="581">
        <v>0.96250000000000002</v>
      </c>
      <c r="AH29" s="581">
        <f>0.913636363636364%*100</f>
        <v>0.91363636363636402</v>
      </c>
      <c r="AI29" s="581">
        <f>+(0.932885906040268)*100%</f>
        <v>0.932885906040268</v>
      </c>
      <c r="AJ29" s="752">
        <f>+(257/269)*100%</f>
        <v>0.95539033457249067</v>
      </c>
      <c r="AK29" s="757">
        <f>+(443/456)*100%</f>
        <v>0.97149122807017541</v>
      </c>
      <c r="AL29" s="758">
        <f>+(189/196)*100%</f>
        <v>0.9642857142857143</v>
      </c>
      <c r="AM29" s="766">
        <f>+(137/148)*100%</f>
        <v>0.92567567567567566</v>
      </c>
      <c r="AN29" s="773">
        <f>+(166/176)*100%</f>
        <v>0.94318181818181823</v>
      </c>
      <c r="AO29" s="679"/>
      <c r="AP29" s="603" t="s">
        <v>489</v>
      </c>
      <c r="AQ29" s="771">
        <f>+IF(IF(AN29="","",IFERROR(AN29/AC29,0))&gt;1,1,IF(AN29="","",IFERROR(AN29/AC29,0)))</f>
        <v>0.99282296650717716</v>
      </c>
      <c r="AR29" s="525"/>
      <c r="AS29" s="525">
        <f>+SUMPRODUCT(AS24:AU24,AS28:AU28)/SUM(AS24:AU24)</f>
        <v>0</v>
      </c>
      <c r="AT29" s="525"/>
      <c r="AU29" s="525"/>
      <c r="AV29" s="525"/>
      <c r="AW29" s="525"/>
      <c r="AX29" s="518"/>
      <c r="AY29" s="518"/>
      <c r="AZ29" s="518">
        <v>100</v>
      </c>
      <c r="BM29" s="724">
        <v>8238680187</v>
      </c>
      <c r="BN29" s="515">
        <f t="shared" si="5"/>
        <v>7250038564.5600004</v>
      </c>
    </row>
    <row r="30" spans="1:74" hidden="1">
      <c r="C30" s="748">
        <f>+AVERAGE(C6:C29)</f>
        <v>0.90000604481109714</v>
      </c>
      <c r="D30" s="748">
        <f t="shared" ref="D30:L30" si="6">+AVERAGE(D6:D29)</f>
        <v>0.89284243444976075</v>
      </c>
      <c r="E30" s="748">
        <f t="shared" si="6"/>
        <v>0.91245125949419015</v>
      </c>
      <c r="F30" s="748">
        <f t="shared" si="6"/>
        <v>0.91627901069036233</v>
      </c>
      <c r="G30" s="748">
        <f t="shared" si="6"/>
        <v>0.96875</v>
      </c>
      <c r="H30" s="748">
        <f t="shared" si="6"/>
        <v>0.89714302173615856</v>
      </c>
      <c r="I30" s="748">
        <f t="shared" si="6"/>
        <v>0.96875</v>
      </c>
      <c r="J30" s="748">
        <f t="shared" si="6"/>
        <v>0.9321541805683039</v>
      </c>
      <c r="K30" s="748">
        <f t="shared" si="6"/>
        <v>0.89284243444976075</v>
      </c>
      <c r="L30" s="748">
        <f t="shared" si="6"/>
        <v>0.95204505686789143</v>
      </c>
      <c r="AP30" s="515"/>
      <c r="AS30" s="525"/>
      <c r="AT30" s="525"/>
      <c r="AU30" s="525"/>
      <c r="AV30" s="525"/>
      <c r="AW30" s="525"/>
      <c r="AX30" s="518"/>
      <c r="AY30" s="518"/>
      <c r="AZ30" s="518"/>
      <c r="BM30" s="724">
        <v>8853291139</v>
      </c>
      <c r="BN30" s="515">
        <f t="shared" si="5"/>
        <v>7790896202.3199997</v>
      </c>
    </row>
    <row r="31" spans="1:74">
      <c r="Q31" s="565"/>
      <c r="R31" s="565"/>
      <c r="AG31" s="565"/>
      <c r="AH31" s="565"/>
      <c r="AI31" s="565"/>
      <c r="AJ31" s="565"/>
      <c r="AK31" s="565"/>
      <c r="AL31" s="565"/>
      <c r="AM31" s="565"/>
      <c r="AN31" s="565"/>
      <c r="AO31" s="565"/>
      <c r="AP31" s="565"/>
      <c r="AZ31" s="515">
        <f>+AZ29-AZ27</f>
        <v>100</v>
      </c>
      <c r="BM31" s="724">
        <v>10445752039</v>
      </c>
      <c r="BN31" s="515">
        <f t="shared" si="5"/>
        <v>9192261794.3199997</v>
      </c>
    </row>
    <row r="32" spans="1:74">
      <c r="Q32" s="564"/>
      <c r="R32" s="564"/>
      <c r="BM32" s="724">
        <v>11050804592</v>
      </c>
      <c r="BN32" s="515">
        <f t="shared" si="5"/>
        <v>9724708040.960001</v>
      </c>
    </row>
    <row r="33" spans="15:65">
      <c r="BM33" s="730"/>
    </row>
    <row r="34" spans="15:65">
      <c r="BM34" s="730"/>
    </row>
    <row r="35" spans="15:65">
      <c r="BM35" s="724"/>
    </row>
    <row r="36" spans="15:65">
      <c r="O36" s="566"/>
      <c r="BM36" s="724"/>
    </row>
    <row r="37" spans="15:65">
      <c r="BM37" s="724"/>
    </row>
    <row r="38" spans="15:65">
      <c r="BM38" s="724"/>
    </row>
    <row r="39" spans="15:65">
      <c r="BM39" s="724"/>
    </row>
    <row r="40" spans="15:65">
      <c r="BM40" s="724"/>
    </row>
    <row r="41" spans="15:65">
      <c r="BM41" s="724"/>
    </row>
    <row r="42" spans="15:65">
      <c r="BM42" s="724"/>
    </row>
    <row r="43" spans="15:65">
      <c r="BM43" s="724"/>
    </row>
  </sheetData>
  <autoFilter ref="A5:BV30">
    <filterColumn colId="13" showButton="0"/>
    <filterColumn colId="19">
      <customFilters>
        <customFilter operator="notEqual" val=" "/>
      </customFilters>
    </filterColumn>
    <filterColumn colId="23" showButton="0"/>
    <filterColumn colId="24" showButton="0"/>
    <filterColumn colId="26" showButton="0"/>
    <filterColumn colId="27" showButton="0"/>
  </autoFilter>
  <mergeCells count="204">
    <mergeCell ref="AM24:AM25"/>
    <mergeCell ref="AN24:AN25"/>
    <mergeCell ref="AO24:AO25"/>
    <mergeCell ref="AA24:AA25"/>
    <mergeCell ref="AB24:AB25"/>
    <mergeCell ref="AC24:AC25"/>
    <mergeCell ref="AD24:AD25"/>
    <mergeCell ref="AE24:AE25"/>
    <mergeCell ref="AF24:AF25"/>
    <mergeCell ref="AG24:AG25"/>
    <mergeCell ref="AH24:AH25"/>
    <mergeCell ref="AI24:AI25"/>
    <mergeCell ref="A18:A19"/>
    <mergeCell ref="Z14:Z15"/>
    <mergeCell ref="AD16:AD17"/>
    <mergeCell ref="AA14:AA15"/>
    <mergeCell ref="AB14:AB15"/>
    <mergeCell ref="AC14:AC15"/>
    <mergeCell ref="N14:N15"/>
    <mergeCell ref="AA22:AA23"/>
    <mergeCell ref="AC22:AC23"/>
    <mergeCell ref="AB22:AB23"/>
    <mergeCell ref="AD22:AD23"/>
    <mergeCell ref="I18:I19"/>
    <mergeCell ref="J18:J19"/>
    <mergeCell ref="K18:K19"/>
    <mergeCell ref="L18:L19"/>
    <mergeCell ref="I20:I21"/>
    <mergeCell ref="J20:J21"/>
    <mergeCell ref="K20:K21"/>
    <mergeCell ref="L20:L21"/>
    <mergeCell ref="C22:C23"/>
    <mergeCell ref="D22:D23"/>
    <mergeCell ref="E22:E23"/>
    <mergeCell ref="F22:F23"/>
    <mergeCell ref="G22:G23"/>
    <mergeCell ref="AP16:AP17"/>
    <mergeCell ref="AP22:AP23"/>
    <mergeCell ref="Z22:Z23"/>
    <mergeCell ref="AA16:AA17"/>
    <mergeCell ref="AB16:AB17"/>
    <mergeCell ref="AC16:AC17"/>
    <mergeCell ref="AJ16:AJ17"/>
    <mergeCell ref="AI16:AI17"/>
    <mergeCell ref="AE16:AE17"/>
    <mergeCell ref="AF16:AF17"/>
    <mergeCell ref="AH16:AH17"/>
    <mergeCell ref="AO22:AO23"/>
    <mergeCell ref="AN22:AN23"/>
    <mergeCell ref="AM22:AM23"/>
    <mergeCell ref="AL22:AL23"/>
    <mergeCell ref="AK22:AK23"/>
    <mergeCell ref="AJ22:AJ23"/>
    <mergeCell ref="AI22:AI23"/>
    <mergeCell ref="AH22:AH23"/>
    <mergeCell ref="AG22:AG23"/>
    <mergeCell ref="AF22:AF23"/>
    <mergeCell ref="AE22:AE23"/>
    <mergeCell ref="V3:V5"/>
    <mergeCell ref="V14:V15"/>
    <mergeCell ref="X5:Z5"/>
    <mergeCell ref="Q3:Q5"/>
    <mergeCell ref="AP4:AP5"/>
    <mergeCell ref="R3:R5"/>
    <mergeCell ref="T3:T5"/>
    <mergeCell ref="U3:U5"/>
    <mergeCell ref="W3:W5"/>
    <mergeCell ref="X3:Z3"/>
    <mergeCell ref="AP14:AP15"/>
    <mergeCell ref="AE14:AE15"/>
    <mergeCell ref="S3:S5"/>
    <mergeCell ref="AD3:AP3"/>
    <mergeCell ref="AA3:AC5"/>
    <mergeCell ref="Y14:Y15"/>
    <mergeCell ref="S14:S15"/>
    <mergeCell ref="A28:A29"/>
    <mergeCell ref="A20:A21"/>
    <mergeCell ref="B20:B21"/>
    <mergeCell ref="N22:N23"/>
    <mergeCell ref="U22:U23"/>
    <mergeCell ref="T22:T23"/>
    <mergeCell ref="R22:R23"/>
    <mergeCell ref="Q22:Q23"/>
    <mergeCell ref="O22:O23"/>
    <mergeCell ref="A24:A27"/>
    <mergeCell ref="M24:M25"/>
    <mergeCell ref="P22:P23"/>
    <mergeCell ref="B22:B23"/>
    <mergeCell ref="M22:M23"/>
    <mergeCell ref="O24:O25"/>
    <mergeCell ref="N24:N25"/>
    <mergeCell ref="S22:S23"/>
    <mergeCell ref="S24:S25"/>
    <mergeCell ref="C20:C21"/>
    <mergeCell ref="D20:D21"/>
    <mergeCell ref="E20:E21"/>
    <mergeCell ref="F20:F21"/>
    <mergeCell ref="G20:G21"/>
    <mergeCell ref="H20:H21"/>
    <mergeCell ref="A1:AP1"/>
    <mergeCell ref="AG14:AG15"/>
    <mergeCell ref="W14:W15"/>
    <mergeCell ref="U14:U15"/>
    <mergeCell ref="T14:T15"/>
    <mergeCell ref="R14:R15"/>
    <mergeCell ref="Q14:Q15"/>
    <mergeCell ref="B14:B17"/>
    <mergeCell ref="B10:B11"/>
    <mergeCell ref="B6:B9"/>
    <mergeCell ref="O14:O15"/>
    <mergeCell ref="A8:A11"/>
    <mergeCell ref="AF14:AF15"/>
    <mergeCell ref="P14:P15"/>
    <mergeCell ref="P16:P17"/>
    <mergeCell ref="A3:A5"/>
    <mergeCell ref="N3:O5"/>
    <mergeCell ref="X14:X15"/>
    <mergeCell ref="AH14:AH15"/>
    <mergeCell ref="Q16:Q17"/>
    <mergeCell ref="AD14:AD15"/>
    <mergeCell ref="AG16:AG17"/>
    <mergeCell ref="A6:A7"/>
    <mergeCell ref="N16:N17"/>
    <mergeCell ref="P3:P5"/>
    <mergeCell ref="B3:B5"/>
    <mergeCell ref="M3:M5"/>
    <mergeCell ref="M6:M7"/>
    <mergeCell ref="M8:M9"/>
    <mergeCell ref="M16:M17"/>
    <mergeCell ref="M14:M15"/>
    <mergeCell ref="B18:B19"/>
    <mergeCell ref="M20:M21"/>
    <mergeCell ref="M18:M19"/>
    <mergeCell ref="O16:O17"/>
    <mergeCell ref="C3:L3"/>
    <mergeCell ref="C4:C5"/>
    <mergeCell ref="D4:D5"/>
    <mergeCell ref="E4:E5"/>
    <mergeCell ref="F4:F5"/>
    <mergeCell ref="G4:G5"/>
    <mergeCell ref="H4:H5"/>
    <mergeCell ref="I4:I5"/>
    <mergeCell ref="J4:J5"/>
    <mergeCell ref="K4:K5"/>
    <mergeCell ref="L4:L5"/>
    <mergeCell ref="C6:C9"/>
    <mergeCell ref="D6:D9"/>
    <mergeCell ref="C18:C19"/>
    <mergeCell ref="D18:D19"/>
    <mergeCell ref="E18:E19"/>
    <mergeCell ref="F18:F19"/>
    <mergeCell ref="G18:G19"/>
    <mergeCell ref="H18:H19"/>
    <mergeCell ref="AP24:AP25"/>
    <mergeCell ref="R24:R25"/>
    <mergeCell ref="Q24:Q25"/>
    <mergeCell ref="P24:P25"/>
    <mergeCell ref="Y22:Y23"/>
    <mergeCell ref="X22:X23"/>
    <mergeCell ref="W22:W23"/>
    <mergeCell ref="V22:V23"/>
    <mergeCell ref="V24:V25"/>
    <mergeCell ref="U24:U25"/>
    <mergeCell ref="T24:T25"/>
    <mergeCell ref="Z24:Z25"/>
    <mergeCell ref="Y24:Y25"/>
    <mergeCell ref="X24:X25"/>
    <mergeCell ref="W24:W25"/>
    <mergeCell ref="AJ24:AJ25"/>
    <mergeCell ref="AK24:AK25"/>
    <mergeCell ref="AL24:AL25"/>
    <mergeCell ref="C24:C25"/>
    <mergeCell ref="D24:D25"/>
    <mergeCell ref="E24:E25"/>
    <mergeCell ref="F24:F25"/>
    <mergeCell ref="G24:G25"/>
    <mergeCell ref="H24:H25"/>
    <mergeCell ref="I24:I25"/>
    <mergeCell ref="J24:J25"/>
    <mergeCell ref="K24:K25"/>
    <mergeCell ref="H22:H23"/>
    <mergeCell ref="I22:I23"/>
    <mergeCell ref="J22:J23"/>
    <mergeCell ref="K22:K23"/>
    <mergeCell ref="L22:L23"/>
    <mergeCell ref="AQ24:AQ25"/>
    <mergeCell ref="E6:E9"/>
    <mergeCell ref="F6:F9"/>
    <mergeCell ref="G6:G9"/>
    <mergeCell ref="H6:H9"/>
    <mergeCell ref="I6:I9"/>
    <mergeCell ref="J6:J9"/>
    <mergeCell ref="K6:K9"/>
    <mergeCell ref="L6:L9"/>
    <mergeCell ref="L24:L25"/>
    <mergeCell ref="W16:W17"/>
    <mergeCell ref="Z16:Z17"/>
    <mergeCell ref="U16:U17"/>
    <mergeCell ref="X16:X17"/>
    <mergeCell ref="Y16:Y17"/>
    <mergeCell ref="T16:T17"/>
    <mergeCell ref="R16:R17"/>
    <mergeCell ref="V16:V17"/>
    <mergeCell ref="S16:S17"/>
  </mergeCells>
  <conditionalFormatting sqref="AA7:AO7">
    <cfRule type="colorScale" priority="63">
      <colorScale>
        <cfvo type="num" val="$AA$7"/>
        <cfvo type="num" val="$AB$7"/>
        <cfvo type="num" val="$AC$7"/>
        <color rgb="FFFF0000"/>
        <color rgb="FFFFEB84"/>
        <color theme="6" tint="-0.249977111117893"/>
      </colorScale>
    </cfRule>
  </conditionalFormatting>
  <conditionalFormatting sqref="AA8:AO8">
    <cfRule type="colorScale" priority="57">
      <colorScale>
        <cfvo type="num" val="$AA$8"/>
        <cfvo type="num" val="$AB$8"/>
        <cfvo type="num" val="$AC$8"/>
        <color rgb="FFFF0000"/>
        <color rgb="FFFFEB84"/>
        <color theme="6" tint="-0.249977111117893"/>
      </colorScale>
    </cfRule>
  </conditionalFormatting>
  <conditionalFormatting sqref="AA9:AO9">
    <cfRule type="colorScale" priority="56">
      <colorScale>
        <cfvo type="num" val="$AA$9"/>
        <cfvo type="num" val="$AB$9"/>
        <cfvo type="num" val="$AC$9"/>
        <color rgb="FFFF0000"/>
        <color rgb="FFFFEB84"/>
        <color theme="6" tint="-0.249977111117893"/>
      </colorScale>
    </cfRule>
  </conditionalFormatting>
  <conditionalFormatting sqref="AD10:AO10">
    <cfRule type="colorScale" priority="55">
      <colorScale>
        <cfvo type="num" val="$AA$10"/>
        <cfvo type="num" val="$AB$10"/>
        <cfvo type="num" val="$AC$10"/>
        <color theme="6" tint="-0.249977111117893"/>
        <color rgb="FFFFEB84"/>
        <color rgb="FFFF0000"/>
      </colorScale>
    </cfRule>
  </conditionalFormatting>
  <conditionalFormatting sqref="AA11:AO11">
    <cfRule type="colorScale" priority="54">
      <colorScale>
        <cfvo type="num" val="$AA$11"/>
        <cfvo type="num" val="$AB$11"/>
        <cfvo type="num" val="$AC$11"/>
        <color rgb="FFFF0000"/>
        <color rgb="FFFFEB84"/>
        <color theme="6" tint="-0.249977111117893"/>
      </colorScale>
    </cfRule>
  </conditionalFormatting>
  <conditionalFormatting sqref="AA12:AO12">
    <cfRule type="colorScale" priority="53">
      <colorScale>
        <cfvo type="num" val="$AA$12"/>
        <cfvo type="num" val="$AB$12"/>
        <cfvo type="num" val="$AC$12"/>
        <color rgb="FFFF0000"/>
        <color rgb="FFFFEB84"/>
        <color theme="6" tint="-0.249977111117893"/>
      </colorScale>
    </cfRule>
  </conditionalFormatting>
  <conditionalFormatting sqref="AA13:AO13">
    <cfRule type="colorScale" priority="52">
      <colorScale>
        <cfvo type="num" val="$AA$13"/>
        <cfvo type="num" val="$AB$13"/>
        <cfvo type="num" val="$AC$13"/>
        <color rgb="FFFF0000"/>
        <color rgb="FFFFEB84"/>
        <color theme="6" tint="-0.249977111117893"/>
      </colorScale>
    </cfRule>
  </conditionalFormatting>
  <conditionalFormatting sqref="AA14:AO15">
    <cfRule type="colorScale" priority="51">
      <colorScale>
        <cfvo type="num" val="$AA$14"/>
        <cfvo type="num" val="$AB$14"/>
        <cfvo type="num" val="$AC$14"/>
        <color rgb="FFFF0000"/>
        <color rgb="FFFFEB84"/>
        <color theme="6" tint="-0.249977111117893"/>
      </colorScale>
    </cfRule>
  </conditionalFormatting>
  <conditionalFormatting sqref="AA16:AO16 AA17:AI17">
    <cfRule type="colorScale" priority="50">
      <colorScale>
        <cfvo type="num" val="$AA$16"/>
        <cfvo type="num" val="$AB$16"/>
        <cfvo type="num" val="$AC$16"/>
        <color rgb="FFFF0000"/>
        <color rgb="FFFFEB84"/>
        <color theme="6" tint="-0.249977111117893"/>
      </colorScale>
    </cfRule>
  </conditionalFormatting>
  <conditionalFormatting sqref="AA18:AO18">
    <cfRule type="colorScale" priority="49">
      <colorScale>
        <cfvo type="num" val="$AA$18"/>
        <cfvo type="num" val="$AB$18"/>
        <cfvo type="num" val="$AC$18"/>
        <color rgb="FFFF0000"/>
        <color rgb="FFFFEB84"/>
        <color theme="6" tint="-0.249977111117893"/>
      </colorScale>
    </cfRule>
  </conditionalFormatting>
  <conditionalFormatting sqref="AA20:AO20">
    <cfRule type="colorScale" priority="48">
      <colorScale>
        <cfvo type="num" val="$AA$20"/>
        <cfvo type="num" val="$AB$20"/>
        <cfvo type="num" val="$AC$20"/>
        <color rgb="FFFF0000"/>
        <color rgb="FFFFEB84"/>
        <color theme="6" tint="-0.249977111117893"/>
      </colorScale>
    </cfRule>
  </conditionalFormatting>
  <conditionalFormatting sqref="AA26:AI26">
    <cfRule type="colorScale" priority="45">
      <colorScale>
        <cfvo type="num" val="$AA$26"/>
        <cfvo type="num" val="$AB$26"/>
        <cfvo type="num" val="$AC$26"/>
        <color rgb="FFFF0000"/>
        <color rgb="FFFFEB84"/>
        <color theme="6" tint="-0.249977111117893"/>
      </colorScale>
    </cfRule>
  </conditionalFormatting>
  <conditionalFormatting sqref="AA27:AO27">
    <cfRule type="colorScale" priority="44">
      <colorScale>
        <cfvo type="num" val="$AA$27"/>
        <cfvo type="num" val="$AB$27"/>
        <cfvo type="num" val="$AC$27"/>
        <color rgb="FFFF0000"/>
        <color rgb="FFFFEB84"/>
        <color theme="6" tint="-0.249977111117893"/>
      </colorScale>
    </cfRule>
  </conditionalFormatting>
  <conditionalFormatting sqref="AA28:AO28">
    <cfRule type="colorScale" priority="43">
      <colorScale>
        <cfvo type="num" val="$AA$28"/>
        <cfvo type="num" val="$AB$28"/>
        <cfvo type="num" val="$AC$28"/>
        <color rgb="FFFF0000"/>
        <color rgb="FFFFEB84"/>
        <color theme="6" tint="-0.249977111117893"/>
      </colorScale>
    </cfRule>
  </conditionalFormatting>
  <conditionalFormatting sqref="AA29:AO29">
    <cfRule type="colorScale" priority="42">
      <colorScale>
        <cfvo type="num" val="$AA$29"/>
        <cfvo type="num" val="$AB$29"/>
        <cfvo type="num" val="$AC$29"/>
        <color rgb="FFFF0000"/>
        <color rgb="FFFFEB84"/>
        <color theme="6" tint="-0.249977111117893"/>
      </colorScale>
    </cfRule>
  </conditionalFormatting>
  <conditionalFormatting sqref="AC6:AO6 AA6">
    <cfRule type="colorScale" priority="37">
      <colorScale>
        <cfvo type="num" val="$X$6"/>
        <cfvo type="num" val="$Y$6"/>
        <cfvo type="num" val="$Z$6"/>
        <color rgb="FFFF0000"/>
        <color rgb="FFFFEB84"/>
        <color theme="6" tint="-0.249977111117893"/>
      </colorScale>
    </cfRule>
  </conditionalFormatting>
  <conditionalFormatting sqref="AJ26:AO26">
    <cfRule type="colorScale" priority="35">
      <colorScale>
        <cfvo type="num" val="$AA$27"/>
        <cfvo type="num" val="$AB$27"/>
        <cfvo type="num" val="$AC$27"/>
        <color rgb="FFFF0000"/>
        <color rgb="FFFFEB84"/>
        <color theme="6" tint="-0.249977111117893"/>
      </colorScale>
    </cfRule>
  </conditionalFormatting>
  <conditionalFormatting sqref="AG6:AL6">
    <cfRule type="cellIs" dxfId="19" priority="151" operator="greaterThan">
      <formula>AC6</formula>
    </cfRule>
  </conditionalFormatting>
  <conditionalFormatting sqref="AO6">
    <cfRule type="cellIs" dxfId="18" priority="153" operator="greaterThan">
      <formula>AH6</formula>
    </cfRule>
  </conditionalFormatting>
  <conditionalFormatting sqref="AN6">
    <cfRule type="cellIs" dxfId="17" priority="155" operator="greaterThan">
      <formula>AH6</formula>
    </cfRule>
  </conditionalFormatting>
  <conditionalFormatting sqref="AM6">
    <cfRule type="cellIs" dxfId="16" priority="157" operator="greaterThan">
      <formula>AH6</formula>
    </cfRule>
  </conditionalFormatting>
  <conditionalFormatting sqref="AB6">
    <cfRule type="colorScale" priority="10">
      <colorScale>
        <cfvo type="num" val="$AA$7"/>
        <cfvo type="num" val="$AB$7"/>
        <cfvo type="num" val="$AC$7"/>
        <color rgb="FFFF0000"/>
        <color rgb="FFFFEB84"/>
        <color theme="6" tint="-0.249977111117893"/>
      </colorScale>
    </cfRule>
  </conditionalFormatting>
  <conditionalFormatting sqref="AA10:AC10">
    <cfRule type="colorScale" priority="6">
      <colorScale>
        <cfvo type="min"/>
        <cfvo type="percentile" val="50"/>
        <cfvo type="max"/>
        <color theme="6" tint="-0.249977111117893"/>
        <color rgb="FFFFEB84"/>
        <color rgb="FFFF0000"/>
      </colorScale>
    </cfRule>
  </conditionalFormatting>
  <conditionalFormatting sqref="AA19:AC19">
    <cfRule type="colorScale" priority="5">
      <colorScale>
        <cfvo type="num" val="$AA$19"/>
        <cfvo type="num" val="$AB$19"/>
        <cfvo type="num" val="$AC$19"/>
        <color rgb="FFFF0000"/>
        <color rgb="FFFFEB84"/>
        <color theme="6" tint="-0.249977111117893"/>
      </colorScale>
    </cfRule>
  </conditionalFormatting>
  <conditionalFormatting sqref="AA21:AO21">
    <cfRule type="colorScale" priority="4">
      <colorScale>
        <cfvo type="num" val="$AA$21"/>
        <cfvo type="num" val="$AB$21"/>
        <cfvo type="num" val="$AC$21"/>
        <color rgb="FFFF0000"/>
        <color rgb="FFFFEB84"/>
        <color theme="6" tint="-0.249977111117893"/>
      </colorScale>
    </cfRule>
  </conditionalFormatting>
  <conditionalFormatting sqref="AA22:AO23">
    <cfRule type="colorScale" priority="3">
      <colorScale>
        <cfvo type="num" val="$AA$22"/>
        <cfvo type="num" val="$AB$22"/>
        <cfvo type="num" val="$AC$22"/>
        <color rgb="FFFF3300"/>
        <color rgb="FFFFEB84"/>
        <color theme="6" tint="-0.249977111117893"/>
      </colorScale>
    </cfRule>
  </conditionalFormatting>
  <conditionalFormatting sqref="AA24:AO25">
    <cfRule type="colorScale" priority="2">
      <colorScale>
        <cfvo type="num" val="$AA$24"/>
        <cfvo type="num" val="$AB$24"/>
        <cfvo type="num" val="$AC$24"/>
        <color rgb="FFFF3300"/>
        <color rgb="FFFFEB84"/>
        <color theme="6" tint="-0.249977111117893"/>
      </colorScale>
    </cfRule>
  </conditionalFormatting>
  <conditionalFormatting sqref="AI19">
    <cfRule type="colorScale" priority="1">
      <colorScale>
        <cfvo type="num" val="$AA$18"/>
        <cfvo type="num" val="$AB$18"/>
        <cfvo type="num" val="$AC$18"/>
        <color rgb="FFFF0000"/>
        <color rgb="FFFFEB84"/>
        <color theme="6" tint="-0.249977111117893"/>
      </colorScale>
    </cfRule>
  </conditionalFormatting>
  <dataValidations count="1">
    <dataValidation type="list" allowBlank="1" showInputMessage="1" showErrorMessage="1" sqref="S6:S14 S16 S18:S22 S24 S26:S29">
      <formula1>"Sube,Baja,Tendencia Media"</formula1>
    </dataValidation>
  </dataValidations>
  <pageMargins left="0.19685039370078741" right="0" top="0.19685039370078741" bottom="0" header="0.31496062992125984" footer="0.31496062992125984"/>
  <pageSetup paperSize="300" scale="10" fitToHeight="2" orientation="landscape"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H17"/>
  <sheetViews>
    <sheetView topLeftCell="A4" workbookViewId="0">
      <selection activeCell="B15" sqref="B15"/>
    </sheetView>
  </sheetViews>
  <sheetFormatPr baseColWidth="10" defaultRowHeight="15"/>
  <cols>
    <col min="2" max="2" width="78.140625" customWidth="1"/>
    <col min="5" max="6" width="21.85546875" bestFit="1" customWidth="1"/>
    <col min="7" max="7" width="27.5703125" customWidth="1"/>
    <col min="8" max="8" width="12" bestFit="1" customWidth="1"/>
  </cols>
  <sheetData>
    <row r="7" spans="2:8">
      <c r="F7">
        <v>8000000000</v>
      </c>
      <c r="H7">
        <f>+(F8*100)/F7</f>
        <v>90.121137119124995</v>
      </c>
    </row>
    <row r="8" spans="2:8">
      <c r="F8">
        <v>7209690969.5299997</v>
      </c>
      <c r="H8">
        <f>+(F8*100)/F9</f>
        <v>98.762889993561643</v>
      </c>
    </row>
    <row r="9" spans="2:8">
      <c r="F9">
        <v>7300000000</v>
      </c>
    </row>
    <row r="13" spans="2:8" ht="90">
      <c r="B13" s="181" t="s">
        <v>483</v>
      </c>
    </row>
    <row r="14" spans="2:8">
      <c r="E14" t="s">
        <v>492</v>
      </c>
      <c r="F14" t="s">
        <v>493</v>
      </c>
      <c r="G14" t="s">
        <v>494</v>
      </c>
    </row>
    <row r="15" spans="2:8" ht="90">
      <c r="B15" s="181" t="s">
        <v>495</v>
      </c>
      <c r="E15" s="774">
        <v>19554218548.529999</v>
      </c>
      <c r="F15" s="774">
        <v>21735135297.009998</v>
      </c>
      <c r="G15" s="774">
        <v>19227028885.700001</v>
      </c>
    </row>
    <row r="16" spans="2:8">
      <c r="E16" s="774">
        <v>21456571434.48</v>
      </c>
      <c r="F16" s="774">
        <v>23537620568.349998</v>
      </c>
      <c r="G16" s="774">
        <v>21013229068.959999</v>
      </c>
    </row>
    <row r="17" spans="5:6">
      <c r="E17">
        <f>+E15/E16</f>
        <v>0.91133938188777996</v>
      </c>
      <c r="F17">
        <f>+F15/F16</f>
        <v>0.9234210923697308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0:G28"/>
  <sheetViews>
    <sheetView topLeftCell="A4" workbookViewId="0">
      <selection activeCell="G28" sqref="G28"/>
    </sheetView>
  </sheetViews>
  <sheetFormatPr baseColWidth="10" defaultRowHeight="15"/>
  <cols>
    <col min="6" max="6" width="59.85546875" customWidth="1"/>
    <col min="7" max="7" width="43.42578125" customWidth="1"/>
  </cols>
  <sheetData>
    <row r="10" spans="6:7" ht="105">
      <c r="F10" s="767" t="s">
        <v>479</v>
      </c>
    </row>
    <row r="15" spans="6:7">
      <c r="F15">
        <v>18214740191.799999</v>
      </c>
      <c r="G15">
        <v>19554218548.529999</v>
      </c>
    </row>
    <row r="16" spans="6:7">
      <c r="F16">
        <v>20154761424.970001</v>
      </c>
      <c r="G16">
        <v>21735135297.009998</v>
      </c>
    </row>
    <row r="19" spans="6:7">
      <c r="F19">
        <f>+(G15*100)/F15</f>
        <v>107.35381533101973</v>
      </c>
      <c r="G19">
        <f>+(G16*100)/F16</f>
        <v>107.8411936451009</v>
      </c>
    </row>
    <row r="20" spans="6:7">
      <c r="F20">
        <v>100</v>
      </c>
      <c r="G20">
        <v>100</v>
      </c>
    </row>
    <row r="21" spans="6:7">
      <c r="F21">
        <f>+F20-F19</f>
        <v>-7.3538153310197316</v>
      </c>
      <c r="G21">
        <f>+G20-G19</f>
        <v>-7.8411936451009012</v>
      </c>
    </row>
    <row r="26" spans="6:7">
      <c r="G26">
        <v>10.5</v>
      </c>
    </row>
    <row r="27" spans="6:7">
      <c r="G27">
        <v>8</v>
      </c>
    </row>
    <row r="28" spans="6:7">
      <c r="G28">
        <f>+(G27*100)/G26</f>
        <v>76.19047619047619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1:I12"/>
  <sheetViews>
    <sheetView workbookViewId="0">
      <selection activeCell="I12" sqref="I12"/>
    </sheetView>
  </sheetViews>
  <sheetFormatPr baseColWidth="10" defaultRowHeight="15"/>
  <cols>
    <col min="5" max="6" width="17.85546875" bestFit="1" customWidth="1"/>
  </cols>
  <sheetData>
    <row r="11" spans="4:9">
      <c r="D11" t="s">
        <v>477</v>
      </c>
      <c r="E11" s="762">
        <v>16690514730.530001</v>
      </c>
      <c r="F11" s="762">
        <v>18214740191.799999</v>
      </c>
      <c r="H11" s="763">
        <f>+(F11*100)/E11</f>
        <v>109.13228552791072</v>
      </c>
      <c r="I11" s="765">
        <f>+H11-100</f>
        <v>9.1322855279107245</v>
      </c>
    </row>
    <row r="12" spans="4:9">
      <c r="D12" t="s">
        <v>478</v>
      </c>
      <c r="E12" s="762">
        <v>14999781739.27</v>
      </c>
      <c r="F12" s="762">
        <v>20154761426.970001</v>
      </c>
      <c r="H12" s="763">
        <f>+(F12*100)/E12</f>
        <v>134.36703131622286</v>
      </c>
      <c r="I12" s="764">
        <f>+H12-100</f>
        <v>34.367031316222864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9:F16"/>
  <sheetViews>
    <sheetView topLeftCell="A4" workbookViewId="0">
      <selection activeCell="E17" sqref="E17"/>
    </sheetView>
  </sheetViews>
  <sheetFormatPr baseColWidth="10" defaultRowHeight="15"/>
  <cols>
    <col min="4" max="4" width="13.7109375" bestFit="1" customWidth="1"/>
    <col min="5" max="5" width="37.85546875" customWidth="1"/>
    <col min="6" max="6" width="15.28515625" bestFit="1" customWidth="1"/>
  </cols>
  <sheetData>
    <row r="9" spans="4:6">
      <c r="D9" s="185">
        <v>1</v>
      </c>
      <c r="E9" t="s">
        <v>476</v>
      </c>
      <c r="F9" s="761" t="s">
        <v>476</v>
      </c>
    </row>
    <row r="10" spans="4:6" ht="45">
      <c r="D10" s="760">
        <v>11050804592</v>
      </c>
      <c r="E10" s="759" t="s">
        <v>475</v>
      </c>
      <c r="F10" s="235">
        <v>6374026878.5299997</v>
      </c>
    </row>
    <row r="14" spans="4:6">
      <c r="D14">
        <v>11050804592</v>
      </c>
      <c r="E14">
        <v>823868018.70000005</v>
      </c>
      <c r="F14">
        <v>637402687.89999998</v>
      </c>
    </row>
    <row r="16" spans="4:6">
      <c r="D16" s="168"/>
      <c r="E16">
        <f>+(E14*100)/D14</f>
        <v>7.4552763270868265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F11:I13"/>
  <sheetViews>
    <sheetView workbookViewId="0">
      <selection activeCell="G13" sqref="G13"/>
    </sheetView>
  </sheetViews>
  <sheetFormatPr baseColWidth="10" defaultColWidth="11.42578125" defaultRowHeight="15"/>
  <cols>
    <col min="6" max="6" width="15.28515625" customWidth="1"/>
    <col min="7" max="7" width="15.28515625" bestFit="1" customWidth="1"/>
    <col min="9" max="9" width="12" bestFit="1" customWidth="1"/>
  </cols>
  <sheetData>
    <row r="11" spans="6:9">
      <c r="F11" t="s">
        <v>484</v>
      </c>
      <c r="G11" s="768">
        <v>6616024046.5299997</v>
      </c>
    </row>
    <row r="12" spans="6:9">
      <c r="F12" t="s">
        <v>485</v>
      </c>
      <c r="G12" s="768">
        <v>6700000000</v>
      </c>
      <c r="I12" s="770">
        <f>+(G11*100)/G12</f>
        <v>98.74662756014925</v>
      </c>
    </row>
    <row r="13" spans="6:9">
      <c r="F13" t="s">
        <v>14</v>
      </c>
      <c r="G13" s="768">
        <v>8000000000</v>
      </c>
      <c r="I13" s="769">
        <f>+(G11*100)/G13</f>
        <v>82.700300581625001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E6:G17"/>
  <sheetViews>
    <sheetView workbookViewId="0">
      <selection activeCell="J9" sqref="J9"/>
    </sheetView>
  </sheetViews>
  <sheetFormatPr baseColWidth="10" defaultColWidth="11.42578125" defaultRowHeight="15"/>
  <sheetData>
    <row r="6" spans="5:7">
      <c r="E6" t="s">
        <v>338</v>
      </c>
      <c r="F6" t="s">
        <v>339</v>
      </c>
      <c r="G6" t="s">
        <v>340</v>
      </c>
    </row>
    <row r="7" spans="5:7">
      <c r="E7">
        <v>20</v>
      </c>
      <c r="F7">
        <v>8</v>
      </c>
      <c r="G7">
        <v>12</v>
      </c>
    </row>
    <row r="8" spans="5:7">
      <c r="E8">
        <v>8</v>
      </c>
      <c r="F8">
        <v>5</v>
      </c>
      <c r="G8">
        <v>3</v>
      </c>
    </row>
    <row r="9" spans="5:7">
      <c r="E9">
        <v>20</v>
      </c>
      <c r="F9">
        <v>8</v>
      </c>
      <c r="G9">
        <v>12</v>
      </c>
    </row>
    <row r="10" spans="5:7">
      <c r="E10">
        <v>6</v>
      </c>
      <c r="F10">
        <v>3</v>
      </c>
      <c r="G10">
        <v>3</v>
      </c>
    </row>
    <row r="11" spans="5:7">
      <c r="E11">
        <v>20</v>
      </c>
      <c r="F11">
        <v>0</v>
      </c>
      <c r="G11">
        <v>20</v>
      </c>
    </row>
    <row r="12" spans="5:7">
      <c r="E12">
        <v>11</v>
      </c>
      <c r="F12">
        <v>0</v>
      </c>
      <c r="G12">
        <v>11</v>
      </c>
    </row>
    <row r="13" spans="5:7">
      <c r="E13">
        <v>12</v>
      </c>
      <c r="F13">
        <v>0</v>
      </c>
      <c r="G13">
        <v>12</v>
      </c>
    </row>
    <row r="14" spans="5:7">
      <c r="E14">
        <v>1</v>
      </c>
      <c r="F14">
        <v>0</v>
      </c>
      <c r="G14">
        <v>1</v>
      </c>
    </row>
    <row r="15" spans="5:7">
      <c r="E15">
        <f>SUM(E7:E14)</f>
        <v>98</v>
      </c>
      <c r="F15">
        <f>SUM(F7:F14)</f>
        <v>24</v>
      </c>
      <c r="G15">
        <f>SUM(G7:G14)</f>
        <v>74</v>
      </c>
    </row>
    <row r="17" spans="6:7">
      <c r="F17" s="168">
        <f>+F15/E15</f>
        <v>0.24489795918367346</v>
      </c>
      <c r="G17" s="168">
        <f>+G15/E15</f>
        <v>0.75510204081632648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filterMode="1">
    <pageSetUpPr fitToPage="1"/>
  </sheetPr>
  <dimension ref="A1:BL60"/>
  <sheetViews>
    <sheetView zoomScale="55" zoomScaleNormal="55" zoomScalePageLayoutView="55" workbookViewId="0">
      <pane xSplit="2" ySplit="7" topLeftCell="C36" activePane="bottomRight" state="frozen"/>
      <selection activeCell="H17" sqref="H17"/>
      <selection pane="topRight" activeCell="H17" sqref="H17"/>
      <selection pane="bottomLeft" activeCell="H17" sqref="H17"/>
      <selection pane="bottomRight" activeCell="H62" sqref="H62"/>
    </sheetView>
  </sheetViews>
  <sheetFormatPr baseColWidth="10" defaultColWidth="11.42578125" defaultRowHeight="15" outlineLevelCol="1"/>
  <cols>
    <col min="1" max="1" width="34.42578125" customWidth="1"/>
    <col min="2" max="2" width="16.42578125" hidden="1" customWidth="1"/>
    <col min="3" max="3" width="56.140625" customWidth="1"/>
    <col min="4" max="4" width="40.140625" style="77" customWidth="1"/>
    <col min="5" max="6" width="4.42578125" hidden="1" customWidth="1"/>
    <col min="7" max="7" width="51" customWidth="1"/>
    <col min="8" max="8" width="48.42578125" customWidth="1"/>
    <col min="9" max="9" width="35.140625" customWidth="1"/>
    <col min="10" max="10" width="16" customWidth="1"/>
    <col min="11" max="11" width="9.42578125" customWidth="1"/>
    <col min="12" max="14" width="17.85546875" customWidth="1"/>
    <col min="15" max="15" width="16.42578125" style="72" customWidth="1"/>
    <col min="16" max="27" width="7.85546875" hidden="1" customWidth="1" outlineLevel="1"/>
    <col min="28" max="28" width="11.42578125" style="67" hidden="1" customWidth="1"/>
    <col min="29" max="29" width="31.42578125" hidden="1" customWidth="1"/>
    <col min="30" max="30" width="11.42578125" hidden="1" customWidth="1"/>
    <col min="31" max="31" width="16.42578125" customWidth="1"/>
    <col min="32" max="32" width="19.140625" customWidth="1"/>
    <col min="33" max="33" width="14.140625" customWidth="1"/>
    <col min="34" max="35" width="16.140625" customWidth="1"/>
    <col min="36" max="37" width="13.85546875" customWidth="1"/>
    <col min="38" max="38" width="88.140625" customWidth="1"/>
    <col min="39" max="39" width="34.85546875" customWidth="1"/>
    <col min="40" max="40" width="13.140625" hidden="1" customWidth="1"/>
    <col min="41" max="41" width="27.140625" bestFit="1" customWidth="1"/>
    <col min="50" max="50" width="7" bestFit="1" customWidth="1"/>
    <col min="51" max="51" width="8.85546875" bestFit="1" customWidth="1"/>
    <col min="52" max="52" width="7.42578125" bestFit="1" customWidth="1"/>
    <col min="53" max="53" width="6" bestFit="1" customWidth="1"/>
    <col min="54" max="55" width="6.42578125" bestFit="1" customWidth="1"/>
    <col min="56" max="56" width="5.85546875" bestFit="1" customWidth="1"/>
    <col min="57" max="57" width="8.42578125" bestFit="1" customWidth="1"/>
    <col min="58" max="58" width="11.85546875" customWidth="1"/>
    <col min="59" max="59" width="9.140625" bestFit="1" customWidth="1"/>
    <col min="60" max="60" width="11.85546875" customWidth="1"/>
    <col min="61" max="61" width="10.42578125" bestFit="1" customWidth="1"/>
    <col min="75" max="80" width="9.42578125" customWidth="1"/>
  </cols>
  <sheetData>
    <row r="1" spans="1:64" ht="15" customHeight="1">
      <c r="A1" s="988" t="s">
        <v>47</v>
      </c>
      <c r="B1" s="988"/>
      <c r="C1" s="989"/>
      <c r="D1" s="990" t="s">
        <v>56</v>
      </c>
      <c r="E1" s="991"/>
      <c r="F1" s="991"/>
      <c r="G1" s="991"/>
      <c r="H1" s="991"/>
      <c r="I1" s="991"/>
      <c r="J1" s="991"/>
      <c r="K1" s="991"/>
      <c r="L1" s="991"/>
      <c r="M1" s="991"/>
      <c r="N1" s="991"/>
      <c r="O1" s="991"/>
      <c r="P1" s="991"/>
      <c r="Q1" s="991"/>
      <c r="R1" s="991"/>
      <c r="S1" s="991"/>
      <c r="T1" s="991"/>
      <c r="U1" s="991"/>
      <c r="V1" s="991"/>
      <c r="W1" s="991"/>
      <c r="X1" s="991"/>
      <c r="Y1" s="991"/>
      <c r="Z1" s="991"/>
      <c r="AA1" s="991"/>
      <c r="AB1" s="991"/>
      <c r="AC1" s="991"/>
      <c r="AD1" s="991"/>
      <c r="AE1" s="992"/>
      <c r="AF1" s="967" t="s">
        <v>31</v>
      </c>
      <c r="AG1" s="967"/>
    </row>
    <row r="2" spans="1:64" ht="15" customHeight="1">
      <c r="A2" s="989"/>
      <c r="B2" s="989"/>
      <c r="C2" s="989"/>
      <c r="D2" s="993"/>
      <c r="E2" s="994"/>
      <c r="F2" s="994"/>
      <c r="G2" s="994"/>
      <c r="H2" s="994"/>
      <c r="I2" s="994"/>
      <c r="J2" s="994"/>
      <c r="K2" s="994"/>
      <c r="L2" s="994"/>
      <c r="M2" s="994"/>
      <c r="N2" s="994"/>
      <c r="O2" s="994"/>
      <c r="P2" s="994"/>
      <c r="Q2" s="994"/>
      <c r="R2" s="994"/>
      <c r="S2" s="994"/>
      <c r="T2" s="994"/>
      <c r="U2" s="994"/>
      <c r="V2" s="994"/>
      <c r="W2" s="994"/>
      <c r="X2" s="994"/>
      <c r="Y2" s="994"/>
      <c r="Z2" s="994"/>
      <c r="AA2" s="994"/>
      <c r="AB2" s="994"/>
      <c r="AC2" s="994"/>
      <c r="AD2" s="994"/>
      <c r="AE2" s="995"/>
      <c r="AF2" s="967"/>
      <c r="AG2" s="967"/>
    </row>
    <row r="3" spans="1:64" ht="15" customHeight="1">
      <c r="A3" s="989"/>
      <c r="B3" s="989"/>
      <c r="C3" s="989"/>
      <c r="D3" s="996"/>
      <c r="E3" s="997"/>
      <c r="F3" s="997"/>
      <c r="G3" s="997"/>
      <c r="H3" s="997"/>
      <c r="I3" s="997"/>
      <c r="J3" s="997"/>
      <c r="K3" s="997"/>
      <c r="L3" s="997"/>
      <c r="M3" s="997"/>
      <c r="N3" s="997"/>
      <c r="O3" s="997"/>
      <c r="P3" s="997"/>
      <c r="Q3" s="997"/>
      <c r="R3" s="997"/>
      <c r="S3" s="997"/>
      <c r="T3" s="997"/>
      <c r="U3" s="997"/>
      <c r="V3" s="997"/>
      <c r="W3" s="997"/>
      <c r="X3" s="997"/>
      <c r="Y3" s="997"/>
      <c r="Z3" s="997"/>
      <c r="AA3" s="997"/>
      <c r="AB3" s="997"/>
      <c r="AC3" s="997"/>
      <c r="AD3" s="997"/>
      <c r="AE3" s="998"/>
      <c r="AF3" s="967"/>
      <c r="AG3" s="967"/>
    </row>
    <row r="4" spans="1:64" ht="15" customHeight="1">
      <c r="A4" s="989"/>
      <c r="B4" s="989"/>
      <c r="C4" s="989"/>
      <c r="D4" s="968" t="s">
        <v>44</v>
      </c>
      <c r="E4" s="969"/>
      <c r="F4" s="969"/>
      <c r="G4" s="969"/>
      <c r="H4" s="969"/>
      <c r="I4" s="969"/>
      <c r="J4" s="969"/>
      <c r="K4" s="969"/>
      <c r="L4" s="969"/>
      <c r="M4" s="969"/>
      <c r="N4" s="969"/>
      <c r="O4" s="969"/>
      <c r="P4" s="969"/>
      <c r="Q4" s="969"/>
      <c r="R4" s="969"/>
      <c r="S4" s="969"/>
      <c r="T4" s="969"/>
      <c r="U4" s="969"/>
      <c r="V4" s="969"/>
      <c r="W4" s="969"/>
      <c r="X4" s="969"/>
      <c r="Y4" s="969"/>
      <c r="Z4" s="969"/>
      <c r="AA4" s="969"/>
      <c r="AB4" s="969"/>
      <c r="AC4" s="969"/>
      <c r="AD4" s="969"/>
      <c r="AE4" s="970"/>
      <c r="AF4" s="974" t="s">
        <v>32</v>
      </c>
      <c r="AG4" s="974"/>
      <c r="AW4" s="64"/>
      <c r="AX4" s="64"/>
      <c r="AY4" s="64"/>
      <c r="AZ4" s="64"/>
      <c r="BA4" s="64"/>
      <c r="BB4" s="64"/>
      <c r="BC4" s="64"/>
      <c r="BD4" s="64"/>
      <c r="BE4" s="64"/>
      <c r="BF4" s="64"/>
      <c r="BG4" s="64"/>
      <c r="BH4" s="64"/>
      <c r="BI4" s="64"/>
      <c r="BJ4" s="64"/>
      <c r="BK4" s="64"/>
      <c r="BL4" s="64"/>
    </row>
    <row r="5" spans="1:64" ht="15" customHeight="1">
      <c r="A5" s="989"/>
      <c r="B5" s="989"/>
      <c r="C5" s="989"/>
      <c r="D5" s="971"/>
      <c r="E5" s="972"/>
      <c r="F5" s="972"/>
      <c r="G5" s="972"/>
      <c r="H5" s="972"/>
      <c r="I5" s="972"/>
      <c r="J5" s="972"/>
      <c r="K5" s="972"/>
      <c r="L5" s="972"/>
      <c r="M5" s="972"/>
      <c r="N5" s="972"/>
      <c r="O5" s="972"/>
      <c r="P5" s="972"/>
      <c r="Q5" s="972"/>
      <c r="R5" s="972"/>
      <c r="S5" s="972"/>
      <c r="T5" s="972"/>
      <c r="U5" s="972"/>
      <c r="V5" s="972"/>
      <c r="W5" s="972"/>
      <c r="X5" s="972"/>
      <c r="Y5" s="972"/>
      <c r="Z5" s="972"/>
      <c r="AA5" s="972"/>
      <c r="AB5" s="972"/>
      <c r="AC5" s="972"/>
      <c r="AD5" s="972"/>
      <c r="AE5" s="973"/>
      <c r="AF5" s="975">
        <v>42731</v>
      </c>
      <c r="AG5" s="975"/>
      <c r="AW5" s="64"/>
      <c r="AX5" s="64"/>
      <c r="AY5" s="64"/>
      <c r="AZ5" s="64"/>
      <c r="BA5" s="64"/>
      <c r="BB5" s="64"/>
      <c r="BC5" s="64"/>
      <c r="BD5" s="64"/>
      <c r="BE5" s="64"/>
      <c r="BF5" s="64"/>
      <c r="BG5" s="64"/>
      <c r="BH5" s="64"/>
      <c r="BI5" s="64"/>
      <c r="BJ5" s="64"/>
      <c r="BK5" s="64"/>
      <c r="BL5" s="64"/>
    </row>
    <row r="6" spans="1:64" ht="15.75" thickBot="1">
      <c r="J6">
        <v>400</v>
      </c>
      <c r="K6">
        <v>0.3</v>
      </c>
      <c r="L6">
        <f>+K6*J6</f>
        <v>120</v>
      </c>
      <c r="M6">
        <v>285</v>
      </c>
      <c r="N6">
        <f>+M6/J6</f>
        <v>0.71250000000000002</v>
      </c>
      <c r="O6" s="72">
        <v>100</v>
      </c>
      <c r="AE6">
        <f>+O6/J6</f>
        <v>0.25</v>
      </c>
      <c r="AF6">
        <v>50</v>
      </c>
      <c r="AG6">
        <f>+AF6/J6</f>
        <v>0.125</v>
      </c>
      <c r="AH6">
        <f>0.9*400</f>
        <v>360</v>
      </c>
      <c r="AW6" s="64"/>
      <c r="AX6" s="64"/>
      <c r="AY6" s="64"/>
      <c r="AZ6" s="64"/>
      <c r="BA6" s="64"/>
      <c r="BB6" s="64"/>
      <c r="BC6" s="64"/>
      <c r="BD6" s="64"/>
      <c r="BE6" s="64"/>
      <c r="BF6" s="64"/>
      <c r="BG6" s="64"/>
      <c r="BH6" s="64"/>
      <c r="BI6" s="64"/>
      <c r="BJ6" s="64"/>
      <c r="BK6" s="64"/>
      <c r="BL6" s="64"/>
    </row>
    <row r="7" spans="1:64" ht="105.75" thickBot="1">
      <c r="A7" s="236" t="s">
        <v>1</v>
      </c>
      <c r="B7" s="237"/>
      <c r="C7" s="237" t="s">
        <v>2</v>
      </c>
      <c r="D7" s="237" t="s">
        <v>50</v>
      </c>
      <c r="E7" s="237" t="s">
        <v>57</v>
      </c>
      <c r="F7" s="237" t="s">
        <v>58</v>
      </c>
      <c r="G7" s="237" t="s">
        <v>3</v>
      </c>
      <c r="H7" s="237" t="s">
        <v>62</v>
      </c>
      <c r="I7" s="237" t="s">
        <v>197</v>
      </c>
      <c r="J7" s="237" t="s">
        <v>5</v>
      </c>
      <c r="K7" s="237" t="s">
        <v>6</v>
      </c>
      <c r="L7" s="237" t="s">
        <v>356</v>
      </c>
      <c r="M7" s="237" t="s">
        <v>357</v>
      </c>
      <c r="N7" s="237" t="s">
        <v>367</v>
      </c>
      <c r="O7" s="237" t="s">
        <v>4</v>
      </c>
      <c r="P7" s="238">
        <v>42736</v>
      </c>
      <c r="Q7" s="238">
        <v>42767</v>
      </c>
      <c r="R7" s="238">
        <v>42795</v>
      </c>
      <c r="S7" s="238">
        <v>42826</v>
      </c>
      <c r="T7" s="238">
        <v>42856</v>
      </c>
      <c r="U7" s="238">
        <v>42887</v>
      </c>
      <c r="V7" s="238">
        <v>42917</v>
      </c>
      <c r="W7" s="238">
        <v>42948</v>
      </c>
      <c r="X7" s="238">
        <v>42979</v>
      </c>
      <c r="Y7" s="238">
        <v>43009</v>
      </c>
      <c r="Z7" s="238">
        <v>43040</v>
      </c>
      <c r="AA7" s="238">
        <v>43070</v>
      </c>
      <c r="AB7" s="237" t="s">
        <v>10</v>
      </c>
      <c r="AC7" s="237" t="s">
        <v>54</v>
      </c>
      <c r="AD7" s="237" t="s">
        <v>60</v>
      </c>
      <c r="AE7" s="237" t="s">
        <v>9</v>
      </c>
      <c r="AF7" s="239" t="s">
        <v>11</v>
      </c>
      <c r="AG7" s="239" t="s">
        <v>12</v>
      </c>
      <c r="AH7" s="239" t="s">
        <v>55</v>
      </c>
      <c r="AI7" s="240" t="s">
        <v>318</v>
      </c>
      <c r="AJ7" s="240" t="s">
        <v>319</v>
      </c>
      <c r="AK7" s="504" t="s">
        <v>375</v>
      </c>
      <c r="AL7" s="241" t="s">
        <v>163</v>
      </c>
      <c r="AM7" s="447" t="s">
        <v>7</v>
      </c>
      <c r="AN7" s="225" t="s">
        <v>8</v>
      </c>
      <c r="AV7" s="64"/>
      <c r="AW7" s="65"/>
      <c r="AX7" s="65"/>
      <c r="AY7" s="65"/>
      <c r="AZ7" s="65"/>
      <c r="BA7" s="65"/>
      <c r="BB7" s="65"/>
      <c r="BC7" s="65"/>
      <c r="BD7" s="65"/>
      <c r="BE7" s="65"/>
      <c r="BF7" s="65"/>
      <c r="BG7" s="65"/>
      <c r="BH7" s="65"/>
      <c r="BI7" s="65"/>
      <c r="BJ7" s="64"/>
      <c r="BK7" s="64"/>
    </row>
    <row r="8" spans="1:64" ht="36.75" hidden="1" customHeight="1">
      <c r="A8" s="979" t="s">
        <v>198</v>
      </c>
      <c r="B8" s="242">
        <v>1</v>
      </c>
      <c r="C8" s="243" t="s">
        <v>116</v>
      </c>
      <c r="D8" s="244" t="s">
        <v>112</v>
      </c>
      <c r="E8" s="245"/>
      <c r="F8" s="246"/>
      <c r="G8" s="243" t="s">
        <v>199</v>
      </c>
      <c r="H8" s="243" t="s">
        <v>200</v>
      </c>
      <c r="I8" s="247">
        <v>0.1111111111111111</v>
      </c>
      <c r="J8" s="248" t="s">
        <v>144</v>
      </c>
      <c r="K8" s="249" t="s">
        <v>115</v>
      </c>
      <c r="L8" s="249"/>
      <c r="M8" s="249"/>
      <c r="N8" s="249"/>
      <c r="O8" s="250">
        <v>0.1111111111111111</v>
      </c>
      <c r="P8" s="251"/>
      <c r="Q8" s="251"/>
      <c r="R8" s="251"/>
      <c r="S8" s="251"/>
      <c r="T8" s="251"/>
      <c r="U8" s="251"/>
      <c r="V8" s="251"/>
      <c r="W8" s="251"/>
      <c r="X8" s="251"/>
      <c r="Y8" s="251"/>
      <c r="Z8" s="251"/>
      <c r="AA8" s="251"/>
      <c r="AB8" s="252" t="e">
        <f>LOOKUP(1000000000,P8:AA8)</f>
        <v>#N/A</v>
      </c>
      <c r="AC8" s="253"/>
      <c r="AD8" s="251" t="e">
        <f t="shared" ref="AD8:AD27" si="0">+IF(SLOPE(P8:AA8,$P$7:$AA$7)&gt;0,"Al alza",IF(SLOPE(P8:AA8,$P$7:$AA$7)&lt;0,"A la baja","Sin cambio"))</f>
        <v>#DIV/0!</v>
      </c>
      <c r="AE8" s="254" t="s">
        <v>13</v>
      </c>
      <c r="AF8" s="255">
        <v>9.6100000000000005E-3</v>
      </c>
      <c r="AG8" s="256" t="str">
        <f>IF($K$8="Sube",IF(ISERROR(AB8/$O$8)=TRUE,"",IF(AB8&gt;$O$8,AF8,AB8/$O$8*AF8)),IF(ISERROR($O$8/AB8)=TRUE,"",IF($O$8&lt;AB8,$O$8/AB8*AF8,AF8)))</f>
        <v/>
      </c>
      <c r="AH8" s="257" t="str">
        <f>IF($K$8="Sube",IF(ISERROR(AB8/$O$8)=TRUE,"",IF(AB8&gt;=$O$8,1,0)),IF(ISERROR($O$8/AB8)=TRUE,"",IF($O$8&lt;AB8,0,1)))</f>
        <v/>
      </c>
      <c r="AI8" s="258"/>
      <c r="AJ8" s="259"/>
      <c r="AK8" s="448"/>
      <c r="AL8" s="448"/>
      <c r="AM8" s="178"/>
      <c r="AN8" s="137"/>
      <c r="AV8" s="64"/>
      <c r="AW8" s="63"/>
      <c r="AX8" s="63"/>
      <c r="AY8" s="63"/>
      <c r="AZ8" s="63"/>
      <c r="BA8" s="63"/>
      <c r="BB8" s="63"/>
      <c r="BC8" s="63"/>
      <c r="BD8" s="63"/>
      <c r="BE8" s="63"/>
      <c r="BF8" s="63"/>
      <c r="BG8" s="63"/>
      <c r="BH8" s="63"/>
      <c r="BI8" s="64"/>
      <c r="BJ8" s="64"/>
      <c r="BK8" s="64"/>
    </row>
    <row r="9" spans="1:64" ht="41.25" hidden="1" thickBot="1">
      <c r="A9" s="977"/>
      <c r="B9" s="260">
        <v>2</v>
      </c>
      <c r="C9" s="261" t="s">
        <v>201</v>
      </c>
      <c r="D9" s="262" t="s">
        <v>112</v>
      </c>
      <c r="E9" s="263"/>
      <c r="F9" s="264"/>
      <c r="G9" s="261" t="s">
        <v>202</v>
      </c>
      <c r="H9" s="261" t="s">
        <v>118</v>
      </c>
      <c r="I9" s="265" t="s">
        <v>277</v>
      </c>
      <c r="J9" s="266" t="s">
        <v>144</v>
      </c>
      <c r="K9" s="267"/>
      <c r="L9" s="267"/>
      <c r="M9" s="267"/>
      <c r="N9" s="267"/>
      <c r="O9" s="268">
        <f>+(9.9925/9.9204)-1</f>
        <v>7.2678521027376153E-3</v>
      </c>
      <c r="P9" s="269"/>
      <c r="Q9" s="269"/>
      <c r="R9" s="269"/>
      <c r="S9" s="269"/>
      <c r="T9" s="269"/>
      <c r="U9" s="269"/>
      <c r="V9" s="269"/>
      <c r="W9" s="269"/>
      <c r="X9" s="269"/>
      <c r="Y9" s="269"/>
      <c r="Z9" s="269"/>
      <c r="AA9" s="269"/>
      <c r="AB9" s="270" t="e">
        <f>LOOKUP(1000000000,P9:AA9)</f>
        <v>#N/A</v>
      </c>
      <c r="AC9" s="271"/>
      <c r="AD9" s="269" t="e">
        <f t="shared" si="0"/>
        <v>#DIV/0!</v>
      </c>
      <c r="AE9" s="272" t="s">
        <v>13</v>
      </c>
      <c r="AF9" s="273">
        <v>9.6100000000000005E-3</v>
      </c>
      <c r="AG9" s="274" t="str">
        <f>IF($K$9="Sube",IF(ISERROR(AB9/$O$9)=TRUE,"",IF(AB9&gt;$O$9,AF9,AB9/$O$9*AF9)),IF(ISERROR($O$9/AB9)=TRUE,"",IF($O$9&lt;AB9,$O$9/AB9*AF9,AF9)))</f>
        <v/>
      </c>
      <c r="AH9" s="275" t="str">
        <f>IF($K$9="Sube",IF(ISERROR(AB9/$O$9)=TRUE,"",IF(AB9&gt;=$O$9,1,0)),IF(ISERROR($O$9/AB9)=TRUE,"",IF($O$9&lt;AB9,0,1)))</f>
        <v/>
      </c>
      <c r="AI9" s="276"/>
      <c r="AJ9" s="277"/>
      <c r="AK9" s="449"/>
      <c r="AL9" s="449"/>
      <c r="AM9" s="226"/>
      <c r="AN9" s="138"/>
      <c r="AV9" s="64"/>
      <c r="AW9" s="63"/>
      <c r="AX9" s="63"/>
      <c r="AY9" s="63"/>
      <c r="AZ9" s="63"/>
      <c r="BA9" s="63"/>
      <c r="BB9" s="63"/>
      <c r="BC9" s="63"/>
      <c r="BD9" s="63"/>
      <c r="BE9" s="63"/>
      <c r="BF9" s="63"/>
      <c r="BG9" s="63"/>
      <c r="BH9" s="63"/>
      <c r="BI9" s="64"/>
      <c r="BJ9" s="64"/>
      <c r="BK9" s="64"/>
    </row>
    <row r="10" spans="1:64" ht="61.5" hidden="1" thickBot="1">
      <c r="A10" s="977"/>
      <c r="B10" s="260">
        <v>3</v>
      </c>
      <c r="C10" s="261" t="s">
        <v>117</v>
      </c>
      <c r="D10" s="262" t="s">
        <v>112</v>
      </c>
      <c r="E10" s="263"/>
      <c r="F10" s="264"/>
      <c r="G10" s="261" t="s">
        <v>203</v>
      </c>
      <c r="H10" s="261" t="s">
        <v>119</v>
      </c>
      <c r="I10" s="278" t="s">
        <v>204</v>
      </c>
      <c r="J10" s="279" t="s">
        <v>108</v>
      </c>
      <c r="K10" s="267"/>
      <c r="L10" s="267"/>
      <c r="M10" s="267"/>
      <c r="N10" s="267"/>
      <c r="O10" s="280" t="s">
        <v>314</v>
      </c>
      <c r="P10" s="269"/>
      <c r="Q10" s="269"/>
      <c r="R10" s="269"/>
      <c r="S10" s="269"/>
      <c r="T10" s="269"/>
      <c r="U10" s="269"/>
      <c r="V10" s="269"/>
      <c r="W10" s="269"/>
      <c r="X10" s="269"/>
      <c r="Y10" s="269"/>
      <c r="Z10" s="269"/>
      <c r="AA10" s="269"/>
      <c r="AB10" s="270" t="e">
        <f t="shared" ref="AB10:AB48" si="1">LOOKUP(1000000000,P10:AA10)</f>
        <v>#N/A</v>
      </c>
      <c r="AC10" s="271"/>
      <c r="AD10" s="269" t="e">
        <f t="shared" si="0"/>
        <v>#DIV/0!</v>
      </c>
      <c r="AE10" s="272" t="s">
        <v>13</v>
      </c>
      <c r="AF10" s="273">
        <v>9.6100000000000005E-3</v>
      </c>
      <c r="AG10" s="274" t="str">
        <f>IF($K$10="Sube",IF(ISERROR(AB10/$O$10)=TRUE,"",IF(AB10&gt;$O$10,AF10,AB10/$O$10*AF10)),IF(ISERROR($O$10/AB10)=TRUE,"",IF($O$10&lt;AB10,$O$10/AB10*AF10,AF10)))</f>
        <v/>
      </c>
      <c r="AH10" s="275" t="str">
        <f>IF($K$10="Sube",IF(ISERROR(AB10/$O$10)=TRUE,"",IF(AB10&gt;=$O$10,1,0)),IF(ISERROR($O$10/AB10)=TRUE,"",IF($O$10&lt;AB10,0,1)))</f>
        <v/>
      </c>
      <c r="AI10" s="276"/>
      <c r="AJ10" s="277"/>
      <c r="AK10" s="449"/>
      <c r="AL10" s="449"/>
      <c r="AM10" s="226"/>
      <c r="AN10" s="138"/>
      <c r="AV10" s="64"/>
      <c r="AW10" s="63"/>
      <c r="AX10" s="63"/>
      <c r="AY10" s="63"/>
      <c r="AZ10" s="63"/>
      <c r="BA10" s="63"/>
      <c r="BB10" s="63"/>
      <c r="BC10" s="63"/>
      <c r="BD10" s="63"/>
      <c r="BE10" s="63"/>
      <c r="BF10" s="63"/>
      <c r="BG10" s="63"/>
      <c r="BH10" s="63"/>
      <c r="BI10" s="64"/>
      <c r="BJ10" s="64"/>
      <c r="BK10" s="64"/>
    </row>
    <row r="11" spans="1:64" ht="41.25" hidden="1" thickBot="1">
      <c r="A11" s="977"/>
      <c r="B11" s="260"/>
      <c r="C11" s="261" t="s">
        <v>312</v>
      </c>
      <c r="D11" s="262" t="s">
        <v>121</v>
      </c>
      <c r="E11" s="265"/>
      <c r="F11" s="281"/>
      <c r="G11" s="261" t="s">
        <v>205</v>
      </c>
      <c r="H11" s="261" t="s">
        <v>206</v>
      </c>
      <c r="I11" s="282">
        <v>0.94169999999999998</v>
      </c>
      <c r="J11" s="279" t="s">
        <v>207</v>
      </c>
      <c r="K11" s="267"/>
      <c r="L11" s="267"/>
      <c r="M11" s="267"/>
      <c r="N11" s="267"/>
      <c r="O11" s="280">
        <v>1</v>
      </c>
      <c r="P11" s="269"/>
      <c r="Q11" s="269"/>
      <c r="R11" s="269"/>
      <c r="S11" s="269"/>
      <c r="T11" s="269"/>
      <c r="U11" s="269"/>
      <c r="V11" s="269"/>
      <c r="W11" s="269"/>
      <c r="X11" s="269"/>
      <c r="Y11" s="269"/>
      <c r="Z11" s="269"/>
      <c r="AA11" s="269"/>
      <c r="AB11" s="270" t="e">
        <f t="shared" si="1"/>
        <v>#N/A</v>
      </c>
      <c r="AC11" s="271"/>
      <c r="AD11" s="269" t="e">
        <f t="shared" si="0"/>
        <v>#DIV/0!</v>
      </c>
      <c r="AE11" s="272" t="s">
        <v>13</v>
      </c>
      <c r="AF11" s="273">
        <v>9.6100000000000005E-3</v>
      </c>
      <c r="AG11" s="274" t="str">
        <f>IF($K$11="Sube",IF(ISERROR(AB11/$O$11)=TRUE,"",IF(AB11&gt;$O$11,AF11,AB11/$O$11*AF11)),IF(ISERROR($O$11/AB11)=TRUE,"",IF($O$11&lt;AB11,$O$11/AB11*AF11,AF11)))</f>
        <v/>
      </c>
      <c r="AH11" s="275" t="str">
        <f>IF($K$11="Sube",IF(ISERROR(AB11/$O$11)=TRUE,"",IF(AB11&gt;=$O$11,1,0)),IF(ISERROR($O$11/AB11)=TRUE,"",IF($O$11&lt;AB11,0,1)))</f>
        <v/>
      </c>
      <c r="AI11" s="276"/>
      <c r="AJ11" s="283">
        <v>0.96</v>
      </c>
      <c r="AK11" s="505"/>
      <c r="AL11" s="450" t="s">
        <v>347</v>
      </c>
      <c r="AM11" s="232" t="s">
        <v>317</v>
      </c>
      <c r="AN11" s="138"/>
      <c r="AV11" s="64"/>
      <c r="AW11" s="63"/>
      <c r="AX11" s="63"/>
      <c r="AY11" s="63"/>
      <c r="AZ11" s="63"/>
      <c r="BA11" s="63"/>
      <c r="BB11" s="63"/>
      <c r="BC11" s="63"/>
      <c r="BD11" s="63"/>
      <c r="BE11" s="63"/>
      <c r="BF11" s="63"/>
      <c r="BG11" s="63"/>
      <c r="BH11" s="63"/>
      <c r="BI11" s="64"/>
      <c r="BJ11" s="64"/>
      <c r="BK11" s="64"/>
    </row>
    <row r="12" spans="1:64" s="174" customFormat="1" ht="102" hidden="1" thickBot="1">
      <c r="A12" s="980"/>
      <c r="B12" s="284"/>
      <c r="C12" s="285" t="s">
        <v>208</v>
      </c>
      <c r="D12" s="286" t="s">
        <v>121</v>
      </c>
      <c r="E12" s="285"/>
      <c r="F12" s="285"/>
      <c r="G12" s="287" t="s">
        <v>209</v>
      </c>
      <c r="H12" s="287" t="s">
        <v>210</v>
      </c>
      <c r="I12" s="288">
        <v>0.97</v>
      </c>
      <c r="J12" s="289" t="s">
        <v>211</v>
      </c>
      <c r="K12" s="290"/>
      <c r="L12" s="290"/>
      <c r="M12" s="290"/>
      <c r="N12" s="290"/>
      <c r="O12" s="291">
        <v>0.98</v>
      </c>
      <c r="P12" s="292"/>
      <c r="Q12" s="292"/>
      <c r="R12" s="292"/>
      <c r="S12" s="292"/>
      <c r="T12" s="292"/>
      <c r="U12" s="292"/>
      <c r="V12" s="292"/>
      <c r="W12" s="292"/>
      <c r="X12" s="292"/>
      <c r="Y12" s="292"/>
      <c r="Z12" s="292"/>
      <c r="AA12" s="292"/>
      <c r="AB12" s="293" t="e">
        <f t="shared" si="1"/>
        <v>#N/A</v>
      </c>
      <c r="AC12" s="294"/>
      <c r="AD12" s="292" t="e">
        <f t="shared" si="0"/>
        <v>#DIV/0!</v>
      </c>
      <c r="AE12" s="295" t="s">
        <v>13</v>
      </c>
      <c r="AF12" s="296">
        <v>9.6100000000000005E-3</v>
      </c>
      <c r="AG12" s="297" t="str">
        <f>IF($K$12="Sube",IF(ISERROR(AB12/$O$12)=TRUE,"",IF(AB12&gt;$O$12,AF12,AB12/$O$12*AF12)),IF(ISERROR($O$12/AB12)=TRUE,"",IF($O$12&lt;AB12,$O$12/AB12*AF12,AF12)))</f>
        <v/>
      </c>
      <c r="AH12" s="298" t="str">
        <f>IF($K$12="Sube",IF(ISERROR(AB12/$O$12)=TRUE,"",IF(AB12&gt;=$O$12,1,0)),IF(ISERROR($O$12/AB12)=TRUE,"",IF($O$12&lt;AB12,0,1)))</f>
        <v/>
      </c>
      <c r="AI12" s="299"/>
      <c r="AJ12" s="300"/>
      <c r="AK12" s="451"/>
      <c r="AL12" s="451"/>
      <c r="AM12" s="227"/>
      <c r="AN12" s="177"/>
      <c r="AV12" s="175"/>
      <c r="AW12" s="176"/>
      <c r="AX12" s="176"/>
      <c r="AY12" s="176"/>
      <c r="AZ12" s="176"/>
      <c r="BA12" s="176"/>
      <c r="BB12" s="176"/>
      <c r="BC12" s="176"/>
      <c r="BD12" s="176"/>
      <c r="BE12" s="176"/>
      <c r="BF12" s="176"/>
      <c r="BG12" s="176"/>
      <c r="BH12" s="176"/>
      <c r="BI12" s="175"/>
      <c r="BJ12" s="175"/>
      <c r="BK12" s="175"/>
    </row>
    <row r="13" spans="1:64" ht="61.5" hidden="1" thickBot="1">
      <c r="A13" s="985" t="s">
        <v>72</v>
      </c>
      <c r="B13" s="260">
        <v>5</v>
      </c>
      <c r="C13" s="262" t="s">
        <v>279</v>
      </c>
      <c r="D13" s="262" t="s">
        <v>113</v>
      </c>
      <c r="E13" s="301"/>
      <c r="F13" s="301"/>
      <c r="G13" s="262" t="s">
        <v>280</v>
      </c>
      <c r="H13" s="262" t="s">
        <v>281</v>
      </c>
      <c r="I13" s="302" t="s">
        <v>278</v>
      </c>
      <c r="J13" s="279" t="s">
        <v>143</v>
      </c>
      <c r="K13" s="267" t="s">
        <v>100</v>
      </c>
      <c r="L13" s="267"/>
      <c r="M13" s="267"/>
      <c r="N13" s="267"/>
      <c r="O13" s="280"/>
      <c r="P13" s="269"/>
      <c r="Q13" s="269"/>
      <c r="R13" s="269"/>
      <c r="S13" s="269"/>
      <c r="T13" s="269"/>
      <c r="U13" s="269"/>
      <c r="V13" s="269"/>
      <c r="W13" s="269"/>
      <c r="X13" s="269"/>
      <c r="Y13" s="269"/>
      <c r="Z13" s="269"/>
      <c r="AA13" s="269"/>
      <c r="AB13" s="270" t="e">
        <f t="shared" si="1"/>
        <v>#N/A</v>
      </c>
      <c r="AC13" s="271"/>
      <c r="AD13" s="269" t="e">
        <f t="shared" si="0"/>
        <v>#DIV/0!</v>
      </c>
      <c r="AE13" s="272" t="s">
        <v>13</v>
      </c>
      <c r="AF13" s="303">
        <v>9.6100000000000005E-3</v>
      </c>
      <c r="AG13" s="274" t="str">
        <f>IF($K$13="Sube",IF(ISERROR(AB13/$O$13)=TRUE,"",IF(AB13&gt;$O$13,AF13,AB13/$O$13*AF13)),IF(ISERROR($O$13/AB13)=TRUE,"",IF($O$13&lt;AB13,$O$13/AB13*AF13,AF13)))</f>
        <v/>
      </c>
      <c r="AH13" s="275" t="str">
        <f>IF($K$13="Sube",IF(ISERROR(AB13/$O$13)=TRUE,"",IF(AB13&gt;=$O$13,1,0)),IF(ISERROR($O$13/AB13)=TRUE,"",IF($O$13&lt;AB13,0,1)))</f>
        <v/>
      </c>
      <c r="AI13" s="276"/>
      <c r="AJ13" s="277"/>
      <c r="AK13" s="449"/>
      <c r="AL13" s="449"/>
      <c r="AM13" s="226"/>
      <c r="AN13" s="138"/>
      <c r="AV13" s="64"/>
      <c r="AW13" s="63"/>
      <c r="AX13" s="63"/>
      <c r="AY13" s="63"/>
      <c r="AZ13" s="63"/>
      <c r="BA13" s="63"/>
      <c r="BB13" s="63"/>
      <c r="BC13" s="63"/>
      <c r="BD13" s="63"/>
      <c r="BE13" s="63"/>
      <c r="BF13" s="63"/>
      <c r="BG13" s="63"/>
      <c r="BH13" s="63"/>
      <c r="BI13" s="64"/>
      <c r="BJ13" s="64"/>
      <c r="BK13" s="64"/>
    </row>
    <row r="14" spans="1:64" ht="66.75" hidden="1" customHeight="1" thickBot="1">
      <c r="A14" s="986"/>
      <c r="B14" s="260">
        <v>6</v>
      </c>
      <c r="C14" s="262" t="s">
        <v>212</v>
      </c>
      <c r="D14" s="262" t="s">
        <v>121</v>
      </c>
      <c r="E14" s="301"/>
      <c r="F14" s="301"/>
      <c r="G14" s="262" t="s">
        <v>348</v>
      </c>
      <c r="H14" s="262" t="s">
        <v>213</v>
      </c>
      <c r="I14" s="302" t="s">
        <v>278</v>
      </c>
      <c r="J14" s="279" t="s">
        <v>143</v>
      </c>
      <c r="K14" s="267" t="s">
        <v>100</v>
      </c>
      <c r="L14" s="267"/>
      <c r="M14" s="267"/>
      <c r="N14" s="267"/>
      <c r="O14" s="280"/>
      <c r="P14" s="269"/>
      <c r="Q14" s="269"/>
      <c r="R14" s="269"/>
      <c r="S14" s="269"/>
      <c r="T14" s="269"/>
      <c r="U14" s="269"/>
      <c r="V14" s="269"/>
      <c r="W14" s="269"/>
      <c r="X14" s="269"/>
      <c r="Y14" s="269"/>
      <c r="Z14" s="269"/>
      <c r="AA14" s="269"/>
      <c r="AB14" s="270" t="e">
        <f t="shared" si="1"/>
        <v>#N/A</v>
      </c>
      <c r="AC14" s="271"/>
      <c r="AD14" s="269" t="e">
        <f t="shared" si="0"/>
        <v>#DIV/0!</v>
      </c>
      <c r="AE14" s="272" t="s">
        <v>13</v>
      </c>
      <c r="AF14" s="303">
        <v>9.6100000000000005E-3</v>
      </c>
      <c r="AG14" s="274" t="str">
        <f>IF($K$14="Sube",IF(ISERROR(AB14/$O$14)=TRUE,"",IF(AB14&gt;$O$14,AF14,AB14/$O$14*AF14)),IF(ISERROR($O$14/AB14)=TRUE,"",IF($O$14&lt;AB14,$O$14/AB14*AF14,AF14)))</f>
        <v/>
      </c>
      <c r="AH14" s="275" t="str">
        <f>IF($K$14="Sube",IF(ISERROR(AB14/$O$14)=TRUE,"",IF(AB14&gt;=$O$14,1,0)),IF(ISERROR($O$14/AB14)=TRUE,"",IF($O$14&lt;AB14,0,1)))</f>
        <v/>
      </c>
      <c r="AI14" s="276"/>
      <c r="AJ14" s="277"/>
      <c r="AK14" s="449"/>
      <c r="AL14" s="449"/>
      <c r="AM14" s="226"/>
      <c r="AN14" s="138"/>
      <c r="AV14" s="64"/>
      <c r="AW14" s="63"/>
      <c r="AX14" s="63"/>
      <c r="AY14" s="63"/>
      <c r="AZ14" s="63"/>
      <c r="BA14" s="63"/>
      <c r="BB14" s="63"/>
      <c r="BC14" s="63"/>
      <c r="BD14" s="63"/>
      <c r="BE14" s="63"/>
      <c r="BF14" s="63"/>
      <c r="BG14" s="63"/>
      <c r="BH14" s="63"/>
      <c r="BI14" s="64"/>
      <c r="BJ14" s="64"/>
      <c r="BK14" s="64"/>
    </row>
    <row r="15" spans="1:64" ht="66.75" hidden="1" customHeight="1" thickBot="1">
      <c r="A15" s="986"/>
      <c r="B15" s="260"/>
      <c r="C15" s="304" t="s">
        <v>282</v>
      </c>
      <c r="D15" s="304" t="s">
        <v>113</v>
      </c>
      <c r="E15" s="305"/>
      <c r="F15" s="305"/>
      <c r="G15" s="304" t="s">
        <v>283</v>
      </c>
      <c r="H15" s="304" t="s">
        <v>284</v>
      </c>
      <c r="I15" s="302" t="s">
        <v>278</v>
      </c>
      <c r="J15" s="279" t="s">
        <v>143</v>
      </c>
      <c r="K15" s="306"/>
      <c r="L15" s="306"/>
      <c r="M15" s="306"/>
      <c r="N15" s="306"/>
      <c r="O15" s="307"/>
      <c r="P15" s="308"/>
      <c r="Q15" s="308"/>
      <c r="R15" s="308"/>
      <c r="S15" s="308"/>
      <c r="T15" s="308"/>
      <c r="U15" s="308"/>
      <c r="V15" s="308"/>
      <c r="W15" s="308"/>
      <c r="X15" s="308"/>
      <c r="Y15" s="308"/>
      <c r="Z15" s="308"/>
      <c r="AA15" s="308"/>
      <c r="AB15" s="309"/>
      <c r="AC15" s="310"/>
      <c r="AD15" s="308"/>
      <c r="AE15" s="311"/>
      <c r="AF15" s="312"/>
      <c r="AG15" s="313"/>
      <c r="AH15" s="314"/>
      <c r="AI15" s="315"/>
      <c r="AJ15" s="316"/>
      <c r="AK15" s="452"/>
      <c r="AL15" s="452"/>
      <c r="AM15" s="228"/>
      <c r="AN15" s="179"/>
      <c r="AV15" s="64"/>
      <c r="AW15" s="63"/>
      <c r="AX15" s="63"/>
      <c r="AY15" s="63"/>
      <c r="AZ15" s="63"/>
      <c r="BA15" s="63"/>
      <c r="BB15" s="63"/>
      <c r="BC15" s="63"/>
      <c r="BD15" s="63"/>
      <c r="BE15" s="63"/>
      <c r="BF15" s="63"/>
      <c r="BG15" s="63"/>
      <c r="BH15" s="63"/>
      <c r="BI15" s="64"/>
      <c r="BJ15" s="64"/>
      <c r="BK15" s="64"/>
    </row>
    <row r="16" spans="1:64" ht="61.5" hidden="1" thickBot="1">
      <c r="A16" s="987"/>
      <c r="B16" s="317">
        <v>7</v>
      </c>
      <c r="C16" s="286" t="s">
        <v>120</v>
      </c>
      <c r="D16" s="286" t="s">
        <v>112</v>
      </c>
      <c r="E16" s="318"/>
      <c r="F16" s="318"/>
      <c r="G16" s="286" t="s">
        <v>171</v>
      </c>
      <c r="H16" s="286" t="s">
        <v>151</v>
      </c>
      <c r="I16" s="319">
        <f>44099470/60000000</f>
        <v>0.73499116666666664</v>
      </c>
      <c r="J16" s="289" t="s">
        <v>146</v>
      </c>
      <c r="K16" s="290" t="s">
        <v>100</v>
      </c>
      <c r="L16" s="290"/>
      <c r="M16" s="290"/>
      <c r="N16" s="290"/>
      <c r="O16" s="320">
        <v>0.8</v>
      </c>
      <c r="P16" s="321"/>
      <c r="Q16" s="321"/>
      <c r="R16" s="321"/>
      <c r="S16" s="321"/>
      <c r="T16" s="321"/>
      <c r="U16" s="321"/>
      <c r="V16" s="321"/>
      <c r="W16" s="321"/>
      <c r="X16" s="321"/>
      <c r="Y16" s="321"/>
      <c r="Z16" s="321"/>
      <c r="AA16" s="321"/>
      <c r="AB16" s="322" t="e">
        <f t="shared" si="1"/>
        <v>#N/A</v>
      </c>
      <c r="AC16" s="323"/>
      <c r="AD16" s="321" t="e">
        <f t="shared" si="0"/>
        <v>#DIV/0!</v>
      </c>
      <c r="AE16" s="295" t="s">
        <v>13</v>
      </c>
      <c r="AF16" s="324">
        <v>9.6100000000000005E-3</v>
      </c>
      <c r="AG16" s="325" t="str">
        <f>IF($K$16="Sube",IF(ISERROR(AB16/$O$16)=TRUE,"",IF(AB16&gt;$O$16,AF16,AB16/$O$16*AF16)),IF(ISERROR($O$16/AB16)=TRUE,"",IF($O$16&lt;AB16,$O$16/AB16*AF16,AF16)))</f>
        <v/>
      </c>
      <c r="AH16" s="326" t="str">
        <f>IF($K$16="Sube",IF(ISERROR(AB16/$O$16)=TRUE,"",IF(AB16&gt;=$O$16,1,0)),IF(ISERROR($O$16/AB16)=TRUE,"",IF($O$16&lt;AB16,0,1)))</f>
        <v/>
      </c>
      <c r="AI16" s="327"/>
      <c r="AJ16" s="328"/>
      <c r="AK16" s="453"/>
      <c r="AL16" s="453"/>
      <c r="AM16" s="180"/>
      <c r="AN16" s="151"/>
      <c r="AV16" s="64"/>
      <c r="AW16" s="63"/>
      <c r="AX16" s="63"/>
      <c r="AY16" s="63"/>
      <c r="AZ16" s="63"/>
      <c r="BA16" s="63"/>
      <c r="BB16" s="63"/>
      <c r="BC16" s="63"/>
      <c r="BD16" s="63"/>
      <c r="BE16" s="63"/>
      <c r="BF16" s="63"/>
      <c r="BG16" s="63"/>
      <c r="BH16" s="63"/>
      <c r="BI16" s="64"/>
      <c r="BJ16" s="64"/>
      <c r="BK16" s="64"/>
    </row>
    <row r="17" spans="1:63" ht="61.5" hidden="1" thickBot="1">
      <c r="A17" s="981" t="s">
        <v>73</v>
      </c>
      <c r="B17" s="329">
        <v>8</v>
      </c>
      <c r="C17" s="244" t="s">
        <v>215</v>
      </c>
      <c r="D17" s="244" t="s">
        <v>121</v>
      </c>
      <c r="E17" s="330"/>
      <c r="F17" s="331"/>
      <c r="G17" s="244" t="s">
        <v>216</v>
      </c>
      <c r="H17" s="244" t="s">
        <v>217</v>
      </c>
      <c r="I17" s="332" t="s">
        <v>278</v>
      </c>
      <c r="J17" s="248" t="s">
        <v>144</v>
      </c>
      <c r="K17" s="249" t="s">
        <v>100</v>
      </c>
      <c r="L17" s="249"/>
      <c r="M17" s="249"/>
      <c r="N17" s="249"/>
      <c r="O17" s="250">
        <v>1</v>
      </c>
      <c r="P17" s="251"/>
      <c r="Q17" s="251"/>
      <c r="R17" s="251"/>
      <c r="S17" s="251"/>
      <c r="T17" s="251"/>
      <c r="U17" s="251"/>
      <c r="V17" s="251"/>
      <c r="W17" s="251"/>
      <c r="X17" s="251"/>
      <c r="Y17" s="251"/>
      <c r="Z17" s="251"/>
      <c r="AA17" s="251"/>
      <c r="AB17" s="252" t="e">
        <f t="shared" si="1"/>
        <v>#N/A</v>
      </c>
      <c r="AC17" s="253"/>
      <c r="AD17" s="251" t="e">
        <f t="shared" si="0"/>
        <v>#DIV/0!</v>
      </c>
      <c r="AE17" s="254" t="s">
        <v>13</v>
      </c>
      <c r="AF17" s="333">
        <v>9.6100000000000005E-3</v>
      </c>
      <c r="AG17" s="256" t="str">
        <f>IF($K$17="Sube",IF(ISERROR(AB17/$O$17)=TRUE,"",IF(AB17&gt;$O$17,AF17,AB17/$O$17*AF17)),IF(ISERROR($O$17/AB17)=TRUE,"",IF($O$17&lt;AB17,$O$17/AB17*AF17,AF17)))</f>
        <v/>
      </c>
      <c r="AH17" s="257" t="str">
        <f>IF($K$17="Sube",IF(ISERROR(AB17/$O$17)=TRUE,"",IF(AB17&gt;=$O$17,1,0)),IF(ISERROR($O$17/AB17)=TRUE,"",IF($O$17&lt;AB17,0,1)))</f>
        <v/>
      </c>
      <c r="AI17" s="258"/>
      <c r="AJ17" s="259"/>
      <c r="AK17" s="448"/>
      <c r="AL17" s="448"/>
      <c r="AM17" s="178"/>
      <c r="AN17" s="137"/>
      <c r="AO17" t="s">
        <v>296</v>
      </c>
      <c r="AV17" s="64"/>
      <c r="AW17" s="63"/>
      <c r="AX17" s="63"/>
      <c r="AY17" s="63"/>
      <c r="AZ17" s="63"/>
      <c r="BA17" s="63"/>
      <c r="BB17" s="63"/>
      <c r="BC17" s="63"/>
      <c r="BD17" s="63"/>
      <c r="BE17" s="63"/>
      <c r="BF17" s="63"/>
      <c r="BG17" s="63"/>
      <c r="BH17" s="63"/>
      <c r="BI17" s="64"/>
      <c r="BJ17" s="64"/>
      <c r="BK17" s="64"/>
    </row>
    <row r="18" spans="1:63" ht="92.25" hidden="1" thickBot="1">
      <c r="A18" s="982"/>
      <c r="B18" s="334">
        <v>10</v>
      </c>
      <c r="C18" s="335" t="s">
        <v>218</v>
      </c>
      <c r="D18" s="262" t="s">
        <v>121</v>
      </c>
      <c r="E18" s="301"/>
      <c r="F18" s="336"/>
      <c r="G18" s="262" t="s">
        <v>300</v>
      </c>
      <c r="H18" s="262" t="s">
        <v>219</v>
      </c>
      <c r="I18" s="337" t="s">
        <v>278</v>
      </c>
      <c r="J18" s="279" t="s">
        <v>144</v>
      </c>
      <c r="K18" s="267" t="s">
        <v>100</v>
      </c>
      <c r="L18" s="267"/>
      <c r="M18" s="267"/>
      <c r="N18" s="267"/>
      <c r="O18" s="280">
        <v>1</v>
      </c>
      <c r="P18" s="269"/>
      <c r="Q18" s="269"/>
      <c r="R18" s="269"/>
      <c r="S18" s="269"/>
      <c r="T18" s="269"/>
      <c r="U18" s="269"/>
      <c r="V18" s="269"/>
      <c r="W18" s="269"/>
      <c r="X18" s="269"/>
      <c r="Y18" s="269"/>
      <c r="Z18" s="269"/>
      <c r="AA18" s="269"/>
      <c r="AB18" s="270" t="e">
        <f t="shared" si="1"/>
        <v>#N/A</v>
      </c>
      <c r="AC18" s="271"/>
      <c r="AD18" s="269" t="e">
        <f t="shared" si="0"/>
        <v>#DIV/0!</v>
      </c>
      <c r="AE18" s="272" t="s">
        <v>13</v>
      </c>
      <c r="AF18" s="303">
        <v>9.6100000000000005E-3</v>
      </c>
      <c r="AG18" s="274" t="str">
        <f>IF($K$18="Sube",IF(ISERROR(AB18/$O$18)=TRUE,"",IF(AB18&gt;$O$18,AF18,AB18/$O$18*AF18)),IF(ISERROR($O$18/AB18)=TRUE,"",IF($O$18&lt;AB18,$O$18/AB18*AF18,AF18)))</f>
        <v/>
      </c>
      <c r="AH18" s="275" t="str">
        <f>IF($K$18="Sube",IF(ISERROR(AB18/$O$18)=TRUE,"",IF(AB18&gt;=$O$18,1,0)),IF(ISERROR($O$18/AB18)=TRUE,"",IF($O$18&lt;AB18,0,1)))</f>
        <v/>
      </c>
      <c r="AI18" s="276"/>
      <c r="AJ18" s="277"/>
      <c r="AK18" s="449"/>
      <c r="AL18" s="449"/>
      <c r="AM18" s="226"/>
      <c r="AN18" s="138"/>
      <c r="AO18" s="181" t="s">
        <v>297</v>
      </c>
      <c r="AV18" s="64"/>
      <c r="AW18" s="63"/>
      <c r="AX18" s="63"/>
      <c r="AY18" s="63"/>
      <c r="AZ18" s="63"/>
      <c r="BA18" s="63"/>
      <c r="BB18" s="63"/>
      <c r="BC18" s="63"/>
      <c r="BD18" s="63"/>
      <c r="BE18" s="63"/>
      <c r="BF18" s="63"/>
      <c r="BG18" s="63"/>
      <c r="BH18" s="63"/>
      <c r="BI18" s="64"/>
      <c r="BJ18" s="64"/>
      <c r="BK18" s="64"/>
    </row>
    <row r="19" spans="1:63" ht="61.5" hidden="1" thickBot="1">
      <c r="A19" s="982"/>
      <c r="B19" s="334">
        <v>11</v>
      </c>
      <c r="C19" s="338" t="s">
        <v>220</v>
      </c>
      <c r="D19" s="262" t="s">
        <v>113</v>
      </c>
      <c r="E19" s="301"/>
      <c r="F19" s="336"/>
      <c r="G19" s="262" t="s">
        <v>295</v>
      </c>
      <c r="H19" s="262" t="s">
        <v>298</v>
      </c>
      <c r="I19" s="337" t="s">
        <v>278</v>
      </c>
      <c r="J19" s="279" t="s">
        <v>108</v>
      </c>
      <c r="K19" s="267" t="s">
        <v>100</v>
      </c>
      <c r="L19" s="267"/>
      <c r="M19" s="267"/>
      <c r="N19" s="267"/>
      <c r="O19" s="280">
        <v>1</v>
      </c>
      <c r="P19" s="269"/>
      <c r="Q19" s="269"/>
      <c r="R19" s="269"/>
      <c r="S19" s="269"/>
      <c r="T19" s="269"/>
      <c r="U19" s="269"/>
      <c r="V19" s="269"/>
      <c r="W19" s="269"/>
      <c r="X19" s="269"/>
      <c r="Y19" s="269"/>
      <c r="Z19" s="269"/>
      <c r="AA19" s="269"/>
      <c r="AB19" s="270" t="e">
        <f t="shared" si="1"/>
        <v>#N/A</v>
      </c>
      <c r="AC19" s="271"/>
      <c r="AD19" s="269" t="e">
        <f t="shared" si="0"/>
        <v>#DIV/0!</v>
      </c>
      <c r="AE19" s="272" t="s">
        <v>13</v>
      </c>
      <c r="AF19" s="303">
        <v>9.6100000000000005E-3</v>
      </c>
      <c r="AG19" s="274" t="str">
        <f>IF($K$19="Sube",IF(ISERROR(AB19/$O$19)=TRUE,"",IF(AB19&gt;$O$19,AF19,AB19/$O$19*AF19)),IF(ISERROR($O$19/AB19)=TRUE,"",IF($O$19&lt;AB19,$O$19/AB19*AF19,AF19)))</f>
        <v/>
      </c>
      <c r="AH19" s="275" t="str">
        <f>IF($K$19="Sube",IF(ISERROR(AB19/$O$19)=TRUE,"",IF(AB19&gt;=$O$19,1,0)),IF(ISERROR($O$19/AB19)=TRUE,"",IF($O$19&lt;AB19,0,1)))</f>
        <v/>
      </c>
      <c r="AI19" s="276"/>
      <c r="AJ19" s="277"/>
      <c r="AK19" s="449"/>
      <c r="AL19" s="449"/>
      <c r="AM19" s="226"/>
      <c r="AN19" s="138"/>
      <c r="AO19" t="s">
        <v>299</v>
      </c>
      <c r="AV19" s="64"/>
      <c r="AW19" s="63"/>
      <c r="AX19" s="63"/>
      <c r="AY19" s="63"/>
      <c r="AZ19" s="63"/>
      <c r="BA19" s="63"/>
      <c r="BB19" s="63"/>
      <c r="BC19" s="63"/>
      <c r="BD19" s="63"/>
      <c r="BE19" s="63"/>
      <c r="BF19" s="63"/>
      <c r="BG19" s="63"/>
      <c r="BH19" s="63"/>
      <c r="BI19" s="64"/>
      <c r="BJ19" s="64"/>
      <c r="BK19" s="64"/>
    </row>
    <row r="20" spans="1:63" ht="41.25" hidden="1" thickBot="1">
      <c r="A20" s="982"/>
      <c r="B20" s="334"/>
      <c r="C20" s="262" t="s">
        <v>122</v>
      </c>
      <c r="D20" s="304" t="s">
        <v>121</v>
      </c>
      <c r="E20" s="305"/>
      <c r="F20" s="339"/>
      <c r="G20" s="262" t="s">
        <v>123</v>
      </c>
      <c r="H20" s="262" t="s">
        <v>124</v>
      </c>
      <c r="I20" s="340" t="s">
        <v>313</v>
      </c>
      <c r="J20" s="279" t="s">
        <v>108</v>
      </c>
      <c r="K20" s="267" t="s">
        <v>100</v>
      </c>
      <c r="L20" s="267"/>
      <c r="M20" s="267"/>
      <c r="N20" s="267"/>
      <c r="O20" s="280">
        <v>0.9</v>
      </c>
      <c r="P20" s="269"/>
      <c r="Q20" s="269"/>
      <c r="R20" s="269"/>
      <c r="S20" s="269"/>
      <c r="T20" s="269"/>
      <c r="U20" s="269"/>
      <c r="V20" s="269"/>
      <c r="W20" s="269"/>
      <c r="X20" s="269"/>
      <c r="Y20" s="269"/>
      <c r="Z20" s="269"/>
      <c r="AA20" s="269"/>
      <c r="AB20" s="270" t="e">
        <f t="shared" ref="AB20" si="2">LOOKUP(1000000000,P20:AA20)</f>
        <v>#N/A</v>
      </c>
      <c r="AC20" s="271"/>
      <c r="AD20" s="269" t="e">
        <f t="shared" ref="AD20" si="3">+IF(SLOPE(P20:AA20,$P$7:$AA$7)&gt;0,"Al alza",IF(SLOPE(P20:AA20,$P$7:$AA$7)&lt;0,"A la baja","Sin cambio"))</f>
        <v>#DIV/0!</v>
      </c>
      <c r="AE20" s="272" t="s">
        <v>13</v>
      </c>
      <c r="AF20" s="303">
        <v>9.6100000000000005E-3</v>
      </c>
      <c r="AG20" s="274"/>
      <c r="AH20" s="275"/>
      <c r="AI20" s="276"/>
      <c r="AJ20" s="277"/>
      <c r="AK20" s="449"/>
      <c r="AL20" s="449"/>
      <c r="AM20" s="226"/>
      <c r="AN20" s="138"/>
      <c r="AV20" s="64"/>
      <c r="AW20" s="63"/>
      <c r="AX20" s="63"/>
      <c r="AY20" s="63"/>
      <c r="AZ20" s="63"/>
      <c r="BA20" s="63"/>
      <c r="BB20" s="63"/>
      <c r="BC20" s="63"/>
      <c r="BD20" s="63"/>
      <c r="BE20" s="63"/>
      <c r="BF20" s="63"/>
      <c r="BG20" s="63"/>
      <c r="BH20" s="63"/>
      <c r="BI20" s="64"/>
      <c r="BJ20" s="64"/>
      <c r="BK20" s="64"/>
    </row>
    <row r="21" spans="1:63" ht="61.5" hidden="1" thickBot="1">
      <c r="A21" s="982"/>
      <c r="B21" s="334"/>
      <c r="C21" s="262" t="s">
        <v>221</v>
      </c>
      <c r="D21" s="304" t="s">
        <v>112</v>
      </c>
      <c r="E21" s="305"/>
      <c r="F21" s="339"/>
      <c r="G21" s="262" t="s">
        <v>222</v>
      </c>
      <c r="H21" s="262" t="s">
        <v>223</v>
      </c>
      <c r="I21" s="265" t="s">
        <v>277</v>
      </c>
      <c r="J21" s="279" t="s">
        <v>144</v>
      </c>
      <c r="K21" s="267" t="s">
        <v>100</v>
      </c>
      <c r="L21" s="267"/>
      <c r="M21" s="267"/>
      <c r="N21" s="267"/>
      <c r="O21" s="268">
        <f>+(9.9925/9.9204)-1</f>
        <v>7.2678521027376153E-3</v>
      </c>
      <c r="P21" s="269"/>
      <c r="Q21" s="269"/>
      <c r="R21" s="269"/>
      <c r="S21" s="269"/>
      <c r="T21" s="269"/>
      <c r="U21" s="269"/>
      <c r="V21" s="269"/>
      <c r="W21" s="269"/>
      <c r="X21" s="269"/>
      <c r="Y21" s="269"/>
      <c r="Z21" s="269"/>
      <c r="AA21" s="269"/>
      <c r="AB21" s="270"/>
      <c r="AC21" s="271"/>
      <c r="AD21" s="269"/>
      <c r="AE21" s="272"/>
      <c r="AF21" s="303"/>
      <c r="AG21" s="274"/>
      <c r="AH21" s="275"/>
      <c r="AI21" s="276"/>
      <c r="AJ21" s="277"/>
      <c r="AK21" s="449"/>
      <c r="AL21" s="449"/>
      <c r="AM21" s="226"/>
      <c r="AN21" s="138"/>
      <c r="AV21" s="64"/>
      <c r="AW21" s="63"/>
      <c r="AX21" s="63"/>
      <c r="AY21" s="63"/>
      <c r="AZ21" s="63"/>
      <c r="BA21" s="63"/>
      <c r="BB21" s="63"/>
      <c r="BC21" s="63"/>
      <c r="BD21" s="63"/>
      <c r="BE21" s="63"/>
      <c r="BF21" s="63"/>
      <c r="BG21" s="63"/>
      <c r="BH21" s="63"/>
      <c r="BI21" s="64"/>
      <c r="BJ21" s="64"/>
      <c r="BK21" s="64"/>
    </row>
    <row r="22" spans="1:63" ht="61.5" hidden="1" thickBot="1">
      <c r="A22" s="983"/>
      <c r="B22" s="341">
        <v>12</v>
      </c>
      <c r="C22" s="286" t="s">
        <v>224</v>
      </c>
      <c r="D22" s="286" t="s">
        <v>112</v>
      </c>
      <c r="E22" s="318"/>
      <c r="F22" s="342"/>
      <c r="G22" s="286" t="s">
        <v>225</v>
      </c>
      <c r="H22" s="286" t="s">
        <v>226</v>
      </c>
      <c r="I22" s="278" t="s">
        <v>204</v>
      </c>
      <c r="J22" s="279" t="s">
        <v>108</v>
      </c>
      <c r="K22" s="267"/>
      <c r="L22" s="267"/>
      <c r="M22" s="267"/>
      <c r="N22" s="267"/>
      <c r="O22" s="280" t="s">
        <v>276</v>
      </c>
      <c r="P22" s="321"/>
      <c r="Q22" s="321"/>
      <c r="R22" s="321"/>
      <c r="S22" s="321"/>
      <c r="T22" s="321"/>
      <c r="U22" s="321"/>
      <c r="V22" s="321"/>
      <c r="W22" s="321"/>
      <c r="X22" s="321"/>
      <c r="Y22" s="321"/>
      <c r="Z22" s="321"/>
      <c r="AA22" s="321"/>
      <c r="AB22" s="322"/>
      <c r="AC22" s="323"/>
      <c r="AD22" s="321"/>
      <c r="AE22" s="295"/>
      <c r="AF22" s="324"/>
      <c r="AG22" s="325" t="str">
        <f>IF($K$22="Sube",IF(ISERROR(AB22/$O$22)=TRUE,"",IF(AB22&gt;$O$22,AF22,AB22/$O$22*AF22)),IF(ISERROR($O$22/AB22)=TRUE,"",IF($O$22&lt;AB22,$O$22/AB22*AF22,AF22)))</f>
        <v/>
      </c>
      <c r="AH22" s="326" t="str">
        <f>IF($K$22="Sube",IF(ISERROR(AB22/$O$22)=TRUE,"",IF(AB22&gt;=$O$22,1,0)),IF(ISERROR($O$22/AB22)=TRUE,"",IF($O$22&lt;AB22,0,1)))</f>
        <v/>
      </c>
      <c r="AI22" s="327"/>
      <c r="AJ22" s="328"/>
      <c r="AK22" s="453"/>
      <c r="AL22" s="453"/>
      <c r="AM22" s="180"/>
      <c r="AN22" s="151"/>
      <c r="AV22" s="64"/>
      <c r="AW22" s="63"/>
      <c r="AX22" s="63"/>
      <c r="AY22" s="63"/>
      <c r="AZ22" s="63"/>
      <c r="BA22" s="63"/>
      <c r="BB22" s="63"/>
      <c r="BC22" s="63"/>
      <c r="BD22" s="63"/>
      <c r="BE22" s="63"/>
      <c r="BF22" s="63"/>
      <c r="BG22" s="63"/>
      <c r="BH22" s="63"/>
      <c r="BI22" s="64"/>
      <c r="BJ22" s="64"/>
      <c r="BK22" s="64"/>
    </row>
    <row r="23" spans="1:63" ht="45" hidden="1" customHeight="1">
      <c r="A23" s="976" t="s">
        <v>74</v>
      </c>
      <c r="B23" s="242">
        <f>+B22+1</f>
        <v>13</v>
      </c>
      <c r="C23" s="244" t="s">
        <v>227</v>
      </c>
      <c r="D23" s="244" t="s">
        <v>114</v>
      </c>
      <c r="E23" s="343"/>
      <c r="F23" s="331"/>
      <c r="G23" s="244" t="s">
        <v>228</v>
      </c>
      <c r="H23" s="244" t="s">
        <v>229</v>
      </c>
      <c r="I23" s="344" t="s">
        <v>278</v>
      </c>
      <c r="J23" s="345" t="s">
        <v>145</v>
      </c>
      <c r="K23" s="249" t="s">
        <v>100</v>
      </c>
      <c r="L23" s="249"/>
      <c r="M23" s="249"/>
      <c r="N23" s="249"/>
      <c r="O23" s="250"/>
      <c r="P23" s="251"/>
      <c r="Q23" s="251"/>
      <c r="R23" s="251"/>
      <c r="S23" s="251"/>
      <c r="T23" s="251"/>
      <c r="U23" s="251"/>
      <c r="V23" s="251"/>
      <c r="W23" s="251"/>
      <c r="X23" s="251"/>
      <c r="Y23" s="251"/>
      <c r="Z23" s="251"/>
      <c r="AA23" s="251"/>
      <c r="AB23" s="252" t="e">
        <f t="shared" si="1"/>
        <v>#N/A</v>
      </c>
      <c r="AC23" s="253"/>
      <c r="AD23" s="251" t="e">
        <f t="shared" si="0"/>
        <v>#DIV/0!</v>
      </c>
      <c r="AE23" s="254" t="s">
        <v>13</v>
      </c>
      <c r="AF23" s="333">
        <v>9.6100000000000005E-3</v>
      </c>
      <c r="AG23" s="256" t="str">
        <f>IF($K$23="Sube",IF(ISERROR(AB23/$O$23)=TRUE,"",IF(AB23&gt;$O$23,AF23,AB23/$O$23*AF23)),IF(ISERROR($O$23/AB23)=TRUE,"",IF($O$23&lt;AB23,$O$23/AB23*AF23,AF23)))</f>
        <v/>
      </c>
      <c r="AH23" s="257" t="str">
        <f>IF($K$23="Sube",IF(ISERROR(AB23/$O$23)=TRUE,"",IF(AB23&gt;=$O$23,1,0)),IF(ISERROR($O$23/AB23)=TRUE,"",IF($O$23&lt;AB23,0,1)))</f>
        <v/>
      </c>
      <c r="AI23" s="258"/>
      <c r="AJ23" s="346">
        <v>3.64</v>
      </c>
      <c r="AK23" s="506"/>
      <c r="AL23" s="454" t="s">
        <v>322</v>
      </c>
      <c r="AM23" s="178"/>
      <c r="AN23" s="137"/>
      <c r="AV23" s="64"/>
      <c r="AW23" s="63"/>
      <c r="AX23" s="63"/>
      <c r="AY23" s="63"/>
      <c r="AZ23" s="63"/>
      <c r="BA23" s="63"/>
      <c r="BB23" s="63"/>
      <c r="BC23" s="63"/>
      <c r="BD23" s="63"/>
      <c r="BE23" s="63"/>
      <c r="BF23" s="63"/>
      <c r="BG23" s="63"/>
      <c r="BH23" s="63"/>
      <c r="BI23" s="64"/>
      <c r="BJ23" s="64"/>
      <c r="BK23" s="64"/>
    </row>
    <row r="24" spans="1:63" ht="49.5" hidden="1" customHeight="1" thickBot="1">
      <c r="A24" s="984"/>
      <c r="B24" s="347">
        <f t="shared" ref="B24:B49" si="4">+B23+1</f>
        <v>14</v>
      </c>
      <c r="C24" s="262" t="s">
        <v>125</v>
      </c>
      <c r="D24" s="348" t="s">
        <v>112</v>
      </c>
      <c r="E24" s="301"/>
      <c r="F24" s="336"/>
      <c r="G24" s="349" t="s">
        <v>153</v>
      </c>
      <c r="H24" s="349" t="s">
        <v>154</v>
      </c>
      <c r="I24" s="350">
        <f>1152/1344</f>
        <v>0.8571428571428571</v>
      </c>
      <c r="J24" s="279" t="s">
        <v>144</v>
      </c>
      <c r="K24" s="267" t="s">
        <v>100</v>
      </c>
      <c r="L24" s="267"/>
      <c r="M24" s="267"/>
      <c r="N24" s="267"/>
      <c r="O24" s="280">
        <v>0.87</v>
      </c>
      <c r="P24" s="269"/>
      <c r="Q24" s="269"/>
      <c r="R24" s="269"/>
      <c r="S24" s="269"/>
      <c r="T24" s="269"/>
      <c r="U24" s="269"/>
      <c r="V24" s="269"/>
      <c r="W24" s="269"/>
      <c r="X24" s="269"/>
      <c r="Y24" s="269"/>
      <c r="Z24" s="269"/>
      <c r="AA24" s="269"/>
      <c r="AB24" s="270" t="e">
        <f t="shared" si="1"/>
        <v>#N/A</v>
      </c>
      <c r="AC24" s="271"/>
      <c r="AD24" s="269" t="e">
        <f t="shared" si="0"/>
        <v>#DIV/0!</v>
      </c>
      <c r="AE24" s="272" t="s">
        <v>13</v>
      </c>
      <c r="AF24" s="303">
        <v>9.6100000000000005E-3</v>
      </c>
      <c r="AG24" s="274" t="str">
        <f>IF($K$24="Sube",IF(ISERROR(AB24/$O$24)=TRUE,"",IF(AB24&gt;$O$24,AF24,AB24/$O$24*AF24)),IF(ISERROR($O$24/AB24)=TRUE,"",IF($O$24&lt;AB24,$O$24/AB24*AF24,AF24)))</f>
        <v/>
      </c>
      <c r="AH24" s="275" t="str">
        <f>IF($K$24="Sube",IF(ISERROR(AB24/$O$24)=TRUE,"",IF(AB24&gt;=$O$24,1,0)),IF(ISERROR($O$24/AB24)=TRUE,"",IF($O$24&lt;AB24,0,1)))</f>
        <v/>
      </c>
      <c r="AI24" s="276"/>
      <c r="AJ24" s="277"/>
      <c r="AK24" s="449"/>
      <c r="AL24" s="449"/>
      <c r="AM24" s="226"/>
      <c r="AN24" s="138"/>
      <c r="AV24" s="64"/>
      <c r="AW24" s="63"/>
      <c r="AX24" s="63"/>
      <c r="AY24" s="63"/>
      <c r="AZ24" s="63"/>
      <c r="BA24" s="63"/>
      <c r="BB24" s="63"/>
      <c r="BC24" s="63"/>
      <c r="BD24" s="63"/>
      <c r="BE24" s="63"/>
      <c r="BF24" s="63"/>
      <c r="BG24" s="63"/>
      <c r="BH24" s="63"/>
      <c r="BI24" s="64"/>
      <c r="BJ24" s="64"/>
      <c r="BK24" s="64"/>
    </row>
    <row r="25" spans="1:63" ht="56.25" hidden="1" customHeight="1" thickBot="1">
      <c r="A25" s="978"/>
      <c r="B25" s="351">
        <f t="shared" si="4"/>
        <v>15</v>
      </c>
      <c r="C25" s="286" t="s">
        <v>230</v>
      </c>
      <c r="D25" s="352" t="s">
        <v>112</v>
      </c>
      <c r="E25" s="318"/>
      <c r="F25" s="342"/>
      <c r="G25" s="353" t="s">
        <v>176</v>
      </c>
      <c r="H25" s="353" t="s">
        <v>192</v>
      </c>
      <c r="I25" s="354">
        <f>7.218/9.426-1</f>
        <v>-0.23424570337364736</v>
      </c>
      <c r="J25" s="289" t="s">
        <v>146</v>
      </c>
      <c r="K25" s="290" t="s">
        <v>100</v>
      </c>
      <c r="L25" s="290"/>
      <c r="M25" s="290"/>
      <c r="N25" s="290"/>
      <c r="O25" s="291">
        <f>+'Tablero Estratégico'!W10</f>
        <v>7.22</v>
      </c>
      <c r="P25" s="321"/>
      <c r="Q25" s="321"/>
      <c r="R25" s="321"/>
      <c r="S25" s="321"/>
      <c r="T25" s="321"/>
      <c r="U25" s="321"/>
      <c r="V25" s="321"/>
      <c r="W25" s="321"/>
      <c r="X25" s="321"/>
      <c r="Y25" s="321"/>
      <c r="Z25" s="321"/>
      <c r="AA25" s="321"/>
      <c r="AB25" s="322" t="e">
        <f t="shared" si="1"/>
        <v>#N/A</v>
      </c>
      <c r="AC25" s="323"/>
      <c r="AD25" s="321" t="e">
        <f t="shared" si="0"/>
        <v>#DIV/0!</v>
      </c>
      <c r="AE25" s="295" t="s">
        <v>13</v>
      </c>
      <c r="AF25" s="324">
        <v>9.6100000000000005E-3</v>
      </c>
      <c r="AG25" s="325" t="str">
        <f>IF($K$25="Sube",IF(ISERROR(AB25/$O$25)=TRUE,"",IF(AB25&gt;$O$25,AF25,AB25/$O$25*AF25)),IF(ISERROR($O$25/AB25)=TRUE,"",IF($O$25&lt;AB25,$O$25/AB25*AF25,AF25)))</f>
        <v/>
      </c>
      <c r="AH25" s="326" t="str">
        <f>IF($K$25="Sube",IF(ISERROR(AB25/$O$25)=TRUE,"",IF(AB25&gt;=$O$25,1,0)),IF(ISERROR($O$25/AB25)=TRUE,"",IF($O$25&lt;AB25,0,1)))</f>
        <v/>
      </c>
      <c r="AI25" s="327"/>
      <c r="AJ25" s="328"/>
      <c r="AK25" s="453"/>
      <c r="AL25" s="453"/>
      <c r="AM25" s="180"/>
      <c r="AN25" s="151"/>
      <c r="AV25" s="64"/>
      <c r="AW25" s="63"/>
      <c r="AX25" s="63"/>
      <c r="AY25" s="63"/>
      <c r="AZ25" s="63"/>
      <c r="BA25" s="63"/>
      <c r="BB25" s="63"/>
      <c r="BC25" s="63"/>
      <c r="BD25" s="63"/>
      <c r="BE25" s="63"/>
      <c r="BF25" s="63"/>
      <c r="BG25" s="63"/>
      <c r="BH25" s="63"/>
      <c r="BI25" s="64"/>
      <c r="BJ25" s="64"/>
      <c r="BK25" s="64"/>
    </row>
    <row r="26" spans="1:63" ht="122.25" hidden="1" thickBot="1">
      <c r="A26" s="976" t="s">
        <v>48</v>
      </c>
      <c r="B26" s="242" t="e">
        <f>+#REF!+1</f>
        <v>#REF!</v>
      </c>
      <c r="C26" s="243" t="s">
        <v>126</v>
      </c>
      <c r="D26" s="243" t="s">
        <v>121</v>
      </c>
      <c r="E26" s="355"/>
      <c r="F26" s="355"/>
      <c r="G26" s="243" t="s">
        <v>231</v>
      </c>
      <c r="H26" s="243" t="s">
        <v>129</v>
      </c>
      <c r="I26" s="356">
        <v>1</v>
      </c>
      <c r="J26" s="345" t="s">
        <v>144</v>
      </c>
      <c r="K26" s="249"/>
      <c r="L26" s="249"/>
      <c r="M26" s="249"/>
      <c r="N26" s="249"/>
      <c r="O26" s="250">
        <v>1</v>
      </c>
      <c r="P26" s="251"/>
      <c r="Q26" s="251"/>
      <c r="R26" s="251"/>
      <c r="S26" s="251"/>
      <c r="T26" s="251"/>
      <c r="U26" s="251"/>
      <c r="V26" s="251"/>
      <c r="W26" s="251"/>
      <c r="X26" s="251"/>
      <c r="Y26" s="251"/>
      <c r="Z26" s="251"/>
      <c r="AA26" s="251"/>
      <c r="AB26" s="252" t="e">
        <f t="shared" si="1"/>
        <v>#N/A</v>
      </c>
      <c r="AC26" s="253"/>
      <c r="AD26" s="251" t="e">
        <f t="shared" si="0"/>
        <v>#DIV/0!</v>
      </c>
      <c r="AE26" s="254" t="s">
        <v>13</v>
      </c>
      <c r="AF26" s="333">
        <v>9.6100000000000005E-3</v>
      </c>
      <c r="AG26" s="256" t="str">
        <f>IF($K$26="Sube",IF(ISERROR(AB26/$O$26)=TRUE,"",IF(AB26&gt;$O$26,AF26,AB26/$O$26*AF26)),IF(ISERROR($O$26/AB26)=TRUE,"",IF($O$26&lt;AB26,$O$26/AB26*AF26,AF26)))</f>
        <v/>
      </c>
      <c r="AH26" s="257" t="str">
        <f>IF($K$26="Sube",IF(ISERROR(AB26/$O$26)=TRUE,"",IF(AB26&gt;=$O$26,1,0)),IF(ISERROR($O$26/AB26)=TRUE,"",IF($O$26&lt;AB26,0,1)))</f>
        <v/>
      </c>
      <c r="AI26" s="258"/>
      <c r="AJ26" s="259"/>
      <c r="AK26" s="448"/>
      <c r="AL26" s="448"/>
      <c r="AM26" s="178"/>
      <c r="AN26" s="137"/>
      <c r="AV26" s="64"/>
      <c r="AW26" s="63"/>
      <c r="AX26" s="63"/>
      <c r="AY26" s="63"/>
      <c r="AZ26" s="63"/>
      <c r="BA26" s="63"/>
      <c r="BB26" s="63"/>
      <c r="BC26" s="63"/>
      <c r="BD26" s="63"/>
      <c r="BE26" s="63"/>
      <c r="BF26" s="63"/>
      <c r="BG26" s="63"/>
      <c r="BH26" s="63"/>
      <c r="BI26" s="64"/>
      <c r="BJ26" s="64"/>
      <c r="BK26" s="64"/>
    </row>
    <row r="27" spans="1:63" ht="122.25" hidden="1" thickBot="1">
      <c r="A27" s="984"/>
      <c r="B27" s="260" t="e">
        <f t="shared" si="4"/>
        <v>#REF!</v>
      </c>
      <c r="C27" s="261" t="s">
        <v>127</v>
      </c>
      <c r="D27" s="261" t="s">
        <v>121</v>
      </c>
      <c r="E27" s="357"/>
      <c r="F27" s="357"/>
      <c r="G27" s="335" t="s">
        <v>320</v>
      </c>
      <c r="H27" s="261" t="s">
        <v>232</v>
      </c>
      <c r="I27" s="358">
        <v>0.9</v>
      </c>
      <c r="J27" s="279" t="s">
        <v>108</v>
      </c>
      <c r="K27" s="267"/>
      <c r="L27" s="267"/>
      <c r="M27" s="267"/>
      <c r="N27" s="267"/>
      <c r="O27" s="280">
        <v>1</v>
      </c>
      <c r="P27" s="269"/>
      <c r="Q27" s="269"/>
      <c r="R27" s="269"/>
      <c r="S27" s="269"/>
      <c r="T27" s="269"/>
      <c r="U27" s="269"/>
      <c r="V27" s="269"/>
      <c r="W27" s="269"/>
      <c r="X27" s="269"/>
      <c r="Y27" s="269"/>
      <c r="Z27" s="269"/>
      <c r="AA27" s="269"/>
      <c r="AB27" s="270" t="e">
        <f t="shared" si="1"/>
        <v>#N/A</v>
      </c>
      <c r="AC27" s="271"/>
      <c r="AD27" s="269" t="e">
        <f t="shared" si="0"/>
        <v>#DIV/0!</v>
      </c>
      <c r="AE27" s="272" t="s">
        <v>13</v>
      </c>
      <c r="AF27" s="303">
        <v>9.6100000000000005E-3</v>
      </c>
      <c r="AG27" s="274" t="str">
        <f>IF($K$27="Sube",IF(ISERROR(AB27/$O$27)=TRUE,"",IF(AB27&gt;$O$27,AF27,AB27/$O$27*AF27)),IF(ISERROR($O$27/AB27)=TRUE,"",IF($O$27&lt;AB27,$O$27/AB27*AF27,AF27)))</f>
        <v/>
      </c>
      <c r="AH27" s="275" t="str">
        <f>IF($K$27="Sube",IF(ISERROR(AB27/$O$27)=TRUE,"",IF(AB27&gt;=$O$27,1,0)),IF(ISERROR($O$27/AB27)=TRUE,"",IF($O$27&lt;AB27,0,1)))</f>
        <v/>
      </c>
      <c r="AI27" s="276"/>
      <c r="AJ27" s="359">
        <f>+'Tablero Estratégico'!AI16</f>
        <v>0</v>
      </c>
      <c r="AK27" s="507"/>
      <c r="AL27" s="450" t="s">
        <v>321</v>
      </c>
      <c r="AM27" s="226"/>
      <c r="AN27" s="138"/>
      <c r="AV27" s="64"/>
      <c r="AW27" s="63"/>
      <c r="AX27" s="63"/>
      <c r="AY27" s="63"/>
      <c r="AZ27" s="63"/>
      <c r="BA27" s="63"/>
      <c r="BB27" s="63"/>
      <c r="BC27" s="63"/>
      <c r="BD27" s="63"/>
      <c r="BE27" s="63"/>
      <c r="BF27" s="63"/>
      <c r="BG27" s="63"/>
      <c r="BH27" s="63"/>
      <c r="BI27" s="64"/>
      <c r="BJ27" s="64"/>
      <c r="BK27" s="64"/>
    </row>
    <row r="28" spans="1:63" ht="142.5" hidden="1" thickBot="1">
      <c r="A28" s="984"/>
      <c r="B28" s="260" t="e">
        <f t="shared" si="4"/>
        <v>#REF!</v>
      </c>
      <c r="C28" s="261" t="s">
        <v>128</v>
      </c>
      <c r="D28" s="261" t="s">
        <v>121</v>
      </c>
      <c r="E28" s="357"/>
      <c r="F28" s="357"/>
      <c r="G28" s="261" t="s">
        <v>233</v>
      </c>
      <c r="H28" s="261" t="s">
        <v>234</v>
      </c>
      <c r="I28" s="272" t="s">
        <v>278</v>
      </c>
      <c r="J28" s="279"/>
      <c r="K28" s="267"/>
      <c r="L28" s="267"/>
      <c r="M28" s="267"/>
      <c r="N28" s="267"/>
      <c r="O28" s="280"/>
      <c r="P28" s="269"/>
      <c r="Q28" s="269"/>
      <c r="R28" s="269"/>
      <c r="S28" s="269"/>
      <c r="T28" s="269"/>
      <c r="U28" s="269"/>
      <c r="V28" s="269"/>
      <c r="W28" s="269"/>
      <c r="X28" s="269"/>
      <c r="Y28" s="269"/>
      <c r="Z28" s="269"/>
      <c r="AA28" s="269"/>
      <c r="AB28" s="270"/>
      <c r="AC28" s="271"/>
      <c r="AD28" s="269"/>
      <c r="AE28" s="272"/>
      <c r="AF28" s="303"/>
      <c r="AG28" s="274"/>
      <c r="AH28" s="275"/>
      <c r="AI28" s="276"/>
      <c r="AJ28" s="277"/>
      <c r="AK28" s="449"/>
      <c r="AL28" s="449"/>
      <c r="AM28" s="226"/>
      <c r="AN28" s="138"/>
      <c r="AV28" s="64"/>
      <c r="AW28" s="63"/>
      <c r="AX28" s="63"/>
      <c r="AY28" s="63"/>
      <c r="AZ28" s="63"/>
      <c r="BA28" s="63"/>
      <c r="BB28" s="63"/>
      <c r="BC28" s="63"/>
      <c r="BD28" s="63"/>
      <c r="BE28" s="63"/>
      <c r="BF28" s="63"/>
      <c r="BG28" s="63"/>
      <c r="BH28" s="63"/>
      <c r="BI28" s="64"/>
      <c r="BJ28" s="64"/>
      <c r="BK28" s="64"/>
    </row>
    <row r="29" spans="1:63" ht="61.5" hidden="1" thickBot="1">
      <c r="A29" s="978"/>
      <c r="B29" s="317" t="e">
        <f t="shared" si="4"/>
        <v>#REF!</v>
      </c>
      <c r="C29" s="360" t="s">
        <v>235</v>
      </c>
      <c r="D29" s="361" t="s">
        <v>114</v>
      </c>
      <c r="E29" s="362"/>
      <c r="F29" s="362"/>
      <c r="G29" s="361" t="s">
        <v>214</v>
      </c>
      <c r="H29" s="286" t="s">
        <v>236</v>
      </c>
      <c r="I29" s="363">
        <v>0.878</v>
      </c>
      <c r="J29" s="289" t="s">
        <v>108</v>
      </c>
      <c r="K29" s="290" t="s">
        <v>100</v>
      </c>
      <c r="L29" s="290"/>
      <c r="M29" s="290"/>
      <c r="N29" s="290"/>
      <c r="O29" s="291">
        <v>0.93</v>
      </c>
      <c r="P29" s="321"/>
      <c r="Q29" s="321"/>
      <c r="R29" s="321"/>
      <c r="S29" s="321"/>
      <c r="T29" s="321"/>
      <c r="U29" s="321"/>
      <c r="V29" s="321"/>
      <c r="W29" s="321"/>
      <c r="X29" s="321"/>
      <c r="Y29" s="321"/>
      <c r="Z29" s="321"/>
      <c r="AA29" s="321"/>
      <c r="AB29" s="322" t="e">
        <f t="shared" si="1"/>
        <v>#N/A</v>
      </c>
      <c r="AC29" s="323"/>
      <c r="AD29" s="321" t="e">
        <f t="shared" ref="AD29:AD48" si="5">+IF(SLOPE(P29:AA29,$P$7:$AA$7)&gt;0,"Al alza",IF(SLOPE(P29:AA29,$P$7:$AA$7)&lt;0,"A la baja","Sin cambio"))</f>
        <v>#DIV/0!</v>
      </c>
      <c r="AE29" s="295" t="s">
        <v>13</v>
      </c>
      <c r="AF29" s="324">
        <v>9.6100000000000005E-3</v>
      </c>
      <c r="AG29" s="325" t="str">
        <f t="shared" ref="AG29" si="6">IF(K29="Sube",IF(ISERROR(AB29/O29)=TRUE,"",IF(AB29&gt;O29,AF29,AB29/O29*AF29)),IF(ISERROR(O29/AB29)=TRUE,"",IF(O29&lt;AB29,O29/AB29*AF29,AF29)))</f>
        <v/>
      </c>
      <c r="AH29" s="326" t="str">
        <f>IF($K$29="Sube",IF(ISERROR(AB29/$O$29)=TRUE,"",IF(AB29&gt;=$O$29,1,0)),IF(ISERROR($O$29/AB29)=TRUE,"",IF($O$29&lt;AB29,0,1)))</f>
        <v/>
      </c>
      <c r="AI29" s="327"/>
      <c r="AJ29" s="364">
        <f>236943151/1000000000</f>
        <v>0.23694315099999999</v>
      </c>
      <c r="AK29" s="508"/>
      <c r="AL29" s="451" t="s">
        <v>345</v>
      </c>
      <c r="AM29" s="180"/>
      <c r="AN29" s="151"/>
      <c r="AV29" s="64"/>
      <c r="AW29" s="63"/>
      <c r="AX29" s="63"/>
      <c r="AY29" s="63"/>
      <c r="AZ29" s="63"/>
      <c r="BA29" s="63"/>
      <c r="BB29" s="63"/>
      <c r="BC29" s="63"/>
      <c r="BD29" s="63"/>
      <c r="BE29" s="63"/>
      <c r="BF29" s="63"/>
      <c r="BG29" s="63"/>
      <c r="BH29" s="63"/>
      <c r="BI29" s="64"/>
      <c r="BJ29" s="64"/>
      <c r="BK29" s="64"/>
    </row>
    <row r="30" spans="1:63" ht="61.5" hidden="1" thickBot="1">
      <c r="A30" s="976" t="s">
        <v>75</v>
      </c>
      <c r="B30" s="365" t="e">
        <f t="shared" si="4"/>
        <v>#REF!</v>
      </c>
      <c r="C30" s="244" t="s">
        <v>109</v>
      </c>
      <c r="D30" s="244" t="s">
        <v>121</v>
      </c>
      <c r="E30" s="330"/>
      <c r="F30" s="331"/>
      <c r="G30" s="366" t="s">
        <v>304</v>
      </c>
      <c r="H30" s="244" t="s">
        <v>130</v>
      </c>
      <c r="I30" s="367">
        <v>0.97599999999999998</v>
      </c>
      <c r="J30" s="248" t="s">
        <v>108</v>
      </c>
      <c r="K30" s="249" t="s">
        <v>100</v>
      </c>
      <c r="L30" s="249"/>
      <c r="M30" s="249"/>
      <c r="N30" s="249"/>
      <c r="O30" s="250" t="s">
        <v>301</v>
      </c>
      <c r="P30" s="251"/>
      <c r="Q30" s="251"/>
      <c r="R30" s="251"/>
      <c r="S30" s="251"/>
      <c r="T30" s="251"/>
      <c r="U30" s="251"/>
      <c r="V30" s="251"/>
      <c r="W30" s="251"/>
      <c r="X30" s="251"/>
      <c r="Y30" s="251"/>
      <c r="Z30" s="251"/>
      <c r="AA30" s="251"/>
      <c r="AB30" s="252" t="e">
        <f t="shared" si="1"/>
        <v>#N/A</v>
      </c>
      <c r="AC30" s="253"/>
      <c r="AD30" s="251" t="e">
        <f t="shared" si="5"/>
        <v>#DIV/0!</v>
      </c>
      <c r="AE30" s="254" t="s">
        <v>13</v>
      </c>
      <c r="AF30" s="333">
        <v>9.6100000000000005E-3</v>
      </c>
      <c r="AG30" s="256" t="str">
        <f>IF($K$30="Sube",IF(ISERROR(AB30/$O$30)=TRUE,"",IF(AB30&gt;$O$30,AF30,AB30/$O$30*AF30)),IF(ISERROR($O$30/AB30)=TRUE,"",IF($O$30&lt;AB30,$O$30/AB30*AF30,AF30)))</f>
        <v/>
      </c>
      <c r="AH30" s="257" t="str">
        <f>IF($K$30="Sube",IF(ISERROR(AB30/$O$30)=TRUE,"",IF(AB30&gt;=$O$30,1,0)),IF(ISERROR($O$30/AB30)=TRUE,"",IF($O$30&lt;AB30,0,1)))</f>
        <v/>
      </c>
      <c r="AI30" s="258"/>
      <c r="AJ30" s="368" t="e">
        <f>+'Tablero Estratégico'!#REF!</f>
        <v>#REF!</v>
      </c>
      <c r="AK30" s="509"/>
      <c r="AL30" s="454" t="s">
        <v>335</v>
      </c>
      <c r="AM30" s="178"/>
      <c r="AN30" s="137"/>
      <c r="AV30" s="64"/>
      <c r="AW30" s="63"/>
      <c r="AX30" s="63"/>
      <c r="AY30" s="63"/>
      <c r="AZ30" s="63"/>
      <c r="BA30" s="63"/>
      <c r="BB30" s="63"/>
      <c r="BC30" s="63"/>
      <c r="BD30" s="63"/>
      <c r="BE30" s="63"/>
      <c r="BF30" s="63"/>
      <c r="BG30" s="63"/>
      <c r="BH30" s="63"/>
      <c r="BI30" s="64"/>
      <c r="BJ30" s="64"/>
      <c r="BK30" s="64"/>
    </row>
    <row r="31" spans="1:63" ht="81.75" hidden="1" thickBot="1">
      <c r="A31" s="984"/>
      <c r="B31" s="369" t="e">
        <f t="shared" si="4"/>
        <v>#REF!</v>
      </c>
      <c r="C31" s="262" t="s">
        <v>110</v>
      </c>
      <c r="D31" s="262" t="s">
        <v>112</v>
      </c>
      <c r="E31" s="301"/>
      <c r="F31" s="301"/>
      <c r="G31" s="262" t="s">
        <v>302</v>
      </c>
      <c r="H31" s="262" t="s">
        <v>303</v>
      </c>
      <c r="I31" s="370" t="s">
        <v>278</v>
      </c>
      <c r="J31" s="266" t="s">
        <v>108</v>
      </c>
      <c r="K31" s="267" t="s">
        <v>100</v>
      </c>
      <c r="L31" s="267"/>
      <c r="M31" s="267"/>
      <c r="N31" s="267"/>
      <c r="O31" s="280"/>
      <c r="P31" s="269"/>
      <c r="Q31" s="269"/>
      <c r="R31" s="269"/>
      <c r="S31" s="269"/>
      <c r="T31" s="269"/>
      <c r="U31" s="269"/>
      <c r="V31" s="269"/>
      <c r="W31" s="269"/>
      <c r="X31" s="269"/>
      <c r="Y31" s="269"/>
      <c r="Z31" s="269"/>
      <c r="AA31" s="269"/>
      <c r="AB31" s="270" t="e">
        <f t="shared" si="1"/>
        <v>#N/A</v>
      </c>
      <c r="AC31" s="271"/>
      <c r="AD31" s="269" t="e">
        <f t="shared" si="5"/>
        <v>#DIV/0!</v>
      </c>
      <c r="AE31" s="272" t="s">
        <v>13</v>
      </c>
      <c r="AF31" s="303">
        <v>9.6100000000000005E-3</v>
      </c>
      <c r="AG31" s="274" t="str">
        <f>IF($K$31="Sube",IF(ISERROR(AB31/$O$31)=TRUE,"",IF(AB31&gt;$O$31,AF31,AB31/$O$31*AF31)),IF(ISERROR($O$31/AB31)=TRUE,"",IF($O$31&lt;AB31,$O$31/AB31*AF31,AF31)))</f>
        <v/>
      </c>
      <c r="AH31" s="275" t="str">
        <f>IF($K$31="Sube",IF(ISERROR(AB31/$O$31)=TRUE,"",IF(AB31&gt;=$O$31,1,0)),IF(ISERROR($O$31/AB31)=TRUE,"",IF($O$31&lt;AB31,0,1)))</f>
        <v/>
      </c>
      <c r="AI31" s="276"/>
      <c r="AJ31" s="277">
        <v>17702</v>
      </c>
      <c r="AK31" s="449"/>
      <c r="AL31" s="450" t="s">
        <v>336</v>
      </c>
      <c r="AM31" s="226"/>
      <c r="AN31" s="138"/>
      <c r="AV31" s="64"/>
      <c r="AW31" s="63"/>
      <c r="AX31" s="63"/>
      <c r="AY31" s="63"/>
      <c r="AZ31" s="63"/>
      <c r="BA31" s="63"/>
      <c r="BB31" s="63"/>
      <c r="BC31" s="63"/>
      <c r="BD31" s="63"/>
      <c r="BE31" s="63"/>
      <c r="BF31" s="63"/>
      <c r="BG31" s="63"/>
      <c r="BH31" s="63"/>
      <c r="BI31" s="64"/>
      <c r="BJ31" s="64"/>
      <c r="BK31" s="64"/>
    </row>
    <row r="32" spans="1:63" ht="61.5" hidden="1" thickBot="1">
      <c r="A32" s="978"/>
      <c r="B32" s="371" t="e">
        <f t="shared" si="4"/>
        <v>#REF!</v>
      </c>
      <c r="C32" s="304" t="s">
        <v>111</v>
      </c>
      <c r="D32" s="304" t="s">
        <v>121</v>
      </c>
      <c r="E32" s="305"/>
      <c r="F32" s="305"/>
      <c r="G32" s="304" t="s">
        <v>305</v>
      </c>
      <c r="H32" s="304" t="s">
        <v>237</v>
      </c>
      <c r="I32" s="372">
        <v>0.98</v>
      </c>
      <c r="J32" s="373" t="s">
        <v>108</v>
      </c>
      <c r="K32" s="306" t="s">
        <v>100</v>
      </c>
      <c r="L32" s="306"/>
      <c r="M32" s="306"/>
      <c r="N32" s="306"/>
      <c r="O32" s="307">
        <v>1</v>
      </c>
      <c r="P32" s="308"/>
      <c r="Q32" s="308"/>
      <c r="R32" s="308"/>
      <c r="S32" s="308"/>
      <c r="T32" s="308"/>
      <c r="U32" s="308"/>
      <c r="V32" s="308"/>
      <c r="W32" s="308"/>
      <c r="X32" s="308"/>
      <c r="Y32" s="308"/>
      <c r="Z32" s="308"/>
      <c r="AA32" s="308"/>
      <c r="AB32" s="309" t="e">
        <f t="shared" si="1"/>
        <v>#N/A</v>
      </c>
      <c r="AC32" s="310"/>
      <c r="AD32" s="308" t="e">
        <f t="shared" si="5"/>
        <v>#DIV/0!</v>
      </c>
      <c r="AE32" s="311" t="s">
        <v>13</v>
      </c>
      <c r="AF32" s="312">
        <v>9.6100000000000005E-3</v>
      </c>
      <c r="AG32" s="313" t="str">
        <f>IF($K$32="Sube",IF(ISERROR(AB32/$O$32)=TRUE,"",IF(AB32&gt;$O$32,AF32,AB32/$O$32*AF32)),IF(ISERROR($O$32/AB32)=TRUE,"",IF($O$32&lt;AB32,$O$32/AB32*AF32,AF32)))</f>
        <v/>
      </c>
      <c r="AH32" s="314" t="str">
        <f>IF($K$32="Sube",IF(ISERROR(AB32/$O$32)=TRUE,"",IF(AB32&gt;=$O$32,1,0)),IF(ISERROR($O$32/AB32)=TRUE,"",IF($O$32&lt;AB32,0,1)))</f>
        <v/>
      </c>
      <c r="AI32" s="315"/>
      <c r="AJ32" s="374">
        <v>0.81</v>
      </c>
      <c r="AK32" s="510"/>
      <c r="AL32" s="455" t="s">
        <v>337</v>
      </c>
      <c r="AM32" s="228"/>
      <c r="AN32" s="179"/>
      <c r="AV32" s="64"/>
      <c r="AW32" s="63"/>
      <c r="AX32" s="63"/>
      <c r="AY32" s="63"/>
      <c r="AZ32" s="63"/>
      <c r="BA32" s="63"/>
      <c r="BB32" s="63"/>
      <c r="BC32" s="63"/>
      <c r="BD32" s="63"/>
      <c r="BE32" s="63"/>
      <c r="BF32" s="63"/>
      <c r="BG32" s="63"/>
      <c r="BH32" s="63"/>
      <c r="BI32" s="64"/>
      <c r="BJ32" s="64"/>
      <c r="BK32" s="64"/>
    </row>
    <row r="33" spans="1:63" s="4" customFormat="1" ht="61.5" hidden="1" thickBot="1">
      <c r="A33" s="976" t="s">
        <v>77</v>
      </c>
      <c r="B33" s="365" t="e">
        <f>+#REF!+1</f>
        <v>#REF!</v>
      </c>
      <c r="C33" s="244" t="s">
        <v>131</v>
      </c>
      <c r="D33" s="244" t="s">
        <v>114</v>
      </c>
      <c r="E33" s="343"/>
      <c r="F33" s="343"/>
      <c r="G33" s="244" t="s">
        <v>132</v>
      </c>
      <c r="H33" s="244" t="s">
        <v>133</v>
      </c>
      <c r="I33" s="367">
        <f>+'Tablero Estratégico'!U29</f>
        <v>0.88935026868588196</v>
      </c>
      <c r="J33" s="248" t="s">
        <v>147</v>
      </c>
      <c r="K33" s="249" t="s">
        <v>141</v>
      </c>
      <c r="L33" s="462"/>
      <c r="M33" s="462"/>
      <c r="N33" s="462"/>
      <c r="O33" s="461">
        <f>+'Tablero Estratégico'!W29</f>
        <v>1</v>
      </c>
      <c r="P33" s="251"/>
      <c r="Q33" s="251"/>
      <c r="R33" s="251"/>
      <c r="S33" s="251"/>
      <c r="T33" s="251"/>
      <c r="U33" s="251"/>
      <c r="V33" s="251"/>
      <c r="W33" s="251"/>
      <c r="X33" s="251"/>
      <c r="Y33" s="251"/>
      <c r="Z33" s="251"/>
      <c r="AA33" s="251"/>
      <c r="AB33" s="252" t="e">
        <f t="shared" si="1"/>
        <v>#N/A</v>
      </c>
      <c r="AC33" s="253"/>
      <c r="AD33" s="251" t="e">
        <f t="shared" si="5"/>
        <v>#DIV/0!</v>
      </c>
      <c r="AE33" s="254" t="s">
        <v>13</v>
      </c>
      <c r="AF33" s="333">
        <v>9.6100000000000005E-3</v>
      </c>
      <c r="AG33" s="256" t="str">
        <f>IF($K$33="Sube",IF(ISERROR(AB33/$O$33)=TRUE,"",IF(AB33&gt;$O$33,AF33,AB33/$O$33*AF33)),IF(ISERROR($O$33/AB33)=TRUE,"",IF($O$33&lt;AB33,$O$33/AB33*AF33,AF33)))</f>
        <v/>
      </c>
      <c r="AH33" s="257" t="str">
        <f>IF($K$33="Sube",IF(ISERROR(AB33/$O$33)=TRUE,"",IF(AB33&gt;=$O$33,1,0)),IF(ISERROR($O$33/AB33)=TRUE,"",IF($O$33&lt;AB33,0,1)))</f>
        <v/>
      </c>
      <c r="AI33" s="258"/>
      <c r="AJ33" s="375">
        <f>+'Tablero Estratégico'!AI29</f>
        <v>0.932885906040268</v>
      </c>
      <c r="AK33" s="511"/>
      <c r="AL33" s="456" t="str">
        <f>+'Tablero Estratégico'!AP29</f>
        <v>Durante el 16 de Octubre hasta el 15 de Noviembre, se recibieron 176 PQRSD y se contestaron de manera oportuna 166.</v>
      </c>
      <c r="AM33" s="178"/>
      <c r="AN33" s="127"/>
      <c r="AO33" s="224" t="s">
        <v>306</v>
      </c>
      <c r="AV33" s="64"/>
      <c r="AW33" s="63"/>
      <c r="AX33" s="63"/>
      <c r="AY33" s="63"/>
      <c r="AZ33" s="63"/>
      <c r="BA33" s="63"/>
      <c r="BB33" s="63"/>
      <c r="BC33" s="63"/>
      <c r="BD33" s="63"/>
      <c r="BE33" s="63"/>
      <c r="BF33" s="63"/>
      <c r="BG33" s="63"/>
      <c r="BH33" s="63"/>
      <c r="BI33" s="64"/>
      <c r="BJ33" s="64"/>
      <c r="BK33" s="64"/>
    </row>
    <row r="34" spans="1:63" s="4" customFormat="1" ht="57" hidden="1" customHeight="1">
      <c r="A34" s="977"/>
      <c r="B34" s="376"/>
      <c r="C34" s="377" t="s">
        <v>341</v>
      </c>
      <c r="D34" s="377" t="s">
        <v>114</v>
      </c>
      <c r="E34" s="378"/>
      <c r="F34" s="378"/>
      <c r="G34" s="379" t="s">
        <v>342</v>
      </c>
      <c r="H34" s="377" t="s">
        <v>343</v>
      </c>
      <c r="I34" s="380" t="s">
        <v>278</v>
      </c>
      <c r="J34" s="381" t="s">
        <v>108</v>
      </c>
      <c r="K34" s="382"/>
      <c r="L34" s="382"/>
      <c r="M34" s="382"/>
      <c r="N34" s="382"/>
      <c r="O34" s="280" t="s">
        <v>344</v>
      </c>
      <c r="P34" s="383"/>
      <c r="Q34" s="383"/>
      <c r="R34" s="383"/>
      <c r="S34" s="383"/>
      <c r="T34" s="383"/>
      <c r="U34" s="383"/>
      <c r="V34" s="383"/>
      <c r="W34" s="383"/>
      <c r="X34" s="383"/>
      <c r="Y34" s="383"/>
      <c r="Z34" s="383"/>
      <c r="AA34" s="383"/>
      <c r="AB34" s="384"/>
      <c r="AC34" s="385"/>
      <c r="AD34" s="383"/>
      <c r="AE34" s="386"/>
      <c r="AF34" s="387"/>
      <c r="AG34" s="388"/>
      <c r="AH34" s="389"/>
      <c r="AI34" s="390"/>
      <c r="AJ34" s="391">
        <v>0.9</v>
      </c>
      <c r="AK34" s="512"/>
      <c r="AL34" s="456" t="s">
        <v>354</v>
      </c>
      <c r="AM34" s="234"/>
      <c r="AN34" s="233"/>
      <c r="AO34" s="224"/>
      <c r="AV34" s="64"/>
      <c r="AW34" s="63"/>
      <c r="AX34" s="63"/>
      <c r="AY34" s="63"/>
      <c r="AZ34" s="63"/>
      <c r="BA34" s="63"/>
      <c r="BB34" s="63"/>
      <c r="BC34" s="63"/>
      <c r="BD34" s="63"/>
      <c r="BE34" s="63"/>
      <c r="BF34" s="63"/>
      <c r="BG34" s="63"/>
      <c r="BH34" s="63"/>
      <c r="BI34" s="64"/>
      <c r="BJ34" s="64"/>
      <c r="BK34" s="64"/>
    </row>
    <row r="35" spans="1:63" s="4" customFormat="1" ht="61.5" hidden="1" thickBot="1">
      <c r="A35" s="978"/>
      <c r="B35" s="392" t="e">
        <f>+#REF!+1</f>
        <v>#REF!</v>
      </c>
      <c r="C35" s="286" t="s">
        <v>238</v>
      </c>
      <c r="D35" s="286" t="s">
        <v>114</v>
      </c>
      <c r="E35" s="318"/>
      <c r="F35" s="318"/>
      <c r="G35" s="393" t="s">
        <v>307</v>
      </c>
      <c r="H35" s="286" t="s">
        <v>239</v>
      </c>
      <c r="I35" s="394" t="s">
        <v>278</v>
      </c>
      <c r="J35" s="395" t="s">
        <v>108</v>
      </c>
      <c r="K35" s="290" t="s">
        <v>100</v>
      </c>
      <c r="L35" s="290"/>
      <c r="M35" s="290"/>
      <c r="N35" s="290"/>
      <c r="O35" s="291"/>
      <c r="P35" s="321"/>
      <c r="Q35" s="321"/>
      <c r="R35" s="321"/>
      <c r="S35" s="321"/>
      <c r="T35" s="321"/>
      <c r="U35" s="321"/>
      <c r="V35" s="321"/>
      <c r="W35" s="321"/>
      <c r="X35" s="321"/>
      <c r="Y35" s="321"/>
      <c r="Z35" s="321"/>
      <c r="AA35" s="321"/>
      <c r="AB35" s="322" t="e">
        <f t="shared" si="1"/>
        <v>#N/A</v>
      </c>
      <c r="AC35" s="323"/>
      <c r="AD35" s="321" t="e">
        <f t="shared" si="5"/>
        <v>#DIV/0!</v>
      </c>
      <c r="AE35" s="295" t="s">
        <v>13</v>
      </c>
      <c r="AF35" s="324">
        <v>9.6100000000000005E-3</v>
      </c>
      <c r="AG35" s="325" t="str">
        <f>IF($K$35="Sube",IF(ISERROR(AB35/$O$35)=TRUE,"",IF(AB35&gt;$O$35,AF35,AB35/$O$35*AF35)),IF(ISERROR($O$35/AB35)=TRUE,"",IF($O$35&lt;AB35,$O$35/AB35*AF35,AF35)))</f>
        <v/>
      </c>
      <c r="AH35" s="326" t="str">
        <f>IF($K$35="Sube",IF(ISERROR(AB35/$O$35)=TRUE,"",IF(AB35&gt;=$O$35,1,0)),IF(ISERROR($O$35/AB35)=TRUE,"",IF($O$35&lt;AB35,0,1)))</f>
        <v/>
      </c>
      <c r="AI35" s="327"/>
      <c r="AJ35" s="364">
        <v>1</v>
      </c>
      <c r="AK35" s="508"/>
      <c r="AL35" s="451" t="s">
        <v>353</v>
      </c>
      <c r="AM35" s="180"/>
      <c r="AN35" s="150"/>
      <c r="AO35" s="224"/>
      <c r="AV35" s="64"/>
      <c r="AW35" s="63"/>
      <c r="AX35" s="63"/>
      <c r="AY35" s="63"/>
      <c r="AZ35" s="63"/>
      <c r="BA35" s="63"/>
      <c r="BB35" s="63"/>
      <c r="BC35" s="63"/>
      <c r="BD35" s="63"/>
      <c r="BE35" s="63"/>
      <c r="BF35" s="63"/>
      <c r="BG35" s="63"/>
      <c r="BH35" s="63"/>
      <c r="BI35" s="64"/>
      <c r="BJ35" s="64"/>
      <c r="BK35" s="64"/>
    </row>
    <row r="36" spans="1:63" s="219" customFormat="1" ht="63.75" customHeight="1">
      <c r="A36" s="999" t="s">
        <v>78</v>
      </c>
      <c r="B36" s="396" t="e">
        <f t="shared" si="4"/>
        <v>#REF!</v>
      </c>
      <c r="C36" s="243" t="s">
        <v>308</v>
      </c>
      <c r="D36" s="243" t="s">
        <v>121</v>
      </c>
      <c r="E36" s="355"/>
      <c r="F36" s="355"/>
      <c r="G36" s="243" t="s">
        <v>309</v>
      </c>
      <c r="H36" s="243" t="s">
        <v>310</v>
      </c>
      <c r="I36" s="397">
        <v>0.75</v>
      </c>
      <c r="J36" s="248" t="s">
        <v>108</v>
      </c>
      <c r="K36" s="249" t="s">
        <v>100</v>
      </c>
      <c r="L36" s="249"/>
      <c r="M36" s="249"/>
      <c r="N36" s="249"/>
      <c r="O36" s="250" t="s">
        <v>351</v>
      </c>
      <c r="P36" s="251"/>
      <c r="Q36" s="251"/>
      <c r="R36" s="251"/>
      <c r="S36" s="251"/>
      <c r="T36" s="251"/>
      <c r="U36" s="251"/>
      <c r="V36" s="251"/>
      <c r="W36" s="251"/>
      <c r="X36" s="251"/>
      <c r="Y36" s="251"/>
      <c r="Z36" s="251"/>
      <c r="AA36" s="251"/>
      <c r="AB36" s="252" t="e">
        <f t="shared" si="1"/>
        <v>#N/A</v>
      </c>
      <c r="AC36" s="253"/>
      <c r="AD36" s="251" t="e">
        <f t="shared" si="5"/>
        <v>#DIV/0!</v>
      </c>
      <c r="AE36" s="254" t="s">
        <v>13</v>
      </c>
      <c r="AF36" s="333">
        <v>9.6100000000000005E-3</v>
      </c>
      <c r="AG36" s="256" t="str">
        <f>IF($K$36="Sube",IF(ISERROR(AB36/$O$36)=TRUE,"",IF(AB36&gt;$O$36,AF36,AB36/$O$36*AF36)),IF(ISERROR($O$36/AB36)=TRUE,"",IF($O$36&lt;AB36,$O$36/AB36*AF36,AF36)))</f>
        <v/>
      </c>
      <c r="AH36" s="257" t="str">
        <f>IF($K$36="Sube",IF(ISERROR(AB36/$O$36)=TRUE,"",IF(AB36&gt;=$O$36,1,0)),IF(ISERROR($O$36/AB36)=TRUE,"",IF($O$36&lt;AB36,0,1)))</f>
        <v/>
      </c>
      <c r="AI36" s="258"/>
      <c r="AJ36" s="391">
        <v>0.75</v>
      </c>
      <c r="AK36" s="512"/>
      <c r="AL36" s="457" t="s">
        <v>352</v>
      </c>
      <c r="AM36" s="173"/>
      <c r="AN36" s="218"/>
      <c r="AV36" s="220"/>
      <c r="AW36" s="221"/>
      <c r="AX36" s="221"/>
      <c r="AY36" s="221"/>
      <c r="AZ36" s="221"/>
      <c r="BA36" s="221"/>
      <c r="BB36" s="221"/>
      <c r="BC36" s="221"/>
      <c r="BD36" s="221"/>
      <c r="BE36" s="221"/>
      <c r="BF36" s="221"/>
      <c r="BG36" s="221"/>
      <c r="BH36" s="221"/>
      <c r="BI36" s="220"/>
      <c r="BJ36" s="220"/>
      <c r="BK36" s="220"/>
    </row>
    <row r="37" spans="1:63" s="219" customFormat="1" ht="61.5" hidden="1" thickBot="1">
      <c r="A37" s="1000"/>
      <c r="B37" s="398" t="e">
        <f>+B36+1</f>
        <v>#REF!</v>
      </c>
      <c r="C37" s="361" t="s">
        <v>134</v>
      </c>
      <c r="D37" s="361" t="s">
        <v>135</v>
      </c>
      <c r="E37" s="362"/>
      <c r="F37" s="362"/>
      <c r="G37" s="361" t="s">
        <v>240</v>
      </c>
      <c r="H37" s="361" t="s">
        <v>136</v>
      </c>
      <c r="I37" s="399" t="s">
        <v>278</v>
      </c>
      <c r="J37" s="395" t="s">
        <v>241</v>
      </c>
      <c r="K37" s="290" t="s">
        <v>100</v>
      </c>
      <c r="L37" s="290"/>
      <c r="M37" s="290"/>
      <c r="N37" s="290"/>
      <c r="O37" s="291"/>
      <c r="P37" s="321"/>
      <c r="Q37" s="321"/>
      <c r="R37" s="321"/>
      <c r="S37" s="321"/>
      <c r="T37" s="321"/>
      <c r="U37" s="321"/>
      <c r="V37" s="321"/>
      <c r="W37" s="321"/>
      <c r="X37" s="321"/>
      <c r="Y37" s="321"/>
      <c r="Z37" s="321"/>
      <c r="AA37" s="321"/>
      <c r="AB37" s="322" t="e">
        <f t="shared" si="1"/>
        <v>#N/A</v>
      </c>
      <c r="AC37" s="323"/>
      <c r="AD37" s="321" t="e">
        <f t="shared" si="5"/>
        <v>#DIV/0!</v>
      </c>
      <c r="AE37" s="295" t="s">
        <v>13</v>
      </c>
      <c r="AF37" s="324">
        <v>9.6100000000000005E-3</v>
      </c>
      <c r="AG37" s="325" t="str">
        <f>IF($K$37="Sube",IF(ISERROR(AB37/$O$37)=TRUE,"",IF(AB37&gt;$O$37,AF37,AB37/$O$37*AF37)),IF(ISERROR($O$37/AB37)=TRUE,"",IF($O$37&lt;AB37,$O$37/AB37*AF37,AF37)))</f>
        <v/>
      </c>
      <c r="AH37" s="326" t="str">
        <f>IF($K$37="Sube",IF(ISERROR(AB37/$O$37)=TRUE,"",IF(AB37&gt;=$O$37,1,0)),IF(ISERROR($O$37/AB37)=TRUE,"",IF($O$37&lt;AB37,0,1)))</f>
        <v/>
      </c>
      <c r="AI37" s="327"/>
      <c r="AJ37" s="400"/>
      <c r="AK37" s="458"/>
      <c r="AL37" s="458"/>
      <c r="AM37" s="229"/>
      <c r="AN37" s="222"/>
      <c r="AV37" s="220"/>
      <c r="AW37" s="221"/>
      <c r="AX37" s="221"/>
      <c r="AY37" s="221"/>
      <c r="AZ37" s="221"/>
      <c r="BA37" s="221"/>
      <c r="BB37" s="221"/>
      <c r="BC37" s="221"/>
      <c r="BD37" s="221"/>
      <c r="BE37" s="221"/>
      <c r="BF37" s="221"/>
      <c r="BG37" s="221"/>
      <c r="BH37" s="221"/>
      <c r="BI37" s="220"/>
      <c r="BJ37" s="220"/>
      <c r="BK37" s="220"/>
    </row>
    <row r="38" spans="1:63" ht="63" hidden="1">
      <c r="A38" s="976" t="s">
        <v>242</v>
      </c>
      <c r="B38" s="242" t="e">
        <f t="shared" si="4"/>
        <v>#REF!</v>
      </c>
      <c r="C38" s="401" t="s">
        <v>243</v>
      </c>
      <c r="D38" s="243" t="s">
        <v>121</v>
      </c>
      <c r="E38" s="245"/>
      <c r="F38" s="355"/>
      <c r="G38" s="470" t="s">
        <v>244</v>
      </c>
      <c r="H38" s="470" t="s">
        <v>368</v>
      </c>
      <c r="I38" s="471">
        <v>0</v>
      </c>
      <c r="J38" s="472" t="s">
        <v>245</v>
      </c>
      <c r="K38" s="473" t="s">
        <v>100</v>
      </c>
      <c r="L38" s="467" t="s">
        <v>364</v>
      </c>
      <c r="M38" s="468" t="s">
        <v>370</v>
      </c>
      <c r="N38" s="469" t="s">
        <v>369</v>
      </c>
      <c r="O38" s="250">
        <v>1</v>
      </c>
      <c r="P38" s="251"/>
      <c r="Q38" s="251"/>
      <c r="R38" s="251"/>
      <c r="S38" s="251"/>
      <c r="T38" s="251"/>
      <c r="U38" s="251"/>
      <c r="V38" s="251"/>
      <c r="W38" s="251"/>
      <c r="X38" s="251"/>
      <c r="Y38" s="251"/>
      <c r="Z38" s="251"/>
      <c r="AA38" s="251"/>
      <c r="AB38" s="252" t="e">
        <f t="shared" si="1"/>
        <v>#N/A</v>
      </c>
      <c r="AC38" s="253"/>
      <c r="AD38" s="251" t="e">
        <f t="shared" si="5"/>
        <v>#DIV/0!</v>
      </c>
      <c r="AE38" s="254" t="s">
        <v>13</v>
      </c>
      <c r="AF38" s="333">
        <v>9.6100000000000005E-3</v>
      </c>
      <c r="AG38" s="256" t="str">
        <f>IF($K$38="Sube",IF(ISERROR(AB38/$O$38)=TRUE,"",IF(AB38&gt;$O$38,AF38,AB38/$O$38*AF38)),IF(ISERROR($O$38/AB38)=TRUE,"",IF($O$38&lt;AB38,$O$38/AB38*AF38,AF38)))</f>
        <v/>
      </c>
      <c r="AH38" s="257" t="str">
        <f>IF($K$38="Sube",IF(ISERROR(AB38/$O$38)=TRUE,"",IF(AB38&gt;=$O$38,1,0)),IF(ISERROR($O$38/AB38)=TRUE,"",IF($O$38&lt;AB38,0,1)))</f>
        <v/>
      </c>
      <c r="AI38" s="258"/>
      <c r="AJ38" s="259"/>
      <c r="AK38" s="448"/>
      <c r="AL38" s="454" t="s">
        <v>346</v>
      </c>
      <c r="AM38" s="178"/>
      <c r="AN38" s="137"/>
      <c r="AV38" s="64"/>
      <c r="AW38" s="63"/>
      <c r="AX38" s="63"/>
      <c r="AY38" s="63"/>
      <c r="AZ38" s="63"/>
      <c r="BA38" s="63"/>
      <c r="BB38" s="63"/>
      <c r="BC38" s="63"/>
      <c r="BD38" s="63"/>
      <c r="BE38" s="63"/>
      <c r="BF38" s="63"/>
      <c r="BG38" s="63"/>
      <c r="BH38" s="63"/>
      <c r="BI38" s="64"/>
      <c r="BJ38" s="64"/>
      <c r="BK38" s="64"/>
    </row>
    <row r="39" spans="1:63" ht="77.25" hidden="1" thickBot="1">
      <c r="A39" s="978"/>
      <c r="B39" s="317" t="e">
        <f>+#REF!+1</f>
        <v>#REF!</v>
      </c>
      <c r="C39" s="393" t="s">
        <v>246</v>
      </c>
      <c r="D39" s="286" t="s">
        <v>113</v>
      </c>
      <c r="E39" s="402"/>
      <c r="F39" s="318"/>
      <c r="G39" s="474" t="s">
        <v>247</v>
      </c>
      <c r="H39" s="349" t="s">
        <v>248</v>
      </c>
      <c r="I39" s="475">
        <v>0.85</v>
      </c>
      <c r="J39" s="476" t="s">
        <v>241</v>
      </c>
      <c r="K39" s="477" t="s">
        <v>100</v>
      </c>
      <c r="L39" s="289"/>
      <c r="M39" s="289"/>
      <c r="N39" s="289"/>
      <c r="O39" s="291">
        <v>0.92</v>
      </c>
      <c r="P39" s="321"/>
      <c r="Q39" s="321"/>
      <c r="R39" s="321"/>
      <c r="S39" s="321"/>
      <c r="T39" s="321"/>
      <c r="U39" s="321"/>
      <c r="V39" s="321"/>
      <c r="W39" s="321"/>
      <c r="X39" s="321"/>
      <c r="Y39" s="321"/>
      <c r="Z39" s="321"/>
      <c r="AA39" s="321"/>
      <c r="AB39" s="322" t="e">
        <f t="shared" si="1"/>
        <v>#N/A</v>
      </c>
      <c r="AC39" s="323">
        <f>+(4*100)/4</f>
        <v>100</v>
      </c>
      <c r="AD39" s="321" t="e">
        <f t="shared" si="5"/>
        <v>#DIV/0!</v>
      </c>
      <c r="AE39" s="295" t="s">
        <v>13</v>
      </c>
      <c r="AF39" s="324">
        <v>9.6100000000000005E-3</v>
      </c>
      <c r="AG39" s="325" t="str">
        <f>IF($K$39="Sube",IF(ISERROR(AB39/$O$39)=TRUE,"",IF(AB39&gt;$O$39,AF39,AB39/$O$39*AF39)),IF(ISERROR($O$39/AB39)=TRUE,"",IF($O$39&lt;AB39,$O$39/AB39*AF39,AF39)))</f>
        <v/>
      </c>
      <c r="AH39" s="326" t="str">
        <f>IF($K$39="Sube",IF(ISERROR(AB39/$O$39)=TRUE,"",IF(AB39&gt;=$O$39,1,0)),IF(ISERROR($O$39/AB39)=TRUE,"",IF($O$39&lt;AB39,0,1)))</f>
        <v/>
      </c>
      <c r="AI39" s="327"/>
      <c r="AJ39" s="328"/>
      <c r="AK39" s="453"/>
      <c r="AL39" s="453"/>
      <c r="AM39" s="180"/>
      <c r="AN39" s="151"/>
      <c r="AO39" s="181" t="s">
        <v>249</v>
      </c>
      <c r="AV39" s="64"/>
      <c r="AW39" s="63"/>
      <c r="AX39" s="63"/>
      <c r="AY39" s="63"/>
      <c r="AZ39" s="63"/>
      <c r="BA39" s="63"/>
      <c r="BB39" s="63"/>
      <c r="BC39" s="63"/>
      <c r="BD39" s="63"/>
      <c r="BE39" s="63"/>
      <c r="BF39" s="63"/>
      <c r="BG39" s="63"/>
      <c r="BH39" s="63"/>
      <c r="BI39" s="64"/>
      <c r="BJ39" s="64"/>
      <c r="BK39" s="64"/>
    </row>
    <row r="40" spans="1:63" ht="42" hidden="1">
      <c r="A40" s="976" t="s">
        <v>79</v>
      </c>
      <c r="B40" s="403" t="e">
        <f t="shared" si="4"/>
        <v>#REF!</v>
      </c>
      <c r="C40" s="404" t="s">
        <v>137</v>
      </c>
      <c r="D40" s="404" t="s">
        <v>112</v>
      </c>
      <c r="E40" s="405"/>
      <c r="F40" s="406"/>
      <c r="G40" s="407" t="str">
        <f>+'Tablero Estratégico'!Q20</f>
        <v>Resultado de la medición del clima laboral en el período</v>
      </c>
      <c r="H40" s="407" t="s">
        <v>157</v>
      </c>
      <c r="I40" s="478">
        <f>+'Tablero Estratégico'!U20</f>
        <v>0.41299999999999998</v>
      </c>
      <c r="J40" s="478" t="s">
        <v>146</v>
      </c>
      <c r="K40" s="473" t="s">
        <v>100</v>
      </c>
      <c r="L40" s="345"/>
      <c r="M40" s="345"/>
      <c r="N40" s="345"/>
      <c r="O40" s="408">
        <f>+'Tablero Estratégico'!W20</f>
        <v>0.75</v>
      </c>
      <c r="P40" s="251"/>
      <c r="Q40" s="251"/>
      <c r="R40" s="251"/>
      <c r="S40" s="251"/>
      <c r="T40" s="251"/>
      <c r="U40" s="251"/>
      <c r="V40" s="251"/>
      <c r="W40" s="251"/>
      <c r="X40" s="251"/>
      <c r="Y40" s="251"/>
      <c r="Z40" s="251"/>
      <c r="AA40" s="251"/>
      <c r="AB40" s="252" t="e">
        <f t="shared" si="1"/>
        <v>#N/A</v>
      </c>
      <c r="AC40" s="253"/>
      <c r="AD40" s="251" t="e">
        <f t="shared" si="5"/>
        <v>#DIV/0!</v>
      </c>
      <c r="AE40" s="254" t="s">
        <v>13</v>
      </c>
      <c r="AF40" s="333">
        <v>9.6100000000000005E-3</v>
      </c>
      <c r="AG40" s="256" t="str">
        <f>IF($K$40="Sube",IF(ISERROR(AB40/$O$40)=TRUE,"",IF(AB40&gt;$O$40,AF40,AB40/$O$40*AF40)),IF(ISERROR($O$40/AB40)=TRUE,"",IF($O$40&lt;AB40,$O$40/AB40*AF40,AF40)))</f>
        <v/>
      </c>
      <c r="AH40" s="257" t="str">
        <f>IF($K$40="Sube",IF(ISERROR(AB40/$O$40)=TRUE,"",IF(AB40&gt;=$O$40,1,0)),IF(ISERROR($O$40/AB40)=TRUE,"",IF($O$40&lt;AB40,0,1)))</f>
        <v/>
      </c>
      <c r="AI40" s="258"/>
      <c r="AJ40" s="259"/>
      <c r="AK40" s="448"/>
      <c r="AL40" s="448"/>
      <c r="AM40" s="178"/>
      <c r="AN40" s="137"/>
      <c r="AV40" s="64"/>
      <c r="AW40" s="63"/>
      <c r="AX40" s="63"/>
      <c r="AY40" s="63"/>
      <c r="AZ40" s="63"/>
      <c r="BA40" s="63"/>
      <c r="BB40" s="63"/>
      <c r="BC40" s="63"/>
      <c r="BD40" s="63"/>
      <c r="BE40" s="63"/>
      <c r="BF40" s="63"/>
      <c r="BG40" s="63"/>
      <c r="BH40" s="63"/>
      <c r="BI40" s="64"/>
      <c r="BJ40" s="64"/>
      <c r="BK40" s="64"/>
    </row>
    <row r="41" spans="1:63" ht="42" hidden="1">
      <c r="A41" s="984"/>
      <c r="B41" s="409" t="e">
        <f t="shared" si="4"/>
        <v>#REF!</v>
      </c>
      <c r="C41" s="335" t="s">
        <v>138</v>
      </c>
      <c r="D41" s="335" t="s">
        <v>112</v>
      </c>
      <c r="E41" s="410"/>
      <c r="F41" s="411"/>
      <c r="G41" s="412" t="s">
        <v>162</v>
      </c>
      <c r="H41" s="412" t="s">
        <v>158</v>
      </c>
      <c r="I41" s="479"/>
      <c r="J41" s="479" t="s">
        <v>146</v>
      </c>
      <c r="K41" s="480" t="s">
        <v>100</v>
      </c>
      <c r="L41" s="279"/>
      <c r="M41" s="279"/>
      <c r="N41" s="279"/>
      <c r="O41" s="280"/>
      <c r="P41" s="269"/>
      <c r="Q41" s="269"/>
      <c r="R41" s="269"/>
      <c r="S41" s="269"/>
      <c r="T41" s="269"/>
      <c r="U41" s="269"/>
      <c r="V41" s="269"/>
      <c r="W41" s="269"/>
      <c r="X41" s="269"/>
      <c r="Y41" s="269"/>
      <c r="Z41" s="269"/>
      <c r="AA41" s="269"/>
      <c r="AB41" s="270" t="e">
        <f t="shared" si="1"/>
        <v>#N/A</v>
      </c>
      <c r="AC41" s="271"/>
      <c r="AD41" s="269" t="e">
        <f t="shared" si="5"/>
        <v>#DIV/0!</v>
      </c>
      <c r="AE41" s="272" t="s">
        <v>13</v>
      </c>
      <c r="AF41" s="303">
        <v>9.6100000000000005E-3</v>
      </c>
      <c r="AG41" s="274" t="str">
        <f>IF($K$41="Sube",IF(ISERROR(AB41/$O$41)=TRUE,"",IF(AB41&gt;$O$41,AF41,AB41/$O$41*AF41)),IF(ISERROR($O$41/AB41)=TRUE,"",IF($O$41&lt;AB41,$O$41/AB41*AF41,AF41)))</f>
        <v/>
      </c>
      <c r="AH41" s="275" t="str">
        <f>IF($K$41="Sube",IF(ISERROR(AB41/$O$41)=TRUE,"",IF(AB41&gt;=$O$41,1,0)),IF(ISERROR($O$41/AB41)=TRUE,"",IF($O$41&lt;AB41,0,1)))</f>
        <v/>
      </c>
      <c r="AI41" s="276"/>
      <c r="AJ41" s="277"/>
      <c r="AK41" s="449"/>
      <c r="AL41" s="449"/>
      <c r="AM41" s="226"/>
      <c r="AN41" s="138"/>
      <c r="AV41" s="64"/>
      <c r="AW41" s="63"/>
      <c r="AX41" s="63"/>
      <c r="AY41" s="63"/>
      <c r="AZ41" s="63"/>
      <c r="BA41" s="63"/>
      <c r="BB41" s="63"/>
      <c r="BC41" s="63"/>
      <c r="BD41" s="63"/>
      <c r="BE41" s="63"/>
      <c r="BF41" s="63"/>
      <c r="BG41" s="63"/>
      <c r="BH41" s="63"/>
      <c r="BI41" s="64"/>
      <c r="BJ41" s="64"/>
      <c r="BK41" s="64"/>
    </row>
    <row r="42" spans="1:63" ht="42" hidden="1">
      <c r="A42" s="984"/>
      <c r="B42" s="409" t="e">
        <f>+#REF!+1</f>
        <v>#REF!</v>
      </c>
      <c r="C42" s="335" t="s">
        <v>250</v>
      </c>
      <c r="D42" s="335" t="s">
        <v>112</v>
      </c>
      <c r="E42" s="410"/>
      <c r="F42" s="411"/>
      <c r="G42" s="412" t="s">
        <v>251</v>
      </c>
      <c r="H42" s="412" t="s">
        <v>252</v>
      </c>
      <c r="I42" s="479" t="s">
        <v>278</v>
      </c>
      <c r="J42" s="481" t="s">
        <v>245</v>
      </c>
      <c r="K42" s="480" t="s">
        <v>100</v>
      </c>
      <c r="L42" s="279"/>
      <c r="M42" s="279"/>
      <c r="N42" s="279"/>
      <c r="O42" s="280"/>
      <c r="P42" s="269"/>
      <c r="Q42" s="269"/>
      <c r="R42" s="269"/>
      <c r="S42" s="269"/>
      <c r="T42" s="269"/>
      <c r="U42" s="269"/>
      <c r="V42" s="269"/>
      <c r="W42" s="269"/>
      <c r="X42" s="269"/>
      <c r="Y42" s="269"/>
      <c r="Z42" s="269"/>
      <c r="AA42" s="269"/>
      <c r="AB42" s="270" t="e">
        <f t="shared" si="1"/>
        <v>#N/A</v>
      </c>
      <c r="AC42" s="271"/>
      <c r="AD42" s="269" t="e">
        <f t="shared" si="5"/>
        <v>#DIV/0!</v>
      </c>
      <c r="AE42" s="272" t="s">
        <v>13</v>
      </c>
      <c r="AF42" s="303">
        <v>9.6100000000000005E-3</v>
      </c>
      <c r="AG42" s="274" t="str">
        <f>IF($K$42="Sube",IF(ISERROR(AB42/$O$42)=TRUE,"",IF(AB42&gt;$O$42,AF42,AB42/$O$42*AF42)),IF(ISERROR($O$42/AB42)=TRUE,"",IF($O$42&lt;AB42,$O$42/AB42*AF42,AF42)))</f>
        <v/>
      </c>
      <c r="AH42" s="275" t="str">
        <f>IF($K$42="Sube",IF(ISERROR(AB42/$O$42)=TRUE,"",IF(AB42&gt;=$O$42,1,0)),IF(ISERROR($O$42/AB42)=TRUE,"",IF($O$42&lt;AB42,0,1)))</f>
        <v/>
      </c>
      <c r="AI42" s="276"/>
      <c r="AJ42" s="277"/>
      <c r="AK42" s="449"/>
      <c r="AL42" s="449"/>
      <c r="AM42" s="226"/>
      <c r="AN42" s="138"/>
      <c r="AV42" s="64"/>
      <c r="AW42" s="63"/>
      <c r="AX42" s="63"/>
      <c r="AY42" s="63"/>
      <c r="AZ42" s="63"/>
      <c r="BA42" s="63"/>
      <c r="BB42" s="63"/>
      <c r="BC42" s="63"/>
      <c r="BD42" s="63"/>
      <c r="BE42" s="63"/>
      <c r="BF42" s="63"/>
      <c r="BG42" s="63"/>
      <c r="BH42" s="63"/>
      <c r="BI42" s="64"/>
      <c r="BJ42" s="64"/>
      <c r="BK42" s="64"/>
    </row>
    <row r="43" spans="1:63" ht="33.75" hidden="1" customHeight="1">
      <c r="A43" s="984"/>
      <c r="B43" s="409" t="e">
        <f t="shared" si="4"/>
        <v>#REF!</v>
      </c>
      <c r="C43" s="335" t="s">
        <v>253</v>
      </c>
      <c r="D43" s="335" t="s">
        <v>121</v>
      </c>
      <c r="E43" s="410"/>
      <c r="F43" s="411"/>
      <c r="G43" s="412" t="s">
        <v>254</v>
      </c>
      <c r="H43" s="412" t="s">
        <v>255</v>
      </c>
      <c r="I43" s="482">
        <v>1</v>
      </c>
      <c r="J43" s="479" t="s">
        <v>108</v>
      </c>
      <c r="K43" s="480" t="s">
        <v>100</v>
      </c>
      <c r="L43" s="279"/>
      <c r="M43" s="279"/>
      <c r="N43" s="279"/>
      <c r="O43" s="280">
        <v>1</v>
      </c>
      <c r="P43" s="269"/>
      <c r="Q43" s="269"/>
      <c r="R43" s="269"/>
      <c r="S43" s="269"/>
      <c r="T43" s="269"/>
      <c r="U43" s="269"/>
      <c r="V43" s="269"/>
      <c r="W43" s="269"/>
      <c r="X43" s="269"/>
      <c r="Y43" s="269"/>
      <c r="Z43" s="269"/>
      <c r="AA43" s="269"/>
      <c r="AB43" s="270" t="e">
        <f t="shared" si="1"/>
        <v>#N/A</v>
      </c>
      <c r="AC43" s="271"/>
      <c r="AD43" s="269" t="e">
        <f t="shared" si="5"/>
        <v>#DIV/0!</v>
      </c>
      <c r="AE43" s="272" t="s">
        <v>13</v>
      </c>
      <c r="AF43" s="303">
        <v>9.6100000000000005E-3</v>
      </c>
      <c r="AG43" s="274" t="str">
        <f>IF($K$43="Sube",IF(ISERROR(AB43/$O$43)=TRUE,"",IF(AB43&gt;$O$43,AF43,AB43/$O$43*AF43)),IF(ISERROR($O$43/AB43)=TRUE,"",IF($O$43&lt;AB43,$O$43/AB43*AF43,AF43)))</f>
        <v/>
      </c>
      <c r="AH43" s="275" t="str">
        <f>IF($K$43="Sube",IF(ISERROR(AB43/$O$43)=TRUE,"",IF(AB43&gt;=$O$43,1,0)),IF(ISERROR($O$43/AB43)=TRUE,"",IF($O$43&lt;AB43,0,1)))</f>
        <v/>
      </c>
      <c r="AI43" s="276"/>
      <c r="AJ43" s="277"/>
      <c r="AK43" s="449"/>
      <c r="AL43" s="449"/>
      <c r="AM43" s="226"/>
      <c r="AN43" s="138"/>
      <c r="AV43" s="64"/>
      <c r="AW43" s="63"/>
      <c r="AX43" s="63"/>
      <c r="AY43" s="63"/>
      <c r="AZ43" s="63"/>
      <c r="BA43" s="63"/>
      <c r="BB43" s="63"/>
      <c r="BC43" s="63"/>
      <c r="BD43" s="63"/>
      <c r="BE43" s="63"/>
      <c r="BF43" s="63"/>
      <c r="BG43" s="63"/>
      <c r="BH43" s="63"/>
      <c r="BI43" s="64"/>
      <c r="BJ43" s="64"/>
      <c r="BK43" s="64"/>
    </row>
    <row r="44" spans="1:63" ht="63" hidden="1">
      <c r="A44" s="984"/>
      <c r="B44" s="409" t="e">
        <f t="shared" si="4"/>
        <v>#REF!</v>
      </c>
      <c r="C44" s="335" t="s">
        <v>256</v>
      </c>
      <c r="D44" s="335" t="s">
        <v>121</v>
      </c>
      <c r="E44" s="411"/>
      <c r="F44" s="411"/>
      <c r="G44" s="412" t="s">
        <v>257</v>
      </c>
      <c r="H44" s="412" t="s">
        <v>258</v>
      </c>
      <c r="I44" s="479" t="s">
        <v>278</v>
      </c>
      <c r="J44" s="481" t="s">
        <v>146</v>
      </c>
      <c r="K44" s="480" t="s">
        <v>100</v>
      </c>
      <c r="L44" s="279"/>
      <c r="M44" s="279"/>
      <c r="N44" s="279"/>
      <c r="O44" s="280"/>
      <c r="P44" s="269"/>
      <c r="Q44" s="269"/>
      <c r="R44" s="269"/>
      <c r="S44" s="269"/>
      <c r="T44" s="269"/>
      <c r="U44" s="269"/>
      <c r="V44" s="269"/>
      <c r="W44" s="269"/>
      <c r="X44" s="269"/>
      <c r="Y44" s="269"/>
      <c r="Z44" s="269"/>
      <c r="AA44" s="269"/>
      <c r="AB44" s="270" t="e">
        <f t="shared" si="1"/>
        <v>#N/A</v>
      </c>
      <c r="AC44" s="271"/>
      <c r="AD44" s="269" t="e">
        <f t="shared" si="5"/>
        <v>#DIV/0!</v>
      </c>
      <c r="AE44" s="272" t="s">
        <v>13</v>
      </c>
      <c r="AF44" s="303">
        <v>9.6100000000000005E-3</v>
      </c>
      <c r="AG44" s="274" t="str">
        <f>IF($K$44="Sube",IF(ISERROR(AB44/$O$44)=TRUE,"",IF(AB44&gt;$O$44,AF44,AB44/$O$44*AF44)),IF(ISERROR($O$44/AB44)=TRUE,"",IF($O$44&lt;AB44,$O$44/AB44*AF44,AF44)))</f>
        <v/>
      </c>
      <c r="AH44" s="275" t="str">
        <f>IF($K$44="Sube",IF(ISERROR(AB44/$O$44)=TRUE,"",IF(AB44&gt;=$O$44,1,0)),IF(ISERROR($O$44/AB44)=TRUE,"",IF($O$44&lt;AB44,0,1)))</f>
        <v/>
      </c>
      <c r="AI44" s="276"/>
      <c r="AJ44" s="277"/>
      <c r="AK44" s="449"/>
      <c r="AL44" s="449"/>
      <c r="AM44" s="226"/>
      <c r="AN44" s="138"/>
      <c r="AV44" s="64"/>
      <c r="AW44" s="63"/>
      <c r="AX44" s="63"/>
      <c r="AY44" s="63"/>
      <c r="AZ44" s="63"/>
      <c r="BA44" s="63"/>
      <c r="BB44" s="63"/>
      <c r="BC44" s="63"/>
      <c r="BD44" s="63"/>
      <c r="BE44" s="63"/>
      <c r="BF44" s="63"/>
      <c r="BG44" s="63"/>
      <c r="BH44" s="63"/>
      <c r="BI44" s="64"/>
      <c r="BJ44" s="64"/>
      <c r="BK44" s="64"/>
    </row>
    <row r="45" spans="1:63" ht="63.75" hidden="1" thickBot="1">
      <c r="A45" s="978"/>
      <c r="B45" s="347"/>
      <c r="C45" s="413" t="s">
        <v>259</v>
      </c>
      <c r="D45" s="413" t="s">
        <v>121</v>
      </c>
      <c r="E45" s="414"/>
      <c r="F45" s="414"/>
      <c r="G45" s="483" t="s">
        <v>260</v>
      </c>
      <c r="H45" s="483" t="s">
        <v>261</v>
      </c>
      <c r="I45" s="484">
        <v>1</v>
      </c>
      <c r="J45" s="485" t="s">
        <v>146</v>
      </c>
      <c r="K45" s="486" t="s">
        <v>141</v>
      </c>
      <c r="L45" s="463"/>
      <c r="M45" s="463"/>
      <c r="N45" s="463"/>
      <c r="O45" s="307">
        <v>1</v>
      </c>
      <c r="P45" s="308"/>
      <c r="Q45" s="308"/>
      <c r="R45" s="308"/>
      <c r="S45" s="308"/>
      <c r="T45" s="308"/>
      <c r="U45" s="308"/>
      <c r="V45" s="308"/>
      <c r="W45" s="308"/>
      <c r="X45" s="308"/>
      <c r="Y45" s="308"/>
      <c r="Z45" s="308"/>
      <c r="AA45" s="308"/>
      <c r="AB45" s="309"/>
      <c r="AC45" s="310"/>
      <c r="AD45" s="308"/>
      <c r="AE45" s="311"/>
      <c r="AF45" s="312"/>
      <c r="AG45" s="313"/>
      <c r="AH45" s="314"/>
      <c r="AI45" s="315"/>
      <c r="AJ45" s="316"/>
      <c r="AK45" s="452"/>
      <c r="AL45" s="452"/>
      <c r="AM45" s="228"/>
      <c r="AN45" s="179"/>
      <c r="AV45" s="64"/>
      <c r="AW45" s="63"/>
      <c r="AX45" s="63"/>
      <c r="AY45" s="63"/>
      <c r="AZ45" s="63"/>
      <c r="BA45" s="63"/>
      <c r="BB45" s="63"/>
      <c r="BC45" s="63"/>
      <c r="BD45" s="63"/>
      <c r="BE45" s="63"/>
      <c r="BF45" s="63"/>
      <c r="BG45" s="63"/>
      <c r="BH45" s="63"/>
      <c r="BI45" s="64"/>
      <c r="BJ45" s="64"/>
      <c r="BK45" s="64"/>
    </row>
    <row r="46" spans="1:63" s="4" customFormat="1" ht="409.6" hidden="1" thickBot="1">
      <c r="A46" s="415" t="s">
        <v>80</v>
      </c>
      <c r="B46" s="416" t="e">
        <f>+#REF!+1</f>
        <v>#REF!</v>
      </c>
      <c r="C46" s="417" t="s">
        <v>139</v>
      </c>
      <c r="D46" s="417" t="s">
        <v>121</v>
      </c>
      <c r="E46" s="418"/>
      <c r="F46" s="418"/>
      <c r="G46" s="487" t="s">
        <v>262</v>
      </c>
      <c r="H46" s="487" t="s">
        <v>263</v>
      </c>
      <c r="I46" s="488" t="str">
        <f>+'Tablero Estratégico'!U24</f>
        <v>NA</v>
      </c>
      <c r="J46" s="489" t="str">
        <f>+'Tablero Estratégico'!T24</f>
        <v>Mensual</v>
      </c>
      <c r="K46" s="490" t="s">
        <v>100</v>
      </c>
      <c r="L46" s="464"/>
      <c r="M46" s="464"/>
      <c r="N46" s="464"/>
      <c r="O46" s="419">
        <v>1</v>
      </c>
      <c r="P46" s="420"/>
      <c r="Q46" s="420"/>
      <c r="R46" s="420"/>
      <c r="S46" s="420"/>
      <c r="T46" s="420"/>
      <c r="U46" s="420"/>
      <c r="V46" s="420"/>
      <c r="W46" s="420"/>
      <c r="X46" s="420"/>
      <c r="Y46" s="420"/>
      <c r="Z46" s="420"/>
      <c r="AA46" s="420"/>
      <c r="AB46" s="421" t="e">
        <f t="shared" si="1"/>
        <v>#N/A</v>
      </c>
      <c r="AC46" s="422"/>
      <c r="AD46" s="420" t="e">
        <f t="shared" si="5"/>
        <v>#DIV/0!</v>
      </c>
      <c r="AE46" s="423" t="s">
        <v>13</v>
      </c>
      <c r="AF46" s="424">
        <v>9.6100000000000005E-3</v>
      </c>
      <c r="AG46" s="425" t="str">
        <f>IF($K$46="Sube",IF(ISERROR(AB46/$O$46)=TRUE,"",IF(AB46&gt;$O$46,AF46,AB46/$O$46*AF46)),IF(ISERROR($O$46/AB46)=TRUE,"",IF($O$46&lt;AB46,$O$46/AB46*AF46,AF46)))</f>
        <v/>
      </c>
      <c r="AH46" s="426" t="str">
        <f>IF($K$46="Sube",IF(ISERROR(AB46/$O$46)=TRUE,"",IF(AB46&gt;=$O$46,1,0)),IF(ISERROR($O$46/AB46)=TRUE,"",IF($O$46&lt;AB46,0,1)))</f>
        <v/>
      </c>
      <c r="AI46" s="427"/>
      <c r="AJ46" s="428">
        <f>+'Tablero Estratégico'!AI24</f>
        <v>0.88573681072389143</v>
      </c>
      <c r="AK46" s="459"/>
      <c r="AL46" s="459" t="str">
        <f>+'Tablero Estratégico'!AP24</f>
        <v>Para cumplir con la meta acumualada y de acuerdo con los históricos:
Ene:   $ 2.217.931.658      (20,07%)   
 - Real a Ene: $ 2.101.993.441,28 (19,02% en el acumulado o 94,77% del mes)
Feb:   $ 2.815.469.050       (25,48%)   
- Real a Feb: $ 2.787.274.448,88 (25,22% en el acumulado o 99,00% del mes)
Mar:   $ 3.166.449.610       (28,65%)
- Real a Mar: $ 2.987.610.735,88 (28,65% en el acumulado o 94,35% del mes)
Abr:   $ 3.538.975.396        (32,02%)
- Real a Abr: $ 3.136.506.445,88 (32,02% en el acumulado  88,62% del mes)
May: $ 3.834.524.769   (34,70)
- Real a May: $3.260.138.254,98 (34,69%en el acumulado  85,02% del mes)            
Jun:   $ 4.226.109.249        (38,24%)    
- Real a Jun: $ 3.743.220.527,98 ( 33,87% en el acumulado  88,57% del mes)
Jul:    $6.536.325.721   (59,15%)
- Real a Jul:   $4.661.515.070  (  42,18%  en el acumulado 71,31%  del mes)  
Ago: $7.589.971.626  (68,68%)
 -Real a Ago:  $6.200.463.579,79 ( 56,10% en el acumulado 81,69% del mes)
Sep:   $ 8.238.680.187   (74,55%) 
 - Real a Sep: $6.374.026.878,53 (57,67% en el acumulado 74,55% del mes)    
Oct:   $6,700,000,000     (84%)
 - Real a Oct: $ 6.616.024.046,53  (82,70% en el acumulado 98,75% del mes)   
Nov:   $ 7,300,000,000      (91%) 
- Real a Nov: $7.209.690.969,53 (90,12% en el acumulado  98,76% del mes)
Metas esperadas para los demás meses: 
Dic:   $ 8,000,000,000       (100,00%)  expectativas</v>
      </c>
      <c r="AM46" s="230"/>
      <c r="AN46" s="182"/>
      <c r="AO46" s="224"/>
      <c r="AV46" s="64"/>
      <c r="AW46" s="63"/>
      <c r="AX46" s="63"/>
      <c r="AY46" s="63"/>
      <c r="AZ46" s="63"/>
      <c r="BA46" s="63"/>
      <c r="BB46" s="63"/>
      <c r="BC46" s="63"/>
      <c r="BD46" s="63"/>
      <c r="BE46" s="63"/>
      <c r="BF46" s="63"/>
      <c r="BG46" s="63"/>
      <c r="BH46" s="63"/>
      <c r="BI46" s="64"/>
      <c r="BJ46" s="64"/>
      <c r="BK46" s="64"/>
    </row>
    <row r="47" spans="1:63" ht="63" hidden="1">
      <c r="A47" s="976" t="s">
        <v>81</v>
      </c>
      <c r="B47" s="365" t="e">
        <f>+#REF!+1</f>
        <v>#REF!</v>
      </c>
      <c r="C47" s="243" t="s">
        <v>264</v>
      </c>
      <c r="D47" s="244" t="s">
        <v>114</v>
      </c>
      <c r="E47" s="343"/>
      <c r="F47" s="343"/>
      <c r="G47" s="491" t="s">
        <v>265</v>
      </c>
      <c r="H47" s="491" t="s">
        <v>266</v>
      </c>
      <c r="I47" s="492"/>
      <c r="J47" s="472" t="s">
        <v>147</v>
      </c>
      <c r="K47" s="473" t="s">
        <v>141</v>
      </c>
      <c r="L47" s="345"/>
      <c r="M47" s="345"/>
      <c r="N47" s="345"/>
      <c r="O47" s="250"/>
      <c r="P47" s="251"/>
      <c r="Q47" s="251"/>
      <c r="R47" s="251"/>
      <c r="S47" s="251"/>
      <c r="T47" s="251"/>
      <c r="U47" s="251"/>
      <c r="V47" s="251"/>
      <c r="W47" s="251"/>
      <c r="X47" s="251"/>
      <c r="Y47" s="251"/>
      <c r="Z47" s="251"/>
      <c r="AA47" s="251"/>
      <c r="AB47" s="252" t="e">
        <f t="shared" si="1"/>
        <v>#N/A</v>
      </c>
      <c r="AC47" s="253"/>
      <c r="AD47" s="251" t="e">
        <f t="shared" si="5"/>
        <v>#DIV/0!</v>
      </c>
      <c r="AE47" s="254" t="s">
        <v>13</v>
      </c>
      <c r="AF47" s="333">
        <v>9.6100000000000005E-3</v>
      </c>
      <c r="AG47" s="256" t="str">
        <f>IF($K$47="Sube",IF(ISERROR(AB47/$O$47)=TRUE,"",IF(AB47&gt;$O$47,AF47,AB47/$O$47*AF47)),IF(ISERROR($O$47/AB47)=TRUE,"",IF($O$47&lt;AB47,$O$47/AB47*AF47,AF47)))</f>
        <v/>
      </c>
      <c r="AH47" s="257" t="str">
        <f>IF($K$47="Sube",IF(ISERROR(AB47/$O$47)=TRUE,"",IF(AB47&gt;=$O$47,1,0)),IF(ISERROR($O$47/AB47)=TRUE,"",IF($O$47&lt;AB47,0,1)))</f>
        <v/>
      </c>
      <c r="AI47" s="258"/>
      <c r="AJ47" s="259"/>
      <c r="AK47" s="448"/>
      <c r="AL47" s="448"/>
      <c r="AM47" s="178"/>
      <c r="AN47" s="137"/>
      <c r="AV47" s="64"/>
      <c r="AW47" s="63"/>
      <c r="AX47" s="63"/>
      <c r="AY47" s="63"/>
      <c r="AZ47" s="63"/>
      <c r="BA47" s="63"/>
      <c r="BB47" s="63"/>
      <c r="BC47" s="63"/>
      <c r="BD47" s="63"/>
      <c r="BE47" s="63"/>
      <c r="BF47" s="63"/>
      <c r="BG47" s="63"/>
      <c r="BH47" s="63"/>
      <c r="BI47" s="64"/>
      <c r="BJ47" s="64"/>
      <c r="BK47" s="64"/>
    </row>
    <row r="48" spans="1:63" ht="141.75" hidden="1">
      <c r="A48" s="984"/>
      <c r="B48" s="369" t="e">
        <f t="shared" si="4"/>
        <v>#REF!</v>
      </c>
      <c r="C48" s="262" t="s">
        <v>267</v>
      </c>
      <c r="D48" s="262" t="s">
        <v>121</v>
      </c>
      <c r="E48" s="301"/>
      <c r="F48" s="301"/>
      <c r="G48" s="493" t="s">
        <v>268</v>
      </c>
      <c r="H48" s="493" t="s">
        <v>269</v>
      </c>
      <c r="I48" s="494"/>
      <c r="J48" s="481" t="s">
        <v>147</v>
      </c>
      <c r="K48" s="480" t="s">
        <v>100</v>
      </c>
      <c r="L48" s="279"/>
      <c r="M48" s="279"/>
      <c r="N48" s="279"/>
      <c r="O48" s="280"/>
      <c r="P48" s="269"/>
      <c r="Q48" s="269"/>
      <c r="R48" s="269"/>
      <c r="S48" s="269"/>
      <c r="T48" s="269"/>
      <c r="U48" s="269"/>
      <c r="V48" s="269"/>
      <c r="W48" s="269"/>
      <c r="X48" s="269"/>
      <c r="Y48" s="269"/>
      <c r="Z48" s="269"/>
      <c r="AA48" s="269"/>
      <c r="AB48" s="270" t="e">
        <f t="shared" si="1"/>
        <v>#N/A</v>
      </c>
      <c r="AC48" s="271"/>
      <c r="AD48" s="269" t="e">
        <f t="shared" si="5"/>
        <v>#DIV/0!</v>
      </c>
      <c r="AE48" s="272" t="s">
        <v>13</v>
      </c>
      <c r="AF48" s="303">
        <v>9.6100000000000005E-3</v>
      </c>
      <c r="AG48" s="274" t="str">
        <f>IF($K$48="Sube",IF(ISERROR(AB48/$O$48)=TRUE,"",IF(AB48&gt;$O$48,AF48,AB48/$O$48*AF48)),IF(ISERROR($O$48/AB48)=TRUE,"",IF($O$48&lt;AB48,$O$48/AB48*AF48,AF48)))</f>
        <v/>
      </c>
      <c r="AH48" s="275" t="str">
        <f>IF($K$48="Sube",IF(ISERROR(AB48/$O$48)=TRUE,"",IF(AB48&gt;=$O$48,1,0)),IF(ISERROR($O$48/AB48)=TRUE,"",IF($O$48&lt;AB48,0,1)))</f>
        <v/>
      </c>
      <c r="AI48" s="276"/>
      <c r="AJ48" s="429">
        <f>+'Tablero Estratégico'!AI26</f>
        <v>0.75046126341808617</v>
      </c>
      <c r="AK48" s="513"/>
      <c r="AL48" s="450" t="str">
        <f>+'Tablero Estratégico'!AP26</f>
        <v>Acumulado con corte a julio, se recaudaron $21.456.571.434,48(incluídos recursos Nación) y se comprometieron $23.537.620.568,35 . Pagos acumulados están en $21.013.229.068,96
Frente al mes de Octubre, el recaudo se incrementó en 9.11% en tanto los compromisos se incrementaron en 9.92%</v>
      </c>
      <c r="AM48" s="226"/>
      <c r="AN48" s="138"/>
      <c r="AV48" s="64"/>
      <c r="AW48" s="63"/>
      <c r="AX48" s="63"/>
      <c r="AY48" s="63"/>
      <c r="AZ48" s="63"/>
      <c r="BA48" s="63"/>
      <c r="BB48" s="63"/>
      <c r="BC48" s="63"/>
      <c r="BD48" s="63"/>
      <c r="BE48" s="63"/>
      <c r="BF48" s="63"/>
      <c r="BG48" s="63"/>
      <c r="BH48" s="63"/>
      <c r="BI48" s="64"/>
      <c r="BJ48" s="64"/>
      <c r="BK48" s="64"/>
    </row>
    <row r="49" spans="1:64" ht="42.75" hidden="1" thickBot="1">
      <c r="A49" s="978"/>
      <c r="B49" s="392" t="e">
        <f t="shared" si="4"/>
        <v>#REF!</v>
      </c>
      <c r="C49" s="286" t="s">
        <v>140</v>
      </c>
      <c r="D49" s="286" t="s">
        <v>112</v>
      </c>
      <c r="E49" s="318"/>
      <c r="F49" s="318"/>
      <c r="G49" s="349" t="s">
        <v>173</v>
      </c>
      <c r="H49" s="349" t="s">
        <v>165</v>
      </c>
      <c r="I49" s="495">
        <f>+'Tablero Estratégico'!U26</f>
        <v>1.0374939776423666</v>
      </c>
      <c r="J49" s="476" t="s">
        <v>147</v>
      </c>
      <c r="K49" s="477" t="s">
        <v>100</v>
      </c>
      <c r="L49" s="289"/>
      <c r="M49" s="289"/>
      <c r="N49" s="289"/>
      <c r="O49" s="291" t="str">
        <f>+'Tablero Estratégico'!W26</f>
        <v>≥  1,00</v>
      </c>
      <c r="P49" s="321"/>
      <c r="Q49" s="321"/>
      <c r="R49" s="321"/>
      <c r="S49" s="321"/>
      <c r="T49" s="321"/>
      <c r="U49" s="321"/>
      <c r="V49" s="321"/>
      <c r="W49" s="321"/>
      <c r="X49" s="321"/>
      <c r="Y49" s="321"/>
      <c r="Z49" s="321"/>
      <c r="AA49" s="321"/>
      <c r="AB49" s="322"/>
      <c r="AC49" s="323"/>
      <c r="AD49" s="321"/>
      <c r="AE49" s="295"/>
      <c r="AF49" s="324"/>
      <c r="AG49" s="325"/>
      <c r="AH49" s="326"/>
      <c r="AI49" s="327"/>
      <c r="AJ49" s="328"/>
      <c r="AK49" s="453"/>
      <c r="AL49" s="453"/>
      <c r="AM49" s="180"/>
      <c r="AN49" s="151"/>
      <c r="AV49" s="64"/>
      <c r="AW49" s="63"/>
      <c r="AX49" s="63"/>
      <c r="AY49" s="63"/>
      <c r="AZ49" s="63"/>
      <c r="BA49" s="63"/>
      <c r="BB49" s="63"/>
      <c r="BC49" s="63"/>
      <c r="BD49" s="63"/>
      <c r="BE49" s="63"/>
      <c r="BF49" s="63"/>
      <c r="BG49" s="63"/>
      <c r="BH49" s="63"/>
      <c r="BI49" s="64"/>
      <c r="BJ49" s="64"/>
      <c r="BK49" s="64"/>
    </row>
    <row r="50" spans="1:64" ht="81" hidden="1">
      <c r="A50" s="977" t="s">
        <v>270</v>
      </c>
      <c r="B50" s="430" t="e">
        <f>+#REF!+1</f>
        <v>#REF!</v>
      </c>
      <c r="C50" s="431" t="s">
        <v>311</v>
      </c>
      <c r="D50" s="432" t="s">
        <v>113</v>
      </c>
      <c r="E50" s="433"/>
      <c r="F50" s="433"/>
      <c r="G50" s="496" t="s">
        <v>271</v>
      </c>
      <c r="H50" s="496" t="s">
        <v>272</v>
      </c>
      <c r="I50" s="497">
        <v>0.4</v>
      </c>
      <c r="J50" s="498" t="s">
        <v>108</v>
      </c>
      <c r="K50" s="499" t="s">
        <v>100</v>
      </c>
      <c r="L50" s="465"/>
      <c r="M50" s="465"/>
      <c r="N50" s="465"/>
      <c r="O50" s="434">
        <v>0.85</v>
      </c>
      <c r="P50" s="435"/>
      <c r="Q50" s="435"/>
      <c r="R50" s="435"/>
      <c r="S50" s="435"/>
      <c r="T50" s="435"/>
      <c r="U50" s="435"/>
      <c r="V50" s="435"/>
      <c r="W50" s="435"/>
      <c r="X50" s="435"/>
      <c r="Y50" s="435"/>
      <c r="Z50" s="435"/>
      <c r="AA50" s="435"/>
      <c r="AB50" s="436"/>
      <c r="AC50" s="437"/>
      <c r="AD50" s="435"/>
      <c r="AE50" s="438"/>
      <c r="AF50" s="439"/>
      <c r="AG50" s="440"/>
      <c r="AH50" s="441"/>
      <c r="AI50" s="442"/>
      <c r="AJ50" s="443">
        <v>0.4</v>
      </c>
      <c r="AK50" s="514"/>
      <c r="AL50" s="460" t="s">
        <v>349</v>
      </c>
      <c r="AM50" s="226"/>
      <c r="AN50" s="138"/>
      <c r="AV50" s="64"/>
      <c r="AW50" s="63"/>
      <c r="AX50" s="63"/>
      <c r="AY50" s="63"/>
      <c r="AZ50" s="63"/>
      <c r="BA50" s="63"/>
      <c r="BB50" s="63"/>
      <c r="BC50" s="63"/>
      <c r="BD50" s="63"/>
      <c r="BE50" s="63"/>
      <c r="BF50" s="63"/>
      <c r="BG50" s="63"/>
      <c r="BH50" s="63"/>
      <c r="BI50" s="64"/>
      <c r="BJ50" s="64"/>
      <c r="BK50" s="64"/>
    </row>
    <row r="51" spans="1:64" ht="63.75" hidden="1" thickBot="1">
      <c r="A51" s="980"/>
      <c r="B51" s="444"/>
      <c r="C51" s="287" t="s">
        <v>273</v>
      </c>
      <c r="D51" s="445" t="s">
        <v>113</v>
      </c>
      <c r="E51" s="318"/>
      <c r="F51" s="318"/>
      <c r="G51" s="500" t="s">
        <v>274</v>
      </c>
      <c r="H51" s="500" t="s">
        <v>275</v>
      </c>
      <c r="I51" s="501">
        <v>0.4</v>
      </c>
      <c r="J51" s="502" t="s">
        <v>108</v>
      </c>
      <c r="K51" s="503" t="s">
        <v>100</v>
      </c>
      <c r="L51" s="466"/>
      <c r="M51" s="466"/>
      <c r="N51" s="466"/>
      <c r="O51" s="291">
        <v>0.85</v>
      </c>
      <c r="P51" s="446"/>
      <c r="Q51" s="321"/>
      <c r="R51" s="321"/>
      <c r="S51" s="321"/>
      <c r="T51" s="321"/>
      <c r="U51" s="321"/>
      <c r="V51" s="321"/>
      <c r="W51" s="321"/>
      <c r="X51" s="321"/>
      <c r="Y51" s="321"/>
      <c r="Z51" s="321"/>
      <c r="AA51" s="321"/>
      <c r="AB51" s="322"/>
      <c r="AC51" s="323"/>
      <c r="AD51" s="321"/>
      <c r="AE51" s="295"/>
      <c r="AF51" s="324"/>
      <c r="AG51" s="325"/>
      <c r="AH51" s="326"/>
      <c r="AI51" s="327"/>
      <c r="AJ51" s="364">
        <v>0.4</v>
      </c>
      <c r="AK51" s="508"/>
      <c r="AL51" s="451" t="s">
        <v>350</v>
      </c>
      <c r="AM51" s="180"/>
      <c r="AN51" s="151"/>
      <c r="AV51" s="64"/>
      <c r="AW51" s="63"/>
      <c r="AX51" s="63"/>
      <c r="AY51" s="63"/>
      <c r="AZ51" s="63"/>
      <c r="BA51" s="63"/>
      <c r="BB51" s="63"/>
      <c r="BC51" s="63"/>
      <c r="BD51" s="63"/>
      <c r="BE51" s="63"/>
      <c r="BF51" s="63"/>
      <c r="BG51" s="63"/>
      <c r="BH51" s="63"/>
      <c r="BI51" s="64"/>
      <c r="BJ51" s="64"/>
      <c r="BK51" s="64"/>
    </row>
    <row r="52" spans="1:64" ht="15.75" hidden="1" thickBot="1">
      <c r="O52" s="223"/>
      <c r="AE52" s="70" t="s">
        <v>14</v>
      </c>
      <c r="AF52" s="80">
        <f>SUM(AF8:AF51)</f>
        <v>0.3363500000000002</v>
      </c>
      <c r="AG52" s="79">
        <f>SUMIFS(AG8:AG51,AE8:AE51,"Si")/SUMIFS(AF8:AF51,AE8:AE51,"Si")</f>
        <v>0</v>
      </c>
      <c r="AH52" s="71">
        <f>SUMIFS(AH8:AH51,AE8:AE51,"Si")/AE54</f>
        <v>0</v>
      </c>
      <c r="AI52" s="183"/>
      <c r="AJ52" s="183"/>
      <c r="AK52" s="183"/>
      <c r="AL52" s="183"/>
      <c r="AW52" s="64"/>
      <c r="AX52" s="63"/>
      <c r="AY52" s="63"/>
      <c r="AZ52" s="63"/>
      <c r="BA52" s="63"/>
      <c r="BB52" s="63"/>
      <c r="BC52" s="63"/>
      <c r="BD52" s="63"/>
      <c r="BE52" s="63"/>
      <c r="BF52" s="63"/>
      <c r="BG52" s="63"/>
      <c r="BH52" s="63"/>
      <c r="BI52" s="63"/>
      <c r="BJ52" s="64"/>
      <c r="BK52" s="64"/>
      <c r="BL52" s="64"/>
    </row>
    <row r="53" spans="1:64" ht="38.25" hidden="1">
      <c r="O53" s="223"/>
      <c r="AE53" s="22" t="s">
        <v>15</v>
      </c>
      <c r="AF53" s="172" t="s">
        <v>16</v>
      </c>
      <c r="AG53" s="23" t="s">
        <v>17</v>
      </c>
      <c r="AM53" s="19"/>
      <c r="AW53" s="64"/>
      <c r="AX53" s="64"/>
      <c r="AY53" s="64"/>
      <c r="AZ53" s="64"/>
      <c r="BA53" s="64"/>
      <c r="BB53" s="64"/>
      <c r="BC53" s="64"/>
      <c r="BD53" s="64"/>
      <c r="BE53" s="64"/>
      <c r="BF53" s="64"/>
      <c r="BG53" s="64"/>
      <c r="BH53" s="64"/>
      <c r="BI53" s="64"/>
      <c r="BJ53" s="64"/>
      <c r="BK53" s="64"/>
      <c r="BL53" s="64"/>
    </row>
    <row r="54" spans="1:64" ht="15.75" hidden="1" thickBot="1">
      <c r="G54" s="63"/>
      <c r="O54" s="223"/>
      <c r="AE54" s="24">
        <f>COUNTIF(AE8:AE51,"Si")</f>
        <v>35</v>
      </c>
      <c r="AF54" s="25">
        <f>COUNT(AB8:AB51)</f>
        <v>0</v>
      </c>
      <c r="AG54" s="26">
        <f>AF54/AE54</f>
        <v>0</v>
      </c>
      <c r="AM54" s="19"/>
      <c r="AW54" s="64"/>
      <c r="AX54" s="64"/>
      <c r="AY54" s="64"/>
      <c r="AZ54" s="64"/>
      <c r="BA54" s="64"/>
      <c r="BB54" s="64"/>
      <c r="BC54" s="64"/>
      <c r="BD54" s="64"/>
      <c r="BE54" s="64"/>
      <c r="BF54" s="64"/>
      <c r="BG54" s="64"/>
      <c r="BH54" s="64"/>
      <c r="BI54" s="64"/>
      <c r="BJ54" s="64"/>
      <c r="BK54" s="64"/>
      <c r="BL54" s="64"/>
    </row>
    <row r="55" spans="1:64">
      <c r="O55" s="223"/>
      <c r="AE55" s="1"/>
      <c r="AF55" s="2"/>
      <c r="AG55" s="2"/>
      <c r="AM55" s="1"/>
      <c r="AW55" s="64"/>
      <c r="AX55" s="64"/>
      <c r="AY55" s="64"/>
      <c r="AZ55" s="64"/>
      <c r="BA55" s="64"/>
      <c r="BB55" s="64"/>
      <c r="BC55" s="64"/>
      <c r="BD55" s="64"/>
      <c r="BE55" s="64"/>
      <c r="BF55" s="64"/>
      <c r="BG55" s="64"/>
      <c r="BH55" s="64"/>
      <c r="BI55" s="64"/>
      <c r="BJ55" s="64"/>
      <c r="BK55" s="64"/>
      <c r="BL55" s="64"/>
    </row>
    <row r="56" spans="1:64">
      <c r="O56" s="223"/>
      <c r="AE56" s="27" t="s">
        <v>18</v>
      </c>
      <c r="AF56" s="28" t="s">
        <v>19</v>
      </c>
      <c r="AG56" s="2"/>
      <c r="AM56" s="1"/>
      <c r="AW56" s="64"/>
      <c r="AX56" s="64"/>
      <c r="AY56" s="64"/>
      <c r="AZ56" s="64"/>
      <c r="BA56" s="64"/>
      <c r="BB56" s="64"/>
      <c r="BC56" s="64"/>
      <c r="BD56" s="64"/>
      <c r="BE56" s="64"/>
      <c r="BF56" s="64"/>
      <c r="BG56" s="64"/>
      <c r="BH56" s="64"/>
      <c r="BI56" s="64"/>
      <c r="BJ56" s="64"/>
      <c r="BK56" s="64"/>
      <c r="BL56" s="64"/>
    </row>
    <row r="57" spans="1:64">
      <c r="O57" s="223"/>
      <c r="AE57" s="29" t="s">
        <v>20</v>
      </c>
      <c r="AF57" s="30" t="s">
        <v>21</v>
      </c>
      <c r="AG57" s="2"/>
      <c r="AM57" s="1"/>
      <c r="AW57" s="64"/>
      <c r="AX57" s="64"/>
      <c r="AY57" s="64"/>
      <c r="AZ57" s="64"/>
      <c r="BA57" s="64"/>
      <c r="BB57" s="64"/>
      <c r="BC57" s="64"/>
      <c r="BD57" s="64"/>
      <c r="BE57" s="64"/>
      <c r="BF57" s="64"/>
      <c r="BG57" s="64"/>
      <c r="BH57" s="64"/>
      <c r="BI57" s="64"/>
      <c r="BJ57" s="64"/>
      <c r="BK57" s="64"/>
      <c r="BL57" s="64"/>
    </row>
    <row r="58" spans="1:64">
      <c r="O58" s="223"/>
      <c r="AE58" s="31" t="s">
        <v>22</v>
      </c>
      <c r="AF58" s="32" t="s">
        <v>23</v>
      </c>
      <c r="AG58" s="2"/>
      <c r="AM58" s="1"/>
      <c r="AW58" s="64"/>
      <c r="AX58" s="64"/>
      <c r="AY58" s="64"/>
      <c r="AZ58" s="64"/>
      <c r="BA58" s="64"/>
      <c r="BB58" s="64"/>
      <c r="BC58" s="64"/>
      <c r="BD58" s="64"/>
      <c r="BE58" s="64"/>
      <c r="BF58" s="64"/>
      <c r="BG58" s="64"/>
      <c r="BH58" s="64"/>
      <c r="BI58" s="64"/>
      <c r="BJ58" s="64"/>
      <c r="BK58" s="64"/>
      <c r="BL58" s="64"/>
    </row>
    <row r="59" spans="1:64">
      <c r="O59" s="223"/>
    </row>
    <row r="60" spans="1:64">
      <c r="O60" s="223"/>
    </row>
  </sheetData>
  <autoFilter ref="A7:BL54">
    <filterColumn colId="0">
      <filters>
        <filter val="Gestión de recursos fisicos"/>
      </filters>
    </filterColumn>
  </autoFilter>
  <mergeCells count="18">
    <mergeCell ref="A50:A51"/>
    <mergeCell ref="A1:C5"/>
    <mergeCell ref="D1:AE3"/>
    <mergeCell ref="A36:A37"/>
    <mergeCell ref="A38:A39"/>
    <mergeCell ref="A40:A45"/>
    <mergeCell ref="A47:A49"/>
    <mergeCell ref="AF1:AG3"/>
    <mergeCell ref="D4:AE5"/>
    <mergeCell ref="AF4:AG4"/>
    <mergeCell ref="AF5:AG5"/>
    <mergeCell ref="A33:A35"/>
    <mergeCell ref="A8:A12"/>
    <mergeCell ref="A17:A22"/>
    <mergeCell ref="A23:A25"/>
    <mergeCell ref="A26:A29"/>
    <mergeCell ref="A30:A32"/>
    <mergeCell ref="A13:A16"/>
  </mergeCells>
  <conditionalFormatting sqref="AG52">
    <cfRule type="cellIs" dxfId="15" priority="5" operator="greaterThanOrEqual">
      <formula>0.85</formula>
    </cfRule>
    <cfRule type="cellIs" dxfId="14" priority="6" operator="between">
      <formula>0.65</formula>
      <formula>0.84</formula>
    </cfRule>
    <cfRule type="cellIs" dxfId="13" priority="7" operator="equal">
      <formula>"0.65"</formula>
    </cfRule>
    <cfRule type="cellIs" dxfId="12" priority="8" operator="lessThan">
      <formula>0.64</formula>
    </cfRule>
  </conditionalFormatting>
  <conditionalFormatting sqref="AH52:AL52">
    <cfRule type="cellIs" dxfId="11" priority="1" operator="greaterThanOrEqual">
      <formula>0.85</formula>
    </cfRule>
    <cfRule type="cellIs" dxfId="10" priority="2" operator="between">
      <formula>0.65</formula>
      <formula>"0.84"</formula>
    </cfRule>
    <cfRule type="cellIs" dxfId="9" priority="3" operator="equal">
      <formula>"0.65"</formula>
    </cfRule>
    <cfRule type="cellIs" dxfId="8" priority="4" operator="lessThan">
      <formula>0.65</formula>
    </cfRule>
  </conditionalFormatting>
  <dataValidations count="2">
    <dataValidation type="list" allowBlank="1" showInputMessage="1" showErrorMessage="1" sqref="AE8:AE51">
      <formula1>"Si,No"</formula1>
    </dataValidation>
    <dataValidation type="list" allowBlank="1" showInputMessage="1" showErrorMessage="1" sqref="K8:K51 L8:N37">
      <formula1>"Sube,Baja,Tendencia Media"</formula1>
    </dataValidation>
  </dataValidations>
  <printOptions horizontalCentered="1" verticalCentered="1"/>
  <pageMargins left="0.70866141732283472" right="0.70866141732283472" top="0.74803149606299213" bottom="0.74803149606299213" header="0.31496062992125984" footer="0.31496062992125984"/>
  <pageSetup paperSize="300" scale="17" orientation="landscape" r:id="rId1"/>
  <drawing r:id="rId2"/>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Eficiencia'!P20:AA20</xm:f>
              <xm:sqref>AC20</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Eficiencia'!P9:AA9</xm:f>
              <xm:sqref>AC9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Eficiencia'!P8:AA8</xm:f>
              <xm:sqref>AC8</xm:sqref>
            </x14:sparkline>
            <x14:sparkline>
              <xm:f>'Tablero Eficacia - Eficiencia'!P10:AA10</xm:f>
              <xm:sqref>AC10</xm:sqref>
            </x14:sparkline>
            <x14:sparkline>
              <xm:f>'Tablero Eficacia - Eficiencia'!P11:AA11</xm:f>
              <xm:sqref>AC11</xm:sqref>
            </x14:sparkline>
            <x14:sparkline>
              <xm:f>'Tablero Eficacia - Eficiencia'!P12:AA12</xm:f>
              <xm:sqref>AC12</xm:sqref>
            </x14:sparkline>
            <x14:sparkline>
              <xm:f>'Tablero Eficacia - Eficiencia'!P13:AA13</xm:f>
              <xm:sqref>AC13</xm:sqref>
            </x14:sparkline>
            <x14:sparkline>
              <xm:f>'Tablero Eficacia - Eficiencia'!P14:AA14</xm:f>
              <xm:sqref>AC14</xm:sqref>
            </x14:sparkline>
            <x14:sparkline>
              <xm:f>'Tablero Eficacia - Eficiencia'!P15:AA15</xm:f>
              <xm:sqref>AC15</xm:sqref>
            </x14:sparkline>
            <x14:sparkline>
              <xm:f>'Tablero Eficacia - Eficiencia'!P16:AA16</xm:f>
              <xm:sqref>AC16</xm:sqref>
            </x14:sparkline>
            <x14:sparkline>
              <xm:f>'Tablero Eficacia - Eficiencia'!P17:AA17</xm:f>
              <xm:sqref>AC17</xm:sqref>
            </x14:sparkline>
            <x14:sparkline>
              <xm:f>'Tablero Eficacia - Eficiencia'!P18:AA18</xm:f>
              <xm:sqref>AC18</xm:sqref>
            </x14:sparkline>
            <x14:sparkline>
              <xm:f>'Tablero Eficacia - Eficiencia'!P19:AA19</xm:f>
              <xm:sqref>AC19</xm:sqref>
            </x14:sparkline>
            <x14:sparkline>
              <xm:f>'Tablero Eficacia - Eficiencia'!P21:AA21</xm:f>
              <xm:sqref>AC21</xm:sqref>
            </x14:sparkline>
            <x14:sparkline>
              <xm:f>'Tablero Eficacia - Eficiencia'!P22:AA22</xm:f>
              <xm:sqref>AC22</xm:sqref>
            </x14:sparkline>
            <x14:sparkline>
              <xm:f>'Tablero Eficacia - Eficiencia'!P23:AA23</xm:f>
              <xm:sqref>AC23</xm:sqref>
            </x14:sparkline>
            <x14:sparkline>
              <xm:f>'Tablero Eficacia - Eficiencia'!P24:AA24</xm:f>
              <xm:sqref>AC24</xm:sqref>
            </x14:sparkline>
            <x14:sparkline>
              <xm:f>'Tablero Eficacia - Eficiencia'!P25:AA25</xm:f>
              <xm:sqref>AC25</xm:sqref>
            </x14:sparkline>
            <x14:sparkline>
              <xm:f>'Tablero Eficacia - Eficiencia'!P26:AA26</xm:f>
              <xm:sqref>AC26</xm:sqref>
            </x14:sparkline>
            <x14:sparkline>
              <xm:f>'Tablero Eficacia - Eficiencia'!P27:AA27</xm:f>
              <xm:sqref>AC27</xm:sqref>
            </x14:sparkline>
            <x14:sparkline>
              <xm:f>'Tablero Eficacia - Eficiencia'!P28:AA28</xm:f>
              <xm:sqref>AC28</xm:sqref>
            </x14:sparkline>
            <x14:sparkline>
              <xm:f>'Tablero Eficacia - Eficiencia'!P29:AA29</xm:f>
              <xm:sqref>AC29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Eficiencia'!P50:AA50</xm:f>
              <xm:sqref>AC50</xm:sqref>
            </x14:sparkline>
            <x14:sparkline>
              <xm:f>'Tablero Eficacia - Eficiencia'!P51:AA51</xm:f>
              <xm:sqref>AC51</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Eficiencia'!P30:AA30</xm:f>
              <xm:sqref>AC30</xm:sqref>
            </x14:sparkline>
            <x14:sparkline>
              <xm:f>'Tablero Eficacia - Eficiencia'!P31:AA31</xm:f>
              <xm:sqref>AC31</xm:sqref>
            </x14:sparkline>
            <x14:sparkline>
              <xm:f>'Tablero Eficacia - Eficiencia'!P32:AA32</xm:f>
              <xm:sqref>AC32</xm:sqref>
            </x14:sparkline>
            <x14:sparkline>
              <xm:f>'Tablero Eficacia - Eficiencia'!P33:AA33</xm:f>
              <xm:sqref>AC33</xm:sqref>
            </x14:sparkline>
            <x14:sparkline>
              <xm:f>'Tablero Eficacia - Eficiencia'!P34:AA34</xm:f>
              <xm:sqref>AC34</xm:sqref>
            </x14:sparkline>
            <x14:sparkline>
              <xm:f>'Tablero Eficacia - Eficiencia'!P35:AA35</xm:f>
              <xm:sqref>AC35</xm:sqref>
            </x14:sparkline>
            <x14:sparkline>
              <xm:f>'Tablero Eficacia - Eficiencia'!P36:AA36</xm:f>
              <xm:sqref>AC36</xm:sqref>
            </x14:sparkline>
            <x14:sparkline>
              <xm:f>'Tablero Eficacia - Eficiencia'!P37:AA37</xm:f>
              <xm:sqref>AC37</xm:sqref>
            </x14:sparkline>
            <x14:sparkline>
              <xm:f>'Tablero Eficacia - Eficiencia'!P38:AA38</xm:f>
              <xm:sqref>AC38</xm:sqref>
            </x14:sparkline>
            <x14:sparkline>
              <xm:f>'Tablero Eficacia - Eficiencia'!P39:AA39</xm:f>
              <xm:sqref>AC39</xm:sqref>
            </x14:sparkline>
            <x14:sparkline>
              <xm:f>'Tablero Eficacia - Eficiencia'!P40:AA40</xm:f>
              <xm:sqref>AC40</xm:sqref>
            </x14:sparkline>
            <x14:sparkline>
              <xm:f>'Tablero Eficacia - Eficiencia'!P41:AA41</xm:f>
              <xm:sqref>AC41</xm:sqref>
            </x14:sparkline>
            <x14:sparkline>
              <xm:f>'Tablero Eficacia - Eficiencia'!P42:AA42</xm:f>
              <xm:sqref>AC42</xm:sqref>
            </x14:sparkline>
            <x14:sparkline>
              <xm:f>'Tablero Eficacia - Eficiencia'!P43:AA43</xm:f>
              <xm:sqref>AC43</xm:sqref>
            </x14:sparkline>
            <x14:sparkline>
              <xm:f>'Tablero Eficacia - Eficiencia'!P44:AA44</xm:f>
              <xm:sqref>AC44</xm:sqref>
            </x14:sparkline>
            <x14:sparkline>
              <xm:f>'Tablero Eficacia - Eficiencia'!P45:AA45</xm:f>
              <xm:sqref>AC45</xm:sqref>
            </x14:sparkline>
            <x14:sparkline>
              <xm:f>'Tablero Eficacia - Eficiencia'!P46:AA46</xm:f>
              <xm:sqref>AC46</xm:sqref>
            </x14:sparkline>
            <x14:sparkline>
              <xm:f>'Tablero Eficacia - Eficiencia'!P47:AA47</xm:f>
              <xm:sqref>AC47</xm:sqref>
            </x14:sparkline>
            <x14:sparkline>
              <xm:f>'Tablero Eficacia - Eficiencia'!P48:AA48</xm:f>
              <xm:sqref>AC48</xm:sqref>
            </x14:sparkline>
            <x14:sparkline>
              <xm:f>'Tablero Eficacia - Eficiencia'!P49:AA49</xm:f>
              <xm:sqref>AC49</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C2:N38"/>
  <sheetViews>
    <sheetView topLeftCell="A2" zoomScale="85" zoomScaleNormal="85" zoomScalePageLayoutView="85" workbookViewId="0">
      <pane ySplit="2" topLeftCell="A4" activePane="bottomLeft" state="frozen"/>
      <selection activeCell="A2" sqref="A2"/>
      <selection pane="bottomLeft" activeCell="D18" sqref="D18"/>
    </sheetView>
  </sheetViews>
  <sheetFormatPr baseColWidth="10" defaultColWidth="11.42578125" defaultRowHeight="15"/>
  <cols>
    <col min="2" max="2" width="13.42578125" customWidth="1"/>
    <col min="3" max="3" width="75.140625" customWidth="1"/>
    <col min="4" max="4" width="67.42578125" customWidth="1"/>
    <col min="5" max="5" width="54.42578125" style="181" bestFit="1" customWidth="1"/>
    <col min="6" max="6" width="10.42578125" customWidth="1"/>
  </cols>
  <sheetData>
    <row r="2" spans="3:6" ht="15.75" thickBot="1"/>
    <row r="3" spans="3:6" ht="15.75" thickBot="1">
      <c r="C3" s="167" t="s">
        <v>315</v>
      </c>
      <c r="D3" s="186" t="s">
        <v>292</v>
      </c>
      <c r="E3" s="186" t="s">
        <v>293</v>
      </c>
      <c r="F3" s="192" t="s">
        <v>40</v>
      </c>
    </row>
    <row r="4" spans="3:6" ht="28.5" customHeight="1">
      <c r="C4" s="1004" t="s">
        <v>285</v>
      </c>
      <c r="D4" s="194" t="str">
        <f>+'Tablero Eficacia - Eficiencia'!C31</f>
        <v xml:space="preserve">Beneficiados de actividad </v>
      </c>
      <c r="E4" s="195" t="str">
        <f>+'Tablero Eficacia - Eficiencia'!I31</f>
        <v>No tiene, es la primera vez que se mide este impacto</v>
      </c>
      <c r="F4" s="207">
        <f>+'Tablero Eficacia - Eficiencia'!O31</f>
        <v>0</v>
      </c>
    </row>
    <row r="5" spans="3:6" ht="27" customHeight="1" thickBot="1">
      <c r="C5" s="1005"/>
      <c r="D5" s="196" t="str">
        <f>+'Tablero Eficacia - Eficiencia'!C32</f>
        <v>Actividades de formación integral</v>
      </c>
      <c r="E5" s="215">
        <f>+'Tablero Eficacia - Eficiencia'!I32</f>
        <v>0.98</v>
      </c>
      <c r="F5" s="206">
        <f>+'Tablero Eficacia - Eficiencia'!O32</f>
        <v>1</v>
      </c>
    </row>
    <row r="6" spans="3:6" ht="38.25" customHeight="1">
      <c r="C6" s="1004" t="s">
        <v>286</v>
      </c>
      <c r="D6" s="194" t="str">
        <f>+'Tablero Eficacia - Eficiencia'!C9</f>
        <v xml:space="preserve">Variación de pruebas saber pro </v>
      </c>
      <c r="E6" s="193" t="str">
        <f>+'Tablero Eficacia - Eficiencia'!I9</f>
        <v>9.9925(2016)/9,9204(2015)</v>
      </c>
      <c r="F6" s="211">
        <f>+'Tablero Eficacia - Eficiencia'!O9</f>
        <v>7.2678521027376153E-3</v>
      </c>
    </row>
    <row r="7" spans="3:6">
      <c r="C7" s="1006"/>
      <c r="D7" s="191" t="str">
        <f>+'Tablero Eficacia - Eficiencia'!C10</f>
        <v>Índice de empleabilidad</v>
      </c>
      <c r="E7" s="187" t="str">
        <f>+'Tablero Eficacia - Eficiencia'!I10</f>
        <v>95,7% (Medición del 2015, no hay datos 2016)</v>
      </c>
      <c r="F7" s="205" t="str">
        <f>+'Tablero Eficacia - Eficiencia'!O10</f>
        <v>&gt;= 96%</v>
      </c>
    </row>
    <row r="8" spans="3:6">
      <c r="C8" s="1006"/>
      <c r="D8" s="191" t="str">
        <f>+'Tablero Eficacia - Eficiencia'!C13</f>
        <v>Satisfacción de los cursos de extensión</v>
      </c>
      <c r="E8" s="188" t="str">
        <f>+'Tablero Eficacia - Eficiencia'!I13</f>
        <v>No tiene, es la primera vez que se mide este impacto</v>
      </c>
      <c r="F8" s="205">
        <f>+'Tablero Eficacia - Eficiencia'!O13</f>
        <v>0</v>
      </c>
    </row>
    <row r="9" spans="3:6">
      <c r="C9" s="1006"/>
      <c r="D9" s="191" t="str">
        <f>+'Tablero Eficacia - Eficiencia'!C15</f>
        <v>Permanencia en los cursos de extensión</v>
      </c>
      <c r="E9" s="188" t="str">
        <f>+'Tablero Eficacia - Eficiencia'!I15</f>
        <v>No tiene, es la primera vez que se mide este impacto</v>
      </c>
      <c r="F9" s="205">
        <f>+'Tablero Eficacia - Eficiencia'!O15</f>
        <v>0</v>
      </c>
    </row>
    <row r="10" spans="3:6">
      <c r="C10" s="1006"/>
      <c r="D10" s="191" t="str">
        <f>+'Tablero Eficacia - Eficiencia'!C17</f>
        <v xml:space="preserve">Trabajos de grado con reconocimiento </v>
      </c>
      <c r="E10" s="188" t="str">
        <f>+'Tablero Eficacia - Eficiencia'!I17</f>
        <v>No tiene, es la primera vez que se mide este impacto</v>
      </c>
      <c r="F10" s="205">
        <f>+'Tablero Eficacia - Eficiencia'!O17</f>
        <v>1</v>
      </c>
    </row>
    <row r="11" spans="3:6">
      <c r="C11" s="1006"/>
      <c r="D11" s="191" t="str">
        <f>+'Tablero Eficacia - Eficiencia'!C20</f>
        <v>Revisión de syllabus</v>
      </c>
      <c r="E11" s="189" t="str">
        <f>+'Tablero Eficacia - Eficiencia'!I20</f>
        <v>75% (11/15)</v>
      </c>
      <c r="F11" s="205">
        <f>+'Tablero Eficacia - Eficiencia'!O20</f>
        <v>0.9</v>
      </c>
    </row>
    <row r="12" spans="3:6">
      <c r="C12" s="1006"/>
      <c r="D12" s="197" t="str">
        <f>+'Tablero Eficacia - Eficiencia'!C23</f>
        <v>Rendimiento académico periódico</v>
      </c>
      <c r="E12" s="188" t="str">
        <f>+'Tablero Eficacia - Eficiencia'!I23</f>
        <v>No tiene, es la primera vez que se mide este impacto</v>
      </c>
      <c r="F12" s="205">
        <f>+'Tablero Eficacia - Eficiencia'!O23</f>
        <v>0</v>
      </c>
    </row>
    <row r="13" spans="3:6">
      <c r="C13" s="1006"/>
      <c r="D13" s="197" t="str">
        <f>+'Tablero Eficacia - Eficiencia'!C24</f>
        <v xml:space="preserve">Promoción escolar </v>
      </c>
      <c r="E13" s="187">
        <f>+'Tablero Eficacia - Eficiencia'!I24</f>
        <v>0.8571428571428571</v>
      </c>
      <c r="F13" s="205">
        <f>+'Tablero Eficacia - Eficiencia'!O24</f>
        <v>0.87</v>
      </c>
    </row>
    <row r="14" spans="3:6" ht="15.75" thickBot="1">
      <c r="C14" s="1005"/>
      <c r="D14" s="198" t="str">
        <f>+'Tablero Eficacia - Eficiencia'!C25</f>
        <v xml:space="preserve">Desempeño pruebas saber </v>
      </c>
      <c r="E14" s="212">
        <f>+'Tablero Eficacia - Eficiencia'!I25</f>
        <v>-0.23424570337364736</v>
      </c>
      <c r="F14" s="206">
        <f>+'Tablero Eficacia - Eficiencia'!O25</f>
        <v>7.22</v>
      </c>
    </row>
    <row r="15" spans="3:6">
      <c r="C15" s="1001" t="s">
        <v>287</v>
      </c>
      <c r="D15" s="200" t="str">
        <f>+'Tablero Eficacia - Eficiencia'!C26</f>
        <v>Proyectos de formación en actividades</v>
      </c>
      <c r="E15" s="213">
        <f>+'Tablero Eficacia - Eficiencia'!I26</f>
        <v>1</v>
      </c>
      <c r="F15" s="207">
        <f>+'Tablero Eficacia - Eficiencia'!O26</f>
        <v>1</v>
      </c>
    </row>
    <row r="16" spans="3:6">
      <c r="C16" s="1002"/>
      <c r="D16" s="197" t="str">
        <f>+'Tablero Eficacia - Eficiencia'!C27</f>
        <v>Proyectos  de  apoyo a las actividades</v>
      </c>
      <c r="E16" s="216">
        <f>+'Tablero Eficacia - Eficiencia'!I27</f>
        <v>0.9</v>
      </c>
      <c r="F16" s="205">
        <f>+'Tablero Eficacia - Eficiencia'!O27</f>
        <v>1</v>
      </c>
    </row>
    <row r="17" spans="3:6" ht="15.75" thickBot="1">
      <c r="C17" s="1003"/>
      <c r="D17" s="198" t="str">
        <f>+'Tablero Eficacia - Eficiencia'!C28</f>
        <v>Programa  de transferencia de conocimiento</v>
      </c>
      <c r="E17" s="199" t="str">
        <f>+'Tablero Eficacia - Eficiencia'!I28</f>
        <v>No tiene, es la primera vez que se mide este impacto</v>
      </c>
      <c r="F17" s="206">
        <f>+'Tablero Eficacia - Eficiencia'!O28</f>
        <v>0</v>
      </c>
    </row>
    <row r="18" spans="3:6" ht="26.25" thickBot="1">
      <c r="C18" s="204" t="s">
        <v>288</v>
      </c>
      <c r="D18" s="202" t="str">
        <f>+'Tablero Eficacia - Eficiencia'!C8</f>
        <v>Programas acreditados</v>
      </c>
      <c r="E18" s="203">
        <f>+'Tablero Eficacia - Eficiencia'!I8</f>
        <v>0.1111111111111111</v>
      </c>
      <c r="F18" s="208">
        <f>+'Tablero Eficacia - Eficiencia'!O8</f>
        <v>0.1111111111111111</v>
      </c>
    </row>
    <row r="19" spans="3:6" ht="30.75" customHeight="1">
      <c r="C19" s="1001" t="s">
        <v>289</v>
      </c>
      <c r="D19" s="194" t="str">
        <f>+'Tablero Eficacia - Eficiencia'!C11</f>
        <v>Cumplimiento de actividades de movilidad</v>
      </c>
      <c r="E19" s="217">
        <f>+'Tablero Eficacia - Eficiencia'!I11</f>
        <v>0.94169999999999998</v>
      </c>
      <c r="F19" s="207">
        <f>+'Tablero Eficacia - Eficiencia'!O11</f>
        <v>1</v>
      </c>
    </row>
    <row r="20" spans="3:6" ht="15.75" thickBot="1">
      <c r="C20" s="1003"/>
      <c r="D20" s="198" t="str">
        <f>+'Tablero Eficacia - Eficiencia'!C18</f>
        <v>Participación en comunidades académicas</v>
      </c>
      <c r="E20" s="199" t="str">
        <f>+'Tablero Eficacia - Eficiencia'!I18</f>
        <v>No tiene, es la primera vez que se mide este impacto</v>
      </c>
      <c r="F20" s="206">
        <f>+'Tablero Eficacia - Eficiencia'!O18</f>
        <v>1</v>
      </c>
    </row>
    <row r="21" spans="3:6">
      <c r="C21" s="1001" t="s">
        <v>290</v>
      </c>
      <c r="D21" s="200" t="str">
        <f>+'Tablero Eficacia - Eficiencia'!C12</f>
        <v>Cumplimiento del Plan de Desarrollo Institucional</v>
      </c>
      <c r="E21" s="213">
        <f>+'Tablero Eficacia - Eficiencia'!I12</f>
        <v>0.97</v>
      </c>
      <c r="F21" s="207">
        <f>+'Tablero Eficacia - Eficiencia'!O12</f>
        <v>0.98</v>
      </c>
    </row>
    <row r="22" spans="3:6">
      <c r="C22" s="1002"/>
      <c r="D22" s="197" t="str">
        <f>+'Tablero Eficacia - Eficiencia'!C38</f>
        <v>Seguimiento a las hojas de vida de los funcionarios</v>
      </c>
      <c r="E22" s="189">
        <f>+'Tablero Eficacia - Eficiencia'!I38</f>
        <v>0</v>
      </c>
      <c r="F22" s="205">
        <f>+'Tablero Eficacia - Eficiencia'!O38</f>
        <v>1</v>
      </c>
    </row>
    <row r="23" spans="3:6">
      <c r="C23" s="1002"/>
      <c r="D23" s="197" t="str">
        <f>+'Tablero Eficacia - Eficiencia'!C39</f>
        <v xml:space="preserve">Seguimiento al servicio permanente </v>
      </c>
      <c r="E23" s="216">
        <f>+'Tablero Eficacia - Eficiencia'!I39</f>
        <v>0.85</v>
      </c>
      <c r="F23" s="205">
        <f>+'Tablero Eficacia - Eficiencia'!O39</f>
        <v>0.92</v>
      </c>
    </row>
    <row r="24" spans="3:6">
      <c r="C24" s="1002"/>
      <c r="D24" s="197" t="str">
        <f>+'Tablero Eficacia - Eficiencia'!C40</f>
        <v xml:space="preserve">Clima laboral </v>
      </c>
      <c r="E24" s="231">
        <f>+'Tablero Eficacia - Eficiencia'!I40</f>
        <v>0.41299999999999998</v>
      </c>
      <c r="F24" s="209">
        <f>+'Tablero Eficacia - Eficiencia'!O40</f>
        <v>0.75</v>
      </c>
    </row>
    <row r="25" spans="3:6" ht="36.75" customHeight="1">
      <c r="C25" s="1002"/>
      <c r="D25" s="191" t="str">
        <f>+'Tablero Eficacia - Eficiencia'!C43</f>
        <v xml:space="preserve">Cumplimiento del programa de bienestar laboral </v>
      </c>
      <c r="E25" s="214">
        <f>+'Tablero Eficacia - Eficiencia'!I43</f>
        <v>1</v>
      </c>
      <c r="F25" s="210">
        <f>+'Tablero Eficacia - Eficiencia'!O43</f>
        <v>1</v>
      </c>
    </row>
    <row r="26" spans="3:6" ht="15.75" thickBot="1">
      <c r="C26" s="1003"/>
      <c r="D26" s="198" t="str">
        <f>+'Tablero Eficacia - Eficiencia'!C45</f>
        <v>Cumplimiento del plan de capacitación</v>
      </c>
      <c r="E26" s="215">
        <f>+'Tablero Eficacia - Eficiencia'!I45</f>
        <v>1</v>
      </c>
      <c r="F26" s="206">
        <f>+'Tablero Eficacia - Eficiencia'!O45</f>
        <v>1</v>
      </c>
    </row>
    <row r="27" spans="3:6">
      <c r="C27" s="1001" t="s">
        <v>291</v>
      </c>
      <c r="D27" s="200" t="str">
        <f>+'Tablero Eficacia - Eficiencia'!C19</f>
        <v>Uso de talleres y laboratorios</v>
      </c>
      <c r="E27" s="201" t="str">
        <f>+'Tablero Eficacia - Eficiencia'!I19</f>
        <v>No tiene, es la primera vez que se mide este impacto</v>
      </c>
      <c r="F27" s="207">
        <f>+'Tablero Eficacia - Eficiencia'!O19</f>
        <v>1</v>
      </c>
    </row>
    <row r="28" spans="3:6">
      <c r="C28" s="1002"/>
      <c r="D28" s="197" t="str">
        <f>+'Tablero Eficacia - Eficiencia'!C31</f>
        <v xml:space="preserve">Beneficiados de actividad </v>
      </c>
      <c r="E28" s="190" t="str">
        <f>+'Tablero Eficacia - Eficiencia'!I31</f>
        <v>No tiene, es la primera vez que se mide este impacto</v>
      </c>
      <c r="F28" s="205">
        <f>+'Tablero Eficacia - Eficiencia'!O31</f>
        <v>0</v>
      </c>
    </row>
    <row r="29" spans="3:6" ht="15.75" thickBot="1">
      <c r="C29" s="1003"/>
      <c r="D29" s="198" t="str">
        <f>+'Tablero Eficacia - Eficiencia'!C32</f>
        <v>Actividades de formación integral</v>
      </c>
      <c r="E29" s="215">
        <f>+'Tablero Eficacia - Eficiencia'!I32</f>
        <v>0.98</v>
      </c>
      <c r="F29" s="206">
        <f>+'Tablero Eficacia - Eficiencia'!O32</f>
        <v>1</v>
      </c>
    </row>
    <row r="37" spans="11:14">
      <c r="N37" s="184"/>
    </row>
    <row r="38" spans="11:14">
      <c r="K38" s="185"/>
      <c r="N38" s="185"/>
    </row>
  </sheetData>
  <mergeCells count="6">
    <mergeCell ref="C27:C29"/>
    <mergeCell ref="C4:C5"/>
    <mergeCell ref="C15:C17"/>
    <mergeCell ref="C19:C20"/>
    <mergeCell ref="C21:C26"/>
    <mergeCell ref="C6:C14"/>
  </mergeCells>
  <printOptions horizontalCentered="1" verticalCentered="1"/>
  <pageMargins left="0" right="0" top="0.74803149606299213" bottom="0.74803149606299213" header="0.31496062992125984" footer="0.31496062992125984"/>
  <pageSetup scale="6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D6:M14"/>
  <sheetViews>
    <sheetView workbookViewId="0">
      <selection activeCell="E9" sqref="E9"/>
    </sheetView>
  </sheetViews>
  <sheetFormatPr baseColWidth="10" defaultColWidth="11.42578125" defaultRowHeight="15"/>
  <sheetData>
    <row r="6" spans="4:13">
      <c r="L6" s="1007" t="s">
        <v>334</v>
      </c>
      <c r="M6" s="1007"/>
    </row>
    <row r="7" spans="4:13">
      <c r="E7" t="s">
        <v>323</v>
      </c>
      <c r="F7" t="s">
        <v>324</v>
      </c>
      <c r="L7" t="s">
        <v>332</v>
      </c>
      <c r="M7" t="s">
        <v>333</v>
      </c>
    </row>
    <row r="8" spans="4:13">
      <c r="D8" t="s">
        <v>325</v>
      </c>
      <c r="E8" s="185">
        <f>+'[2]ARTES-MUSICA '!$AC$30</f>
        <v>0.98</v>
      </c>
      <c r="F8">
        <f>+'[2]ARTES-MUSICA '!$AE$30</f>
        <v>14677</v>
      </c>
      <c r="H8">
        <v>98</v>
      </c>
      <c r="I8">
        <f>+'[2]ARTES-MUSICA '!$AE$30</f>
        <v>14677</v>
      </c>
      <c r="L8">
        <v>22</v>
      </c>
      <c r="M8">
        <v>23</v>
      </c>
    </row>
    <row r="9" spans="4:13">
      <c r="D9" t="s">
        <v>326</v>
      </c>
      <c r="E9" s="185">
        <f>+'[2]SALUD '!$AC$15</f>
        <v>1</v>
      </c>
      <c r="F9">
        <f>+'[2]SALUD '!$AE$15</f>
        <v>74</v>
      </c>
      <c r="H9">
        <v>100</v>
      </c>
      <c r="I9">
        <f>+'[2]SALUD '!$AE$15</f>
        <v>74</v>
      </c>
      <c r="L9">
        <v>2</v>
      </c>
      <c r="M9">
        <v>8</v>
      </c>
    </row>
    <row r="10" spans="4:13">
      <c r="D10" t="s">
        <v>327</v>
      </c>
      <c r="E10" s="235">
        <f>+'[2]TRABAJO SOCIAL'!$AC$20</f>
        <v>97.6</v>
      </c>
      <c r="F10">
        <f>+'[2]TRABAJO SOCIAL'!$AE$20</f>
        <v>1741</v>
      </c>
      <c r="H10">
        <v>98</v>
      </c>
      <c r="I10">
        <f>+'[2]TRABAJO SOCIAL'!$AE$20</f>
        <v>1741</v>
      </c>
      <c r="L10">
        <v>9</v>
      </c>
      <c r="M10">
        <v>9</v>
      </c>
    </row>
    <row r="11" spans="4:13">
      <c r="D11" t="s">
        <v>328</v>
      </c>
      <c r="E11">
        <f>+'[2]PSICOLOGIA '!$AC$22</f>
        <v>92.142857142857139</v>
      </c>
      <c r="F11">
        <f>+'[2]PSICOLOGIA '!$AE$22</f>
        <v>1056</v>
      </c>
      <c r="H11">
        <v>92.14</v>
      </c>
      <c r="I11">
        <f>+'[2]PSICOLOGIA '!$AE$22</f>
        <v>1056</v>
      </c>
      <c r="L11">
        <v>13</v>
      </c>
      <c r="M11">
        <v>13</v>
      </c>
    </row>
    <row r="12" spans="4:13">
      <c r="D12" t="s">
        <v>329</v>
      </c>
      <c r="E12">
        <f>+'[2]REC. DEPORTES '!$AC$18</f>
        <v>99</v>
      </c>
      <c r="F12">
        <f>+'[2]REC. DEPORTES '!$AE$18</f>
        <v>154</v>
      </c>
      <c r="H12">
        <v>99</v>
      </c>
      <c r="I12">
        <f>+'[2]REC. DEPORTES '!$AE$18</f>
        <v>154</v>
      </c>
      <c r="L12">
        <v>6</v>
      </c>
      <c r="M12">
        <v>11</v>
      </c>
    </row>
    <row r="13" spans="4:13">
      <c r="D13" t="s">
        <v>330</v>
      </c>
      <c r="H13" s="168">
        <f>+(H12+H11+H9+H8+H10)/500</f>
        <v>0.97427999999999992</v>
      </c>
      <c r="I13">
        <f>SUM(I8:I12)</f>
        <v>17702</v>
      </c>
      <c r="L13">
        <f>SUM(L8:L12)</f>
        <v>52</v>
      </c>
      <c r="M13">
        <f>SUM(M8:M12)</f>
        <v>64</v>
      </c>
    </row>
    <row r="14" spans="4:13">
      <c r="D14" t="s">
        <v>331</v>
      </c>
      <c r="M14" s="168">
        <f>+L13/M13</f>
        <v>0.8125</v>
      </c>
    </row>
  </sheetData>
  <mergeCells count="1">
    <mergeCell ref="L6:M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E8:G10"/>
  <sheetViews>
    <sheetView workbookViewId="0">
      <selection activeCell="H9" sqref="H9"/>
    </sheetView>
  </sheetViews>
  <sheetFormatPr baseColWidth="10" defaultColWidth="11.42578125" defaultRowHeight="15"/>
  <sheetData>
    <row r="8" spans="5:7" ht="15.75" thickBot="1"/>
    <row r="9" spans="5:7" ht="252.75" thickBot="1">
      <c r="E9" s="170">
        <v>1</v>
      </c>
      <c r="F9" s="171">
        <v>0.9</v>
      </c>
      <c r="G9" s="169" t="s">
        <v>193</v>
      </c>
    </row>
    <row r="10" spans="5:7" ht="252.75" thickBot="1">
      <c r="E10" s="170">
        <v>1</v>
      </c>
      <c r="F10" s="171">
        <v>0.9</v>
      </c>
      <c r="G10" s="169" t="s">
        <v>193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F23"/>
  <sheetViews>
    <sheetView topLeftCell="A4" workbookViewId="0">
      <pane xSplit="4" ySplit="4" topLeftCell="G8" activePane="bottomRight" state="frozen"/>
      <selection activeCell="A4" sqref="A4"/>
      <selection pane="topRight" activeCell="D4" sqref="D4"/>
      <selection pane="bottomLeft" activeCell="A8" sqref="A8"/>
      <selection pane="bottomRight" activeCell="G10" sqref="G10"/>
    </sheetView>
  </sheetViews>
  <sheetFormatPr baseColWidth="10" defaultColWidth="11.42578125" defaultRowHeight="15" outlineLevelCol="1"/>
  <cols>
    <col min="1" max="1" width="16.42578125" customWidth="1"/>
    <col min="2" max="2" width="16.42578125" hidden="1" customWidth="1"/>
    <col min="3" max="3" width="30.140625" bestFit="1" customWidth="1"/>
    <col min="4" max="4" width="17.42578125" style="77" bestFit="1" customWidth="1"/>
    <col min="5" max="6" width="4.42578125" hidden="1" customWidth="1"/>
    <col min="7" max="8" width="35.140625" customWidth="1"/>
    <col min="9" max="9" width="16" customWidth="1"/>
    <col min="10" max="10" width="9.42578125" bestFit="1" customWidth="1"/>
    <col min="11" max="11" width="9" style="72" customWidth="1"/>
    <col min="12" max="23" width="7.85546875" customWidth="1" outlineLevel="1"/>
    <col min="24" max="25" width="7.85546875" hidden="1" customWidth="1" outlineLevel="1"/>
    <col min="26" max="26" width="11.42578125" style="67" customWidth="1" collapsed="1"/>
    <col min="27" max="27" width="31.42578125" customWidth="1"/>
    <col min="28" max="28" width="11.42578125" hidden="1" customWidth="1"/>
    <col min="29" max="29" width="8.85546875" customWidth="1"/>
    <col min="30" max="30" width="9.85546875" customWidth="1"/>
    <col min="31" max="31" width="14.140625" customWidth="1"/>
    <col min="32" max="32" width="16.140625" customWidth="1"/>
    <col min="33" max="33" width="14.42578125" customWidth="1"/>
    <col min="34" max="34" width="13.140625" customWidth="1"/>
    <col min="35" max="35" width="14.85546875" customWidth="1"/>
    <col min="44" max="44" width="7" bestFit="1" customWidth="1"/>
    <col min="45" max="45" width="8.85546875" bestFit="1" customWidth="1"/>
    <col min="46" max="46" width="7.42578125" bestFit="1" customWidth="1"/>
    <col min="47" max="47" width="6" bestFit="1" customWidth="1"/>
    <col min="48" max="49" width="6.42578125" bestFit="1" customWidth="1"/>
    <col min="50" max="50" width="5.85546875" bestFit="1" customWidth="1"/>
    <col min="51" max="51" width="8.42578125" bestFit="1" customWidth="1"/>
    <col min="52" max="52" width="11.85546875" customWidth="1"/>
    <col min="53" max="53" width="9.140625" bestFit="1" customWidth="1"/>
    <col min="54" max="54" width="11.85546875" customWidth="1"/>
    <col min="55" max="55" width="10.42578125" bestFit="1" customWidth="1"/>
    <col min="69" max="74" width="9.42578125" customWidth="1"/>
  </cols>
  <sheetData>
    <row r="1" spans="1:58" ht="15" customHeight="1">
      <c r="A1" s="988" t="s">
        <v>47</v>
      </c>
      <c r="B1" s="988"/>
      <c r="C1" s="989"/>
      <c r="D1" s="990" t="s">
        <v>56</v>
      </c>
      <c r="E1" s="991"/>
      <c r="F1" s="991"/>
      <c r="G1" s="991"/>
      <c r="H1" s="991"/>
      <c r="I1" s="991"/>
      <c r="J1" s="991"/>
      <c r="K1" s="991"/>
      <c r="L1" s="991"/>
      <c r="M1" s="991"/>
      <c r="N1" s="991"/>
      <c r="O1" s="991"/>
      <c r="P1" s="991"/>
      <c r="Q1" s="991"/>
      <c r="R1" s="991"/>
      <c r="S1" s="991"/>
      <c r="T1" s="991"/>
      <c r="U1" s="991"/>
      <c r="V1" s="991"/>
      <c r="W1" s="991"/>
      <c r="X1" s="991"/>
      <c r="Y1" s="991"/>
      <c r="Z1" s="991"/>
      <c r="AA1" s="991"/>
      <c r="AB1" s="991"/>
      <c r="AC1" s="992"/>
      <c r="AD1" s="967" t="s">
        <v>31</v>
      </c>
      <c r="AE1" s="967"/>
    </row>
    <row r="2" spans="1:58" ht="15" customHeight="1">
      <c r="A2" s="989"/>
      <c r="B2" s="989"/>
      <c r="C2" s="989"/>
      <c r="D2" s="993"/>
      <c r="E2" s="994"/>
      <c r="F2" s="994"/>
      <c r="G2" s="994"/>
      <c r="H2" s="994"/>
      <c r="I2" s="994"/>
      <c r="J2" s="994"/>
      <c r="K2" s="994"/>
      <c r="L2" s="994"/>
      <c r="M2" s="994"/>
      <c r="N2" s="994"/>
      <c r="O2" s="994"/>
      <c r="P2" s="994"/>
      <c r="Q2" s="994"/>
      <c r="R2" s="994"/>
      <c r="S2" s="994"/>
      <c r="T2" s="994"/>
      <c r="U2" s="994"/>
      <c r="V2" s="994"/>
      <c r="W2" s="994"/>
      <c r="X2" s="994"/>
      <c r="Y2" s="994"/>
      <c r="Z2" s="994"/>
      <c r="AA2" s="994"/>
      <c r="AB2" s="994"/>
      <c r="AC2" s="995"/>
      <c r="AD2" s="967"/>
      <c r="AE2" s="967"/>
    </row>
    <row r="3" spans="1:58" ht="15" customHeight="1">
      <c r="A3" s="989"/>
      <c r="B3" s="989"/>
      <c r="C3" s="989"/>
      <c r="D3" s="996"/>
      <c r="E3" s="997"/>
      <c r="F3" s="997"/>
      <c r="G3" s="997"/>
      <c r="H3" s="997"/>
      <c r="I3" s="997"/>
      <c r="J3" s="997"/>
      <c r="K3" s="997"/>
      <c r="L3" s="997"/>
      <c r="M3" s="997"/>
      <c r="N3" s="997"/>
      <c r="O3" s="997"/>
      <c r="P3" s="997"/>
      <c r="Q3" s="997"/>
      <c r="R3" s="997"/>
      <c r="S3" s="997"/>
      <c r="T3" s="997"/>
      <c r="U3" s="997"/>
      <c r="V3" s="997"/>
      <c r="W3" s="997"/>
      <c r="X3" s="997"/>
      <c r="Y3" s="997"/>
      <c r="Z3" s="997"/>
      <c r="AA3" s="997"/>
      <c r="AB3" s="997"/>
      <c r="AC3" s="998"/>
      <c r="AD3" s="967"/>
      <c r="AE3" s="967"/>
    </row>
    <row r="4" spans="1:58" ht="15" customHeight="1">
      <c r="A4" s="989"/>
      <c r="B4" s="989"/>
      <c r="C4" s="989"/>
      <c r="D4" s="968" t="s">
        <v>44</v>
      </c>
      <c r="E4" s="969"/>
      <c r="F4" s="969"/>
      <c r="G4" s="969"/>
      <c r="H4" s="969"/>
      <c r="I4" s="969"/>
      <c r="J4" s="969"/>
      <c r="K4" s="969"/>
      <c r="L4" s="969"/>
      <c r="M4" s="969"/>
      <c r="N4" s="969"/>
      <c r="O4" s="969"/>
      <c r="P4" s="969"/>
      <c r="Q4" s="969"/>
      <c r="R4" s="969"/>
      <c r="S4" s="969"/>
      <c r="T4" s="969"/>
      <c r="U4" s="969"/>
      <c r="V4" s="969"/>
      <c r="W4" s="969"/>
      <c r="X4" s="969"/>
      <c r="Y4" s="969"/>
      <c r="Z4" s="969"/>
      <c r="AA4" s="969"/>
      <c r="AB4" s="969"/>
      <c r="AC4" s="970"/>
      <c r="AD4" s="974" t="s">
        <v>32</v>
      </c>
      <c r="AE4" s="974"/>
      <c r="AQ4" s="64"/>
      <c r="AR4" s="64"/>
      <c r="AS4" s="64"/>
      <c r="AT4" s="64"/>
      <c r="AU4" s="64"/>
      <c r="AV4" s="64"/>
      <c r="AW4" s="64"/>
      <c r="AX4" s="64"/>
      <c r="AY4" s="64"/>
      <c r="AZ4" s="64"/>
      <c r="BA4" s="64"/>
      <c r="BB4" s="64"/>
      <c r="BC4" s="64"/>
      <c r="BD4" s="64"/>
      <c r="BE4" s="64"/>
      <c r="BF4" s="64"/>
    </row>
    <row r="5" spans="1:58" ht="15" customHeight="1">
      <c r="A5" s="989"/>
      <c r="B5" s="989"/>
      <c r="C5" s="989"/>
      <c r="D5" s="971"/>
      <c r="E5" s="972"/>
      <c r="F5" s="972"/>
      <c r="G5" s="972"/>
      <c r="H5" s="972"/>
      <c r="I5" s="972"/>
      <c r="J5" s="972"/>
      <c r="K5" s="972"/>
      <c r="L5" s="972"/>
      <c r="M5" s="972"/>
      <c r="N5" s="972"/>
      <c r="O5" s="972"/>
      <c r="P5" s="972"/>
      <c r="Q5" s="972"/>
      <c r="R5" s="972"/>
      <c r="S5" s="972"/>
      <c r="T5" s="972"/>
      <c r="U5" s="972"/>
      <c r="V5" s="972"/>
      <c r="W5" s="972"/>
      <c r="X5" s="972"/>
      <c r="Y5" s="972"/>
      <c r="Z5" s="972"/>
      <c r="AA5" s="972"/>
      <c r="AB5" s="972"/>
      <c r="AC5" s="973"/>
      <c r="AD5" s="975">
        <v>42731</v>
      </c>
      <c r="AE5" s="975"/>
      <c r="AQ5" s="64"/>
      <c r="AR5" s="64"/>
      <c r="AS5" s="64"/>
      <c r="AT5" s="64"/>
      <c r="AU5" s="64"/>
      <c r="AV5" s="64"/>
      <c r="AW5" s="64"/>
      <c r="AX5" s="64"/>
      <c r="AY5" s="64"/>
      <c r="AZ5" s="64"/>
      <c r="BA5" s="64"/>
      <c r="BB5" s="64"/>
      <c r="BC5" s="64"/>
      <c r="BD5" s="64"/>
      <c r="BE5" s="64"/>
      <c r="BF5" s="64"/>
    </row>
    <row r="6" spans="1:58">
      <c r="AQ6" s="64"/>
      <c r="AR6" s="64"/>
      <c r="AS6" s="64"/>
      <c r="AT6" s="64"/>
      <c r="AU6" s="64"/>
      <c r="AV6" s="64"/>
      <c r="AW6" s="64"/>
      <c r="AX6" s="64"/>
      <c r="AY6" s="64"/>
      <c r="AZ6" s="64"/>
      <c r="BA6" s="64"/>
      <c r="BB6" s="64"/>
      <c r="BC6" s="64"/>
      <c r="BD6" s="64"/>
      <c r="BE6" s="64"/>
      <c r="BF6" s="64"/>
    </row>
    <row r="7" spans="1:58" ht="93.75" customHeight="1" thickBot="1">
      <c r="A7" s="114" t="s">
        <v>1</v>
      </c>
      <c r="B7" s="114"/>
      <c r="C7" s="114" t="s">
        <v>2</v>
      </c>
      <c r="D7" s="114" t="s">
        <v>50</v>
      </c>
      <c r="E7" s="114" t="s">
        <v>57</v>
      </c>
      <c r="F7" s="114" t="s">
        <v>58</v>
      </c>
      <c r="G7" s="114" t="s">
        <v>3</v>
      </c>
      <c r="H7" s="114" t="s">
        <v>62</v>
      </c>
      <c r="I7" s="114" t="s">
        <v>5</v>
      </c>
      <c r="J7" s="114" t="s">
        <v>6</v>
      </c>
      <c r="K7" s="114" t="s">
        <v>4</v>
      </c>
      <c r="L7" s="165">
        <v>42736</v>
      </c>
      <c r="M7" s="165">
        <v>42767</v>
      </c>
      <c r="N7" s="165">
        <v>42795</v>
      </c>
      <c r="O7" s="165">
        <v>42826</v>
      </c>
      <c r="P7" s="165">
        <v>42856</v>
      </c>
      <c r="Q7" s="165">
        <v>42887</v>
      </c>
      <c r="R7" s="165">
        <v>42917</v>
      </c>
      <c r="S7" s="165">
        <v>42948</v>
      </c>
      <c r="T7" s="165">
        <v>42979</v>
      </c>
      <c r="U7" s="165">
        <v>43009</v>
      </c>
      <c r="V7" s="165">
        <v>43040</v>
      </c>
      <c r="W7" s="165">
        <v>43070</v>
      </c>
      <c r="X7" s="165"/>
      <c r="Y7" s="165"/>
      <c r="Z7" s="114" t="s">
        <v>10</v>
      </c>
      <c r="AA7" s="114" t="s">
        <v>54</v>
      </c>
      <c r="AB7" s="114" t="s">
        <v>60</v>
      </c>
      <c r="AC7" s="114" t="s">
        <v>9</v>
      </c>
      <c r="AD7" s="166" t="s">
        <v>11</v>
      </c>
      <c r="AE7" s="166" t="s">
        <v>12</v>
      </c>
      <c r="AF7" s="166" t="s">
        <v>55</v>
      </c>
      <c r="AG7" s="166" t="s">
        <v>7</v>
      </c>
      <c r="AH7" s="166" t="s">
        <v>8</v>
      </c>
      <c r="AP7" s="64"/>
      <c r="AQ7" s="65"/>
      <c r="AR7" s="65"/>
      <c r="AS7" s="65"/>
      <c r="AT7" s="65"/>
      <c r="AU7" s="65"/>
      <c r="AV7" s="65"/>
      <c r="AW7" s="65"/>
      <c r="AX7" s="65"/>
      <c r="AY7" s="65"/>
      <c r="AZ7" s="65"/>
      <c r="BA7" s="65"/>
      <c r="BB7" s="65"/>
      <c r="BC7" s="65"/>
      <c r="BD7" s="64"/>
      <c r="BE7" s="64"/>
    </row>
    <row r="8" spans="1:58" ht="25.5">
      <c r="A8" s="1009" t="s">
        <v>75</v>
      </c>
      <c r="B8" s="163" t="e">
        <f>+#REF!+1</f>
        <v>#REF!</v>
      </c>
      <c r="C8" s="152" t="s">
        <v>109</v>
      </c>
      <c r="D8" s="126" t="s">
        <v>112</v>
      </c>
      <c r="E8" s="127"/>
      <c r="F8" s="127"/>
      <c r="G8" s="128" t="s">
        <v>102</v>
      </c>
      <c r="H8" s="128" t="s">
        <v>104</v>
      </c>
      <c r="I8" s="129" t="s">
        <v>108</v>
      </c>
      <c r="J8" s="130" t="s">
        <v>100</v>
      </c>
      <c r="K8" s="131">
        <v>0.8</v>
      </c>
      <c r="L8" s="132"/>
      <c r="M8" s="132"/>
      <c r="N8" s="132"/>
      <c r="O8" s="132"/>
      <c r="P8" s="132"/>
      <c r="Q8" s="132"/>
      <c r="R8" s="132"/>
      <c r="S8" s="132"/>
      <c r="T8" s="132"/>
      <c r="U8" s="132"/>
      <c r="V8" s="132"/>
      <c r="W8" s="132"/>
      <c r="X8" s="133">
        <v>0</v>
      </c>
      <c r="Y8" s="133">
        <v>1</v>
      </c>
      <c r="Z8" s="133" t="e">
        <f t="shared" ref="Z8:Z16" si="0">LOOKUP(1000000000,L8:W8)</f>
        <v>#N/A</v>
      </c>
      <c r="AA8" s="128"/>
      <c r="AB8" s="132" t="e">
        <f t="shared" ref="AB8:AB16" si="1">+IF(SLOPE(L8:W8,$L$7:$W$7)&gt;0,"Al alza",IF(SLOPE(L8:W8,$L$7:$W$7)&lt;0,"A la baja","Sin cambio"))</f>
        <v>#DIV/0!</v>
      </c>
      <c r="AC8" s="112" t="s">
        <v>13</v>
      </c>
      <c r="AD8" s="134">
        <v>9.6100000000000005E-3</v>
      </c>
      <c r="AE8" s="135" t="str">
        <f>IF($J$8="Sube",IF(ISERROR(Z8/$K$8)=TRUE,"",IF(Z8&gt;$K$8,AD8,Z8/$K$8*AD8)),IF(ISERROR($K$8/Z8)=TRUE,"",IF($K$8&lt;Z8,$K$8/Z8*AD8,AD8)))</f>
        <v/>
      </c>
      <c r="AF8" s="136" t="str">
        <f>IF($J$8="Sube",IF(ISERROR(Z8/$K$8)=TRUE,"",IF(Z8&gt;=$K$8,1,0)),IF(ISERROR($K$8/Z8)=TRUE,"",IF($K$8&lt;Z8,0,1)))</f>
        <v/>
      </c>
      <c r="AG8" s="127"/>
      <c r="AH8" s="137"/>
      <c r="AP8" s="64"/>
      <c r="AQ8" s="63"/>
      <c r="AR8" s="63"/>
      <c r="AS8" s="63"/>
      <c r="AT8" s="63"/>
      <c r="AU8" s="63"/>
      <c r="AV8" s="63"/>
      <c r="AW8" s="63"/>
      <c r="AX8" s="63"/>
      <c r="AY8" s="63"/>
      <c r="AZ8" s="63"/>
      <c r="BA8" s="63"/>
      <c r="BB8" s="63"/>
      <c r="BC8" s="64"/>
      <c r="BD8" s="64"/>
      <c r="BE8" s="64"/>
    </row>
    <row r="9" spans="1:58" ht="25.5">
      <c r="A9" s="1010"/>
      <c r="B9" s="108" t="e">
        <f t="shared" ref="B9:B16" si="2">+B8+1</f>
        <v>#REF!</v>
      </c>
      <c r="C9" s="105" t="s">
        <v>110</v>
      </c>
      <c r="D9" s="106" t="s">
        <v>113</v>
      </c>
      <c r="E9" s="61"/>
      <c r="F9" s="61"/>
      <c r="G9" s="16" t="s">
        <v>101</v>
      </c>
      <c r="H9" s="16" t="s">
        <v>105</v>
      </c>
      <c r="I9" s="18" t="s">
        <v>108</v>
      </c>
      <c r="J9" s="104" t="s">
        <v>100</v>
      </c>
      <c r="K9" s="73">
        <v>0.05</v>
      </c>
      <c r="L9" s="17"/>
      <c r="M9" s="17"/>
      <c r="N9" s="17"/>
      <c r="O9" s="17"/>
      <c r="P9" s="17"/>
      <c r="Q9" s="17"/>
      <c r="R9" s="17"/>
      <c r="S9" s="17"/>
      <c r="T9" s="17"/>
      <c r="U9" s="17"/>
      <c r="V9" s="17"/>
      <c r="W9" s="17"/>
      <c r="X9" s="66">
        <v>0</v>
      </c>
      <c r="Y9" s="66">
        <v>1</v>
      </c>
      <c r="Z9" s="66" t="e">
        <f t="shared" si="0"/>
        <v>#N/A</v>
      </c>
      <c r="AA9" s="16"/>
      <c r="AB9" s="17" t="e">
        <f t="shared" si="1"/>
        <v>#DIV/0!</v>
      </c>
      <c r="AC9" s="111" t="s">
        <v>13</v>
      </c>
      <c r="AD9" s="81">
        <v>9.6100000000000005E-3</v>
      </c>
      <c r="AE9" s="20" t="str">
        <f>IF($J$9="Sube",IF(ISERROR(Z9/$K$9)=TRUE,"",IF(Z9&gt;$K$9,AD9,Z9/$K$9*AD9)),IF(ISERROR($K$9/Z9)=TRUE,"",IF($K$9&lt;Z9,$K$9/Z9*AD9,AD9)))</f>
        <v/>
      </c>
      <c r="AF9" s="21" t="str">
        <f>IF($J$9="Sube",IF(ISERROR(Z9/$K$9)=TRUE,"",IF(Z9&gt;=$K$9,1,0)),IF(ISERROR($K$9/Z9)=TRUE,"",IF($K$9&lt;Z9,0,1)))</f>
        <v/>
      </c>
      <c r="AG9" s="61"/>
      <c r="AH9" s="138"/>
      <c r="AP9" s="64"/>
      <c r="AQ9" s="63"/>
      <c r="AR9" s="63"/>
      <c r="AS9" s="63"/>
      <c r="AT9" s="63"/>
      <c r="AU9" s="63"/>
      <c r="AV9" s="63"/>
      <c r="AW9" s="63"/>
      <c r="AX9" s="63"/>
      <c r="AY9" s="63"/>
      <c r="AZ9" s="63"/>
      <c r="BA9" s="63"/>
      <c r="BB9" s="63"/>
      <c r="BC9" s="64"/>
      <c r="BD9" s="64"/>
      <c r="BE9" s="64"/>
    </row>
    <row r="10" spans="1:58" ht="39" thickBot="1">
      <c r="A10" s="1011"/>
      <c r="B10" s="164" t="e">
        <f t="shared" si="2"/>
        <v>#REF!</v>
      </c>
      <c r="C10" s="153" t="s">
        <v>111</v>
      </c>
      <c r="D10" s="140" t="s">
        <v>114</v>
      </c>
      <c r="E10" s="150"/>
      <c r="F10" s="150"/>
      <c r="G10" s="141" t="s">
        <v>103</v>
      </c>
      <c r="H10" s="141" t="s">
        <v>106</v>
      </c>
      <c r="I10" s="142" t="s">
        <v>107</v>
      </c>
      <c r="J10" s="143" t="s">
        <v>100</v>
      </c>
      <c r="K10" s="144">
        <v>0.95</v>
      </c>
      <c r="L10" s="145"/>
      <c r="M10" s="145"/>
      <c r="N10" s="145"/>
      <c r="O10" s="145"/>
      <c r="P10" s="145"/>
      <c r="Q10" s="145"/>
      <c r="R10" s="145"/>
      <c r="S10" s="145"/>
      <c r="T10" s="145"/>
      <c r="U10" s="145"/>
      <c r="V10" s="145"/>
      <c r="W10" s="145"/>
      <c r="X10" s="146">
        <v>0</v>
      </c>
      <c r="Y10" s="146">
        <v>1</v>
      </c>
      <c r="Z10" s="146" t="e">
        <f t="shared" si="0"/>
        <v>#N/A</v>
      </c>
      <c r="AA10" s="141"/>
      <c r="AB10" s="145" t="e">
        <f t="shared" si="1"/>
        <v>#DIV/0!</v>
      </c>
      <c r="AC10" s="139" t="s">
        <v>13</v>
      </c>
      <c r="AD10" s="147">
        <v>9.6100000000000005E-3</v>
      </c>
      <c r="AE10" s="148" t="str">
        <f>IF($J$10="Sube",IF(ISERROR(Z10/$K$10)=TRUE,"",IF(Z10&gt;$K$10,AD10,Z10/$K$10*AD10)),IF(ISERROR($K$10/Z10)=TRUE,"",IF($K$10&lt;Z10,$K$10/Z10*AD10,AD10)))</f>
        <v/>
      </c>
      <c r="AF10" s="149" t="str">
        <f>IF($J$10="Sube",IF(ISERROR(Z10/$K$10)=TRUE,"",IF(Z10&gt;=$K$10,1,0)),IF(ISERROR($K$10/Z10)=TRUE,"",IF($K$10&lt;Z10,0,1)))</f>
        <v/>
      </c>
      <c r="AG10" s="150"/>
      <c r="AH10" s="151"/>
      <c r="AP10" s="64"/>
      <c r="AQ10" s="63"/>
      <c r="AR10" s="63"/>
      <c r="AS10" s="63"/>
      <c r="AT10" s="63"/>
      <c r="AU10" s="63"/>
      <c r="AV10" s="63"/>
      <c r="AW10" s="63"/>
      <c r="AX10" s="63"/>
      <c r="AY10" s="63"/>
      <c r="AZ10" s="63"/>
      <c r="BA10" s="63"/>
      <c r="BB10" s="63"/>
      <c r="BC10" s="64"/>
      <c r="BD10" s="64"/>
      <c r="BE10" s="64"/>
    </row>
    <row r="11" spans="1:58" hidden="1">
      <c r="A11" s="1008" t="s">
        <v>76</v>
      </c>
      <c r="B11" s="107" t="e">
        <f t="shared" si="2"/>
        <v>#REF!</v>
      </c>
      <c r="C11" s="110"/>
      <c r="D11" s="115"/>
      <c r="E11" s="116"/>
      <c r="F11" s="116"/>
      <c r="G11" s="117"/>
      <c r="H11" s="117"/>
      <c r="I11" s="118"/>
      <c r="J11" s="119"/>
      <c r="K11" s="120"/>
      <c r="L11" s="121"/>
      <c r="M11" s="121"/>
      <c r="N11" s="121"/>
      <c r="O11" s="121"/>
      <c r="P11" s="121"/>
      <c r="Q11" s="121"/>
      <c r="R11" s="121"/>
      <c r="S11" s="121"/>
      <c r="T11" s="121"/>
      <c r="U11" s="121"/>
      <c r="V11" s="121"/>
      <c r="W11" s="121"/>
      <c r="X11" s="121"/>
      <c r="Y11" s="121"/>
      <c r="Z11" s="122" t="e">
        <f t="shared" si="0"/>
        <v>#N/A</v>
      </c>
      <c r="AA11" s="117"/>
      <c r="AB11" s="121" t="e">
        <f t="shared" si="1"/>
        <v>#DIV/0!</v>
      </c>
      <c r="AC11" s="110" t="s">
        <v>13</v>
      </c>
      <c r="AD11" s="123">
        <v>9.6100000000000005E-3</v>
      </c>
      <c r="AE11" s="124" t="str">
        <f>IF($J$11="Sube",IF(ISERROR(Z11/$K$11)=TRUE,"",IF(Z11&gt;$K$11,AD11,Z11/$K$11*AD11)),IF(ISERROR($K$11/Z11)=TRUE,"",IF($K$11&lt;Z11,$K$11/Z11*AD11,AD11)))</f>
        <v/>
      </c>
      <c r="AF11" s="125" t="str">
        <f>IF($J$11="Sube",IF(ISERROR(Z11/$K$11)=TRUE,"",IF(Z11&gt;=$K$11,1,0)),IF(ISERROR($K$11/Z11)=TRUE,"",IF($K$11&lt;Z11,0,1)))</f>
        <v/>
      </c>
      <c r="AG11" s="116"/>
      <c r="AH11" s="116"/>
      <c r="AP11" s="64"/>
      <c r="AQ11" s="63"/>
      <c r="AR11" s="63"/>
      <c r="AS11" s="63"/>
      <c r="AT11" s="63"/>
      <c r="AU11" s="63"/>
      <c r="AV11" s="63"/>
      <c r="AW11" s="63"/>
      <c r="AX11" s="63"/>
      <c r="AY11" s="63"/>
      <c r="AZ11" s="63"/>
      <c r="BA11" s="63"/>
      <c r="BB11" s="63"/>
      <c r="BC11" s="64"/>
      <c r="BD11" s="64"/>
      <c r="BE11" s="64"/>
    </row>
    <row r="12" spans="1:58" hidden="1">
      <c r="A12" s="1008"/>
      <c r="B12" s="107" t="e">
        <f t="shared" si="2"/>
        <v>#REF!</v>
      </c>
      <c r="C12" s="111"/>
      <c r="D12" s="106"/>
      <c r="E12" s="61"/>
      <c r="F12" s="61"/>
      <c r="G12" s="16"/>
      <c r="H12" s="16"/>
      <c r="I12" s="18"/>
      <c r="J12" s="104"/>
      <c r="K12" s="73"/>
      <c r="L12" s="17"/>
      <c r="M12" s="17"/>
      <c r="N12" s="17"/>
      <c r="O12" s="17"/>
      <c r="P12" s="17"/>
      <c r="Q12" s="17"/>
      <c r="R12" s="17"/>
      <c r="S12" s="17"/>
      <c r="T12" s="17"/>
      <c r="U12" s="17"/>
      <c r="V12" s="17"/>
      <c r="W12" s="17"/>
      <c r="X12" s="17"/>
      <c r="Y12" s="17"/>
      <c r="Z12" s="66" t="e">
        <f t="shared" si="0"/>
        <v>#N/A</v>
      </c>
      <c r="AA12" s="16"/>
      <c r="AB12" s="17" t="e">
        <f t="shared" si="1"/>
        <v>#DIV/0!</v>
      </c>
      <c r="AC12" s="111" t="s">
        <v>13</v>
      </c>
      <c r="AD12" s="81">
        <v>9.6100000000000005E-3</v>
      </c>
      <c r="AE12" s="20" t="str">
        <f>IF($J$12="Sube",IF(ISERROR(Z12/$K$12)=TRUE,"",IF(Z12&gt;$K$12,AD12,Z12/$K$12*AD12)),IF(ISERROR($K$12/Z12)=TRUE,"",IF($K$12&lt;Z12,$K$12/Z12*AD12,AD12)))</f>
        <v/>
      </c>
      <c r="AF12" s="21" t="str">
        <f>IF($J$12="Sube",IF(ISERROR(Z12/$K$12)=TRUE,"",IF(Z12&gt;=$K$12,1,0)),IF(ISERROR($K$12/Z12)=TRUE,"",IF($K$12&lt;Z12,0,1)))</f>
        <v/>
      </c>
      <c r="AG12" s="61"/>
      <c r="AH12" s="61"/>
      <c r="AP12" s="64"/>
      <c r="AQ12" s="63"/>
      <c r="AR12" s="63"/>
      <c r="AS12" s="63"/>
      <c r="AT12" s="63"/>
      <c r="AU12" s="63"/>
      <c r="AV12" s="63"/>
      <c r="AW12" s="63"/>
      <c r="AX12" s="63"/>
      <c r="AY12" s="63"/>
      <c r="AZ12" s="63"/>
      <c r="BA12" s="63"/>
      <c r="BB12" s="63"/>
      <c r="BC12" s="64"/>
      <c r="BD12" s="64"/>
      <c r="BE12" s="64"/>
    </row>
    <row r="13" spans="1:58" hidden="1">
      <c r="A13" s="1008"/>
      <c r="B13" s="107" t="e">
        <f t="shared" si="2"/>
        <v>#REF!</v>
      </c>
      <c r="C13" s="111"/>
      <c r="D13" s="106"/>
      <c r="E13" s="61"/>
      <c r="F13" s="61"/>
      <c r="G13" s="16"/>
      <c r="H13" s="16"/>
      <c r="I13" s="18"/>
      <c r="J13" s="104"/>
      <c r="K13" s="73"/>
      <c r="L13" s="17"/>
      <c r="M13" s="17"/>
      <c r="N13" s="17"/>
      <c r="O13" s="17"/>
      <c r="P13" s="17"/>
      <c r="Q13" s="17"/>
      <c r="R13" s="17"/>
      <c r="S13" s="17"/>
      <c r="T13" s="17"/>
      <c r="U13" s="17"/>
      <c r="V13" s="17"/>
      <c r="W13" s="17"/>
      <c r="X13" s="17"/>
      <c r="Y13" s="17"/>
      <c r="Z13" s="66" t="e">
        <f t="shared" si="0"/>
        <v>#N/A</v>
      </c>
      <c r="AA13" s="16"/>
      <c r="AB13" s="17" t="e">
        <f t="shared" si="1"/>
        <v>#DIV/0!</v>
      </c>
      <c r="AC13" s="111" t="s">
        <v>13</v>
      </c>
      <c r="AD13" s="81">
        <v>9.6100000000000005E-3</v>
      </c>
      <c r="AE13" s="20" t="str">
        <f>IF($J$13="Sube",IF(ISERROR(Z13/$K$13)=TRUE,"",IF(Z13&gt;$K$13,AD13,Z13/$K$13*AD13)),IF(ISERROR($K$13/Z13)=TRUE,"",IF($K$13&lt;Z13,$K$13/Z13*AD13,AD13)))</f>
        <v/>
      </c>
      <c r="AF13" s="21" t="str">
        <f>IF($J$13="Sube",IF(ISERROR(Z13/$K$13)=TRUE,"",IF(Z13&gt;=$K$13,1,0)),IF(ISERROR($K$13/Z13)=TRUE,"",IF($K$13&lt;Z13,0,1)))</f>
        <v/>
      </c>
      <c r="AG13" s="61"/>
      <c r="AH13" s="61"/>
      <c r="AP13" s="64"/>
      <c r="AQ13" s="63"/>
      <c r="AR13" s="63"/>
      <c r="AS13" s="63"/>
      <c r="AT13" s="63"/>
      <c r="AU13" s="63"/>
      <c r="AV13" s="63"/>
      <c r="AW13" s="63"/>
      <c r="AX13" s="63"/>
      <c r="AY13" s="63"/>
      <c r="AZ13" s="63"/>
      <c r="BA13" s="63"/>
      <c r="BB13" s="63"/>
      <c r="BC13" s="64"/>
      <c r="BD13" s="64"/>
      <c r="BE13" s="64"/>
    </row>
    <row r="14" spans="1:58" hidden="1">
      <c r="A14" s="1008"/>
      <c r="B14" s="107" t="e">
        <f t="shared" si="2"/>
        <v>#REF!</v>
      </c>
      <c r="C14" s="111"/>
      <c r="D14" s="106"/>
      <c r="E14" s="61"/>
      <c r="F14" s="61"/>
      <c r="G14" s="16"/>
      <c r="H14" s="16"/>
      <c r="I14" s="18"/>
      <c r="J14" s="104"/>
      <c r="K14" s="73"/>
      <c r="L14" s="17"/>
      <c r="M14" s="17"/>
      <c r="N14" s="17"/>
      <c r="O14" s="17"/>
      <c r="P14" s="17"/>
      <c r="Q14" s="17"/>
      <c r="R14" s="17"/>
      <c r="S14" s="17"/>
      <c r="T14" s="17"/>
      <c r="U14" s="17"/>
      <c r="V14" s="17"/>
      <c r="W14" s="17"/>
      <c r="X14" s="17"/>
      <c r="Y14" s="17"/>
      <c r="Z14" s="66" t="e">
        <f t="shared" si="0"/>
        <v>#N/A</v>
      </c>
      <c r="AA14" s="16"/>
      <c r="AB14" s="17" t="e">
        <f t="shared" si="1"/>
        <v>#DIV/0!</v>
      </c>
      <c r="AC14" s="111" t="s">
        <v>13</v>
      </c>
      <c r="AD14" s="81">
        <v>9.6100000000000005E-3</v>
      </c>
      <c r="AE14" s="20" t="str">
        <f>IF($J$14="Sube",IF(ISERROR(Z14/$K$14)=TRUE,"",IF(Z14&gt;$K$14,AD14,Z14/$K$14*AD14)),IF(ISERROR($K$14/Z14)=TRUE,"",IF($K$14&lt;Z14,$K$14/Z14*AD14,AD14)))</f>
        <v/>
      </c>
      <c r="AF14" s="21" t="str">
        <f>IF($J$14="Sube",IF(ISERROR(Z14/$K$14)=TRUE,"",IF(Z14&gt;=$K$14,1,0)),IF(ISERROR($K$14/Z14)=TRUE,"",IF($K$14&lt;Z14,0,1)))</f>
        <v/>
      </c>
      <c r="AG14" s="61"/>
      <c r="AH14" s="61"/>
      <c r="AP14" s="64"/>
      <c r="AQ14" s="63"/>
      <c r="AR14" s="63"/>
      <c r="AS14" s="63"/>
      <c r="AT14" s="63"/>
      <c r="AU14" s="63"/>
      <c r="AV14" s="63"/>
      <c r="AW14" s="63"/>
      <c r="AX14" s="63"/>
      <c r="AY14" s="63"/>
      <c r="AZ14" s="63"/>
      <c r="BA14" s="63"/>
      <c r="BB14" s="63"/>
      <c r="BC14" s="64"/>
      <c r="BD14" s="64"/>
      <c r="BE14" s="64"/>
    </row>
    <row r="15" spans="1:58" hidden="1">
      <c r="A15" s="1008"/>
      <c r="B15" s="107" t="e">
        <f t="shared" si="2"/>
        <v>#REF!</v>
      </c>
      <c r="C15" s="111"/>
      <c r="D15" s="106"/>
      <c r="E15" s="61"/>
      <c r="F15" s="61"/>
      <c r="G15" s="16"/>
      <c r="H15" s="16"/>
      <c r="I15" s="18"/>
      <c r="J15" s="104"/>
      <c r="K15" s="73"/>
      <c r="L15" s="17"/>
      <c r="M15" s="17"/>
      <c r="N15" s="17"/>
      <c r="O15" s="17"/>
      <c r="P15" s="17"/>
      <c r="Q15" s="17"/>
      <c r="R15" s="17"/>
      <c r="S15" s="17"/>
      <c r="T15" s="17"/>
      <c r="U15" s="17"/>
      <c r="V15" s="17"/>
      <c r="W15" s="17"/>
      <c r="X15" s="17"/>
      <c r="Y15" s="17"/>
      <c r="Z15" s="66" t="e">
        <f t="shared" si="0"/>
        <v>#N/A</v>
      </c>
      <c r="AA15" s="16"/>
      <c r="AB15" s="17" t="e">
        <f t="shared" si="1"/>
        <v>#DIV/0!</v>
      </c>
      <c r="AC15" s="111" t="s">
        <v>13</v>
      </c>
      <c r="AD15" s="81">
        <v>9.6100000000000005E-3</v>
      </c>
      <c r="AE15" s="20" t="str">
        <f>IF($J$15="Sube",IF(ISERROR(Z15/$K$15)=TRUE,"",IF(Z15&gt;$K$15,AD15,Z15/$K$15*AD15)),IF(ISERROR($K$15/Z15)=TRUE,"",IF($K$15&lt;Z15,$K$15/Z15*AD15,AD15)))</f>
        <v/>
      </c>
      <c r="AF15" s="21" t="str">
        <f>IF($J$15="Sube",IF(ISERROR(Z15/$K$15)=TRUE,"",IF(Z15&gt;=$K$15,1,0)),IF(ISERROR($K$15/Z15)=TRUE,"",IF($K$15&lt;Z15,0,1)))</f>
        <v/>
      </c>
      <c r="AG15" s="61"/>
      <c r="AH15" s="61"/>
      <c r="AP15" s="64"/>
      <c r="AQ15" s="63"/>
      <c r="AR15" s="63"/>
      <c r="AS15" s="63"/>
      <c r="AT15" s="63"/>
      <c r="AU15" s="63"/>
      <c r="AV15" s="63"/>
      <c r="AW15" s="63"/>
      <c r="AX15" s="63"/>
      <c r="AY15" s="63"/>
      <c r="AZ15" s="63"/>
      <c r="BA15" s="63"/>
      <c r="BB15" s="63"/>
      <c r="BC15" s="64"/>
      <c r="BD15" s="64"/>
      <c r="BE15" s="64"/>
    </row>
    <row r="16" spans="1:58" hidden="1">
      <c r="A16" s="1008"/>
      <c r="B16" s="107" t="e">
        <f t="shared" si="2"/>
        <v>#REF!</v>
      </c>
      <c r="C16" s="109"/>
      <c r="D16" s="113"/>
      <c r="E16" s="154"/>
      <c r="F16" s="154"/>
      <c r="G16" s="78"/>
      <c r="H16" s="78"/>
      <c r="I16" s="155"/>
      <c r="J16" s="156"/>
      <c r="K16" s="157"/>
      <c r="L16" s="158"/>
      <c r="M16" s="158"/>
      <c r="N16" s="158"/>
      <c r="O16" s="158"/>
      <c r="P16" s="158"/>
      <c r="Q16" s="158"/>
      <c r="R16" s="158"/>
      <c r="S16" s="158"/>
      <c r="T16" s="158"/>
      <c r="U16" s="158"/>
      <c r="V16" s="158"/>
      <c r="W16" s="158"/>
      <c r="X16" s="158"/>
      <c r="Y16" s="158"/>
      <c r="Z16" s="159" t="e">
        <f t="shared" si="0"/>
        <v>#N/A</v>
      </c>
      <c r="AA16" s="78"/>
      <c r="AB16" s="158" t="e">
        <f t="shared" si="1"/>
        <v>#DIV/0!</v>
      </c>
      <c r="AC16" s="109" t="s">
        <v>13</v>
      </c>
      <c r="AD16" s="160">
        <v>9.6100000000000005E-3</v>
      </c>
      <c r="AE16" s="161" t="str">
        <f>IF($J$16="Sube",IF(ISERROR(Z16/$K$16)=TRUE,"",IF(Z16&gt;$K$16,AD16,Z16/$K$16*AD16)),IF(ISERROR($K$16/Z16)=TRUE,"",IF($K$16&lt;Z16,$K$16/Z16*AD16,AD16)))</f>
        <v/>
      </c>
      <c r="AF16" s="162" t="str">
        <f>IF($J$16="Sube",IF(ISERROR(Z16/$K$16)=TRUE,"",IF(Z16&gt;=$K$16,1,0)),IF(ISERROR($K$16/Z16)=TRUE,"",IF($K$16&lt;Z16,0,1)))</f>
        <v/>
      </c>
      <c r="AG16" s="154"/>
      <c r="AH16" s="154"/>
      <c r="AP16" s="64"/>
      <c r="AQ16" s="63"/>
      <c r="AR16" s="63"/>
      <c r="AS16" s="63"/>
      <c r="AT16" s="63"/>
      <c r="AU16" s="63"/>
      <c r="AV16" s="63"/>
      <c r="AW16" s="63"/>
      <c r="AX16" s="63"/>
      <c r="AY16" s="63"/>
      <c r="AZ16" s="63"/>
      <c r="BA16" s="63"/>
      <c r="BB16" s="63"/>
      <c r="BC16" s="64"/>
      <c r="BD16" s="64"/>
      <c r="BE16" s="64"/>
    </row>
    <row r="17" spans="29:58" ht="15.75" thickBot="1">
      <c r="AC17" s="70" t="s">
        <v>14</v>
      </c>
      <c r="AD17" s="80">
        <f>SUM(AD8:AD16)</f>
        <v>8.6490000000000011E-2</v>
      </c>
      <c r="AE17" s="79">
        <f>SUMIFS(AE8:AE16,AC8:AC16,"Si")/SUMIFS(AD8:AD16,AC8:AC16,"Si")</f>
        <v>0</v>
      </c>
      <c r="AF17" s="71">
        <f>SUMIFS(AF8:AF16,AC8:AC16,"Si")/AC19</f>
        <v>0</v>
      </c>
      <c r="AQ17" s="64"/>
      <c r="AR17" s="63"/>
      <c r="AS17" s="63"/>
      <c r="AT17" s="63"/>
      <c r="AU17" s="63"/>
      <c r="AV17" s="63"/>
      <c r="AW17" s="63"/>
      <c r="AX17" s="63"/>
      <c r="AY17" s="63"/>
      <c r="AZ17" s="63"/>
      <c r="BA17" s="63"/>
      <c r="BB17" s="63"/>
      <c r="BC17" s="63"/>
      <c r="BD17" s="64"/>
      <c r="BE17" s="64"/>
      <c r="BF17" s="64"/>
    </row>
    <row r="18" spans="29:58" ht="38.25">
      <c r="AC18" s="22" t="s">
        <v>15</v>
      </c>
      <c r="AD18" s="112" t="s">
        <v>16</v>
      </c>
      <c r="AE18" s="23" t="s">
        <v>17</v>
      </c>
      <c r="AG18" s="19"/>
      <c r="AQ18" s="64"/>
      <c r="AR18" s="64"/>
      <c r="AS18" s="64"/>
      <c r="AT18" s="64"/>
      <c r="AU18" s="64"/>
      <c r="AV18" s="64"/>
      <c r="AW18" s="64"/>
      <c r="AX18" s="64"/>
      <c r="AY18" s="64"/>
      <c r="AZ18" s="64"/>
      <c r="BA18" s="64"/>
      <c r="BB18" s="64"/>
      <c r="BC18" s="64"/>
      <c r="BD18" s="64"/>
      <c r="BE18" s="64"/>
      <c r="BF18" s="64"/>
    </row>
    <row r="19" spans="29:58" ht="15.75" thickBot="1">
      <c r="AC19" s="24">
        <f>COUNTIF(AC8:AC16,"Si")</f>
        <v>9</v>
      </c>
      <c r="AD19" s="25">
        <f>COUNT(Z8:Z16)</f>
        <v>0</v>
      </c>
      <c r="AE19" s="26">
        <f>AD19/AC19</f>
        <v>0</v>
      </c>
      <c r="AG19" s="19"/>
      <c r="AQ19" s="64"/>
      <c r="AR19" s="64"/>
      <c r="AS19" s="64"/>
      <c r="AT19" s="64"/>
      <c r="AU19" s="64"/>
      <c r="AV19" s="64"/>
      <c r="AW19" s="64"/>
      <c r="AX19" s="64"/>
      <c r="AY19" s="64"/>
      <c r="AZ19" s="64"/>
      <c r="BA19" s="64"/>
      <c r="BB19" s="64"/>
      <c r="BC19" s="64"/>
      <c r="BD19" s="64"/>
      <c r="BE19" s="64"/>
      <c r="BF19" s="64"/>
    </row>
    <row r="20" spans="29:58">
      <c r="AC20" s="1"/>
      <c r="AD20" s="2"/>
      <c r="AE20" s="2"/>
      <c r="AG20" s="1"/>
      <c r="AQ20" s="64"/>
      <c r="AR20" s="64"/>
      <c r="AS20" s="64"/>
      <c r="AT20" s="64"/>
      <c r="AU20" s="64"/>
      <c r="AV20" s="64"/>
      <c r="AW20" s="64"/>
      <c r="AX20" s="64"/>
      <c r="AY20" s="64"/>
      <c r="AZ20" s="64"/>
      <c r="BA20" s="64"/>
      <c r="BB20" s="64"/>
      <c r="BC20" s="64"/>
      <c r="BD20" s="64"/>
      <c r="BE20" s="64"/>
      <c r="BF20" s="64"/>
    </row>
    <row r="21" spans="29:58">
      <c r="AC21" s="27" t="s">
        <v>18</v>
      </c>
      <c r="AD21" s="28" t="s">
        <v>19</v>
      </c>
      <c r="AE21" s="2"/>
      <c r="AG21" s="1"/>
      <c r="AQ21" s="64"/>
      <c r="AR21" s="64"/>
      <c r="AS21" s="64"/>
      <c r="AT21" s="64"/>
      <c r="AU21" s="64"/>
      <c r="AV21" s="64"/>
      <c r="AW21" s="64"/>
      <c r="AX21" s="64"/>
      <c r="AY21" s="64"/>
      <c r="AZ21" s="64"/>
      <c r="BA21" s="64"/>
      <c r="BB21" s="64"/>
      <c r="BC21" s="64"/>
      <c r="BD21" s="64"/>
      <c r="BE21" s="64"/>
      <c r="BF21" s="64"/>
    </row>
    <row r="22" spans="29:58">
      <c r="AC22" s="29" t="s">
        <v>20</v>
      </c>
      <c r="AD22" s="30" t="s">
        <v>21</v>
      </c>
      <c r="AE22" s="2"/>
      <c r="AG22" s="1"/>
      <c r="AQ22" s="64"/>
      <c r="AR22" s="64"/>
      <c r="AS22" s="64"/>
      <c r="AT22" s="64"/>
      <c r="AU22" s="64"/>
      <c r="AV22" s="64"/>
      <c r="AW22" s="64"/>
      <c r="AX22" s="64"/>
      <c r="AY22" s="64"/>
      <c r="AZ22" s="64"/>
      <c r="BA22" s="64"/>
      <c r="BB22" s="64"/>
      <c r="BC22" s="64"/>
      <c r="BD22" s="64"/>
      <c r="BE22" s="64"/>
      <c r="BF22" s="64"/>
    </row>
    <row r="23" spans="29:58" ht="25.5">
      <c r="AC23" s="31" t="s">
        <v>22</v>
      </c>
      <c r="AD23" s="32" t="s">
        <v>23</v>
      </c>
      <c r="AE23" s="2"/>
      <c r="AG23" s="1"/>
      <c r="AQ23" s="64"/>
      <c r="AR23" s="64"/>
      <c r="AS23" s="64"/>
      <c r="AT23" s="64"/>
      <c r="AU23" s="64"/>
      <c r="AV23" s="64"/>
      <c r="AW23" s="64"/>
      <c r="AX23" s="64"/>
      <c r="AY23" s="64"/>
      <c r="AZ23" s="64"/>
      <c r="BA23" s="64"/>
      <c r="BB23" s="64"/>
      <c r="BC23" s="64"/>
      <c r="BD23" s="64"/>
      <c r="BE23" s="64"/>
      <c r="BF23" s="64"/>
    </row>
  </sheetData>
  <mergeCells count="8">
    <mergeCell ref="A11:A16"/>
    <mergeCell ref="A8:A10"/>
    <mergeCell ref="A1:C5"/>
    <mergeCell ref="D1:AC3"/>
    <mergeCell ref="AD1:AE3"/>
    <mergeCell ref="D4:AC5"/>
    <mergeCell ref="AD4:AE4"/>
    <mergeCell ref="AD5:AE5"/>
  </mergeCells>
  <conditionalFormatting sqref="AE17">
    <cfRule type="cellIs" dxfId="7" priority="5" operator="greaterThanOrEqual">
      <formula>0.85</formula>
    </cfRule>
    <cfRule type="cellIs" dxfId="6" priority="6" operator="between">
      <formula>0.65</formula>
      <formula>0.84</formula>
    </cfRule>
    <cfRule type="cellIs" dxfId="5" priority="7" operator="equal">
      <formula>"0.65"</formula>
    </cfRule>
    <cfRule type="cellIs" dxfId="4" priority="8" operator="lessThan">
      <formula>0.64</formula>
    </cfRule>
  </conditionalFormatting>
  <conditionalFormatting sqref="AF17">
    <cfRule type="cellIs" dxfId="3" priority="1" operator="greaterThanOrEqual">
      <formula>0.85</formula>
    </cfRule>
    <cfRule type="cellIs" dxfId="2" priority="2" operator="between">
      <formula>0.65</formula>
      <formula>"0.84"</formula>
    </cfRule>
    <cfRule type="cellIs" dxfId="1" priority="3" operator="equal">
      <formula>"0.65"</formula>
    </cfRule>
    <cfRule type="cellIs" dxfId="0" priority="4" operator="lessThan">
      <formula>0.65</formula>
    </cfRule>
  </conditionalFormatting>
  <dataValidations count="2">
    <dataValidation type="list" allowBlank="1" showInputMessage="1" showErrorMessage="1" sqref="AC8:AC16">
      <formula1>"Si,No"</formula1>
    </dataValidation>
    <dataValidation type="list" allowBlank="1" showInputMessage="1" showErrorMessage="1" sqref="J8:J16">
      <formula1>"Sube,Baja"</formula1>
    </dataValidation>
  </dataValidations>
  <pageMargins left="0.7" right="0.7" top="0.75" bottom="0.75" header="0.3" footer="0.3"/>
  <pageSetup orientation="portrait" horizontalDpi="4294967292" verticalDpi="4294967292" r:id="rId1"/>
  <drawing r:id="rId2"/>
  <extLst>
    <ext xmlns:x14="http://schemas.microsoft.com/office/spreadsheetml/2009/9/main" uri="{05C60535-1F16-4fd2-B633-F4F36F0B64E0}">
      <x14:sparklineGroups xmlns:xm="http://schemas.microsoft.com/office/excel/2006/main">
        <x14:sparklineGroup manualMax="0" manualMin="0" type="column" displayEmptyCellsAs="gap" last="1">
          <x14:colorSeries rgb="FF376092"/>
          <x14:colorNegative rgb="FFD00000"/>
          <x14:colorAxis rgb="FF000000"/>
          <x14:colorMarkers rgb="FFD00000"/>
          <x14:colorFirst rgb="FFD00000"/>
          <x14:colorLast rgb="FFD00000"/>
          <x14:colorHigh rgb="FFD00000"/>
          <x14:colorLow rgb="FFD00000"/>
          <x14:sparklines>
            <x14:sparkline>
              <xm:f>'Tablero Maestro (2)'!L8:Y8</xm:f>
              <xm:sqref>AA8</xm:sqref>
            </x14:sparkline>
          </x14:sparklines>
        </x14:sparklineGroup>
        <x14:sparklineGroup manualMax="0" manualMin="0" type="column" displayEmptyCellsAs="gap" high="1">
          <x14:colorSeries rgb="FF376092"/>
          <x14:colorNegative rgb="FFD00000"/>
          <x14:colorAxis rgb="FF000000"/>
          <x14:colorMarkers rgb="FFD00000"/>
          <x14:colorFirst rgb="FFD00000"/>
          <x14:colorLast rgb="FFD00000"/>
          <x14:colorHigh rgb="FFD00000"/>
          <x14:colorLow rgb="FFD00000"/>
          <x14:sparklines>
            <x14:sparkline>
              <xm:f>'Tablero Maestro (2)'!L9:W9</xm:f>
              <xm:sqref>AA9</xm:sqref>
            </x14:sparkline>
            <x14:sparkline>
              <xm:f>'Tablero Maestro (2)'!L10:W10</xm:f>
              <xm:sqref>AA10</xm:sqref>
            </x14:sparkline>
            <x14:sparkline>
              <xm:f>'Tablero Maestro (2)'!L11:W11</xm:f>
              <xm:sqref>AA11</xm:sqref>
            </x14:sparkline>
            <x14:sparkline>
              <xm:f>'Tablero Maestro (2)'!L12:W12</xm:f>
              <xm:sqref>AA12</xm:sqref>
            </x14:sparkline>
            <x14:sparkline>
              <xm:f>'Tablero Maestro (2)'!L13:W13</xm:f>
              <xm:sqref>AA13</xm:sqref>
            </x14:sparkline>
            <x14:sparkline>
              <xm:f>'Tablero Maestro (2)'!L14:W14</xm:f>
              <xm:sqref>AA14</xm:sqref>
            </x14:sparkline>
            <x14:sparkline>
              <xm:f>'Tablero Maestro (2)'!L15:W15</xm:f>
              <xm:sqref>AA15</xm:sqref>
            </x14:sparkline>
            <x14:sparkline>
              <xm:f>'Tablero Maestro (2)'!L16:W16</xm:f>
              <xm:sqref>AA16</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L80"/>
  <sheetViews>
    <sheetView topLeftCell="A4" workbookViewId="0">
      <selection activeCell="L46" sqref="L46"/>
    </sheetView>
  </sheetViews>
  <sheetFormatPr baseColWidth="10" defaultColWidth="11.42578125" defaultRowHeight="15"/>
  <cols>
    <col min="1" max="1" width="3.140625" customWidth="1"/>
    <col min="2" max="2" width="14.85546875" customWidth="1"/>
    <col min="3" max="3" width="20.140625" customWidth="1"/>
    <col min="4" max="4" width="14.140625" customWidth="1"/>
    <col min="5" max="5" width="17.140625" customWidth="1"/>
    <col min="6" max="6" width="14.42578125" customWidth="1"/>
    <col min="7" max="7" width="15" customWidth="1"/>
    <col min="8" max="8" width="15.85546875" customWidth="1"/>
    <col min="9" max="9" width="21.42578125" customWidth="1"/>
    <col min="10" max="10" width="14.42578125" customWidth="1"/>
    <col min="11" max="11" width="20.85546875" customWidth="1"/>
    <col min="12" max="12" width="13.85546875" customWidth="1"/>
  </cols>
  <sheetData>
    <row r="1" spans="2:12" ht="24" customHeight="1">
      <c r="B1" s="1055" t="s">
        <v>47</v>
      </c>
      <c r="C1" s="1056"/>
      <c r="D1" s="1059" t="s">
        <v>0</v>
      </c>
      <c r="E1" s="1060"/>
      <c r="F1" s="1060"/>
      <c r="G1" s="1060"/>
      <c r="H1" s="1060"/>
      <c r="I1" s="1061"/>
      <c r="J1" s="1068" t="s">
        <v>31</v>
      </c>
      <c r="K1" s="1069"/>
    </row>
    <row r="2" spans="2:12" ht="15" customHeight="1">
      <c r="B2" s="1057"/>
      <c r="C2" s="1058"/>
      <c r="D2" s="1062"/>
      <c r="E2" s="1063"/>
      <c r="F2" s="1063"/>
      <c r="G2" s="1063"/>
      <c r="H2" s="1063"/>
      <c r="I2" s="1064"/>
      <c r="J2" s="1070"/>
      <c r="K2" s="1071"/>
    </row>
    <row r="3" spans="2:12" ht="15" customHeight="1">
      <c r="B3" s="1057"/>
      <c r="C3" s="1058"/>
      <c r="D3" s="1065"/>
      <c r="E3" s="1066"/>
      <c r="F3" s="1066"/>
      <c r="G3" s="1066"/>
      <c r="H3" s="1066"/>
      <c r="I3" s="1067"/>
      <c r="J3" s="1070"/>
      <c r="K3" s="1071"/>
    </row>
    <row r="4" spans="2:12" ht="15" customHeight="1">
      <c r="B4" s="1057"/>
      <c r="C4" s="1058"/>
      <c r="D4" s="1072" t="s">
        <v>44</v>
      </c>
      <c r="E4" s="1072"/>
      <c r="F4" s="1072"/>
      <c r="G4" s="1072"/>
      <c r="H4" s="1072"/>
      <c r="I4" s="1072"/>
      <c r="J4" s="1074" t="s">
        <v>32</v>
      </c>
      <c r="K4" s="1075"/>
    </row>
    <row r="5" spans="2:12" ht="15.75" customHeight="1" thickBot="1">
      <c r="B5" s="1057"/>
      <c r="C5" s="1058"/>
      <c r="D5" s="1073"/>
      <c r="E5" s="1073"/>
      <c r="F5" s="1073"/>
      <c r="G5" s="1073"/>
      <c r="H5" s="1073"/>
      <c r="I5" s="1073"/>
      <c r="J5" s="1076">
        <v>42664</v>
      </c>
      <c r="K5" s="1077"/>
    </row>
    <row r="6" spans="2:12" ht="15.75" thickBot="1">
      <c r="B6" s="1012"/>
      <c r="C6" s="1013"/>
      <c r="D6" s="1013"/>
      <c r="E6" s="1013"/>
      <c r="F6" s="1013"/>
      <c r="G6" s="1013"/>
      <c r="H6" s="1013"/>
      <c r="I6" s="1014"/>
      <c r="J6" s="1032"/>
      <c r="K6" s="1033"/>
      <c r="L6" s="4"/>
    </row>
    <row r="7" spans="2:12" ht="48">
      <c r="B7" s="1034" t="s">
        <v>33</v>
      </c>
      <c r="C7" s="1037" t="s">
        <v>90</v>
      </c>
      <c r="D7" s="1034" t="s">
        <v>34</v>
      </c>
      <c r="E7" s="82" t="s">
        <v>61</v>
      </c>
      <c r="F7" s="1034" t="s">
        <v>52</v>
      </c>
      <c r="G7" s="1037" t="s">
        <v>51</v>
      </c>
      <c r="H7" s="1034" t="s">
        <v>35</v>
      </c>
      <c r="I7" s="83" t="s">
        <v>63</v>
      </c>
      <c r="J7" s="1034" t="s">
        <v>36</v>
      </c>
      <c r="K7" s="88"/>
      <c r="L7" s="5"/>
    </row>
    <row r="8" spans="2:12" ht="60">
      <c r="B8" s="1035"/>
      <c r="C8" s="1038"/>
      <c r="D8" s="1035"/>
      <c r="E8" s="82" t="s">
        <v>83</v>
      </c>
      <c r="F8" s="1035"/>
      <c r="G8" s="1038"/>
      <c r="H8" s="1035"/>
      <c r="I8" s="83" t="s">
        <v>82</v>
      </c>
      <c r="J8" s="1035"/>
      <c r="K8" s="88"/>
      <c r="L8" s="5"/>
    </row>
    <row r="9" spans="2:12" ht="36">
      <c r="B9" s="1035"/>
      <c r="C9" s="1038"/>
      <c r="D9" s="1035"/>
      <c r="E9" s="82" t="s">
        <v>68</v>
      </c>
      <c r="F9" s="1035"/>
      <c r="G9" s="1038"/>
      <c r="H9" s="1035"/>
      <c r="I9" s="83" t="s">
        <v>66</v>
      </c>
      <c r="J9" s="1035"/>
      <c r="K9" s="88"/>
      <c r="L9" s="5"/>
    </row>
    <row r="10" spans="2:12" ht="48">
      <c r="B10" s="1035"/>
      <c r="C10" s="1038"/>
      <c r="D10" s="1035"/>
      <c r="E10" s="82" t="s">
        <v>69</v>
      </c>
      <c r="F10" s="1035"/>
      <c r="G10" s="1038"/>
      <c r="H10" s="1035"/>
      <c r="I10" s="83" t="s">
        <v>67</v>
      </c>
      <c r="J10" s="1035"/>
      <c r="K10" s="88"/>
      <c r="L10" s="5"/>
    </row>
    <row r="11" spans="2:12" ht="36">
      <c r="B11" s="1035"/>
      <c r="C11" s="1038"/>
      <c r="D11" s="1035"/>
      <c r="E11" s="82" t="s">
        <v>84</v>
      </c>
      <c r="F11" s="1035"/>
      <c r="G11" s="1038"/>
      <c r="H11" s="1035"/>
      <c r="I11" s="83" t="s">
        <v>85</v>
      </c>
      <c r="J11" s="1035"/>
      <c r="K11" s="88"/>
      <c r="L11" s="5"/>
    </row>
    <row r="12" spans="2:12" ht="48.75" thickBot="1">
      <c r="B12" s="1036"/>
      <c r="C12" s="1039"/>
      <c r="D12" s="1035"/>
      <c r="E12" s="82" t="s">
        <v>70</v>
      </c>
      <c r="F12" s="1035"/>
      <c r="G12" s="1038"/>
      <c r="H12" s="1035"/>
      <c r="I12" s="83" t="s">
        <v>64</v>
      </c>
      <c r="J12" s="1035"/>
      <c r="K12" s="88"/>
      <c r="L12" s="6"/>
    </row>
    <row r="13" spans="2:12" ht="24.75" thickBot="1">
      <c r="B13" s="85" t="s">
        <v>37</v>
      </c>
      <c r="C13" s="84"/>
      <c r="D13" s="1035"/>
      <c r="E13" s="82" t="s">
        <v>71</v>
      </c>
      <c r="F13" s="1035"/>
      <c r="G13" s="1038"/>
      <c r="H13" s="1035"/>
      <c r="I13" s="83" t="s">
        <v>65</v>
      </c>
      <c r="J13" s="1035"/>
      <c r="K13" s="88"/>
      <c r="L13" s="6"/>
    </row>
    <row r="14" spans="2:12" ht="48" customHeight="1" thickBot="1">
      <c r="B14" s="85" t="s">
        <v>38</v>
      </c>
      <c r="C14" s="84"/>
      <c r="D14" s="1035"/>
      <c r="E14" s="82" t="s">
        <v>89</v>
      </c>
      <c r="F14" s="1035"/>
      <c r="G14" s="1038"/>
      <c r="H14" s="1035"/>
      <c r="I14" s="83" t="s">
        <v>87</v>
      </c>
      <c r="J14" s="1035"/>
      <c r="K14" s="88"/>
      <c r="L14" s="6"/>
    </row>
    <row r="15" spans="2:12" ht="42.95" customHeight="1" thickBot="1">
      <c r="B15" s="86" t="s">
        <v>39</v>
      </c>
      <c r="C15" s="87">
        <v>42734</v>
      </c>
      <c r="D15" s="1036"/>
      <c r="E15" s="82" t="s">
        <v>88</v>
      </c>
      <c r="F15" s="1036"/>
      <c r="G15" s="1040"/>
      <c r="H15" s="1036"/>
      <c r="I15" s="83" t="s">
        <v>86</v>
      </c>
      <c r="J15" s="1036"/>
      <c r="K15" s="89"/>
      <c r="L15" s="6"/>
    </row>
    <row r="16" spans="2:12" ht="15.75" thickBot="1">
      <c r="B16" s="1044"/>
      <c r="C16" s="1045"/>
      <c r="D16" s="1045"/>
      <c r="E16" s="1046"/>
      <c r="F16" s="1047"/>
      <c r="G16" s="1046"/>
      <c r="H16" s="1047"/>
      <c r="I16" s="1046"/>
      <c r="J16" s="1047"/>
      <c r="K16" s="1048"/>
    </row>
    <row r="17" spans="2:11">
      <c r="B17" s="1049" t="s">
        <v>40</v>
      </c>
      <c r="C17" s="42" t="s">
        <v>91</v>
      </c>
      <c r="D17" s="33">
        <v>0.1</v>
      </c>
      <c r="E17" s="1049" t="s">
        <v>41</v>
      </c>
      <c r="F17" s="34"/>
      <c r="G17" s="1052" t="s">
        <v>42</v>
      </c>
      <c r="H17" s="35"/>
      <c r="I17" s="1052" t="s">
        <v>45</v>
      </c>
      <c r="J17" s="90"/>
      <c r="K17" s="94" t="s">
        <v>43</v>
      </c>
    </row>
    <row r="18" spans="2:11">
      <c r="B18" s="1050"/>
      <c r="C18" s="43" t="s">
        <v>92</v>
      </c>
      <c r="D18" s="36">
        <v>0.1</v>
      </c>
      <c r="E18" s="1050"/>
      <c r="F18" s="37"/>
      <c r="G18" s="1053"/>
      <c r="H18" s="38"/>
      <c r="I18" s="1053"/>
      <c r="J18" s="91"/>
      <c r="K18" s="95" t="s">
        <v>43</v>
      </c>
    </row>
    <row r="19" spans="2:11">
      <c r="B19" s="1050"/>
      <c r="C19" s="43" t="s">
        <v>93</v>
      </c>
      <c r="D19" s="36">
        <v>0.1</v>
      </c>
      <c r="E19" s="1050"/>
      <c r="F19" s="37"/>
      <c r="G19" s="1053"/>
      <c r="H19" s="38"/>
      <c r="I19" s="1053"/>
      <c r="J19" s="91"/>
      <c r="K19" s="95" t="s">
        <v>43</v>
      </c>
    </row>
    <row r="20" spans="2:11">
      <c r="B20" s="1050"/>
      <c r="C20" s="43" t="s">
        <v>94</v>
      </c>
      <c r="D20" s="36">
        <v>0.1</v>
      </c>
      <c r="E20" s="1050"/>
      <c r="F20" s="37"/>
      <c r="G20" s="1053"/>
      <c r="H20" s="38"/>
      <c r="I20" s="1053"/>
      <c r="J20" s="91"/>
      <c r="K20" s="95" t="s">
        <v>43</v>
      </c>
    </row>
    <row r="21" spans="2:11">
      <c r="B21" s="1050"/>
      <c r="C21" s="43" t="s">
        <v>95</v>
      </c>
      <c r="D21" s="36">
        <v>0.1</v>
      </c>
      <c r="E21" s="1050"/>
      <c r="F21" s="37"/>
      <c r="G21" s="1053"/>
      <c r="H21" s="38"/>
      <c r="I21" s="1053"/>
      <c r="J21" s="91"/>
      <c r="K21" s="95" t="s">
        <v>43</v>
      </c>
    </row>
    <row r="22" spans="2:11">
      <c r="B22" s="1050"/>
      <c r="C22" s="43" t="s">
        <v>96</v>
      </c>
      <c r="D22" s="36">
        <v>0.1</v>
      </c>
      <c r="E22" s="1050"/>
      <c r="F22" s="37"/>
      <c r="G22" s="1053"/>
      <c r="H22" s="38"/>
      <c r="I22" s="1053"/>
      <c r="J22" s="91"/>
      <c r="K22" s="95" t="s">
        <v>43</v>
      </c>
    </row>
    <row r="23" spans="2:11">
      <c r="B23" s="1050"/>
      <c r="C23" s="43" t="s">
        <v>97</v>
      </c>
      <c r="D23" s="36">
        <v>0.1</v>
      </c>
      <c r="E23" s="1050"/>
      <c r="F23" s="37"/>
      <c r="G23" s="1053"/>
      <c r="H23" s="38"/>
      <c r="I23" s="1053"/>
      <c r="J23" s="91"/>
      <c r="K23" s="95" t="s">
        <v>43</v>
      </c>
    </row>
    <row r="24" spans="2:11">
      <c r="B24" s="1050"/>
      <c r="C24" s="43" t="s">
        <v>98</v>
      </c>
      <c r="D24" s="36">
        <v>0.1</v>
      </c>
      <c r="E24" s="1050"/>
      <c r="F24" s="37"/>
      <c r="G24" s="1053"/>
      <c r="H24" s="38"/>
      <c r="I24" s="1053"/>
      <c r="J24" s="91"/>
      <c r="K24" s="95" t="s">
        <v>43</v>
      </c>
    </row>
    <row r="25" spans="2:11" ht="15.75" thickBot="1">
      <c r="B25" s="1051"/>
      <c r="C25" s="44" t="s">
        <v>99</v>
      </c>
      <c r="D25" s="39">
        <v>0.1</v>
      </c>
      <c r="E25" s="1051"/>
      <c r="F25" s="40"/>
      <c r="G25" s="1054"/>
      <c r="H25" s="41"/>
      <c r="I25" s="1054"/>
      <c r="J25" s="92"/>
      <c r="K25" s="96" t="s">
        <v>43</v>
      </c>
    </row>
    <row r="26" spans="2:11" s="8" customFormat="1">
      <c r="B26" s="97"/>
      <c r="C26" s="98"/>
      <c r="D26" s="99"/>
      <c r="E26" s="97"/>
      <c r="F26" s="100"/>
      <c r="G26" s="97"/>
      <c r="H26" s="100"/>
      <c r="I26" s="97"/>
      <c r="J26" s="100"/>
      <c r="K26" s="93"/>
    </row>
    <row r="27" spans="2:11" ht="38.25">
      <c r="B27" s="75" t="s">
        <v>24</v>
      </c>
      <c r="C27" s="75" t="s">
        <v>25</v>
      </c>
      <c r="D27" s="74" t="s">
        <v>26</v>
      </c>
      <c r="E27" s="75" t="s">
        <v>61</v>
      </c>
      <c r="F27" s="75" t="s">
        <v>4</v>
      </c>
      <c r="G27" s="75" t="s">
        <v>53</v>
      </c>
      <c r="H27" s="14"/>
      <c r="I27" s="14"/>
      <c r="J27" s="13"/>
      <c r="K27" s="13"/>
    </row>
    <row r="28" spans="2:11">
      <c r="B28" s="12">
        <v>42736</v>
      </c>
      <c r="C28" s="11">
        <v>102</v>
      </c>
      <c r="D28" s="10" t="e">
        <f>'Tablero Estratégico'!#REF!</f>
        <v>#REF!</v>
      </c>
      <c r="E28" s="102" t="str">
        <f>IF(ISERROR(C28/D28)=TRUE,"Sin datos",C28/D28)</f>
        <v>Sin datos</v>
      </c>
      <c r="F28" s="3">
        <f>$D$17</f>
        <v>0.1</v>
      </c>
      <c r="G28" s="62" t="s">
        <v>59</v>
      </c>
    </row>
    <row r="29" spans="2:11">
      <c r="B29" s="12">
        <v>42767</v>
      </c>
      <c r="C29" s="11">
        <v>80</v>
      </c>
      <c r="D29" s="10" t="e">
        <f>'Tablero Estratégico'!#REF!</f>
        <v>#REF!</v>
      </c>
      <c r="E29" s="102" t="str">
        <f t="shared" ref="E29:E39" si="0">IF(ISERROR(C29/D29)=TRUE,"Sin datos",C29/D29)</f>
        <v>Sin datos</v>
      </c>
      <c r="F29" s="3">
        <f t="shared" ref="F29:F39" si="1">$D$17</f>
        <v>0.1</v>
      </c>
      <c r="G29" s="62" t="e">
        <f>+IF(SLOPE(E28:E29,B28:B29)&gt;0,"Al alza",IF(SLOPE(E28:E29,B28:B29)&lt;0,"A la baja","sin cambio"))</f>
        <v>#DIV/0!</v>
      </c>
    </row>
    <row r="30" spans="2:11">
      <c r="B30" s="12">
        <v>42795</v>
      </c>
      <c r="C30" s="11">
        <v>50</v>
      </c>
      <c r="D30" s="10" t="e">
        <f>'Tablero Estratégico'!#REF!</f>
        <v>#REF!</v>
      </c>
      <c r="E30" s="102" t="str">
        <f t="shared" si="0"/>
        <v>Sin datos</v>
      </c>
      <c r="F30" s="3">
        <f t="shared" si="1"/>
        <v>0.1</v>
      </c>
      <c r="G30" s="62" t="e">
        <f t="shared" ref="G30:G39" si="2">+IF(SLOPE(E29:E30,B29:B30)&gt;0,"Al alza",IF(SLOPE(E29:E30,B29:B30)&lt;0,"A la baja","sin cambio"))</f>
        <v>#DIV/0!</v>
      </c>
    </row>
    <row r="31" spans="2:11">
      <c r="B31" s="12">
        <v>42826</v>
      </c>
      <c r="C31" s="11">
        <v>30</v>
      </c>
      <c r="D31" s="10" t="e">
        <f>'Tablero Estratégico'!#REF!</f>
        <v>#REF!</v>
      </c>
      <c r="E31" s="102" t="str">
        <f t="shared" si="0"/>
        <v>Sin datos</v>
      </c>
      <c r="F31" s="3">
        <f t="shared" si="1"/>
        <v>0.1</v>
      </c>
      <c r="G31" s="62" t="e">
        <f t="shared" si="2"/>
        <v>#DIV/0!</v>
      </c>
    </row>
    <row r="32" spans="2:11">
      <c r="B32" s="12">
        <v>42856</v>
      </c>
      <c r="C32" s="11">
        <v>60</v>
      </c>
      <c r="D32" s="10" t="e">
        <f>'Tablero Estratégico'!#REF!</f>
        <v>#REF!</v>
      </c>
      <c r="E32" s="102" t="str">
        <f t="shared" si="0"/>
        <v>Sin datos</v>
      </c>
      <c r="F32" s="3">
        <f t="shared" si="1"/>
        <v>0.1</v>
      </c>
      <c r="G32" s="62" t="e">
        <f t="shared" si="2"/>
        <v>#DIV/0!</v>
      </c>
    </row>
    <row r="33" spans="1:11">
      <c r="B33" s="12">
        <v>42887</v>
      </c>
      <c r="C33" s="11">
        <v>100</v>
      </c>
      <c r="D33" s="10" t="e">
        <f>'Tablero Estratégico'!#REF!</f>
        <v>#REF!</v>
      </c>
      <c r="E33" s="102" t="str">
        <f t="shared" si="0"/>
        <v>Sin datos</v>
      </c>
      <c r="F33" s="3">
        <f t="shared" si="1"/>
        <v>0.1</v>
      </c>
      <c r="G33" s="62" t="e">
        <f t="shared" si="2"/>
        <v>#DIV/0!</v>
      </c>
    </row>
    <row r="34" spans="1:11">
      <c r="B34" s="12">
        <v>42917</v>
      </c>
      <c r="C34" s="11">
        <v>30</v>
      </c>
      <c r="D34" s="10" t="e">
        <f>'Tablero Estratégico'!#REF!</f>
        <v>#REF!</v>
      </c>
      <c r="E34" s="102" t="str">
        <f t="shared" si="0"/>
        <v>Sin datos</v>
      </c>
      <c r="F34" s="3">
        <f t="shared" si="1"/>
        <v>0.1</v>
      </c>
      <c r="G34" s="62" t="e">
        <f t="shared" si="2"/>
        <v>#DIV/0!</v>
      </c>
    </row>
    <row r="35" spans="1:11">
      <c r="B35" s="12">
        <v>42948</v>
      </c>
      <c r="C35" s="11">
        <v>90</v>
      </c>
      <c r="D35" s="10" t="e">
        <f>'Tablero Estratégico'!#REF!</f>
        <v>#REF!</v>
      </c>
      <c r="E35" s="102" t="str">
        <f t="shared" si="0"/>
        <v>Sin datos</v>
      </c>
      <c r="F35" s="3">
        <f t="shared" si="1"/>
        <v>0.1</v>
      </c>
      <c r="G35" s="62" t="e">
        <f t="shared" si="2"/>
        <v>#DIV/0!</v>
      </c>
    </row>
    <row r="36" spans="1:11">
      <c r="B36" s="12">
        <v>42979</v>
      </c>
      <c r="C36" s="11">
        <v>80</v>
      </c>
      <c r="D36" s="10" t="e">
        <f>'Tablero Estratégico'!#REF!</f>
        <v>#REF!</v>
      </c>
      <c r="E36" s="102" t="str">
        <f t="shared" si="0"/>
        <v>Sin datos</v>
      </c>
      <c r="F36" s="3">
        <f t="shared" si="1"/>
        <v>0.1</v>
      </c>
      <c r="G36" s="62" t="e">
        <f t="shared" si="2"/>
        <v>#DIV/0!</v>
      </c>
    </row>
    <row r="37" spans="1:11">
      <c r="B37" s="12">
        <v>43009</v>
      </c>
      <c r="C37" s="11">
        <v>100</v>
      </c>
      <c r="D37" s="10" t="e">
        <f>'Tablero Estratégico'!#REF!</f>
        <v>#REF!</v>
      </c>
      <c r="E37" s="102" t="str">
        <f t="shared" si="0"/>
        <v>Sin datos</v>
      </c>
      <c r="F37" s="3">
        <f t="shared" si="1"/>
        <v>0.1</v>
      </c>
      <c r="G37" s="62" t="e">
        <f t="shared" si="2"/>
        <v>#DIV/0!</v>
      </c>
    </row>
    <row r="38" spans="1:11">
      <c r="B38" s="12">
        <v>43040</v>
      </c>
      <c r="C38" s="11">
        <v>102</v>
      </c>
      <c r="D38" s="10" t="e">
        <f>'Tablero Estratégico'!#REF!</f>
        <v>#REF!</v>
      </c>
      <c r="E38" s="102" t="str">
        <f t="shared" si="0"/>
        <v>Sin datos</v>
      </c>
      <c r="F38" s="3">
        <f t="shared" si="1"/>
        <v>0.1</v>
      </c>
      <c r="G38" s="62" t="e">
        <f t="shared" si="2"/>
        <v>#DIV/0!</v>
      </c>
    </row>
    <row r="39" spans="1:11" ht="15.75" thickBot="1">
      <c r="B39" s="68">
        <v>43070</v>
      </c>
      <c r="C39" s="11">
        <f>COUNTIF(('Tablero Estratégico'!$U$6:$U$28),1)</f>
        <v>0</v>
      </c>
      <c r="D39" s="10" t="e">
        <f>'Tablero Estratégico'!#REF!</f>
        <v>#REF!</v>
      </c>
      <c r="E39" s="102" t="str">
        <f t="shared" si="0"/>
        <v>Sin datos</v>
      </c>
      <c r="F39" s="3">
        <f t="shared" si="1"/>
        <v>0.1</v>
      </c>
      <c r="G39" s="62" t="e">
        <f t="shared" si="2"/>
        <v>#DIV/0!</v>
      </c>
      <c r="H39" s="15"/>
      <c r="I39" s="15"/>
      <c r="J39" s="15"/>
      <c r="K39" s="15"/>
    </row>
    <row r="40" spans="1:11" ht="15.75" customHeight="1" thickBot="1">
      <c r="B40" s="1041" t="s">
        <v>60</v>
      </c>
      <c r="C40" s="1042"/>
      <c r="D40" s="1043"/>
      <c r="E40" s="69" t="e">
        <f>+IF(SLOPE(E28:E39,B28:B39)&gt;0,"Al alza",IF(SLOPE(E28:E39,B28:B39)&lt;0,"A la baja","Sin cambio"))</f>
        <v>#DIV/0!</v>
      </c>
      <c r="F40" s="103"/>
      <c r="H40" s="15"/>
      <c r="I40" s="15"/>
      <c r="J40" s="15"/>
      <c r="K40" s="15"/>
    </row>
    <row r="41" spans="1:11" s="4" customFormat="1">
      <c r="B41" s="101"/>
      <c r="C41" s="101"/>
      <c r="D41" s="101"/>
      <c r="E41" s="101"/>
      <c r="F41" s="101"/>
      <c r="G41" s="101"/>
      <c r="H41" s="14"/>
      <c r="I41" s="14"/>
      <c r="J41" s="14"/>
      <c r="K41" s="14"/>
    </row>
    <row r="42" spans="1:11" s="4" customFormat="1">
      <c r="A42" s="64"/>
      <c r="B42" s="101"/>
      <c r="C42" s="101"/>
      <c r="D42" s="101"/>
      <c r="E42" s="101"/>
      <c r="F42" s="101"/>
      <c r="G42" s="101"/>
      <c r="H42" s="14"/>
      <c r="I42" s="14"/>
      <c r="J42" s="14"/>
      <c r="K42" s="14"/>
    </row>
    <row r="43" spans="1:11" s="4" customFormat="1" ht="15.75" thickBot="1">
      <c r="A43" s="64"/>
      <c r="B43" s="101"/>
      <c r="C43" s="101"/>
      <c r="D43" s="101"/>
      <c r="E43" s="101"/>
      <c r="F43" s="101"/>
      <c r="G43" s="101"/>
      <c r="H43" s="14"/>
      <c r="I43" s="14"/>
      <c r="J43" s="14"/>
      <c r="K43" s="14"/>
    </row>
    <row r="44" spans="1:11" ht="15.75" customHeight="1" thickBot="1">
      <c r="A44" s="1030"/>
      <c r="B44" s="1012" t="s">
        <v>49</v>
      </c>
      <c r="C44" s="1013"/>
      <c r="D44" s="1013"/>
      <c r="E44" s="1013"/>
      <c r="F44" s="1013"/>
      <c r="G44" s="1013"/>
      <c r="H44" s="1013"/>
      <c r="I44" s="1013"/>
      <c r="J44" s="1013"/>
      <c r="K44" s="1014"/>
    </row>
    <row r="45" spans="1:11" ht="15.75" thickBot="1">
      <c r="A45" s="1031"/>
      <c r="B45" s="12">
        <v>42736</v>
      </c>
      <c r="C45" s="1015"/>
      <c r="D45" s="1016"/>
      <c r="E45" s="1016"/>
      <c r="F45" s="1016"/>
      <c r="G45" s="1016"/>
      <c r="H45" s="1016"/>
      <c r="I45" s="1016"/>
      <c r="J45" s="1016"/>
      <c r="K45" s="1017"/>
    </row>
    <row r="46" spans="1:11" ht="15.75" thickBot="1">
      <c r="A46" s="7"/>
      <c r="B46" s="12">
        <v>42767</v>
      </c>
      <c r="C46" s="1015"/>
      <c r="D46" s="1016"/>
      <c r="E46" s="1016"/>
      <c r="F46" s="1016"/>
      <c r="G46" s="1016"/>
      <c r="H46" s="1016"/>
      <c r="I46" s="1016"/>
      <c r="J46" s="1016"/>
      <c r="K46" s="1017"/>
    </row>
    <row r="47" spans="1:11" ht="15.75" thickBot="1">
      <c r="A47" s="8"/>
      <c r="B47" s="12">
        <v>42795</v>
      </c>
      <c r="C47" s="1015"/>
      <c r="D47" s="1016"/>
      <c r="E47" s="1016"/>
      <c r="F47" s="1016"/>
      <c r="G47" s="1016"/>
      <c r="H47" s="1016"/>
      <c r="I47" s="1016"/>
      <c r="J47" s="1016"/>
      <c r="K47" s="1017"/>
    </row>
    <row r="48" spans="1:11" ht="15.75" thickBot="1">
      <c r="A48" s="8"/>
      <c r="B48" s="12">
        <v>42826</v>
      </c>
      <c r="C48" s="1015"/>
      <c r="D48" s="1016"/>
      <c r="E48" s="1016"/>
      <c r="F48" s="1016"/>
      <c r="G48" s="1016"/>
      <c r="H48" s="1016"/>
      <c r="I48" s="1016"/>
      <c r="J48" s="1016"/>
      <c r="K48" s="1017"/>
    </row>
    <row r="49" spans="1:11" ht="15.75" thickBot="1">
      <c r="A49" s="8"/>
      <c r="B49" s="12">
        <v>42856</v>
      </c>
      <c r="C49" s="1015"/>
      <c r="D49" s="1016"/>
      <c r="E49" s="1016"/>
      <c r="F49" s="1016"/>
      <c r="G49" s="1016"/>
      <c r="H49" s="1016"/>
      <c r="I49" s="1016"/>
      <c r="J49" s="1016"/>
      <c r="K49" s="1017"/>
    </row>
    <row r="50" spans="1:11" ht="15.75" thickBot="1">
      <c r="A50" s="8"/>
      <c r="B50" s="12">
        <v>42887</v>
      </c>
      <c r="C50" s="1015"/>
      <c r="D50" s="1016"/>
      <c r="E50" s="1016"/>
      <c r="F50" s="1016"/>
      <c r="G50" s="1016"/>
      <c r="H50" s="1016"/>
      <c r="I50" s="1016"/>
      <c r="J50" s="1016"/>
      <c r="K50" s="1017"/>
    </row>
    <row r="51" spans="1:11" ht="15.75" thickBot="1">
      <c r="B51" s="12">
        <v>42917</v>
      </c>
      <c r="C51" s="1015"/>
      <c r="D51" s="1016"/>
      <c r="E51" s="1016"/>
      <c r="F51" s="1016"/>
      <c r="G51" s="1016"/>
      <c r="H51" s="1016"/>
      <c r="I51" s="1016"/>
      <c r="J51" s="1016"/>
      <c r="K51" s="1017"/>
    </row>
    <row r="52" spans="1:11" ht="15.75" thickBot="1">
      <c r="B52" s="12">
        <v>42948</v>
      </c>
      <c r="C52" s="1015"/>
      <c r="D52" s="1016"/>
      <c r="E52" s="1016"/>
      <c r="F52" s="1016"/>
      <c r="G52" s="1016"/>
      <c r="H52" s="1016"/>
      <c r="I52" s="1016"/>
      <c r="J52" s="1016"/>
      <c r="K52" s="1017"/>
    </row>
    <row r="53" spans="1:11" ht="15.75" thickBot="1">
      <c r="B53" s="12">
        <v>42979</v>
      </c>
      <c r="C53" s="1015"/>
      <c r="D53" s="1016"/>
      <c r="E53" s="1016"/>
      <c r="F53" s="1016"/>
      <c r="G53" s="1016"/>
      <c r="H53" s="1016"/>
      <c r="I53" s="1016"/>
      <c r="J53" s="1016"/>
      <c r="K53" s="1017"/>
    </row>
    <row r="54" spans="1:11" ht="15.75" thickBot="1">
      <c r="B54" s="12">
        <v>43009</v>
      </c>
      <c r="C54" s="1015"/>
      <c r="D54" s="1016"/>
      <c r="E54" s="1016"/>
      <c r="F54" s="1016"/>
      <c r="G54" s="1016"/>
      <c r="H54" s="1016"/>
      <c r="I54" s="1016"/>
      <c r="J54" s="1016"/>
      <c r="K54" s="1017"/>
    </row>
    <row r="55" spans="1:11" ht="15.75" thickBot="1">
      <c r="B55" s="12">
        <v>43040</v>
      </c>
      <c r="C55" s="1015"/>
      <c r="D55" s="1016"/>
      <c r="E55" s="1016"/>
      <c r="F55" s="1016"/>
      <c r="G55" s="1016"/>
      <c r="H55" s="1016"/>
      <c r="I55" s="1016"/>
      <c r="J55" s="1016"/>
      <c r="K55" s="1017"/>
    </row>
    <row r="56" spans="1:11" ht="15.75" thickBot="1">
      <c r="B56" s="68">
        <v>43070</v>
      </c>
      <c r="C56" s="1015"/>
      <c r="D56" s="1016"/>
      <c r="E56" s="1016"/>
      <c r="F56" s="1016"/>
      <c r="G56" s="1016"/>
      <c r="H56" s="1016"/>
      <c r="I56" s="1016"/>
      <c r="J56" s="1016"/>
      <c r="K56" s="1017"/>
    </row>
    <row r="57" spans="1:11" ht="15.75" thickBot="1">
      <c r="B57" s="45" t="s">
        <v>46</v>
      </c>
      <c r="C57" s="1012" t="s">
        <v>27</v>
      </c>
      <c r="D57" s="1013"/>
      <c r="E57" s="1013"/>
      <c r="F57" s="1013"/>
      <c r="G57" s="1014"/>
      <c r="H57" s="45" t="s">
        <v>37</v>
      </c>
      <c r="I57" s="45" t="s">
        <v>28</v>
      </c>
      <c r="J57" s="76" t="s">
        <v>29</v>
      </c>
      <c r="K57" s="45" t="s">
        <v>30</v>
      </c>
    </row>
    <row r="58" spans="1:11">
      <c r="B58" s="46"/>
      <c r="C58" s="1021"/>
      <c r="D58" s="1022"/>
      <c r="E58" s="1022"/>
      <c r="F58" s="1022"/>
      <c r="G58" s="1023"/>
      <c r="H58" s="55"/>
      <c r="I58" s="58"/>
      <c r="J58" s="52"/>
      <c r="K58" s="49"/>
    </row>
    <row r="59" spans="1:11">
      <c r="B59" s="47"/>
      <c r="C59" s="1024"/>
      <c r="D59" s="1025"/>
      <c r="E59" s="1025"/>
      <c r="F59" s="1025"/>
      <c r="G59" s="1026"/>
      <c r="H59" s="56"/>
      <c r="I59" s="59"/>
      <c r="J59" s="53"/>
      <c r="K59" s="50"/>
    </row>
    <row r="60" spans="1:11">
      <c r="B60" s="47"/>
      <c r="C60" s="1024"/>
      <c r="D60" s="1025"/>
      <c r="E60" s="1025"/>
      <c r="F60" s="1025"/>
      <c r="G60" s="1026"/>
      <c r="H60" s="56"/>
      <c r="I60" s="59"/>
      <c r="J60" s="53"/>
      <c r="K60" s="50"/>
    </row>
    <row r="61" spans="1:11">
      <c r="B61" s="47"/>
      <c r="C61" s="1024"/>
      <c r="D61" s="1025"/>
      <c r="E61" s="1025"/>
      <c r="F61" s="1025"/>
      <c r="G61" s="1026"/>
      <c r="H61" s="56"/>
      <c r="I61" s="59"/>
      <c r="J61" s="53"/>
      <c r="K61" s="50"/>
    </row>
    <row r="62" spans="1:11">
      <c r="B62" s="47"/>
      <c r="C62" s="1024"/>
      <c r="D62" s="1025"/>
      <c r="E62" s="1025"/>
      <c r="F62" s="1025"/>
      <c r="G62" s="1026"/>
      <c r="H62" s="56"/>
      <c r="I62" s="59"/>
      <c r="J62" s="53"/>
      <c r="K62" s="50"/>
    </row>
    <row r="63" spans="1:11">
      <c r="B63" s="47"/>
      <c r="C63" s="1024"/>
      <c r="D63" s="1025"/>
      <c r="E63" s="1025"/>
      <c r="F63" s="1025"/>
      <c r="G63" s="1026"/>
      <c r="H63" s="56"/>
      <c r="I63" s="59"/>
      <c r="J63" s="53"/>
      <c r="K63" s="50"/>
    </row>
    <row r="64" spans="1:11">
      <c r="B64" s="47"/>
      <c r="C64" s="1024"/>
      <c r="D64" s="1025"/>
      <c r="E64" s="1025"/>
      <c r="F64" s="1025"/>
      <c r="G64" s="1026"/>
      <c r="H64" s="56"/>
      <c r="I64" s="59"/>
      <c r="J64" s="53"/>
      <c r="K64" s="50"/>
    </row>
    <row r="65" spans="2:11">
      <c r="B65" s="47"/>
      <c r="C65" s="1027"/>
      <c r="D65" s="1028"/>
      <c r="E65" s="1028"/>
      <c r="F65" s="1028"/>
      <c r="G65" s="1029"/>
      <c r="H65" s="56"/>
      <c r="I65" s="59"/>
      <c r="J65" s="53"/>
      <c r="K65" s="50"/>
    </row>
    <row r="66" spans="2:11" ht="15.75" thickBot="1">
      <c r="B66" s="48"/>
      <c r="C66" s="1018"/>
      <c r="D66" s="1019"/>
      <c r="E66" s="1019"/>
      <c r="F66" s="1019"/>
      <c r="G66" s="1020"/>
      <c r="H66" s="57"/>
      <c r="I66" s="60"/>
      <c r="J66" s="54"/>
      <c r="K66" s="51"/>
    </row>
    <row r="67" spans="2:11">
      <c r="F67" s="15"/>
      <c r="G67" s="15"/>
      <c r="H67" s="15"/>
      <c r="I67" s="15"/>
      <c r="J67" s="15"/>
      <c r="K67" s="15"/>
    </row>
    <row r="68" spans="2:11">
      <c r="F68" s="8"/>
      <c r="G68" s="8"/>
      <c r="H68" s="8"/>
      <c r="I68" s="8"/>
    </row>
    <row r="69" spans="2:11">
      <c r="F69" s="8"/>
      <c r="G69" s="8"/>
      <c r="H69" s="8"/>
      <c r="I69" s="8"/>
    </row>
    <row r="70" spans="2:11">
      <c r="F70" s="8"/>
      <c r="G70" s="8"/>
      <c r="H70" s="8"/>
      <c r="I70" s="8"/>
    </row>
    <row r="71" spans="2:11">
      <c r="F71" s="8"/>
      <c r="G71" s="8"/>
      <c r="H71" s="8"/>
      <c r="I71" s="8"/>
    </row>
    <row r="72" spans="2:11">
      <c r="B72" s="15"/>
      <c r="C72" s="15"/>
      <c r="D72" s="15"/>
      <c r="E72" s="15"/>
      <c r="F72" s="8"/>
      <c r="G72" s="8"/>
      <c r="H72" s="8"/>
      <c r="I72" s="8"/>
    </row>
    <row r="73" spans="2:11">
      <c r="D73" s="9"/>
      <c r="E73" s="8"/>
      <c r="F73" s="8"/>
      <c r="G73" s="8"/>
      <c r="H73" s="8"/>
      <c r="I73" s="8"/>
    </row>
    <row r="74" spans="2:11">
      <c r="D74" s="9"/>
      <c r="E74" s="8"/>
      <c r="F74" s="8"/>
      <c r="G74" s="8"/>
      <c r="H74" s="8"/>
      <c r="I74" s="8"/>
    </row>
    <row r="75" spans="2:11">
      <c r="D75" s="9"/>
      <c r="E75" s="8"/>
      <c r="F75" s="8"/>
      <c r="G75" s="8"/>
      <c r="H75" s="8"/>
      <c r="I75" s="8"/>
    </row>
    <row r="76" spans="2:11">
      <c r="D76" s="9"/>
      <c r="E76" s="8"/>
    </row>
    <row r="77" spans="2:11">
      <c r="D77" s="9"/>
      <c r="E77" s="8"/>
    </row>
    <row r="78" spans="2:11">
      <c r="D78" s="8"/>
      <c r="E78" s="8"/>
    </row>
    <row r="79" spans="2:11">
      <c r="D79" s="8"/>
      <c r="E79" s="8"/>
    </row>
    <row r="80" spans="2:11">
      <c r="D80" s="8"/>
      <c r="E80" s="8"/>
    </row>
  </sheetData>
  <mergeCells count="45">
    <mergeCell ref="B44:K44"/>
    <mergeCell ref="B1:C5"/>
    <mergeCell ref="D1:I3"/>
    <mergeCell ref="J1:K3"/>
    <mergeCell ref="D4:I5"/>
    <mergeCell ref="J4:K4"/>
    <mergeCell ref="J5:K5"/>
    <mergeCell ref="A44:A45"/>
    <mergeCell ref="B6:I6"/>
    <mergeCell ref="J6:K6"/>
    <mergeCell ref="B7:B12"/>
    <mergeCell ref="C7:C12"/>
    <mergeCell ref="D7:D15"/>
    <mergeCell ref="F7:F15"/>
    <mergeCell ref="G7:G15"/>
    <mergeCell ref="H7:H15"/>
    <mergeCell ref="J7:J15"/>
    <mergeCell ref="B40:D40"/>
    <mergeCell ref="B16:K16"/>
    <mergeCell ref="B17:B25"/>
    <mergeCell ref="E17:E25"/>
    <mergeCell ref="G17:G25"/>
    <mergeCell ref="I17:I25"/>
    <mergeCell ref="C66:G66"/>
    <mergeCell ref="C58:G58"/>
    <mergeCell ref="C59:G59"/>
    <mergeCell ref="C60:G60"/>
    <mergeCell ref="C61:G61"/>
    <mergeCell ref="C62:G62"/>
    <mergeCell ref="C63:G63"/>
    <mergeCell ref="C64:G64"/>
    <mergeCell ref="C65:G65"/>
    <mergeCell ref="C57:G57"/>
    <mergeCell ref="C45:K45"/>
    <mergeCell ref="C46:K46"/>
    <mergeCell ref="C47:K47"/>
    <mergeCell ref="C48:K48"/>
    <mergeCell ref="C50:K50"/>
    <mergeCell ref="C51:K51"/>
    <mergeCell ref="C56:K56"/>
    <mergeCell ref="C49:K49"/>
    <mergeCell ref="C53:K53"/>
    <mergeCell ref="C54:K54"/>
    <mergeCell ref="C55:K55"/>
    <mergeCell ref="C52:K52"/>
  </mergeCells>
  <pageMargins left="0.7" right="0.7" top="0.75" bottom="0.75" header="0.3" footer="0.3"/>
  <pageSetup orientation="portrait" verticalDpi="0" r:id="rId1"/>
  <ignoredErrors>
    <ignoredError sqref="G29:G39"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vt:i4>
      </vt:variant>
    </vt:vector>
  </HeadingPairs>
  <TitlesOfParts>
    <vt:vector size="18" baseType="lpstr">
      <vt:lpstr>Inicio</vt:lpstr>
      <vt:lpstr>Tablero Estratégico</vt:lpstr>
      <vt:lpstr>Hoja1</vt:lpstr>
      <vt:lpstr>Hoja7</vt:lpstr>
      <vt:lpstr>Hoja6</vt:lpstr>
      <vt:lpstr>Hoja5</vt:lpstr>
      <vt:lpstr>CALCULOS</vt:lpstr>
      <vt:lpstr>Hoja2</vt:lpstr>
      <vt:lpstr>Tablero Eficacia - Eficiencia</vt:lpstr>
      <vt:lpstr>Tablero Objeivos de Calidad</vt:lpstr>
      <vt:lpstr>Hoja3</vt:lpstr>
      <vt:lpstr>Hoja4</vt:lpstr>
      <vt:lpstr>Tablero Maestro (2)</vt:lpstr>
      <vt:lpstr>DE</vt:lpstr>
      <vt:lpstr>'Tablero Eficacia - Eficiencia'!Área_de_impresión</vt:lpstr>
      <vt:lpstr>'Tablero Estratégico'!Área_de_impresión</vt:lpstr>
      <vt:lpstr>'Tablero Objeivos de Calidad'!Área_de_impresión</vt:lpstr>
      <vt:lpstr>'Tablero Estratégico'!Títulos_a_imprimir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2019-01-14T15:52:53Z</dcterms:modified>
</cp:coreProperties>
</file>