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20490" windowHeight="7650" activeTab="1"/>
  </bookViews>
  <sheets>
    <sheet name="Inicio" sheetId="19" r:id="rId1"/>
    <sheet name="Tablero Estratégico" sheetId="8" r:id="rId2"/>
    <sheet name="Hoja1" sheetId="18" state="hidden" r:id="rId3"/>
    <sheet name="Hoja2" sheetId="17" state="hidden" r:id="rId4"/>
    <sheet name="Tablero Eficacia - Eficiencia" sheetId="12" state="hidden" r:id="rId5"/>
    <sheet name="Tablero Objeivos de Calidad" sheetId="13" state="hidden" r:id="rId6"/>
    <sheet name="Hoja3" sheetId="16" state="hidden" r:id="rId7"/>
    <sheet name="Hoja4" sheetId="14" state="hidden" r:id="rId8"/>
    <sheet name="Tablero Maestro (2)" sheetId="11" state="hidden" r:id="rId9"/>
    <sheet name="DE" sheetId="9" state="hidden" r:id="rId10"/>
  </sheets>
  <externalReferences>
    <externalReference r:id="rId11"/>
    <externalReference r:id="rId12"/>
  </externalReferences>
  <definedNames>
    <definedName name="_xlnm._FilterDatabase" localSheetId="4" hidden="1">'Tablero Eficacia - Eficiencia'!$A$7:$BL$54</definedName>
    <definedName name="_xlnm._FilterDatabase" localSheetId="1" hidden="1">'Tablero Estratégico'!$A$4:$BV$30</definedName>
    <definedName name="_xlnm.Print_Area" localSheetId="4">'Tablero Eficacia - Eficiencia'!$A$1:$AL$51</definedName>
    <definedName name="_xlnm.Print_Area" localSheetId="1">'Tablero Estratégico'!$A$1:$AP$29</definedName>
    <definedName name="_xlnm.Print_Area" localSheetId="5">'Tablero Objeivos de Calidad'!$C$3:$F$29</definedName>
    <definedName name="CUMPLIMIENTO_METAS" localSheetId="9">#REF!</definedName>
    <definedName name="CUMPLIMIENTO_METAS" localSheetId="8">#REF!</definedName>
    <definedName name="CUMPLIMIENTO_METAS">#REF!</definedName>
    <definedName name="Datos_Nutricional" localSheetId="9">#REF!</definedName>
    <definedName name="Datos_Nutricional" localSheetId="8">#REF!</definedName>
    <definedName name="Datos_Nutricional">#REF!</definedName>
    <definedName name="EFICACIA_DEL_SGC" localSheetId="9">#REF!</definedName>
    <definedName name="EFICACIA_DEL_SGC" localSheetId="8">#REF!</definedName>
    <definedName name="EFICACIA_DEL_SGC">#REF!</definedName>
    <definedName name="Tabla_de_datos" localSheetId="9">'[1]Cubrimiento Cupos'!#REF!</definedName>
    <definedName name="Tabla_de_datos" localSheetId="8">'[1]Cubrimiento Cupos'!#REF!</definedName>
    <definedName name="Tabla_de_datos">'[1]Cubrimiento Cupos'!#REF!</definedName>
    <definedName name="Tabla_Logros" localSheetId="9">'[1]Logros alcanzados'!#REF!</definedName>
    <definedName name="Tabla_Logros" localSheetId="8">'[1]Logros alcanzados'!#REF!</definedName>
    <definedName name="Tabla_Logros">'[1]Logros alcanzados'!#REF!</definedName>
    <definedName name="_xlnm.Print_Titles" localSheetId="1">'Tablero Estratégico'!$1:$5</definedName>
  </definedNames>
  <calcPr calcId="162913"/>
  <fileRecoveryPr autoRecover="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K24" i="8" l="1"/>
  <c r="AK29" i="8" l="1"/>
  <c r="AK27" i="8" l="1"/>
  <c r="AT27" i="8"/>
  <c r="AK26" i="8" l="1"/>
  <c r="BE24" i="8" l="1"/>
  <c r="AJ24" i="8" l="1"/>
  <c r="AX26" i="8"/>
  <c r="AY26" i="8"/>
  <c r="AZ26" i="8"/>
  <c r="BA26" i="8"/>
  <c r="BB26" i="8"/>
  <c r="BC26" i="8"/>
  <c r="BD26" i="8"/>
  <c r="AJ26" i="8"/>
  <c r="AZ31" i="8" l="1"/>
  <c r="AJ29" i="8"/>
  <c r="AI29" i="8"/>
  <c r="BF24" i="8"/>
  <c r="AJ27" i="8"/>
  <c r="AQ6" i="8" l="1"/>
  <c r="AQ21" i="8"/>
  <c r="AQ20" i="8"/>
  <c r="AQ28" i="8"/>
  <c r="J28" i="8" s="1"/>
  <c r="AQ19" i="8"/>
  <c r="AQ18" i="8"/>
  <c r="AQ13" i="8"/>
  <c r="AQ12" i="8"/>
  <c r="AQ7" i="8"/>
  <c r="AQ9" i="8"/>
  <c r="F18" i="8" l="1"/>
  <c r="I18" i="8" s="1"/>
  <c r="E20" i="8"/>
  <c r="J20" i="8" s="1"/>
  <c r="B13" i="19"/>
  <c r="AI24" i="8"/>
  <c r="AQ24" i="8" s="1"/>
  <c r="AX22" i="8"/>
  <c r="C12" i="8" l="1"/>
  <c r="E12" i="8" s="1"/>
  <c r="F12" i="8" s="1"/>
  <c r="H12" i="8" s="1"/>
  <c r="J12" i="8" s="1"/>
  <c r="AI26" i="8"/>
  <c r="AQ26" i="8" s="1"/>
  <c r="E26" i="8" s="1"/>
  <c r="G26" i="8" s="1"/>
  <c r="H26" i="8" s="1"/>
  <c r="J26" i="8" s="1"/>
  <c r="L26" i="8" s="1"/>
  <c r="AI27" i="8"/>
  <c r="AQ27" i="8" s="1"/>
  <c r="C27" i="8" s="1"/>
  <c r="D27" i="8" s="1"/>
  <c r="E27" i="8" s="1"/>
  <c r="F27" i="8" s="1"/>
  <c r="H27" i="8" s="1"/>
  <c r="J27" i="8" s="1"/>
  <c r="K27" i="8" s="1"/>
  <c r="AI22" i="8" l="1"/>
  <c r="AQ22" i="8" s="1"/>
  <c r="B15" i="19" l="1"/>
  <c r="C22" i="8"/>
  <c r="L22" i="8" s="1"/>
  <c r="AQ29" i="8"/>
  <c r="J29" i="8" l="1"/>
  <c r="F29" i="8"/>
  <c r="C29" i="8"/>
  <c r="AH24" i="8"/>
  <c r="AH26" i="8"/>
  <c r="AW26" i="8" l="1"/>
  <c r="AV26" i="8"/>
  <c r="BJ25" i="8"/>
  <c r="AH27" i="8" l="1"/>
  <c r="AH29" i="8" l="1"/>
  <c r="AG26" i="8" l="1"/>
  <c r="AG27" i="8"/>
  <c r="BN26" i="8" l="1"/>
  <c r="BN27" i="8"/>
  <c r="BN28" i="8"/>
  <c r="BN29" i="8"/>
  <c r="BN30" i="8"/>
  <c r="BN31" i="8"/>
  <c r="BN32" i="8"/>
  <c r="BN25" i="8"/>
  <c r="BH25" i="8"/>
  <c r="BG25" i="8"/>
  <c r="AE24" i="8"/>
  <c r="AF24" i="8"/>
  <c r="AD26" i="8" l="1"/>
  <c r="AD27" i="8" l="1"/>
  <c r="AU27" i="8"/>
  <c r="AD24" i="8"/>
  <c r="AU26" i="8"/>
  <c r="AT26" i="8"/>
  <c r="AS26" i="8"/>
  <c r="AS27" i="8"/>
  <c r="AS29" i="8"/>
  <c r="AV27" i="8" l="1"/>
  <c r="AW25" i="8" s="1"/>
  <c r="E12" i="19"/>
  <c r="E11" i="19"/>
  <c r="E13" i="19"/>
  <c r="E10" i="19"/>
  <c r="AQ17" i="8"/>
  <c r="B11" i="19" s="1"/>
  <c r="AQ16" i="8"/>
  <c r="B10" i="19" s="1"/>
  <c r="AQ15" i="8"/>
  <c r="AQ14" i="8"/>
  <c r="B8" i="19" s="1"/>
  <c r="B7" i="19"/>
  <c r="AQ11" i="8"/>
  <c r="AQ10" i="8"/>
  <c r="AQ8" i="8"/>
  <c r="C6" i="8" s="1"/>
  <c r="AC10" i="8"/>
  <c r="AB10" i="8"/>
  <c r="AA10" i="8"/>
  <c r="AA7" i="8"/>
  <c r="AB7" i="8"/>
  <c r="G8" i="18"/>
  <c r="F8" i="18"/>
  <c r="F18" i="18"/>
  <c r="E18" i="18"/>
  <c r="AH6" i="12"/>
  <c r="AG6" i="12"/>
  <c r="AE6" i="12"/>
  <c r="N6" i="12"/>
  <c r="L6" i="12"/>
  <c r="G40" i="12"/>
  <c r="AJ48" i="12"/>
  <c r="AJ46" i="12"/>
  <c r="AL48" i="12"/>
  <c r="AL46" i="12"/>
  <c r="J46" i="12"/>
  <c r="I46" i="12"/>
  <c r="AL33" i="12"/>
  <c r="AJ33" i="12"/>
  <c r="O33" i="12"/>
  <c r="AB33" i="12"/>
  <c r="AJ29" i="12"/>
  <c r="G15" i="17"/>
  <c r="G17" i="17" s="1"/>
  <c r="E15" i="17"/>
  <c r="F15" i="17"/>
  <c r="F17" i="17" s="1"/>
  <c r="AJ30" i="12"/>
  <c r="L13" i="16"/>
  <c r="M13" i="16"/>
  <c r="H13" i="16"/>
  <c r="I12" i="16"/>
  <c r="I8" i="16"/>
  <c r="I9" i="16"/>
  <c r="I10" i="16"/>
  <c r="I11" i="16"/>
  <c r="F12" i="16"/>
  <c r="E12" i="16"/>
  <c r="F11" i="16"/>
  <c r="E11" i="16"/>
  <c r="F10" i="16"/>
  <c r="E10" i="16"/>
  <c r="F9" i="16"/>
  <c r="E9" i="16"/>
  <c r="F8" i="16"/>
  <c r="E8" i="16"/>
  <c r="AJ27" i="12"/>
  <c r="O25" i="12"/>
  <c r="F14" i="13" s="1"/>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c r="I24" i="12"/>
  <c r="E13" i="13" s="1"/>
  <c r="E12" i="13"/>
  <c r="D14" i="13"/>
  <c r="D13" i="13"/>
  <c r="D12" i="13"/>
  <c r="F11" i="13"/>
  <c r="E11" i="13"/>
  <c r="D11" i="13"/>
  <c r="F9" i="13"/>
  <c r="F8" i="13"/>
  <c r="F10" i="13"/>
  <c r="E10" i="13"/>
  <c r="D10" i="13"/>
  <c r="O49" i="12"/>
  <c r="O40" i="12"/>
  <c r="F24" i="13" s="1"/>
  <c r="I40" i="12"/>
  <c r="E24" i="13" s="1"/>
  <c r="AB36" i="12"/>
  <c r="AG36" i="12" s="1"/>
  <c r="AD36" i="12"/>
  <c r="I33" i="12"/>
  <c r="AB19" i="12"/>
  <c r="AH19" i="12"/>
  <c r="AD19" i="12"/>
  <c r="E9" i="13"/>
  <c r="D9" i="13"/>
  <c r="E8" i="13"/>
  <c r="D8" i="13"/>
  <c r="F7" i="13"/>
  <c r="E7" i="13"/>
  <c r="D7" i="13"/>
  <c r="E6" i="13"/>
  <c r="D6" i="13"/>
  <c r="O21" i="12"/>
  <c r="I16" i="12"/>
  <c r="O9" i="12"/>
  <c r="F6" i="13" s="1"/>
  <c r="AE54" i="12"/>
  <c r="AF52" i="12"/>
  <c r="B50" i="12"/>
  <c r="AD48" i="12"/>
  <c r="AB48" i="12"/>
  <c r="AH48" i="12" s="1"/>
  <c r="AD47" i="12"/>
  <c r="AB47" i="12"/>
  <c r="AG47" i="12"/>
  <c r="B47" i="12"/>
  <c r="B48" i="12" s="1"/>
  <c r="B49" i="12" s="1"/>
  <c r="AD46" i="12"/>
  <c r="AB46" i="12"/>
  <c r="AH46" i="12"/>
  <c r="B46" i="12"/>
  <c r="AD44" i="12"/>
  <c r="AB44" i="12"/>
  <c r="AG44" i="12" s="1"/>
  <c r="AD43" i="12"/>
  <c r="AB43" i="12"/>
  <c r="AH43" i="12" s="1"/>
  <c r="AD42" i="12"/>
  <c r="AB42" i="12"/>
  <c r="AH42" i="12"/>
  <c r="AD41" i="12"/>
  <c r="AB41" i="12"/>
  <c r="AH41" i="12"/>
  <c r="AD40" i="12"/>
  <c r="AB40" i="12"/>
  <c r="AD39" i="12"/>
  <c r="AC39" i="12"/>
  <c r="AB39" i="12"/>
  <c r="AH39" i="12" s="1"/>
  <c r="AD38" i="12"/>
  <c r="AB38" i="12"/>
  <c r="AH38" i="12" s="1"/>
  <c r="AD37" i="12"/>
  <c r="AB37" i="12"/>
  <c r="AH37" i="12" s="1"/>
  <c r="AD35" i="12"/>
  <c r="AB35" i="12"/>
  <c r="AH35" i="12" s="1"/>
  <c r="AD33" i="12"/>
  <c r="B33" i="12"/>
  <c r="B35" i="12"/>
  <c r="AD32" i="12"/>
  <c r="AB32" i="12"/>
  <c r="AH32" i="12" s="1"/>
  <c r="AD31" i="12"/>
  <c r="AB31" i="12"/>
  <c r="AH31" i="12"/>
  <c r="AD30" i="12"/>
  <c r="AB30" i="12"/>
  <c r="AH30" i="12"/>
  <c r="AD29" i="12"/>
  <c r="AB29" i="12"/>
  <c r="AG29" i="12" s="1"/>
  <c r="AD27" i="12"/>
  <c r="AB27" i="12"/>
  <c r="AH27" i="12" s="1"/>
  <c r="AD26" i="12"/>
  <c r="AB26" i="12"/>
  <c r="AH26" i="12"/>
  <c r="B26" i="12"/>
  <c r="B27" i="12" s="1"/>
  <c r="B28" i="12" s="1"/>
  <c r="B29" i="12" s="1"/>
  <c r="B30" i="12" s="1"/>
  <c r="B31" i="12" s="1"/>
  <c r="B32" i="12" s="1"/>
  <c r="AD25" i="12"/>
  <c r="AB25" i="12"/>
  <c r="AD24" i="12"/>
  <c r="AB24" i="12"/>
  <c r="AG24" i="12" s="1"/>
  <c r="AD23" i="12"/>
  <c r="AB23" i="12"/>
  <c r="AG23" i="12" s="1"/>
  <c r="B23" i="12"/>
  <c r="B24" i="12"/>
  <c r="B25" i="12"/>
  <c r="AH22" i="12"/>
  <c r="AG22" i="12"/>
  <c r="AD20" i="12"/>
  <c r="AB20" i="12"/>
  <c r="AD18" i="12"/>
  <c r="AB18" i="12"/>
  <c r="AG18" i="12"/>
  <c r="AD17" i="12"/>
  <c r="AB17" i="12"/>
  <c r="AG17" i="12" s="1"/>
  <c r="AD16" i="12"/>
  <c r="AB16" i="12"/>
  <c r="AG16" i="12" s="1"/>
  <c r="AD14" i="12"/>
  <c r="AB14" i="12"/>
  <c r="AG14" i="12" s="1"/>
  <c r="AD13" i="12"/>
  <c r="AB13" i="12"/>
  <c r="AG13" i="12" s="1"/>
  <c r="AD12" i="12"/>
  <c r="AB12" i="12"/>
  <c r="AG12" i="12" s="1"/>
  <c r="AD11" i="12"/>
  <c r="AB11" i="12"/>
  <c r="AH11" i="12" s="1"/>
  <c r="AG11" i="12"/>
  <c r="AD10" i="12"/>
  <c r="AB10" i="12"/>
  <c r="AH10" i="12" s="1"/>
  <c r="AD9" i="12"/>
  <c r="AB9" i="12"/>
  <c r="AD8" i="12"/>
  <c r="AB8" i="12"/>
  <c r="AG8" i="12" s="1"/>
  <c r="B36" i="12"/>
  <c r="B37" i="12" s="1"/>
  <c r="B38" i="12" s="1"/>
  <c r="B39" i="12"/>
  <c r="B40" i="12"/>
  <c r="B41" i="12"/>
  <c r="B42" i="12"/>
  <c r="B43" i="12" s="1"/>
  <c r="B44" i="12" s="1"/>
  <c r="AG37" i="12"/>
  <c r="AH18" i="12"/>
  <c r="AH47" i="12"/>
  <c r="AG31" i="12"/>
  <c r="AG41" i="12"/>
  <c r="AH12" i="12"/>
  <c r="AG43" i="12"/>
  <c r="AG46" i="12"/>
  <c r="AH13" i="12"/>
  <c r="AG26" i="12"/>
  <c r="AG38" i="12"/>
  <c r="AG42" i="12"/>
  <c r="AG48" i="12"/>
  <c r="I49" i="12"/>
  <c r="AC19" i="11"/>
  <c r="AD17" i="11"/>
  <c r="AB16" i="11"/>
  <c r="Z16" i="11"/>
  <c r="AF16" i="11"/>
  <c r="AB15" i="11"/>
  <c r="Z15" i="11"/>
  <c r="AE15" i="11" s="1"/>
  <c r="AB14" i="11"/>
  <c r="Z14" i="11"/>
  <c r="AF14" i="11" s="1"/>
  <c r="AB13" i="11"/>
  <c r="Z13" i="11"/>
  <c r="AF13" i="11" s="1"/>
  <c r="AB12" i="11"/>
  <c r="Z12" i="11"/>
  <c r="AF12" i="11" s="1"/>
  <c r="AB11" i="11"/>
  <c r="Z11" i="11"/>
  <c r="AE11" i="11" s="1"/>
  <c r="AF11" i="11"/>
  <c r="AB10" i="11"/>
  <c r="Z10" i="11"/>
  <c r="AE10" i="11" s="1"/>
  <c r="AB9" i="11"/>
  <c r="Z9" i="11"/>
  <c r="AB8" i="11"/>
  <c r="Z8" i="11"/>
  <c r="AF8" i="11" s="1"/>
  <c r="B8" i="11"/>
  <c r="B9" i="11"/>
  <c r="B10" i="11" s="1"/>
  <c r="B11" i="11" s="1"/>
  <c r="B12" i="11" s="1"/>
  <c r="B13" i="11" s="1"/>
  <c r="B14" i="11" s="1"/>
  <c r="B15" i="11" s="1"/>
  <c r="B16" i="11" s="1"/>
  <c r="F39" i="9"/>
  <c r="F38" i="9"/>
  <c r="F37" i="9"/>
  <c r="F36" i="9"/>
  <c r="F35" i="9"/>
  <c r="F34" i="9"/>
  <c r="F33" i="9"/>
  <c r="F32" i="9"/>
  <c r="F31" i="9"/>
  <c r="F30" i="9"/>
  <c r="F29" i="9"/>
  <c r="F28" i="9"/>
  <c r="AF10" i="11"/>
  <c r="AE16" i="11"/>
  <c r="C39" i="9"/>
  <c r="AH17" i="12"/>
  <c r="D37" i="9"/>
  <c r="E37" i="9" s="1"/>
  <c r="AG30" i="12"/>
  <c r="AH36" i="12"/>
  <c r="M14" i="16"/>
  <c r="AE13" i="11"/>
  <c r="D36" i="9"/>
  <c r="E36" i="9" s="1"/>
  <c r="D29" i="9"/>
  <c r="E29" i="9" s="1"/>
  <c r="D30" i="9"/>
  <c r="E30" i="9" s="1"/>
  <c r="D35" i="9"/>
  <c r="E35" i="9" s="1"/>
  <c r="AE9" i="11"/>
  <c r="AH14" i="12"/>
  <c r="AG19" i="12"/>
  <c r="D28" i="9"/>
  <c r="E28" i="9" s="1"/>
  <c r="D34" i="9"/>
  <c r="E34" i="9" s="1"/>
  <c r="AF9" i="11"/>
  <c r="D38" i="9"/>
  <c r="E38" i="9" s="1"/>
  <c r="D33" i="9"/>
  <c r="E33" i="9" s="1"/>
  <c r="D31" i="9"/>
  <c r="E31" i="9" s="1"/>
  <c r="D32" i="9"/>
  <c r="E32" i="9" s="1"/>
  <c r="D39" i="9"/>
  <c r="AF15" i="11" l="1"/>
  <c r="AH24" i="12"/>
  <c r="AH29" i="12"/>
  <c r="AD19" i="11"/>
  <c r="AE19" i="11" s="1"/>
  <c r="AH9" i="12"/>
  <c r="AE8" i="11"/>
  <c r="AE12" i="11"/>
  <c r="AE17" i="11" s="1"/>
  <c r="AG32" i="12"/>
  <c r="AH16" i="12"/>
  <c r="AG9" i="12"/>
  <c r="AH23" i="12"/>
  <c r="AG39" i="12"/>
  <c r="AG27" i="12"/>
  <c r="AG33" i="12"/>
  <c r="D6" i="8"/>
  <c r="C30" i="8"/>
  <c r="AZ25" i="8"/>
  <c r="E8" i="19"/>
  <c r="BA25" i="8"/>
  <c r="BC25" i="8"/>
  <c r="AY25" i="8"/>
  <c r="AV25" i="8"/>
  <c r="AX25" i="8"/>
  <c r="BD25" i="8"/>
  <c r="BB25" i="8"/>
  <c r="I13" i="16"/>
  <c r="E9" i="19"/>
  <c r="AH40" i="12"/>
  <c r="AH25" i="12"/>
  <c r="AG40" i="12"/>
  <c r="G30" i="9"/>
  <c r="E7" i="19"/>
  <c r="E39" i="9"/>
  <c r="E40" i="9" s="1"/>
  <c r="B5" i="19"/>
  <c r="G29" i="9"/>
  <c r="G33" i="9"/>
  <c r="E5" i="19"/>
  <c r="B12" i="19"/>
  <c r="G32" i="9"/>
  <c r="G35" i="9"/>
  <c r="B18" i="19"/>
  <c r="B17" i="19"/>
  <c r="G34" i="9"/>
  <c r="G36" i="9"/>
  <c r="AH33" i="12"/>
  <c r="E6" i="19"/>
  <c r="E4" i="19"/>
  <c r="G31" i="9"/>
  <c r="G37" i="9"/>
  <c r="G38" i="9"/>
  <c r="AF17" i="11"/>
  <c r="AH8" i="12"/>
  <c r="E1" i="19"/>
  <c r="E14" i="19"/>
  <c r="AE14" i="11"/>
  <c r="AF54" i="12"/>
  <c r="AG54" i="12" s="1"/>
  <c r="AG25" i="12"/>
  <c r="AH44" i="12"/>
  <c r="B4" i="19"/>
  <c r="B6" i="19"/>
  <c r="AG10" i="12"/>
  <c r="AG35" i="12"/>
  <c r="B9" i="19"/>
  <c r="AG52" i="12" l="1"/>
  <c r="D30" i="8"/>
  <c r="E6" i="8"/>
  <c r="G39" i="9"/>
  <c r="AH52" i="12"/>
  <c r="F6" i="8" l="1"/>
  <c r="E30" i="8"/>
  <c r="G6" i="8" l="1"/>
  <c r="F30" i="8"/>
  <c r="G30" i="8" l="1"/>
  <c r="H6" i="8"/>
  <c r="I6" i="8" l="1"/>
  <c r="H30" i="8"/>
  <c r="J6" i="8" l="1"/>
  <c r="I30" i="8"/>
  <c r="K6" i="8" l="1"/>
  <c r="J30" i="8"/>
  <c r="L6" i="8" l="1"/>
  <c r="L30" i="8" s="1"/>
  <c r="H4" i="19" s="1" a="1"/>
  <c r="K30" i="8"/>
  <c r="H4" i="19" l="1"/>
  <c r="H12" i="19"/>
  <c r="J12" i="19" s="1"/>
  <c r="K12" i="19" s="1"/>
  <c r="H7" i="19"/>
  <c r="J7" i="19" s="1"/>
  <c r="K7" i="19" s="1"/>
  <c r="H11" i="19"/>
  <c r="J11" i="19" s="1"/>
  <c r="K11" i="19" s="1"/>
  <c r="H13" i="19"/>
  <c r="J13" i="19" s="1"/>
  <c r="K13" i="19" s="1"/>
  <c r="H5" i="19"/>
  <c r="J5" i="19" s="1"/>
  <c r="K5" i="19" s="1"/>
  <c r="H8" i="19"/>
  <c r="J8" i="19" s="1"/>
  <c r="K8" i="19" s="1"/>
  <c r="H10" i="19"/>
  <c r="J10" i="19" s="1"/>
  <c r="K10" i="19" s="1"/>
  <c r="H9" i="19"/>
  <c r="J9" i="19" s="1"/>
  <c r="K9" i="19" s="1"/>
  <c r="H6" i="19"/>
  <c r="J6" i="19" s="1"/>
  <c r="K6" i="19" s="1"/>
  <c r="J4" i="19" l="1"/>
  <c r="K4" i="19" s="1"/>
  <c r="J1" i="19"/>
</calcChain>
</file>

<file path=xl/sharedStrings.xml><?xml version="1.0" encoding="utf-8"?>
<sst xmlns="http://schemas.openxmlformats.org/spreadsheetml/2006/main" count="865" uniqueCount="487">
  <si>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</si>
  <si>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</si>
  <si>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</si>
  <si>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</si>
  <si>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</si>
  <si>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</si>
  <si>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</si>
  <si>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</si>
  <si>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</si>
  <si>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</si>
  <si>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</si>
  <si>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</si>
  <si>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</si>
  <si>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</si>
  <si>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</si>
  <si>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</si>
  <si>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</si>
  <si>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</si>
  <si>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</si>
  <si>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</si>
  <si>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</si>
  <si>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</si>
  <si>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</si>
  <si>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</si>
  <si>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</si>
  <si>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</si>
  <si>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</si>
  <si>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</si>
  <si>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</si>
  <si>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</si>
  <si>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</si>
  <si>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</si>
  <si>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</si>
  <si>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</si>
  <si>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</si>
  <si>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</si>
  <si>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</si>
  <si>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</si>
  <si>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</si>
  <si>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</si>
  <si>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</si>
  <si>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</si>
  <si>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</si>
  <si>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</si>
  <si>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</si>
  <si>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</si>
  <si>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</si>
  <si>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</si>
  <si>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Investigación</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</si>
  <si>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</si>
  <si>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</si>
  <si>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</si>
  <si>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</si>
  <si>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</si>
  <si>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</si>
  <si>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</si>
  <si>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</si>
  <si>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</si>
  <si>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</si>
  <si>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</si>
  <si>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</si>
  <si>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</si>
  <si>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</si>
  <si>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</si>
  <si>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</si>
  <si>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</si>
  <si>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</si>
  <si>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</si>
  <si>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</si>
  <si>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</si>
  <si>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</si>
  <si>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</si>
  <si>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Extensión y proyección social</t>
  </si>
  <si>
    <t>Docencia PES</t>
  </si>
  <si>
    <t>Docencia Bachillerato</t>
  </si>
  <si>
    <t>Bienestar Universitario</t>
  </si>
  <si>
    <t>Gestión Control Disciplinario</t>
  </si>
  <si>
    <t>Gestión de Informática y comunicaciones</t>
  </si>
  <si>
    <t>Gestión de recursos fisicos</t>
  </si>
  <si>
    <t>Gestión del Talento Humano</t>
  </si>
  <si>
    <t>Gestión de Adquisiciones</t>
  </si>
  <si>
    <t>Gestión Financiera</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</si>
  <si>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</si>
  <si>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</si>
  <si>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</si>
  <si>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</si>
  <si>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</si>
  <si>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</si>
  <si>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</si>
  <si>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</si>
  <si>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</si>
  <si>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</si>
  <si>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</si>
  <si>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</si>
  <si>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</si>
  <si>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</si>
  <si>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</si>
  <si>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</si>
  <si>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</si>
  <si>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</si>
  <si>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</si>
  <si>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</si>
  <si>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</si>
  <si>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</si>
  <si>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</si>
  <si>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</si>
  <si>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</si>
  <si>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</si>
  <si>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</si>
  <si>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</si>
  <si>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</si>
  <si>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</si>
  <si>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</si>
  <si>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</si>
  <si>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</si>
  <si>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Baja</t>
  </si>
  <si>
    <t>Programas acreditados</t>
  </si>
  <si>
    <t>Índice de empleabilidad</t>
  </si>
  <si>
    <t>Medir desempeño de los estudiantes</t>
  </si>
  <si>
    <t>Medir el número  de egresados laborando</t>
  </si>
  <si>
    <t>Presupuesto de ingresos de extensión</t>
  </si>
  <si>
    <t xml:space="preserve">Eficacia </t>
  </si>
  <si>
    <t>Revisión de syllabus</t>
  </si>
  <si>
    <t># Syllabus revisados / # total de syllabus</t>
  </si>
  <si>
    <t>Medir la pertenecía de los syllabus</t>
  </si>
  <si>
    <t xml:space="preserve">Promoción escolar </t>
  </si>
  <si>
    <t>Proyectos de formación en actividades</t>
  </si>
  <si>
    <t>Proyectos  de  apoyo a las actividades</t>
  </si>
  <si>
    <t>Programa  de transferencia de conocimiento</t>
  </si>
  <si>
    <t>Diseñar un programa de formación investigativa  que prepare  a la comunidad de investigación  para el desarrollo de actividad en el periodo  2017-  2019 a través de vínculos con el SNCTI</t>
  </si>
  <si>
    <t xml:space="preserve">Determinar el impacto de las actividad de bienestar en los estudiantes </t>
  </si>
  <si>
    <t>PQRSD atendidas oportunamente</t>
  </si>
  <si>
    <t xml:space="preserve">PQRSD atendidas oportunamente/ PQRSD recepcionadas </t>
  </si>
  <si>
    <t>atender oportunamente la PQRSD en la ETITC</t>
  </si>
  <si>
    <t xml:space="preserve">Funcionalidad de máquinas, equipos y herramientas </t>
  </si>
  <si>
    <t xml:space="preserve">Eficiencia </t>
  </si>
  <si>
    <t xml:space="preserve">Garantizar la operabilidad de máquinas, equipos, y herramientas </t>
  </si>
  <si>
    <t xml:space="preserve">Clima laboral </t>
  </si>
  <si>
    <t xml:space="preserve">Evaluación del desempeño laboral </t>
  </si>
  <si>
    <t>Tasa de ejecución plan de compras</t>
  </si>
  <si>
    <t>Destinación del ingreso</t>
  </si>
  <si>
    <t>Tendencia Media</t>
  </si>
  <si>
    <t>Gestión de Calidad</t>
  </si>
  <si>
    <t>Semestre</t>
  </si>
  <si>
    <t>Anual</t>
  </si>
  <si>
    <t xml:space="preserve">Bimestral </t>
  </si>
  <si>
    <t xml:space="preserve">Anual </t>
  </si>
  <si>
    <t xml:space="preserve">Mensual </t>
  </si>
  <si>
    <t>Trimestral</t>
  </si>
  <si>
    <t>Variación de pruebas SABER PRO</t>
  </si>
  <si>
    <t xml:space="preserve">Resultados año actual / Resultados año anterior - 1 </t>
  </si>
  <si>
    <t>Medir el cumplimiento del presupuesto de ingresos de extensión</t>
  </si>
  <si>
    <t>NA</t>
  </si>
  <si>
    <t>Estudiantes que pasaron el año n / Estudiantes matriculados en el año n</t>
  </si>
  <si>
    <t xml:space="preserve">Medir el avance de la promoción escolar </t>
  </si>
  <si>
    <t>Cantidad de equipos en operación / Cantidad de equipos existentes</t>
  </si>
  <si>
    <t xml:space="preserve">Medir el porcentaje de programas acreditados </t>
  </si>
  <si>
    <t>Determinar el clima laboral a partir de mediciones anteriores</t>
  </si>
  <si>
    <t>Evaluar las competencias de los servidores públicos de la ETITC</t>
  </si>
  <si>
    <t>Promedio avance en el plan de mejoramiento</t>
  </si>
  <si>
    <t>Mejoramiento del Sistema de Gestión</t>
  </si>
  <si>
    <t>Medir el avance en los planes de mejoramiento resultado de las auditorías</t>
  </si>
  <si>
    <t xml:space="preserve"># Evaluaciones realizadas /# Total de funciones </t>
  </si>
  <si>
    <t>Observaciones</t>
  </si>
  <si>
    <t>Elaborar un  plan de apoyo a las actividades 2017- 2019  para los grupos de investigación  que responda a las políticas nacionales de ciencia, tecnología e innovación</t>
  </si>
  <si>
    <t>Medir la efectividad en el recaudo para el respaldo de los compromisos</t>
  </si>
  <si>
    <t>Bimensual</t>
  </si>
  <si>
    <t>Nivel de satisfacción actividades de Bienestar</t>
  </si>
  <si>
    <t>Sumatoria resultado encuestas de satisfacción actividades de bienestar/ Total estudiantes encuestados</t>
  </si>
  <si>
    <t># Proyectos  de apoyo a las actividad  en ejecución/ # de planes de apoyo a las actividad  programados</t>
  </si>
  <si>
    <t># Proyectos de formación  actividad  en ejecución/ # de proyectos de formación actividad  programados</t>
  </si>
  <si>
    <t>Ingresos ejecutados / Ingresos programados</t>
  </si>
  <si>
    <t>Porcentaje de empleabilidad del año</t>
  </si>
  <si>
    <t>Recaudo / Compromisos</t>
  </si>
  <si>
    <t>≥  1,00</t>
  </si>
  <si>
    <t>Variación en la desviación estándar del examen SABER 11</t>
  </si>
  <si>
    <t>Desviación estándar año 2017 / Desviación estándar año 2016  - 1</t>
  </si>
  <si>
    <t>Mejorar la calidad de vida de la comunidad universitaria, mediante la planeación y ejecución de proyectos, programas y actividades que fortalezcan las condiciones de bienestar</t>
  </si>
  <si>
    <t>Revisar y ajustar los currículos permanentemente de acuerdo con los avances del conocimiento y los requerimientos de la sociedad para darles pertinencia y coherencia con el perfil institucional</t>
  </si>
  <si>
    <t>Modernizar la infraestructura de laboratorios, talleres y aulas especializadas para desarrollar y afirmar las competencias</t>
  </si>
  <si>
    <t>Continuar con el proceso de acreditación de los programas</t>
  </si>
  <si>
    <t>Garantizar la pertinencia de los programas de ES ofrecidos por la ETITC, a partir de la identificación de las tendencias y necesidades de la sociedad, del mercado laboral y de los procesos de ES, tanto a nivel nacional como internacional</t>
  </si>
  <si>
    <t>Formar investigadores en la gestión de grupos, formulación de proyectos de investigación y ACTI para posicionar a la ETITC como centro líder entre sus pares en Ciencia, tecnología e innovación</t>
  </si>
  <si>
    <t>Capacitar a la comunidad ETITC y definir protocolos para la aplicación de normatividad de propiedad intelectual</t>
  </si>
  <si>
    <t>Realizar publicaciones institucionales y ponencias en eventos académicos nacionales e internacionales</t>
  </si>
  <si>
    <t>Incentivar la formulación y realización de proyectos que consoliden los grupos de investigación</t>
  </si>
  <si>
    <t>Fortalecer y consolidar la gestión financiera de la institución</t>
  </si>
  <si>
    <t>Contar con un equipo humano eficiente en un ambiente laboral confortable, capaz de dar soluciones</t>
  </si>
  <si>
    <t>Mejorar el equipamiento tecnológico de la Institución</t>
  </si>
  <si>
    <t>Satisfacer las expectativas de los usuarios asociadas con un servicio educativo de calidad a través del fortalecimiento del Sistema de Gestión de calidad y la evaluación permanente</t>
  </si>
  <si>
    <t>Vincular la institución con el entorno nacional e internacional para acceder a los recursos y generar intercambios</t>
  </si>
  <si>
    <t>TABLERO INDICADORES 2017</t>
  </si>
  <si>
    <t>Mejorar el desempeño común de los estudiantes  (a mayor disminución, mejor desempeño)</t>
  </si>
  <si>
    <t>Movilidad internacional (1) 
Cantidad: 1 Docente, Destino: México
Movilidad nacional (2)
Cantidad: 1 Decano, 1 estudiante, Destino: Medellín</t>
  </si>
  <si>
    <t>Febrero</t>
  </si>
  <si>
    <t>Marzo</t>
  </si>
  <si>
    <t>Abril</t>
  </si>
  <si>
    <t>Línea Base</t>
  </si>
  <si>
    <t>Direccionamiento Institucional</t>
  </si>
  <si>
    <t>( # Programas acreditados /  # programas acreditables )</t>
  </si>
  <si>
    <t xml:space="preserve">Medir el % de programas acreditados </t>
  </si>
  <si>
    <t xml:space="preserve">Variación de pruebas saber pro </t>
  </si>
  <si>
    <t xml:space="preserve">según fuente -MEN </t>
  </si>
  <si>
    <t>Fuente observatorio laboral</t>
  </si>
  <si>
    <t>95,7% (Medición del 2015, no hay datos 2016)</t>
  </si>
  <si>
    <t>Actividades ejecutadas / actividades programadas</t>
  </si>
  <si>
    <t>Medir el cumplimiento de las actividades de movilidad.</t>
  </si>
  <si>
    <t xml:space="preserve">mensual </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</si>
  <si>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</si>
  <si>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</si>
  <si>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</si>
  <si>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</si>
  <si>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 xml:space="preserve">Egresados </t>
  </si>
  <si>
    <t>Conocer la participación de los egresados en actividades de la ETITC.</t>
  </si>
  <si>
    <t>Presupuesto ejecutado del plan de acción/ presupuesto aprobado en el plan de acción *100</t>
  </si>
  <si>
    <t xml:space="preserve">Trabajos de grado con reconocimiento </t>
  </si>
  <si>
    <t xml:space="preserve"># trabajos de grado con distinciones  / # total, trabajos de grado  </t>
  </si>
  <si>
    <t>Medir la pertinencia de los trabajos de grado</t>
  </si>
  <si>
    <t>Participación en comunidades académicas</t>
  </si>
  <si>
    <t xml:space="preserve">Medir la visibilidad de la institución en comunidades académicas </t>
  </si>
  <si>
    <t>Uso de talleres y laboratorios</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</si>
  <si>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</si>
  <si>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</si>
  <si>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</si>
  <si>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</si>
  <si>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</si>
  <si>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</si>
  <si>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Rendimiento académico periódico</t>
  </si>
  <si>
    <t>Nivel de desempeño de aprobación del bimestre actual vs. Nivel de desempeño de aprobación del bimestre anterior.</t>
  </si>
  <si>
    <t>Mejorar el desempeño académico de los estudiantes periódico</t>
  </si>
  <si>
    <t xml:space="preserve">Desempeño pruebas saber </t>
  </si>
  <si>
    <t># Proyectos de formación  actividad  en ejecución/ # de proyectos de formación actividad  programados*100</t>
  </si>
  <si>
    <t>Elaborar un  plan de apoyo a las actividades 2017- 2019  para los grupos de investigación  que responda a las políticas nacionales de ciencia, tecnología e innovación.</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</si>
  <si>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</si>
  <si>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</si>
  <si>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</si>
  <si>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Conocer la ejecución del plan de acción</t>
  </si>
  <si>
    <t>Determinar el % de ejecución de actividades con base en plan de acción</t>
  </si>
  <si>
    <t>TRD validadas</t>
  </si>
  <si>
    <t xml:space="preserve">Mantener las TRD de la ETITC validadas y actualizadas </t>
  </si>
  <si>
    <t xml:space="preserve">cantidad de equipos en operación / cantidad de equipos existentes </t>
  </si>
  <si>
    <t xml:space="preserve">Cuatrimestral </t>
  </si>
  <si>
    <t>Gestión de Control Interno</t>
  </si>
  <si>
    <t>Seguimiento a las hojas de vida de los funcionarios</t>
  </si>
  <si>
    <t xml:space="preserve"> # Hojas de vida actualizadas * 100/  # de funcionarios </t>
  </si>
  <si>
    <t xml:space="preserve">Semestral </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</si>
  <si>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</si>
  <si>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</si>
  <si>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</si>
  <si>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</si>
  <si>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</si>
  <si>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</si>
  <si>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</si>
  <si>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</si>
  <si>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</si>
  <si>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</si>
  <si>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</si>
  <si>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</si>
  <si>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</si>
  <si>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</si>
  <si>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</si>
  <si>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</si>
  <si>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</si>
  <si>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</si>
  <si>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</si>
  <si>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</si>
  <si>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</si>
  <si>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</si>
  <si>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</si>
  <si>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</si>
  <si>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Gestión de autoevaluación</t>
  </si>
  <si>
    <t>(ACTIVIDADES DESARROLLADAS EN PERIODO / TOTAL DE ACTIVIDADES PLANEADAS *100 )</t>
  </si>
  <si>
    <t xml:space="preserve">MEDIR COMO AVANZA EL PLAN DE AUTOEVALUACIÓN </t>
  </si>
  <si>
    <t>Avance de las actividades de la autoevaluación</t>
  </si>
  <si>
    <t>(Actividades desarrolladas en periodo / actividades programadas en el periodo *100 )</t>
  </si>
  <si>
    <t xml:space="preserve">Medir el avance del procesos de autoevaluación </t>
  </si>
  <si>
    <t>&lt;= 96%</t>
  </si>
  <si>
    <t>9.9925(2016)/9,9204(2015)</t>
  </si>
  <si>
    <t>No tiene, es la primera vez que se mide este impacto</t>
  </si>
  <si>
    <t>Satisfacción de los cursos de extensión</t>
  </si>
  <si>
    <t>Promedio de las evaluaciones de los cursos</t>
  </si>
  <si>
    <t>Medir la satisfacción de los estudiantes frente a los programas ofertados en el área</t>
  </si>
  <si>
    <t>Permanencia en los cursos de extensión</t>
  </si>
  <si>
    <t>#Total de estudiantes que culminan / # de estudiantes que se matriculan *100</t>
  </si>
  <si>
    <t>Conocer la permanencia académica</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</si>
  <si>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</si>
  <si>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</si>
  <si>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</si>
  <si>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</si>
  <si>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</si>
  <si>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</si>
  <si>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</si>
  <si>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INDICADOR</t>
  </si>
  <si>
    <t>LÍNEA BASE</t>
  </si>
  <si>
    <t>Medir el porcentaje de ejecución de convenios y redes ejecutados por la ETITC</t>
  </si>
  <si>
    <t>#de horas de uso de talleres y laboratorios/ #total de horas dispuestas por el taller</t>
  </si>
  <si>
    <t>Un trabajo por cada facultad</t>
  </si>
  <si>
    <t xml:space="preserve">Promoción y participación de esas redes para la acreditación (Todas las facultades pertenezcan en cada una de la sredes), componente de redes </t>
  </si>
  <si>
    <t>Medir el uso de los talleres y laboratorios</t>
  </si>
  <si>
    <t>Uso de talleres al 100%</t>
  </si>
  <si>
    <t>Facultades con al menos 1 participación/ total de facultades</t>
  </si>
  <si>
    <t>&lt;=97,6</t>
  </si>
  <si>
    <t xml:space="preserve">( # formato de asistencia o  actividades semestre vigente/asistente actividad semestre anterior) - 1 </t>
  </si>
  <si>
    <t>Identificar las participaciones de # de beneficiados en la actividad de bienestar</t>
  </si>
  <si>
    <t>Promedio de las encuestas de satisfacción</t>
  </si>
  <si>
    <t xml:space="preserve"> # actividad formación integral ejecutadas/ + actividades formación integral planeadas</t>
  </si>
  <si>
    <t>Entre 15 y 15 de cada periodo</t>
  </si>
  <si>
    <t>TRD validadas / total TRD</t>
  </si>
  <si>
    <t>Nivel de satisfacciób a las solicitudes de planta física</t>
  </si>
  <si>
    <t>Promedio % de satisfacción</t>
  </si>
  <si>
    <t>Garantizar la calidad del servicio prestado</t>
  </si>
  <si>
    <t>Avace del plan de trabajo de la coordinación</t>
  </si>
  <si>
    <t>Cumplimiento de actividades de movilidad</t>
  </si>
  <si>
    <t>75% (11/15)</t>
  </si>
  <si>
    <t>&gt;= 96%</t>
  </si>
  <si>
    <t>OBJETIVO DE CALIDAD</t>
  </si>
  <si>
    <t># Evaluaciones realizadas /# Total de funcionarios</t>
  </si>
  <si>
    <t>ORII</t>
  </si>
  <si>
    <t>Mayo</t>
  </si>
  <si>
    <t>Junio</t>
  </si>
  <si>
    <t># Proyectos  de apoyo a las ACTI  en ejecución/ # de proyectos de apoyo a las actividad programados*100</t>
  </si>
  <si>
    <t>En este índicador se da cumplimiento al 100%</t>
  </si>
  <si>
    <t>Por ser la primera medición, el rendimiento de 3,64 (Desempeño básico) es nuestra línea base para la siguiente evaluación</t>
  </si>
  <si>
    <t>Satisfaccion</t>
  </si>
  <si>
    <t>Beneficiados</t>
  </si>
  <si>
    <t>Artes</t>
  </si>
  <si>
    <t>Salud</t>
  </si>
  <si>
    <t>T Social</t>
  </si>
  <si>
    <t>Psicología</t>
  </si>
  <si>
    <t>Rec Deportes</t>
  </si>
  <si>
    <t>Pastoral PES</t>
  </si>
  <si>
    <t>Pastoral IBTI</t>
  </si>
  <si>
    <t>Realizadas</t>
  </si>
  <si>
    <t>Propuestas</t>
  </si>
  <si>
    <t>Actividades</t>
  </si>
  <si>
    <t>Última medición, Junio del 2017</t>
  </si>
  <si>
    <t>Medición del mes de Junio del 2017, se toma este dato como línea base para la próxima medición</t>
  </si>
  <si>
    <t>De las 64 actividades programadas se cumplen 52</t>
  </si>
  <si>
    <t>hay</t>
  </si>
  <si>
    <t>reparar</t>
  </si>
  <si>
    <t>uso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</si>
  <si>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</si>
  <si>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</si>
  <si>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</si>
  <si>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</si>
  <si>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lleva ejecutado 24% del presupuesto.</t>
  </si>
  <si>
    <t>De auerdo al lider del proceso, este indicador se medira en el mes de Julio.</t>
  </si>
  <si>
    <t>Se recibieron 5 solicitudes de movilidad Internacional, se ven pocas solicitudes debido al receso académico de la entidad</t>
  </si>
  <si>
    <t>#de egresados vinculados / # de egresados totales *100</t>
  </si>
  <si>
    <t>Levantamiento de información física para los programas, identificación de % de deserción usando  como base la metodología SPADIES, calsificación de recursos bibliográficos por facultad.</t>
  </si>
  <si>
    <t>Cargue de de condiciones iniciales en un 80%  de la informaciómn</t>
  </si>
  <si>
    <t>&lt;=85</t>
  </si>
  <si>
    <t>Medición se realiza a Junio 30 del 2017</t>
  </si>
  <si>
    <t>Se aprobaron y validaron las tablas de retencipon documental al 100% en el consejo</t>
  </si>
  <si>
    <t>Se ha realizado el tema de la implementación del marco de seguridad de información y análisis de riesgo.</t>
  </si>
  <si>
    <t>Porcentaje promedio de avance del seguimiento de convenios</t>
  </si>
  <si>
    <t>BAJO</t>
  </si>
  <si>
    <t>MEDIO</t>
  </si>
  <si>
    <t>Ejecución de convenios y redes nacionales e internacionales</t>
  </si>
  <si>
    <t>Atender oportunamente la PQRSD en la ETITC</t>
  </si>
  <si>
    <t>x&gt;=1,00</t>
  </si>
  <si>
    <t>x&lt;90%</t>
  </si>
  <si>
    <t>x&gt;=95%</t>
  </si>
  <si>
    <t>x&lt;30%</t>
  </si>
  <si>
    <t>x&lt;75%</t>
  </si>
  <si>
    <t>Resultado de la medición del clima laboral en el período</t>
  </si>
  <si>
    <t>Determinar el clima laboral, el cual deberá ser superior al de la línea base o del año anterior</t>
  </si>
  <si>
    <t>ALTO</t>
  </si>
  <si>
    <t>Realizar el seguimiento a las hojas de vida registradas en el Sigep (incluídos contratistas)</t>
  </si>
  <si>
    <t>x&gt;=90%</t>
  </si>
  <si>
    <t>75%&lt;=x&lt;90%</t>
  </si>
  <si>
    <t>x&lt;0,90</t>
  </si>
  <si>
    <t>&gt; 91,00%</t>
  </si>
  <si>
    <t>x&lt;60%</t>
  </si>
  <si>
    <t>&gt;=80%</t>
  </si>
  <si>
    <t>Julio</t>
  </si>
  <si>
    <t>x&lt;70%</t>
  </si>
  <si>
    <t>x&lt;73%</t>
  </si>
  <si>
    <t>x&gt;=100%</t>
  </si>
  <si>
    <t>Proceso de acreditación de programas</t>
  </si>
  <si>
    <t>Medir el cumplimiento de las etapas de la acreditación de programas</t>
  </si>
  <si>
    <t>x&lt;85%</t>
  </si>
  <si>
    <t>x&lt;72%</t>
  </si>
  <si>
    <t>x=100%</t>
  </si>
  <si>
    <t>72%
&lt;=x&lt;
100%</t>
  </si>
  <si>
    <t>60%
&lt;=x&lt;
80%</t>
  </si>
  <si>
    <t>90%
&lt;=x&lt;
95%</t>
  </si>
  <si>
    <t>70%
&lt;=x&lt;
89%</t>
  </si>
  <si>
    <t>0,90
&lt;=x&lt;
1,00</t>
  </si>
  <si>
    <t>85%
&lt;=x&lt;
99%</t>
  </si>
  <si>
    <t>PERIODO</t>
  </si>
  <si>
    <t>DESCRIPCIÓN</t>
  </si>
  <si>
    <t>FÓRMULA</t>
  </si>
  <si>
    <t>OBJETIVO ESTRATÉGICO</t>
  </si>
  <si>
    <t>RANGO</t>
  </si>
  <si>
    <t>Bajo</t>
  </si>
  <si>
    <t>Medio</t>
  </si>
  <si>
    <t>Óptimo</t>
  </si>
  <si>
    <t>MEDICIÓN Y ANÁLISIS</t>
  </si>
  <si>
    <t>92,8%
&lt;=x&lt;
95%</t>
  </si>
  <si>
    <t>x&lt;92,8%</t>
  </si>
  <si>
    <t>((195+323+318)/3810)-((232+431+250)/3868)</t>
  </si>
  <si>
    <t>≥ 90,0%</t>
  </si>
  <si>
    <t>LÍNEA BASE
(2016)</t>
  </si>
  <si>
    <t>RESULTADO
2017</t>
  </si>
  <si>
    <t>50%
&lt;=x&lt;
70%</t>
  </si>
  <si>
    <t>x&gt;=70%</t>
  </si>
  <si>
    <t>Ejecución de ingresos</t>
  </si>
  <si>
    <t>Ingresos propios recibidos / Ingresos propios esperados</t>
  </si>
  <si>
    <t>85%
&lt;=x&lt;
95%</t>
  </si>
  <si>
    <r>
      <t xml:space="preserve">Avance etapas 
</t>
    </r>
    <r>
      <rPr>
        <b/>
        <sz val="20"/>
        <rFont val="Calibri"/>
        <family val="2"/>
        <scheme val="minor"/>
      </rPr>
      <t>(</t>
    </r>
    <r>
      <rPr>
        <sz val="20"/>
        <rFont val="Calibri"/>
        <family val="2"/>
        <scheme val="minor"/>
      </rPr>
      <t xml:space="preserve">11 cargues iniciales </t>
    </r>
    <r>
      <rPr>
        <b/>
        <sz val="20"/>
        <rFont val="Calibri"/>
        <family val="2"/>
        <scheme val="minor"/>
      </rPr>
      <t>+</t>
    </r>
    <r>
      <rPr>
        <sz val="20"/>
        <rFont val="Calibri"/>
        <family val="2"/>
        <scheme val="minor"/>
      </rPr>
      <t xml:space="preserve"> 11 Revisiones </t>
    </r>
    <r>
      <rPr>
        <b/>
        <sz val="20"/>
        <rFont val="Calibri"/>
        <family val="2"/>
        <scheme val="minor"/>
      </rPr>
      <t>+</t>
    </r>
    <r>
      <rPr>
        <sz val="20"/>
        <rFont val="Calibri"/>
        <family val="2"/>
        <scheme val="minor"/>
      </rPr>
      <t xml:space="preserve"> 11 cargues de información </t>
    </r>
    <r>
      <rPr>
        <b/>
        <sz val="20"/>
        <rFont val="Calibri"/>
        <family val="2"/>
        <scheme val="minor"/>
      </rPr>
      <t>+</t>
    </r>
    <r>
      <rPr>
        <sz val="20"/>
        <rFont val="Calibri"/>
        <family val="2"/>
        <scheme val="minor"/>
      </rPr>
      <t xml:space="preserve"> 4 asignaciones </t>
    </r>
    <r>
      <rPr>
        <b/>
        <sz val="20"/>
        <rFont val="Calibri"/>
        <family val="2"/>
        <scheme val="minor"/>
      </rPr>
      <t>+</t>
    </r>
    <r>
      <rPr>
        <sz val="20"/>
        <rFont val="Calibri"/>
        <family val="2"/>
        <scheme val="minor"/>
      </rPr>
      <t xml:space="preserve"> 4 aclaraciones </t>
    </r>
    <r>
      <rPr>
        <b/>
        <sz val="20"/>
        <rFont val="Calibri"/>
        <family val="2"/>
        <scheme val="minor"/>
      </rPr>
      <t>+</t>
    </r>
    <r>
      <rPr>
        <sz val="20"/>
        <rFont val="Calibri"/>
        <family val="2"/>
        <scheme val="minor"/>
      </rPr>
      <t xml:space="preserve"> 4 conceptos</t>
    </r>
    <r>
      <rPr>
        <b/>
        <sz val="20"/>
        <rFont val="Calibri"/>
        <family val="2"/>
        <scheme val="minor"/>
      </rPr>
      <t>) / (</t>
    </r>
    <r>
      <rPr>
        <sz val="20"/>
        <rFont val="Calibri"/>
        <family val="2"/>
        <scheme val="minor"/>
      </rPr>
      <t>45</t>
    </r>
    <r>
      <rPr>
        <b/>
        <sz val="20"/>
        <rFont val="Calibri"/>
        <family val="2"/>
        <scheme val="minor"/>
      </rPr>
      <t>)</t>
    </r>
  </si>
  <si>
    <r>
      <rPr>
        <b/>
        <sz val="20"/>
        <color rgb="FF000000"/>
        <rFont val="Calibri"/>
        <family val="2"/>
        <scheme val="minor"/>
      </rPr>
      <t>(</t>
    </r>
    <r>
      <rPr>
        <sz val="20"/>
        <color rgb="FF000000"/>
        <rFont val="Calibri"/>
        <family val="2"/>
        <scheme val="minor"/>
      </rPr>
      <t xml:space="preserve">PQRSD recibidas hasta el día 15 del mes </t>
    </r>
    <r>
      <rPr>
        <b/>
        <i/>
        <sz val="20"/>
        <color rgb="FF000000"/>
        <rFont val="Calibri"/>
        <family val="2"/>
        <scheme val="minor"/>
      </rPr>
      <t xml:space="preserve">n-1 </t>
    </r>
    <r>
      <rPr>
        <sz val="20"/>
        <color rgb="FF000000"/>
        <rFont val="Calibri"/>
        <family val="2"/>
        <scheme val="minor"/>
      </rPr>
      <t>y</t>
    </r>
    <r>
      <rPr>
        <b/>
        <i/>
        <sz val="20"/>
        <color rgb="FF000000"/>
        <rFont val="Calibri"/>
        <family val="2"/>
        <scheme val="minor"/>
      </rPr>
      <t xml:space="preserve"> </t>
    </r>
    <r>
      <rPr>
        <sz val="20"/>
        <color rgb="FF000000"/>
        <rFont val="Calibri"/>
        <family val="2"/>
        <scheme val="minor"/>
      </rPr>
      <t xml:space="preserve">atendidas oportunamente al día 14 del mes </t>
    </r>
    <r>
      <rPr>
        <b/>
        <i/>
        <sz val="20"/>
        <color rgb="FF000000"/>
        <rFont val="Calibri"/>
        <family val="2"/>
        <scheme val="minor"/>
      </rPr>
      <t>n</t>
    </r>
    <r>
      <rPr>
        <b/>
        <sz val="20"/>
        <color rgb="FF000000"/>
        <rFont val="Calibri"/>
        <family val="2"/>
        <scheme val="minor"/>
      </rPr>
      <t>)</t>
    </r>
    <r>
      <rPr>
        <sz val="20"/>
        <color rgb="FF000000"/>
        <rFont val="Calibri"/>
        <family val="2"/>
        <scheme val="minor"/>
      </rPr>
      <t xml:space="preserve"> </t>
    </r>
    <r>
      <rPr>
        <b/>
        <sz val="20"/>
        <color rgb="FF000000"/>
        <rFont val="Calibri"/>
        <family val="2"/>
        <scheme val="minor"/>
      </rPr>
      <t>/</t>
    </r>
    <r>
      <rPr>
        <sz val="20"/>
        <color rgb="FF000000"/>
        <rFont val="Calibri"/>
        <family val="2"/>
        <scheme val="minor"/>
      </rPr>
      <t xml:space="preserve"> </t>
    </r>
    <r>
      <rPr>
        <b/>
        <sz val="20"/>
        <color rgb="FF000000"/>
        <rFont val="Calibri"/>
        <family val="2"/>
        <scheme val="minor"/>
      </rPr>
      <t>(</t>
    </r>
    <r>
      <rPr>
        <sz val="20"/>
        <color rgb="FF000000"/>
        <rFont val="Calibri"/>
        <family val="2"/>
        <scheme val="minor"/>
      </rPr>
      <t xml:space="preserve">PQRSD recepcionadas hasta el día 15 del mes </t>
    </r>
    <r>
      <rPr>
        <b/>
        <i/>
        <sz val="20"/>
        <color rgb="FF000000"/>
        <rFont val="Calibri"/>
        <family val="2"/>
        <scheme val="minor"/>
      </rPr>
      <t>n - 1</t>
    </r>
    <r>
      <rPr>
        <b/>
        <sz val="20"/>
        <color rgb="FF000000"/>
        <rFont val="Calibri"/>
        <family val="2"/>
        <scheme val="minor"/>
      </rPr>
      <t>)</t>
    </r>
  </si>
  <si>
    <t>Medir oportunamente el nivel de recaudo con el fin de revisar el cumplimiento del plan de acción del año</t>
  </si>
  <si>
    <t>$ 7.921.808.605 de un proyectado de 
$ 12.490.038.624
(63,43%)</t>
  </si>
  <si>
    <t>x&gt;=75%</t>
  </si>
  <si>
    <t>50%
&lt;=x&lt;
75%</t>
  </si>
  <si>
    <t>x&lt;50%</t>
  </si>
  <si>
    <t>(Participantes de las actividades de bienestar semestre actual / Participantes semestre anterior semestre anterior) - 1</t>
  </si>
  <si>
    <t>Participación de la comunidad universitaria</t>
  </si>
  <si>
    <t>Mostrar el incremento en la población que participa en las actividades de bienestar</t>
  </si>
  <si>
    <t>x&lt;2%</t>
  </si>
  <si>
    <t>2%
&lt;=x&lt;
5%</t>
  </si>
  <si>
    <t>x&gt;=5%</t>
  </si>
  <si>
    <r>
      <rPr>
        <b/>
        <sz val="20"/>
        <rFont val="Calibri"/>
        <family val="2"/>
        <scheme val="minor"/>
      </rPr>
      <t>#</t>
    </r>
    <r>
      <rPr>
        <sz val="20"/>
        <rFont val="Calibri"/>
        <family val="2"/>
        <scheme val="minor"/>
      </rPr>
      <t xml:space="preserve"> Programas acreditados </t>
    </r>
    <r>
      <rPr>
        <b/>
        <sz val="20"/>
        <rFont val="Calibri"/>
        <family val="2"/>
        <scheme val="minor"/>
      </rPr>
      <t>/</t>
    </r>
    <r>
      <rPr>
        <sz val="20"/>
        <rFont val="Calibri"/>
        <family val="2"/>
        <scheme val="minor"/>
      </rPr>
      <t xml:space="preserve">  
Solicitudes de programas  calificados</t>
    </r>
  </si>
  <si>
    <t>TIPO DE INDICADOR</t>
  </si>
  <si>
    <t>PLAN DE ACCIÓN ASOCIADO</t>
  </si>
  <si>
    <t>Fortalecimiento del proceso de docencia</t>
  </si>
  <si>
    <t>- Proceso de autoevaluación institucional 2018-2019
- Continuidad al proceso de acreditación de programas de pregrado
- Ejecución de planes de mejoramiento
- Gestión de autoevaluación 
- Gestión de acreditación</t>
  </si>
  <si>
    <t>Ciencias naturales</t>
  </si>
  <si>
    <t>- Evaluación y seguimiento
- Disciplina</t>
  </si>
  <si>
    <t>Direccionamiento Estratégico</t>
  </si>
  <si>
    <t>Gestión de convenios - Redes - Alianzas</t>
  </si>
  <si>
    <t>Gestión de Recursos físicos</t>
  </si>
  <si>
    <t>Formación de investigadores</t>
  </si>
  <si>
    <t>- Gestión del conocimiento
- Formación de investigadores</t>
  </si>
  <si>
    <t>- Quédate en le ETITC-Psicología
- Trabajo Social
- Una ETITC Activa- Deportes
- ETITC Una nota con arte
- Humanizar la Escuela
- Salud
- Banda de marcha</t>
  </si>
  <si>
    <t>- Vinculación y desarrollo del talento humano</t>
  </si>
  <si>
    <t xml:space="preserve">- Mantenimiento Planta Física
- Mejoramiento de la planta física
- Mantenimiento y mejoramiento de talleres y laboratorios
- Modernización de infrastructura, laboratorios, talleres y aulas especializadas
</t>
  </si>
  <si>
    <t>- Gestión de convenios – Redes – Alianzas 
- Nueva oferta académica
- Cursos técnicos y diplomados
- Cursos y diplomados a la medida para empresas
- Cursos de lenguas</t>
  </si>
  <si>
    <t>- Fortalecimiento de los procesos del área (viceadministrativa)</t>
  </si>
  <si>
    <t>- Cursos técnicos y diplomados
- Cursos y diplomados a la medida para empresas
- Cursos de lenguas</t>
  </si>
  <si>
    <t>- Planeación institucional y alineación con el MIPG 2.0
- Mantener, mejorar y fortalecer el Sistema de Gestión Integrado
- Evaluación y seguimiento al Sistema de Gestión Integrado</t>
  </si>
  <si>
    <t>- Implementación del sistema de gestión del documento electrónico
- Mejorar los procesos de atención al ciudadano a través de la ventanilla única de radicación</t>
  </si>
  <si>
    <t>MEJOR SI</t>
  </si>
  <si>
    <t>≥ 90,00%</t>
  </si>
  <si>
    <t>Noviembre</t>
  </si>
  <si>
    <t>Diciembre</t>
  </si>
  <si>
    <t>Septiembre</t>
  </si>
  <si>
    <t>Octubre</t>
  </si>
  <si>
    <t>x&gt;90%</t>
  </si>
  <si>
    <t>x&gt;91%</t>
  </si>
  <si>
    <t>Desviación estándar año 2018</t>
  </si>
  <si>
    <t>78%
&lt;=x&lt;=
91%</t>
  </si>
  <si>
    <t>Bianual</t>
  </si>
  <si>
    <t>73%
&lt;=x&lt;
95%</t>
  </si>
  <si>
    <t>OBJETIVOS ESTRATÉGICOS</t>
  </si>
  <si>
    <t>PROCESOS</t>
  </si>
  <si>
    <t>Se recibieron los resultados 2017:
Presentes 2016: 193
Presentes 2017: 355
Promedio 2016: 150                 Desviación estándar: 19
Promedio 2017: 147                 Desviación estándar: 20</t>
  </si>
  <si>
    <t>Se está trabajando conjuntamente con dos docentes de la universidad del Valle, para la realización de una visita de pares "Amigos", como fase de preparación para la visita por parte del CNA.</t>
  </si>
  <si>
    <t>Durante el primer semestre del 2018, se tiene un nivel de satisfacción óptimo</t>
  </si>
  <si>
    <t>De 127 equipos que tiene la escuela, 105  operativos y 3 para dar de baja</t>
  </si>
  <si>
    <t>De acuerdo al momento 0 realizado en este semestre, la información arroja que la empleabilidad de los estudiantes graduados corresponde a 95%</t>
  </si>
  <si>
    <t>Se realizó la revisión de los syllabus de ciencias básicas, inglés, humanidades, matemáticas, mecánica, economía y administración y sistemas.</t>
  </si>
  <si>
    <t>Durante el primer semestre del 2018, se tiene una participación de 5.476 estudiantes a las diferentes actvidades realizadas por el área de bienestar universitario</t>
  </si>
  <si>
    <t>Se ha trabajado en: Carta de Adhesión Red de Instituciones de Educación Superior Ecuador Colombia REDEC / Firma de convenio específico con la Universidad Pedagógica para creación del programa Licenciatura en Tecnología, adicional de la renovación del convenio FESTO y se está adelantando modificaciones al convenio de Lean Solution.</t>
  </si>
  <si>
    <t>FACTORES</t>
  </si>
  <si>
    <t>FACTOR 2. LOS ESTUDIANTES.</t>
  </si>
  <si>
    <t>FACTOR 3. PROFESORES</t>
  </si>
  <si>
    <t>FACTOR 4. PROCESOS ACADÉMICOS</t>
  </si>
  <si>
    <t>FACTOR 5. VISIBILIDAD NACIONAL E INTERNACIONAL</t>
  </si>
  <si>
    <t>FACTOR 6. INVESTIGACIÓN, INNOVACIÓN Y CREACIÓN ARTÍSTICA Y CULTURAL.</t>
  </si>
  <si>
    <t>FACTOR 7. BIENESTAR INSTITUCIONAL</t>
  </si>
  <si>
    <t>FACTOR 8. ORGANIZACIÓN, ADMINISTRACION Y GESTION.</t>
  </si>
  <si>
    <t>FACTOR 9. IMPACTO DE LOS EGRESADOS EN EL MEDIO.</t>
  </si>
  <si>
    <t>FACTOR 10. RECURSOS FÍSICOS Y FINANCIEROS.</t>
  </si>
  <si>
    <t>PESO</t>
  </si>
  <si>
    <t>PESO RELATIVO</t>
  </si>
  <si>
    <t>FACTOR 1. MISIÓN, VISIÓN Y PROYECTO INSTITUCIONAL Y DE PROGRAMA</t>
  </si>
  <si>
    <t>MEDICIÓN AUTOEVALUACIÓN A JULIO</t>
  </si>
  <si>
    <t>Idiomas: $ 106.373.501
Preingeniero: $ 112.756.799
Seminarios: $531.123.432
TOTAL: $ 750.253.732
META: $1.100.000.000</t>
  </si>
  <si>
    <t>En el mes de agosto se tuvo la visita de los pares académicos para los porgramas de  Electromecánica y Procesos Industriales en sus tres ciclos (Técnico, Tecnología e Ingeniería) y Sistemas en sus programas de Tecnología e Ingeniería.
En el mes de Septiembre se espera la visita al programa de Mecátronica en sus tres  ciclos (Técnico, Tecnología e Ingeniería)</t>
  </si>
  <si>
    <t>MEDICIÓN GESTIÓN A AGOSTO</t>
  </si>
  <si>
    <t>Durante el 16 de Julio hasta el 15 de Agoosto, se recibieron 456 PQRSD y se contestaron de manera oportuna 443.</t>
  </si>
  <si>
    <t>Agosto</t>
  </si>
  <si>
    <t>El plan de mejoramiento que se estaba trabajando con ICONTEC se encuentra en un 100% incluyendo la visita que se realizó en el mes de Junio de recertificación. En las auditorias internas se tienen ya 10 planes de mejoramiento  de 12 que se han realizado.</t>
  </si>
  <si>
    <t xml:space="preserve">Acumulado con corte a julio, se recaudaron $16.690.514.730,53 (incluídos recursos Nación) y se comprometieron $18.538.215.467,89. Pagos acumulados están en $14.999.781.739,27
Frente al mes de junio, el recaudo se incrementó en 12,82% en tanto los compromisos se incrementaron en 11,87%. </t>
  </si>
  <si>
    <r>
      <t xml:space="preserve">Para cumplir con la meta acumualada y de acuerdo con los históricos:
</t>
    </r>
    <r>
      <rPr>
        <sz val="10"/>
        <color theme="1"/>
        <rFont val="Calibri"/>
        <family val="2"/>
        <scheme val="minor"/>
      </rPr>
      <t xml:space="preserve"> 
</t>
    </r>
    <r>
      <rPr>
        <sz val="20"/>
        <color theme="1"/>
        <rFont val="Calibri"/>
        <family val="2"/>
        <scheme val="minor"/>
      </rPr>
      <t>Ene:   $ 2.217.931.658      (20,07%)   
 - Real a Ene: $ 2.101.993.441,28 (</t>
    </r>
    <r>
      <rPr>
        <sz val="20"/>
        <color theme="9" tint="-0.249977111117893"/>
        <rFont val="Calibri"/>
        <family val="2"/>
        <scheme val="minor"/>
      </rPr>
      <t>19,02%</t>
    </r>
    <r>
      <rPr>
        <sz val="20"/>
        <color theme="1"/>
        <rFont val="Calibri"/>
        <family val="2"/>
        <scheme val="minor"/>
      </rPr>
      <t xml:space="preserve"> en el acumulado o </t>
    </r>
    <r>
      <rPr>
        <sz val="20"/>
        <color theme="9" tint="-0.249977111117893"/>
        <rFont val="Calibri"/>
        <family val="2"/>
        <scheme val="minor"/>
      </rPr>
      <t xml:space="preserve">94,77% </t>
    </r>
    <r>
      <rPr>
        <sz val="20"/>
        <color theme="1"/>
        <rFont val="Calibri"/>
        <family val="2"/>
        <scheme val="minor"/>
      </rPr>
      <t>del mes)
Feb:   $ 2.815.469.050       (25,48%)   
- Real a Feb: $ 2.787.274.448,88 (</t>
    </r>
    <r>
      <rPr>
        <sz val="20"/>
        <color theme="6" tint="-0.249977111117893"/>
        <rFont val="Calibri"/>
        <family val="2"/>
        <scheme val="minor"/>
      </rPr>
      <t xml:space="preserve">25,22% </t>
    </r>
    <r>
      <rPr>
        <sz val="20"/>
        <color theme="1"/>
        <rFont val="Calibri"/>
        <family val="2"/>
        <scheme val="minor"/>
      </rPr>
      <t xml:space="preserve">en el acumulado o </t>
    </r>
    <r>
      <rPr>
        <sz val="20"/>
        <color theme="6" tint="-0.249977111117893"/>
        <rFont val="Calibri"/>
        <family val="2"/>
        <scheme val="minor"/>
      </rPr>
      <t>99,00%</t>
    </r>
    <r>
      <rPr>
        <sz val="20"/>
        <color theme="1"/>
        <rFont val="Calibri"/>
        <family val="2"/>
        <scheme val="minor"/>
      </rPr>
      <t xml:space="preserve"> del mes)
Mar:   $ 3.166.449.610       (28,65%)
- Real a Mar: $ 2.987.610.735,88 (</t>
    </r>
    <r>
      <rPr>
        <sz val="20"/>
        <color theme="9" tint="-0.249977111117893"/>
        <rFont val="Calibri"/>
        <family val="2"/>
        <scheme val="minor"/>
      </rPr>
      <t>28,65%</t>
    </r>
    <r>
      <rPr>
        <sz val="20"/>
        <color theme="1"/>
        <rFont val="Calibri"/>
        <family val="2"/>
        <scheme val="minor"/>
      </rPr>
      <t xml:space="preserve"> en el acumulado o </t>
    </r>
    <r>
      <rPr>
        <sz val="20"/>
        <color theme="9" tint="-0.249977111117893"/>
        <rFont val="Calibri"/>
        <family val="2"/>
        <scheme val="minor"/>
      </rPr>
      <t>94,35%</t>
    </r>
    <r>
      <rPr>
        <sz val="20"/>
        <color theme="1"/>
        <rFont val="Calibri"/>
        <family val="2"/>
        <scheme val="minor"/>
      </rPr>
      <t xml:space="preserve"> del mes)
Abr:   $ 3.538.975.396        (32,02%)
- Real a Abr: $ 3.136.506.445,88 (</t>
    </r>
    <r>
      <rPr>
        <sz val="20"/>
        <color theme="9" tint="-0.249977111117893"/>
        <rFont val="Calibri"/>
        <family val="2"/>
        <scheme val="minor"/>
      </rPr>
      <t>32,02%</t>
    </r>
    <r>
      <rPr>
        <sz val="20"/>
        <color theme="1"/>
        <rFont val="Calibri"/>
        <family val="2"/>
        <scheme val="minor"/>
      </rPr>
      <t xml:space="preserve"> en el acumulado</t>
    </r>
    <r>
      <rPr>
        <sz val="20"/>
        <color theme="9" tint="-0.249977111117893"/>
        <rFont val="Calibri"/>
        <family val="2"/>
        <scheme val="minor"/>
      </rPr>
      <t xml:space="preserve">  88,62%</t>
    </r>
    <r>
      <rPr>
        <sz val="20"/>
        <color theme="1"/>
        <rFont val="Calibri"/>
        <family val="2"/>
        <scheme val="minor"/>
      </rPr>
      <t xml:space="preserve"> del mes)
May: $ 3.834.524.769   (34,70)
- Real a May: $3.260.138.254,98 ( </t>
    </r>
    <r>
      <rPr>
        <sz val="20"/>
        <color theme="9" tint="-0.249977111117893"/>
        <rFont val="Calibri"/>
        <family val="2"/>
        <scheme val="minor"/>
      </rPr>
      <t>34,69%</t>
    </r>
    <r>
      <rPr>
        <sz val="20"/>
        <color theme="1"/>
        <rFont val="Calibri"/>
        <family val="2"/>
        <scheme val="minor"/>
      </rPr>
      <t xml:space="preserve">en el acumulado  </t>
    </r>
    <r>
      <rPr>
        <sz val="20"/>
        <color theme="9" tint="-0.249977111117893"/>
        <rFont val="Calibri"/>
        <family val="2"/>
        <scheme val="minor"/>
      </rPr>
      <t>85,02%</t>
    </r>
    <r>
      <rPr>
        <sz val="20"/>
        <color theme="1"/>
        <rFont val="Calibri"/>
        <family val="2"/>
        <scheme val="minor"/>
      </rPr>
      <t xml:space="preserve"> del mes)            
Jun:   $ 4.226.109.249        (38,24%)    
- Real a Jun: $ 3.743.220.527,98 ( </t>
    </r>
    <r>
      <rPr>
        <sz val="20"/>
        <color theme="9" tint="-0.249977111117893"/>
        <rFont val="Calibri"/>
        <family val="2"/>
        <scheme val="minor"/>
      </rPr>
      <t>33,87%</t>
    </r>
    <r>
      <rPr>
        <sz val="20"/>
        <color theme="1"/>
        <rFont val="Calibri"/>
        <family val="2"/>
        <scheme val="minor"/>
      </rPr>
      <t xml:space="preserve"> en el acumulado</t>
    </r>
    <r>
      <rPr>
        <sz val="20"/>
        <color theme="9" tint="-0.249977111117893"/>
        <rFont val="Calibri"/>
        <family val="2"/>
        <scheme val="minor"/>
      </rPr>
      <t xml:space="preserve">  88,57%</t>
    </r>
    <r>
      <rPr>
        <sz val="20"/>
        <color theme="1"/>
        <rFont val="Calibri"/>
        <family val="2"/>
        <scheme val="minor"/>
      </rPr>
      <t xml:space="preserve"> del mes)
Jul:    $6.536.325.721   (59,15%)
- Real a Jul:   $4.661.515.070  (  </t>
    </r>
    <r>
      <rPr>
        <sz val="20"/>
        <color theme="9"/>
        <rFont val="Calibri"/>
        <family val="2"/>
        <scheme val="minor"/>
      </rPr>
      <t>42,18%</t>
    </r>
    <r>
      <rPr>
        <sz val="20"/>
        <color theme="9" tint="-0.249977111117893"/>
        <rFont val="Calibri"/>
        <family val="2"/>
        <scheme val="minor"/>
      </rPr>
      <t xml:space="preserve"> </t>
    </r>
    <r>
      <rPr>
        <sz val="20"/>
        <color theme="1"/>
        <rFont val="Calibri"/>
        <family val="2"/>
        <scheme val="minor"/>
      </rPr>
      <t xml:space="preserve"> en el acumulado </t>
    </r>
    <r>
      <rPr>
        <sz val="20"/>
        <color theme="9" tint="-0.249977111117893"/>
        <rFont val="Calibri"/>
        <family val="2"/>
        <scheme val="minor"/>
      </rPr>
      <t>71,31%</t>
    </r>
    <r>
      <rPr>
        <sz val="20"/>
        <color theme="1"/>
        <rFont val="Calibri"/>
        <family val="2"/>
        <scheme val="minor"/>
      </rPr>
      <t xml:space="preserve">  del mes)  
Ago: $7.589.971.626 (68,68%)
 -Real a Ago:  $6.200.463.579,79 ( </t>
    </r>
    <r>
      <rPr>
        <sz val="20"/>
        <color theme="9"/>
        <rFont val="Calibri"/>
        <family val="2"/>
        <scheme val="minor"/>
      </rPr>
      <t xml:space="preserve">56,10% </t>
    </r>
    <r>
      <rPr>
        <sz val="20"/>
        <color theme="1"/>
        <rFont val="Calibri"/>
        <family val="2"/>
        <scheme val="minor"/>
      </rPr>
      <t>en el acumulado</t>
    </r>
    <r>
      <rPr>
        <sz val="20"/>
        <color theme="9"/>
        <rFont val="Calibri"/>
        <family val="2"/>
        <scheme val="minor"/>
      </rPr>
      <t xml:space="preserve"> 81,69%</t>
    </r>
    <r>
      <rPr>
        <sz val="20"/>
        <color theme="1"/>
        <rFont val="Calibri"/>
        <family val="2"/>
        <scheme val="minor"/>
      </rPr>
      <t xml:space="preserve"> del mes)
Metas para los demás meses:
Sep:   $ 8.238.680.187        (74,55%)    ( Nueva expectativa por tendencia $ 7.250.038.565)
Oct:   $ 8.853.291.139         (80,11%)    ( Nueva expectativa por tendencia $ 7.790.896.202)
Nov:   $ 10.445.752.039      (94,52%)    ( Nueva expectativa  por tendencia $9.192.261.794)
Dic:   $ 11.050.804.592       (100,00%)    ( Nueva expectativa por tendencia $9.724.708.041)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</si>
</sst>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 #,##0;[Red]\-&quot;$&quot;\ #,##0"/>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0.0%"/>
    <numFmt numFmtId="167" formatCode="0.000%"/>
    <numFmt numFmtId="168" formatCode="0.0"/>
    <numFmt numFmtId="169" formatCode="_-* #,##0.00_-;\-* #,##0.00_-;_-* &quot;-&quot;_-;_-@_-"/>
    <numFmt numFmtId="170" formatCode="0.000"/>
    <numFmt numFmtId="171" formatCode="_-* #,##0.0_-;\-* #,##0.0_-;_-* &quot;-&quot;_-;_-@_-"/>
    <numFmt numFmtId="172" formatCode="_-* #,##0.000_-;\-* #,##0.000_-;_-* &quot;-&quot;_-;_-@_-"/>
  </numFmts>
  <fonts count="5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sz val="20"/>
      <name val="Calibri"/>
      <family val="2"/>
      <scheme val="minor"/>
    </font>
    <font>
      <b/>
      <sz val="20"/>
      <name val="Calibri"/>
      <family val="2"/>
      <scheme val="minor"/>
    </font>
    <font>
      <sz val="20"/>
      <color rgb="FF000000"/>
      <name val="Calibri"/>
      <family val="2"/>
      <scheme val="minor"/>
    </font>
    <font>
      <b/>
      <sz val="20"/>
      <color rgb="FF000000"/>
      <name val="Calibri"/>
      <family val="2"/>
      <scheme val="minor"/>
    </font>
    <font>
      <b/>
      <i/>
      <sz val="20"/>
      <color rgb="FF000000"/>
      <name val="Calibri"/>
      <family val="2"/>
      <scheme val="minor"/>
    </font>
    <font>
      <sz val="20"/>
      <color theme="9" tint="-0.249977111117893"/>
      <name val="Calibri"/>
      <family val="2"/>
      <scheme val="minor"/>
    </font>
    <font>
      <sz val="10"/>
      <color theme="1"/>
      <name val="Calibri"/>
      <family val="2"/>
      <scheme val="minor"/>
    </font>
    <font>
      <b/>
      <sz val="12"/>
      <color theme="0"/>
      <name val="Calibri"/>
      <family val="2"/>
      <scheme val="minor"/>
    </font>
    <font>
      <sz val="12"/>
      <color theme="1"/>
      <name val="Calibri"/>
      <family val="2"/>
      <scheme val="minor"/>
    </font>
    <font>
      <sz val="12"/>
      <name val="Calibri"/>
      <family val="2"/>
      <scheme val="minor"/>
    </font>
    <font>
      <sz val="20"/>
      <color theme="6" tint="-0.249977111117893"/>
      <name val="Calibri"/>
      <family val="2"/>
      <scheme val="minor"/>
    </font>
    <font>
      <sz val="20"/>
      <color theme="9"/>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s>
  <borders count="9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dashed">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dashed">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auto="1"/>
      </top>
      <bottom style="medium">
        <color auto="1"/>
      </bottom>
      <diagonal/>
    </border>
    <border>
      <left style="medium">
        <color auto="1"/>
      </left>
      <right style="dashed">
        <color auto="1"/>
      </right>
      <top style="medium">
        <color auto="1"/>
      </top>
      <bottom style="medium">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
      <left style="medium">
        <color auto="1"/>
      </left>
      <right style="dashed">
        <color auto="1"/>
      </right>
      <top style="medium">
        <color auto="1"/>
      </top>
      <bottom/>
      <diagonal/>
    </border>
    <border>
      <left style="dashed">
        <color auto="1"/>
      </left>
      <right style="thin">
        <color auto="1"/>
      </right>
      <top style="thin">
        <color auto="1"/>
      </top>
      <bottom/>
      <diagonal/>
    </border>
    <border>
      <left/>
      <right style="dashed">
        <color auto="1"/>
      </right>
      <top style="medium">
        <color auto="1"/>
      </top>
      <bottom style="medium">
        <color auto="1"/>
      </bottom>
      <diagonal/>
    </border>
    <border>
      <left/>
      <right style="dashed">
        <color auto="1"/>
      </right>
      <top style="medium">
        <color auto="1"/>
      </top>
      <bottom style="thin">
        <color auto="1"/>
      </bottom>
      <diagonal/>
    </border>
    <border>
      <left/>
      <right style="dashed">
        <color auto="1"/>
      </right>
      <top style="thin">
        <color auto="1"/>
      </top>
      <bottom/>
      <diagonal/>
    </border>
    <border>
      <left style="dashed">
        <color auto="1"/>
      </left>
      <right style="thin">
        <color auto="1"/>
      </right>
      <top style="medium">
        <color auto="1"/>
      </top>
      <bottom/>
      <diagonal/>
    </border>
    <border>
      <left style="dashed">
        <color auto="1"/>
      </left>
      <right style="thin">
        <color auto="1"/>
      </right>
      <top/>
      <bottom style="medium">
        <color auto="1"/>
      </bottom>
      <diagonal/>
    </border>
    <border>
      <left style="medium">
        <color auto="1"/>
      </left>
      <right style="dashed">
        <color auto="1"/>
      </right>
      <top/>
      <bottom style="medium">
        <color auto="1"/>
      </bottom>
      <diagonal/>
    </border>
  </borders>
  <cellStyleXfs count="44">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cellStyleXfs>
  <cellXfs count="1061">
    <xf numFmtId="0" fontId="0" fillId="0" borderId="0" xfId="0"/>
    <xf numFmtId="0" fontId="0" fillId="0" borderId="0" xfId="0" applyAlignment="1">
      <alignment horizontal="center" vertical="center" wrapText="1"/>
    </xf>
    <xf numFmtId="166"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6"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6"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6"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6"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6"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6"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6"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7"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7" fontId="14" fillId="0" borderId="48" xfId="0" applyNumberFormat="1" applyFont="1" applyFill="1" applyBorder="1" applyAlignment="1">
      <alignment vertical="center" wrapText="1"/>
    </xf>
    <xf numFmtId="166"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7" fontId="14" fillId="0" borderId="10" xfId="0" applyNumberFormat="1" applyFont="1" applyFill="1" applyBorder="1" applyAlignment="1">
      <alignment vertical="center" wrapText="1"/>
    </xf>
    <xf numFmtId="166"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7" fontId="14" fillId="0" borderId="13" xfId="0" applyNumberFormat="1" applyFont="1" applyFill="1" applyBorder="1" applyAlignment="1">
      <alignment vertical="center" wrapText="1"/>
    </xf>
    <xf numFmtId="166"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7" fontId="14" fillId="0" borderId="15" xfId="0" applyNumberFormat="1" applyFont="1" applyFill="1" applyBorder="1" applyAlignment="1">
      <alignment vertical="center" wrapText="1"/>
    </xf>
    <xf numFmtId="166"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0" fontId="3" fillId="5" borderId="59" xfId="0" applyFont="1" applyFill="1" applyBorder="1" applyAlignment="1">
      <alignment horizontal="center" vertical="center" wrapText="1"/>
    </xf>
    <xf numFmtId="9" fontId="0" fillId="0" borderId="0" xfId="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22" fillId="0" borderId="52" xfId="0" applyFont="1" applyBorder="1"/>
    <xf numFmtId="0" fontId="0" fillId="0" borderId="0" xfId="0" applyFont="1" applyAlignment="1">
      <alignment horizontal="left"/>
    </xf>
    <xf numFmtId="0" fontId="0" fillId="0" borderId="0" xfId="0" applyFont="1" applyFill="1" applyBorder="1" applyAlignment="1">
      <alignment horizontal="left"/>
    </xf>
    <xf numFmtId="0" fontId="14"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52" xfId="0" applyBorder="1"/>
    <xf numFmtId="0" fontId="0" fillId="0" borderId="67" xfId="0" applyBorder="1"/>
    <xf numFmtId="0" fontId="0" fillId="0" borderId="54" xfId="0" applyBorder="1"/>
    <xf numFmtId="0" fontId="0" fillId="0" borderId="0" xfId="0" applyAlignment="1">
      <alignment wrapText="1"/>
    </xf>
    <xf numFmtId="0" fontId="0" fillId="0" borderId="61" xfId="0" applyBorder="1"/>
    <xf numFmtId="166" fontId="14" fillId="0" borderId="0" xfId="0" applyNumberFormat="1" applyFont="1" applyBorder="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68"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68"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22" fillId="0" borderId="0" xfId="0" applyFont="1" applyFill="1" applyBorder="1"/>
    <xf numFmtId="0" fontId="7" fillId="0" borderId="0" xfId="0" applyFont="1" applyFill="1" applyBorder="1" applyAlignment="1">
      <alignment vertical="center" wrapText="1"/>
    </xf>
    <xf numFmtId="0" fontId="22" fillId="0" borderId="14" xfId="0" applyFont="1" applyBorder="1"/>
    <xf numFmtId="0" fontId="23" fillId="0" borderId="0" xfId="0" applyFont="1"/>
    <xf numFmtId="0" fontId="0" fillId="0" borderId="19" xfId="0" applyBorder="1"/>
    <xf numFmtId="166" fontId="3" fillId="5" borderId="21" xfId="0" applyNumberFormat="1" applyFont="1" applyFill="1" applyBorder="1" applyAlignment="1">
      <alignment horizontal="center" vertical="center" wrapText="1"/>
    </xf>
    <xf numFmtId="0" fontId="0" fillId="0" borderId="18" xfId="0" applyBorder="1"/>
    <xf numFmtId="0" fontId="0" fillId="0" borderId="54" xfId="0" applyFont="1" applyBorder="1" applyAlignment="1">
      <alignment horizontal="left"/>
    </xf>
    <xf numFmtId="0" fontId="0" fillId="0" borderId="21" xfId="0" applyBorder="1"/>
    <xf numFmtId="0" fontId="22" fillId="0" borderId="54" xfId="0" applyFont="1" applyBorder="1"/>
    <xf numFmtId="0" fontId="0" fillId="0" borderId="60" xfId="0" applyBorder="1"/>
    <xf numFmtId="169" fontId="0" fillId="0" borderId="7" xfId="40"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1" fontId="0" fillId="0" borderId="0" xfId="0" applyNumberFormat="1"/>
    <xf numFmtId="0" fontId="26" fillId="5" borderId="59" xfId="0" applyFont="1" applyFill="1" applyBorder="1" applyAlignment="1">
      <alignment horizontal="center" vertical="center" wrapText="1"/>
    </xf>
    <xf numFmtId="0" fontId="26" fillId="5" borderId="61" xfId="0" applyFont="1" applyFill="1" applyBorder="1" applyAlignment="1">
      <alignment horizontal="center" vertical="center" wrapText="1"/>
    </xf>
    <xf numFmtId="17" fontId="27" fillId="5" borderId="61" xfId="2" applyNumberFormat="1" applyFont="1" applyFill="1" applyBorder="1" applyAlignment="1">
      <alignment horizontal="center" vertical="center" wrapText="1"/>
    </xf>
    <xf numFmtId="166" fontId="26" fillId="5" borderId="61" xfId="0" applyNumberFormat="1" applyFont="1" applyFill="1" applyBorder="1" applyAlignment="1">
      <alignment horizontal="center" vertical="center" wrapText="1"/>
    </xf>
    <xf numFmtId="166" fontId="26" fillId="5" borderId="68" xfId="0" applyNumberFormat="1" applyFont="1" applyFill="1" applyBorder="1" applyAlignment="1">
      <alignment horizontal="center" vertical="center" wrapText="1"/>
    </xf>
    <xf numFmtId="166" fontId="26" fillId="5" borderId="33"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30" fillId="0" borderId="10" xfId="0" applyFont="1" applyBorder="1" applyAlignment="1">
      <alignment vertical="center" wrapText="1"/>
    </xf>
    <xf numFmtId="0" fontId="31" fillId="0" borderId="10" xfId="0" applyFont="1" applyBorder="1" applyAlignment="1">
      <alignment vertical="center" wrapText="1"/>
    </xf>
    <xf numFmtId="0" fontId="32" fillId="0" borderId="52" xfId="0" applyFont="1" applyBorder="1"/>
    <xf numFmtId="0" fontId="32" fillId="0" borderId="56" xfId="0" applyFont="1" applyBorder="1"/>
    <xf numFmtId="13" fontId="30" fillId="0" borderId="52" xfId="0" applyNumberFormat="1" applyFont="1" applyBorder="1" applyAlignment="1">
      <alignment horizontal="center" vertical="center" wrapText="1"/>
    </xf>
    <xf numFmtId="0" fontId="30" fillId="0" borderId="52" xfId="0" applyFont="1" applyFill="1" applyBorder="1" applyAlignment="1">
      <alignment horizontal="center" vertical="center" wrapText="1"/>
    </xf>
    <xf numFmtId="0" fontId="30" fillId="7" borderId="10" xfId="0"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9" fontId="30" fillId="0" borderId="10" xfId="1"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0" xfId="0" applyFont="1" applyBorder="1" applyAlignment="1">
      <alignment horizontal="center" vertical="center" wrapText="1"/>
    </xf>
    <xf numFmtId="167" fontId="30" fillId="0" borderId="10" xfId="0" applyNumberFormat="1" applyFont="1" applyFill="1" applyBorder="1" applyAlignment="1">
      <alignment horizontal="center" vertical="center" wrapText="1"/>
    </xf>
    <xf numFmtId="166" fontId="30" fillId="0" borderId="10" xfId="0" applyNumberFormat="1" applyFont="1" applyBorder="1" applyAlignment="1">
      <alignment vertical="center" wrapText="1"/>
    </xf>
    <xf numFmtId="1" fontId="30" fillId="0" borderId="10" xfId="0" applyNumberFormat="1" applyFont="1" applyBorder="1" applyAlignment="1">
      <alignment horizontal="center" vertical="center" wrapText="1"/>
    </xf>
    <xf numFmtId="1" fontId="30" fillId="0" borderId="56" xfId="0" applyNumberFormat="1" applyFont="1" applyBorder="1" applyAlignment="1">
      <alignment horizontal="center" vertical="center" wrapText="1"/>
    </xf>
    <xf numFmtId="1" fontId="29" fillId="0" borderId="11"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32" fillId="0" borderId="18" xfId="0" applyFont="1" applyBorder="1"/>
    <xf numFmtId="0" fontId="32" fillId="0" borderId="16" xfId="0" applyFont="1" applyBorder="1"/>
    <xf numFmtId="0" fontId="30" fillId="0" borderId="18" xfId="0" applyFont="1" applyBorder="1" applyAlignment="1">
      <alignment horizontal="center" vertical="center" wrapText="1"/>
    </xf>
    <xf numFmtId="0" fontId="30" fillId="0" borderId="18" xfId="0" applyFont="1" applyFill="1" applyBorder="1" applyAlignment="1">
      <alignment horizontal="center" vertical="center" wrapText="1"/>
    </xf>
    <xf numFmtId="0" fontId="30" fillId="7" borderId="7" xfId="0" applyFont="1" applyFill="1" applyBorder="1" applyAlignment="1">
      <alignment horizontal="center" vertical="center" wrapText="1"/>
    </xf>
    <xf numFmtId="10" fontId="27" fillId="0" borderId="7" xfId="0" applyNumberFormat="1" applyFont="1" applyFill="1" applyBorder="1" applyAlignment="1">
      <alignment horizontal="center" vertical="center" wrapText="1"/>
    </xf>
    <xf numFmtId="9" fontId="30" fillId="0" borderId="7" xfId="0" applyNumberFormat="1" applyFont="1" applyFill="1" applyBorder="1" applyAlignment="1">
      <alignment horizontal="center" vertical="center" wrapText="1"/>
    </xf>
    <xf numFmtId="9" fontId="30" fillId="0" borderId="7" xfId="1" applyFont="1" applyFill="1" applyBorder="1" applyAlignment="1">
      <alignment horizontal="center" vertical="center" wrapText="1"/>
    </xf>
    <xf numFmtId="0" fontId="30" fillId="0" borderId="7" xfId="0" applyFont="1" applyFill="1" applyBorder="1" applyAlignment="1">
      <alignment vertical="center" wrapText="1"/>
    </xf>
    <xf numFmtId="0" fontId="30" fillId="0" borderId="7" xfId="0" applyFont="1" applyBorder="1" applyAlignment="1">
      <alignment horizontal="center" vertical="center" wrapText="1"/>
    </xf>
    <xf numFmtId="167" fontId="30" fillId="0" borderId="7" xfId="0" applyNumberFormat="1" applyFont="1" applyFill="1" applyBorder="1" applyAlignment="1">
      <alignment horizontal="center" vertical="center" wrapText="1"/>
    </xf>
    <xf numFmtId="166" fontId="30" fillId="0" borderId="7" xfId="0" applyNumberFormat="1" applyFont="1" applyBorder="1" applyAlignment="1">
      <alignment vertical="center" wrapText="1"/>
    </xf>
    <xf numFmtId="1" fontId="30" fillId="0" borderId="7"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1" fontId="29" fillId="0" borderId="26"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30" fillId="0" borderId="7" xfId="0" applyFont="1" applyFill="1" applyBorder="1" applyAlignment="1">
      <alignment horizontal="center" vertical="center" wrapText="1"/>
    </xf>
    <xf numFmtId="9" fontId="27" fillId="0" borderId="7"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9" fontId="30" fillId="0" borderId="7" xfId="1" applyFont="1" applyBorder="1" applyAlignment="1">
      <alignment horizontal="center" vertical="center" wrapText="1"/>
    </xf>
    <xf numFmtId="9" fontId="29" fillId="0" borderId="26" xfId="1" applyFont="1" applyBorder="1" applyAlignment="1">
      <alignment horizontal="center"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31" fillId="0" borderId="13" xfId="0" applyFont="1" applyBorder="1" applyAlignment="1">
      <alignment vertical="center" wrapText="1"/>
    </xf>
    <xf numFmtId="0" fontId="29" fillId="0" borderId="13" xfId="0" applyFont="1" applyFill="1" applyBorder="1" applyAlignment="1">
      <alignment horizontal="left" vertical="center" wrapText="1"/>
    </xf>
    <xf numFmtId="9" fontId="29" fillId="0" borderId="13"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7" borderId="13" xfId="0" applyFont="1" applyFill="1" applyBorder="1" applyAlignment="1">
      <alignment horizontal="center" vertical="center" wrapText="1"/>
    </xf>
    <xf numFmtId="9"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left" vertical="center" wrapText="1"/>
    </xf>
    <xf numFmtId="9" fontId="30" fillId="0" borderId="13" xfId="1"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3" xfId="0" applyFont="1" applyBorder="1" applyAlignment="1">
      <alignment horizontal="center" vertical="center" wrapText="1"/>
    </xf>
    <xf numFmtId="167" fontId="30" fillId="0" borderId="13" xfId="0" applyNumberFormat="1" applyFont="1" applyFill="1" applyBorder="1" applyAlignment="1">
      <alignment horizontal="center" vertical="center" wrapText="1"/>
    </xf>
    <xf numFmtId="166" fontId="30" fillId="0" borderId="13" xfId="0" applyNumberFormat="1" applyFont="1" applyBorder="1" applyAlignment="1">
      <alignment horizontal="left" vertical="center" wrapText="1"/>
    </xf>
    <xf numFmtId="1" fontId="30" fillId="0" borderId="13" xfId="0" applyNumberFormat="1" applyFont="1" applyBorder="1" applyAlignment="1">
      <alignment horizontal="left" vertical="center" wrapText="1"/>
    </xf>
    <xf numFmtId="1" fontId="30" fillId="0" borderId="64" xfId="0" applyNumberFormat="1" applyFont="1" applyBorder="1" applyAlignment="1">
      <alignment horizontal="left" vertical="center" wrapText="1"/>
    </xf>
    <xf numFmtId="1" fontId="29" fillId="0" borderId="14" xfId="0" applyNumberFormat="1" applyFont="1" applyBorder="1" applyAlignment="1">
      <alignment horizontal="left" vertical="center" wrapText="1"/>
    </xf>
    <xf numFmtId="0" fontId="34" fillId="0" borderId="7" xfId="0" applyFont="1" applyBorder="1"/>
    <xf numFmtId="0" fontId="29" fillId="0" borderId="13" xfId="0" applyFont="1" applyFill="1" applyBorder="1" applyAlignment="1">
      <alignment horizontal="center" vertical="center" wrapText="1"/>
    </xf>
    <xf numFmtId="167" fontId="30" fillId="0" borderId="7" xfId="0" applyNumberFormat="1" applyFont="1" applyFill="1" applyBorder="1" applyAlignment="1">
      <alignment vertical="center" wrapText="1"/>
    </xf>
    <xf numFmtId="0" fontId="31" fillId="0" borderId="15" xfId="0" applyFont="1" applyBorder="1" applyAlignment="1">
      <alignment vertical="center" wrapText="1"/>
    </xf>
    <xf numFmtId="0" fontId="34" fillId="0" borderId="15" xfId="0" applyFont="1" applyBorder="1"/>
    <xf numFmtId="0" fontId="30" fillId="7" borderId="15" xfId="0" applyFont="1" applyFill="1" applyBorder="1" applyAlignment="1">
      <alignment horizontal="center" vertical="center" wrapText="1"/>
    </xf>
    <xf numFmtId="9" fontId="27" fillId="0" borderId="15" xfId="0" applyNumberFormat="1" applyFont="1" applyFill="1" applyBorder="1" applyAlignment="1">
      <alignment horizontal="center" vertical="center" wrapText="1"/>
    </xf>
    <xf numFmtId="9" fontId="30" fillId="0" borderId="15" xfId="0" applyNumberFormat="1" applyFont="1" applyFill="1" applyBorder="1" applyAlignment="1">
      <alignment horizontal="center" vertical="center" wrapText="1"/>
    </xf>
    <xf numFmtId="9" fontId="30" fillId="0" borderId="15" xfId="1" applyFont="1" applyFill="1" applyBorder="1" applyAlignment="1">
      <alignment horizontal="center" vertical="center" wrapText="1"/>
    </xf>
    <xf numFmtId="0" fontId="30" fillId="0" borderId="15" xfId="0" applyFont="1" applyFill="1" applyBorder="1" applyAlignment="1">
      <alignment vertical="center" wrapText="1"/>
    </xf>
    <xf numFmtId="0" fontId="30" fillId="0" borderId="15" xfId="0" applyFont="1" applyBorder="1" applyAlignment="1">
      <alignment horizontal="center" vertical="center" wrapText="1"/>
    </xf>
    <xf numFmtId="167" fontId="30" fillId="0" borderId="15" xfId="0" applyNumberFormat="1" applyFont="1" applyFill="1" applyBorder="1" applyAlignment="1">
      <alignment vertical="center" wrapText="1"/>
    </xf>
    <xf numFmtId="166" fontId="30" fillId="0" borderId="15" xfId="0" applyNumberFormat="1" applyFont="1" applyBorder="1" applyAlignment="1">
      <alignment vertical="center" wrapText="1"/>
    </xf>
    <xf numFmtId="1" fontId="30" fillId="0" borderId="15" xfId="0" applyNumberFormat="1" applyFont="1" applyBorder="1" applyAlignment="1">
      <alignment horizontal="center" vertical="center" wrapText="1"/>
    </xf>
    <xf numFmtId="1" fontId="30" fillId="0" borderId="20" xfId="0" applyNumberFormat="1" applyFont="1" applyBorder="1" applyAlignment="1">
      <alignment horizontal="center" vertical="center" wrapText="1"/>
    </xf>
    <xf numFmtId="1" fontId="29" fillId="0" borderId="67"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34" fillId="0" borderId="13" xfId="0" applyFont="1" applyBorder="1"/>
    <xf numFmtId="166" fontId="28" fillId="0" borderId="13" xfId="0" applyNumberFormat="1" applyFont="1" applyFill="1" applyBorder="1" applyAlignment="1">
      <alignment horizontal="center" vertical="center" wrapText="1"/>
    </xf>
    <xf numFmtId="166"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9" fontId="30" fillId="0" borderId="13" xfId="1" applyFont="1" applyFill="1" applyBorder="1" applyAlignment="1">
      <alignment horizontal="center" vertical="center" wrapText="1"/>
    </xf>
    <xf numFmtId="0" fontId="30" fillId="0" borderId="13" xfId="0" applyFont="1" applyFill="1" applyBorder="1" applyAlignment="1">
      <alignment vertical="center" wrapText="1"/>
    </xf>
    <xf numFmtId="167" fontId="30" fillId="0" borderId="13" xfId="0" applyNumberFormat="1" applyFont="1" applyFill="1" applyBorder="1" applyAlignment="1">
      <alignment vertical="center" wrapText="1"/>
    </xf>
    <xf numFmtId="166" fontId="30" fillId="0" borderId="13" xfId="0" applyNumberFormat="1" applyFont="1" applyBorder="1" applyAlignment="1">
      <alignment vertical="center" wrapText="1"/>
    </xf>
    <xf numFmtId="1" fontId="30" fillId="0" borderId="13" xfId="0" applyNumberFormat="1" applyFont="1" applyBorder="1" applyAlignment="1">
      <alignment horizontal="center" vertical="center" wrapText="1"/>
    </xf>
    <xf numFmtId="1" fontId="30" fillId="0" borderId="64" xfId="0" applyNumberFormat="1" applyFont="1" applyBorder="1" applyAlignment="1">
      <alignment horizontal="center" vertical="center" wrapText="1"/>
    </xf>
    <xf numFmtId="1" fontId="29" fillId="0" borderId="14" xfId="0" applyNumberFormat="1" applyFont="1" applyBorder="1" applyAlignment="1">
      <alignment horizontal="center" vertical="center" wrapText="1"/>
    </xf>
    <xf numFmtId="0" fontId="29" fillId="0" borderId="34" xfId="0" applyFont="1" applyBorder="1" applyAlignment="1">
      <alignment horizontal="center" vertical="center"/>
    </xf>
    <xf numFmtId="0" fontId="34" fillId="0" borderId="52" xfId="0" applyFont="1" applyBorder="1"/>
    <xf numFmtId="0" fontId="34" fillId="0" borderId="56" xfId="0" applyFont="1" applyBorder="1"/>
    <xf numFmtId="0" fontId="31" fillId="0" borderId="52" xfId="0" applyFont="1" applyBorder="1" applyAlignment="1">
      <alignment horizontal="center" vertical="center" wrapText="1"/>
    </xf>
    <xf numFmtId="167" fontId="30" fillId="0" borderId="10" xfId="0" applyNumberFormat="1" applyFont="1" applyFill="1" applyBorder="1" applyAlignment="1">
      <alignment vertical="center" wrapText="1"/>
    </xf>
    <xf numFmtId="0" fontId="29" fillId="0" borderId="0" xfId="0" applyFont="1" applyBorder="1" applyAlignment="1">
      <alignment horizontal="center" vertical="center"/>
    </xf>
    <xf numFmtId="0" fontId="30" fillId="8" borderId="7" xfId="0" applyFont="1" applyFill="1" applyBorder="1" applyAlignment="1">
      <alignment vertical="center" wrapText="1"/>
    </xf>
    <xf numFmtId="0" fontId="34" fillId="0" borderId="16" xfId="0" applyFont="1" applyBorder="1"/>
    <xf numFmtId="0" fontId="31" fillId="0" borderId="7" xfId="0" applyFont="1" applyBorder="1" applyAlignment="1">
      <alignment horizontal="center" vertical="center" wrapText="1"/>
    </xf>
    <xf numFmtId="0" fontId="31" fillId="8" borderId="7" xfId="0" applyFont="1" applyFill="1" applyBorder="1" applyAlignment="1">
      <alignment vertical="center" wrapText="1"/>
    </xf>
    <xf numFmtId="0" fontId="34" fillId="0" borderId="20" xfId="0" applyFont="1" applyBorder="1"/>
    <xf numFmtId="9" fontId="31" fillId="0" borderId="7" xfId="0" applyNumberFormat="1" applyFont="1" applyBorder="1" applyAlignment="1">
      <alignment horizontal="center" vertical="center" wrapText="1"/>
    </xf>
    <xf numFmtId="0" fontId="29" fillId="0" borderId="28" xfId="0" applyFont="1" applyBorder="1" applyAlignment="1">
      <alignment horizontal="center" vertical="center"/>
    </xf>
    <xf numFmtId="0" fontId="34" fillId="0" borderId="64" xfId="0" applyFont="1" applyBorder="1"/>
    <xf numFmtId="0" fontId="34" fillId="0" borderId="10" xfId="0" applyFont="1" applyBorder="1"/>
    <xf numFmtId="0" fontId="31" fillId="0" borderId="10" xfId="0" applyFont="1" applyBorder="1" applyAlignment="1">
      <alignment horizontal="center" vertical="center" wrapText="1"/>
    </xf>
    <xf numFmtId="0" fontId="30" fillId="0" borderId="10" xfId="0" applyFont="1" applyFill="1" applyBorder="1" applyAlignment="1">
      <alignment horizontal="center" vertical="center" wrapText="1"/>
    </xf>
    <xf numFmtId="168" fontId="29" fillId="0" borderId="11" xfId="0" applyNumberFormat="1" applyFont="1" applyBorder="1" applyAlignment="1">
      <alignment horizontal="center" vertical="center" wrapText="1"/>
    </xf>
    <xf numFmtId="0" fontId="29" fillId="0" borderId="44" xfId="0" applyFont="1" applyBorder="1" applyAlignment="1">
      <alignment horizontal="center" vertical="center" wrapText="1"/>
    </xf>
    <xf numFmtId="0" fontId="31" fillId="0" borderId="48" xfId="0" applyFont="1" applyBorder="1" applyAlignment="1">
      <alignment vertical="center" wrapText="1"/>
    </xf>
    <xf numFmtId="0" fontId="35" fillId="0" borderId="13" xfId="0" applyFont="1" applyBorder="1" applyAlignment="1">
      <alignment vertical="center" wrapText="1"/>
    </xf>
    <xf numFmtId="10" fontId="34" fillId="0" borderId="8" xfId="1" applyNumberFormat="1" applyFont="1" applyBorder="1" applyAlignment="1">
      <alignment horizontal="center" vertical="center" wrapText="1"/>
    </xf>
    <xf numFmtId="0" fontId="29" fillId="0" borderId="50" xfId="0" applyFont="1" applyBorder="1" applyAlignment="1">
      <alignment horizontal="center" vertical="center" wrapText="1"/>
    </xf>
    <xf numFmtId="0" fontId="31" fillId="0" borderId="66" xfId="0" applyFont="1" applyBorder="1" applyAlignment="1">
      <alignment vertical="center" wrapText="1"/>
    </xf>
    <xf numFmtId="0" fontId="35" fillId="0" borderId="7" xfId="0" applyFont="1" applyFill="1" applyBorder="1" applyAlignment="1">
      <alignment vertical="center" wrapText="1"/>
    </xf>
    <xf numFmtId="10" fontId="34" fillId="0" borderId="36" xfId="1" applyNumberFormat="1" applyFont="1" applyFill="1" applyBorder="1" applyAlignment="1">
      <alignment horizontal="center" vertical="center" wrapText="1"/>
    </xf>
    <xf numFmtId="0" fontId="32" fillId="0" borderId="10" xfId="0" applyFont="1" applyBorder="1"/>
    <xf numFmtId="9" fontId="30" fillId="0" borderId="10" xfId="0" applyNumberFormat="1" applyFont="1" applyBorder="1" applyAlignment="1">
      <alignment horizontal="center" vertical="center" wrapText="1"/>
    </xf>
    <xf numFmtId="0" fontId="32" fillId="0" borderId="7" xfId="0" applyFont="1" applyBorder="1"/>
    <xf numFmtId="9" fontId="30" fillId="0" borderId="7" xfId="0" applyNumberFormat="1" applyFont="1" applyBorder="1" applyAlignment="1">
      <alignment horizontal="center" vertical="center" wrapText="1"/>
    </xf>
    <xf numFmtId="166" fontId="29" fillId="0" borderId="26" xfId="1" applyNumberFormat="1" applyFont="1" applyBorder="1" applyAlignment="1">
      <alignment horizontal="center" vertical="center" wrapText="1"/>
    </xf>
    <xf numFmtId="0" fontId="30" fillId="8" borderId="13" xfId="0" applyFont="1" applyFill="1" applyBorder="1" applyAlignment="1">
      <alignment vertical="center" wrapText="1"/>
    </xf>
    <xf numFmtId="0" fontId="30" fillId="0" borderId="13" xfId="0" applyFont="1" applyBorder="1" applyAlignment="1">
      <alignment vertical="center" wrapText="1"/>
    </xf>
    <xf numFmtId="0" fontId="32" fillId="0" borderId="13" xfId="0" applyFont="1" applyBorder="1"/>
    <xf numFmtId="166" fontId="31" fillId="0" borderId="13" xfId="0" applyNumberFormat="1" applyFont="1" applyBorder="1" applyAlignment="1">
      <alignment horizontal="center" vertical="center" wrapText="1"/>
    </xf>
    <xf numFmtId="9" fontId="29" fillId="0" borderId="14" xfId="1" applyFont="1" applyBorder="1" applyAlignment="1">
      <alignment horizontal="center" vertical="center" wrapText="1"/>
    </xf>
    <xf numFmtId="0" fontId="29" fillId="0" borderId="10" xfId="0" applyFont="1" applyBorder="1" applyAlignment="1">
      <alignment horizontal="center" vertical="center" wrapText="1"/>
    </xf>
    <xf numFmtId="0" fontId="31" fillId="0" borderId="56" xfId="0" applyFont="1" applyBorder="1" applyAlignment="1">
      <alignment vertical="center" wrapText="1"/>
    </xf>
    <xf numFmtId="10" fontId="31" fillId="0" borderId="52" xfId="0" applyNumberFormat="1" applyFont="1" applyBorder="1" applyAlignment="1">
      <alignment horizontal="center" vertical="center" wrapText="1"/>
    </xf>
    <xf numFmtId="9" fontId="29" fillId="0" borderId="11" xfId="1" applyFont="1" applyBorder="1" applyAlignment="1">
      <alignment horizontal="center" vertical="center" wrapText="1"/>
    </xf>
    <xf numFmtId="0" fontId="29" fillId="0" borderId="7" xfId="0" applyFont="1" applyBorder="1" applyAlignment="1">
      <alignment horizontal="center" vertical="center" wrapText="1"/>
    </xf>
    <xf numFmtId="0" fontId="31" fillId="0" borderId="18" xfId="0" applyFont="1" applyBorder="1" applyAlignment="1">
      <alignment horizontal="center" vertical="center" wrapText="1"/>
    </xf>
    <xf numFmtId="0" fontId="29" fillId="0" borderId="15"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0" fillId="0" borderId="21" xfId="0" applyFont="1" applyFill="1" applyBorder="1" applyAlignment="1">
      <alignment horizontal="center" vertical="center" wrapText="1"/>
    </xf>
    <xf numFmtId="9" fontId="29" fillId="0" borderId="67" xfId="1" applyFont="1" applyBorder="1" applyAlignment="1">
      <alignment horizontal="center" vertical="center" wrapText="1"/>
    </xf>
    <xf numFmtId="10" fontId="29" fillId="0" borderId="72" xfId="1" applyNumberFormat="1" applyFont="1" applyBorder="1" applyAlignment="1">
      <alignment horizontal="center" vertical="center" wrapText="1"/>
    </xf>
    <xf numFmtId="0" fontId="29" fillId="0" borderId="47" xfId="0" applyFont="1" applyBorder="1" applyAlignment="1">
      <alignment horizontal="center" vertical="center" wrapText="1"/>
    </xf>
    <xf numFmtId="0" fontId="31" fillId="0" borderId="47" xfId="0" applyFont="1" applyBorder="1" applyAlignment="1">
      <alignment vertical="center" wrapText="1"/>
    </xf>
    <xf numFmtId="0" fontId="34" fillId="0" borderId="47" xfId="0" applyFont="1" applyBorder="1"/>
    <xf numFmtId="0" fontId="31" fillId="0" borderId="19" xfId="0" applyFont="1" applyBorder="1" applyAlignment="1">
      <alignment vertical="center" wrapText="1"/>
    </xf>
    <xf numFmtId="10" fontId="31" fillId="0" borderId="25" xfId="0" applyNumberFormat="1" applyFont="1" applyBorder="1" applyAlignment="1">
      <alignment horizontal="center" vertical="center" wrapText="1"/>
    </xf>
    <xf numFmtId="0" fontId="30" fillId="0" borderId="25" xfId="0" applyFont="1" applyFill="1" applyBorder="1" applyAlignment="1">
      <alignment horizontal="center" vertical="center" wrapText="1"/>
    </xf>
    <xf numFmtId="0" fontId="30" fillId="7" borderId="47" xfId="0" applyFont="1" applyFill="1" applyBorder="1" applyAlignment="1">
      <alignment horizontal="center" vertical="center" wrapText="1"/>
    </xf>
    <xf numFmtId="9" fontId="30" fillId="0" borderId="47" xfId="0" applyNumberFormat="1" applyFont="1" applyFill="1" applyBorder="1" applyAlignment="1">
      <alignment horizontal="center" vertical="center" wrapText="1"/>
    </xf>
    <xf numFmtId="9" fontId="30" fillId="0" borderId="47" xfId="1" applyFont="1" applyFill="1" applyBorder="1" applyAlignment="1">
      <alignment horizontal="center" vertical="center" wrapText="1"/>
    </xf>
    <xf numFmtId="0" fontId="30" fillId="0" borderId="47" xfId="0" applyFont="1" applyFill="1" applyBorder="1" applyAlignment="1">
      <alignment vertical="center" wrapText="1"/>
    </xf>
    <xf numFmtId="0" fontId="30" fillId="0" borderId="47" xfId="0" applyFont="1" applyBorder="1" applyAlignment="1">
      <alignment horizontal="center" vertical="center" wrapText="1"/>
    </xf>
    <xf numFmtId="167" fontId="30" fillId="0" borderId="47" xfId="0" applyNumberFormat="1" applyFont="1" applyFill="1" applyBorder="1" applyAlignment="1">
      <alignment vertical="center" wrapText="1"/>
    </xf>
    <xf numFmtId="166" fontId="30" fillId="0" borderId="47" xfId="0" applyNumberFormat="1" applyFont="1" applyBorder="1" applyAlignment="1">
      <alignment vertical="center" wrapText="1"/>
    </xf>
    <xf numFmtId="1" fontId="30" fillId="0" borderId="47"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29" fillId="0" borderId="72" xfId="1" applyNumberFormat="1" applyFont="1" applyBorder="1" applyAlignment="1">
      <alignment horizontal="center" vertical="center" wrapText="1"/>
    </xf>
    <xf numFmtId="0" fontId="29" fillId="0" borderId="13" xfId="0" applyFont="1" applyBorder="1" applyAlignment="1">
      <alignment horizontal="center" vertical="center" wrapText="1"/>
    </xf>
    <xf numFmtId="0" fontId="31" fillId="0" borderId="64" xfId="0" applyFont="1" applyBorder="1" applyAlignment="1">
      <alignment vertical="center" wrapText="1"/>
    </xf>
    <xf numFmtId="0" fontId="31" fillId="0" borderId="54" xfId="0" applyFont="1" applyBorder="1" applyAlignment="1">
      <alignment horizontal="center" vertical="center" wrapText="1"/>
    </xf>
    <xf numFmtId="0" fontId="30" fillId="0" borderId="54" xfId="0" applyFont="1" applyFill="1" applyBorder="1" applyAlignment="1">
      <alignment horizontal="center" vertical="center" wrapText="1"/>
    </xf>
    <xf numFmtId="0" fontId="30" fillId="0" borderId="49" xfId="0" applyFont="1" applyBorder="1" applyAlignment="1">
      <alignment horizontal="center" vertical="center" wrapText="1"/>
    </xf>
    <xf numFmtId="9" fontId="30" fillId="0" borderId="52" xfId="0" applyNumberFormat="1" applyFont="1" applyBorder="1" applyAlignment="1">
      <alignment horizontal="center" vertical="center" wrapText="1"/>
    </xf>
    <xf numFmtId="0" fontId="30" fillId="0" borderId="50" xfId="0" applyFont="1" applyBorder="1" applyAlignment="1">
      <alignment horizontal="center" vertical="center" wrapText="1"/>
    </xf>
    <xf numFmtId="0" fontId="30" fillId="0" borderId="54" xfId="0" applyFont="1" applyBorder="1" applyAlignment="1">
      <alignment horizontal="center" vertical="center" wrapText="1"/>
    </xf>
    <xf numFmtId="1" fontId="30" fillId="0" borderId="14" xfId="0" applyNumberFormat="1" applyFont="1" applyBorder="1" applyAlignment="1">
      <alignment horizontal="center" vertical="center" wrapText="1"/>
    </xf>
    <xf numFmtId="0" fontId="30" fillId="0" borderId="56" xfId="0" applyFont="1" applyBorder="1" applyAlignment="1">
      <alignment vertical="center" wrapText="1"/>
    </xf>
    <xf numFmtId="0" fontId="34" fillId="0" borderId="54" xfId="0" applyFont="1" applyBorder="1"/>
    <xf numFmtId="0" fontId="29" fillId="0" borderId="49" xfId="0" applyFont="1" applyBorder="1" applyAlignment="1">
      <alignment horizontal="center" vertical="center" wrapText="1"/>
    </xf>
    <xf numFmtId="0" fontId="30" fillId="8" borderId="10" xfId="0" applyFont="1" applyFill="1" applyBorder="1" applyAlignment="1">
      <alignment vertical="center" wrapText="1"/>
    </xf>
    <xf numFmtId="0" fontId="32" fillId="8" borderId="52" xfId="0" applyFont="1" applyFill="1" applyBorder="1" applyAlignment="1">
      <alignment horizontal="left"/>
    </xf>
    <xf numFmtId="0" fontId="32" fillId="8" borderId="10" xfId="0" applyFont="1" applyFill="1" applyBorder="1" applyAlignment="1">
      <alignment horizontal="left"/>
    </xf>
    <xf numFmtId="0" fontId="32" fillId="8" borderId="10" xfId="0" applyFont="1" applyFill="1" applyBorder="1" applyAlignment="1">
      <alignment vertical="center" wrapText="1"/>
    </xf>
    <xf numFmtId="0" fontId="27" fillId="0" borderId="10" xfId="1" applyNumberFormat="1" applyFont="1" applyFill="1" applyBorder="1" applyAlignment="1">
      <alignment horizontal="center" vertical="center" wrapText="1"/>
    </xf>
    <xf numFmtId="0" fontId="29" fillId="0" borderId="17" xfId="0" applyFont="1" applyBorder="1" applyAlignment="1">
      <alignment horizontal="center" vertical="center" wrapText="1"/>
    </xf>
    <xf numFmtId="0" fontId="32" fillId="8" borderId="18" xfId="0" applyFont="1" applyFill="1" applyBorder="1"/>
    <xf numFmtId="0" fontId="32" fillId="8" borderId="7" xfId="0" applyFont="1" applyFill="1" applyBorder="1"/>
    <xf numFmtId="0" fontId="32" fillId="8" borderId="7" xfId="0" applyFont="1" applyFill="1" applyBorder="1" applyAlignment="1">
      <alignment vertical="center" wrapText="1"/>
    </xf>
    <xf numFmtId="0" fontId="30" fillId="8" borderId="15" xfId="0" applyFont="1" applyFill="1" applyBorder="1" applyAlignment="1">
      <alignment vertical="center" wrapText="1"/>
    </xf>
    <xf numFmtId="0" fontId="32" fillId="0" borderId="15" xfId="0" applyFont="1" applyBorder="1"/>
    <xf numFmtId="0" fontId="28" fillId="0" borderId="59" xfId="0" applyFont="1" applyBorder="1" applyAlignment="1">
      <alignment horizontal="left" vertical="center" wrapText="1"/>
    </xf>
    <xf numFmtId="0" fontId="29" fillId="0" borderId="2" xfId="0" applyFont="1" applyBorder="1" applyAlignment="1">
      <alignment horizontal="center" vertical="center" wrapText="1"/>
    </xf>
    <xf numFmtId="0" fontId="31" fillId="0" borderId="61" xfId="0" applyFont="1" applyBorder="1" applyAlignment="1">
      <alignment vertical="center" wrapText="1"/>
    </xf>
    <xf numFmtId="0" fontId="34" fillId="0" borderId="61" xfId="0" applyFont="1" applyBorder="1"/>
    <xf numFmtId="9" fontId="27" fillId="0" borderId="61"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9" fontId="30" fillId="0" borderId="61" xfId="1" applyFont="1" applyFill="1" applyBorder="1" applyAlignment="1">
      <alignment horizontal="center" vertical="center" wrapText="1"/>
    </xf>
    <xf numFmtId="0" fontId="30" fillId="0" borderId="61" xfId="0" applyFont="1" applyFill="1" applyBorder="1" applyAlignment="1">
      <alignment vertical="center" wrapText="1"/>
    </xf>
    <xf numFmtId="0" fontId="30" fillId="0" borderId="61" xfId="0" applyFont="1" applyBorder="1" applyAlignment="1">
      <alignment horizontal="center" vertical="center" wrapText="1"/>
    </xf>
    <xf numFmtId="167" fontId="30" fillId="0" borderId="61" xfId="0" applyNumberFormat="1" applyFont="1" applyFill="1" applyBorder="1" applyAlignment="1">
      <alignment vertical="center" wrapText="1"/>
    </xf>
    <xf numFmtId="166" fontId="30" fillId="0" borderId="61" xfId="0" applyNumberFormat="1" applyFont="1" applyBorder="1" applyAlignment="1">
      <alignment vertical="center" wrapText="1"/>
    </xf>
    <xf numFmtId="1" fontId="30" fillId="0" borderId="61" xfId="0" applyNumberFormat="1" applyFont="1" applyBorder="1" applyAlignment="1">
      <alignment horizontal="center" vertical="center" wrapText="1"/>
    </xf>
    <xf numFmtId="1" fontId="30" fillId="0" borderId="62" xfId="0" applyNumberFormat="1" applyFont="1" applyBorder="1" applyAlignment="1">
      <alignment horizontal="center" vertical="center" wrapText="1"/>
    </xf>
    <xf numFmtId="1" fontId="29" fillId="0" borderId="68" xfId="0" applyNumberFormat="1" applyFont="1" applyBorder="1" applyAlignment="1">
      <alignment horizontal="center" vertical="center" wrapText="1"/>
    </xf>
    <xf numFmtId="170" fontId="29" fillId="0" borderId="26"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48" xfId="0" applyFont="1" applyFill="1" applyBorder="1" applyAlignment="1">
      <alignment horizontal="left" vertical="center" wrapText="1"/>
    </xf>
    <xf numFmtId="0" fontId="29" fillId="0" borderId="48" xfId="0" applyFont="1" applyBorder="1" applyAlignment="1">
      <alignment vertical="center" wrapText="1"/>
    </xf>
    <xf numFmtId="0" fontId="34" fillId="0" borderId="48" xfId="0" applyFont="1" applyBorder="1"/>
    <xf numFmtId="9" fontId="27" fillId="0" borderId="47"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8" xfId="1" applyFont="1" applyFill="1" applyBorder="1" applyAlignment="1">
      <alignment horizontal="center" vertical="center" wrapText="1"/>
    </xf>
    <xf numFmtId="0" fontId="30" fillId="0" borderId="48" xfId="0" applyFont="1" applyFill="1" applyBorder="1" applyAlignment="1">
      <alignment vertical="center" wrapText="1"/>
    </xf>
    <xf numFmtId="0" fontId="30" fillId="0" borderId="48" xfId="0" applyFont="1" applyBorder="1" applyAlignment="1">
      <alignment horizontal="center" vertical="center" wrapText="1"/>
    </xf>
    <xf numFmtId="167" fontId="30" fillId="0" borderId="48" xfId="0" applyNumberFormat="1" applyFont="1" applyFill="1" applyBorder="1" applyAlignment="1">
      <alignment vertical="center" wrapText="1"/>
    </xf>
    <xf numFmtId="166" fontId="30" fillId="0" borderId="48" xfId="0" applyNumberFormat="1" applyFont="1" applyBorder="1" applyAlignment="1">
      <alignment vertical="center" wrapText="1"/>
    </xf>
    <xf numFmtId="1" fontId="30" fillId="0" borderId="48" xfId="0" applyNumberFormat="1" applyFont="1" applyBorder="1" applyAlignment="1">
      <alignment horizontal="center" vertical="center" wrapText="1"/>
    </xf>
    <xf numFmtId="1" fontId="30" fillId="0" borderId="4" xfId="0" applyNumberFormat="1" applyFont="1" applyBorder="1" applyAlignment="1">
      <alignment horizontal="center" vertical="center" wrapText="1"/>
    </xf>
    <xf numFmtId="9" fontId="29" fillId="0" borderId="69" xfId="1" applyFont="1" applyBorder="1" applyAlignment="1">
      <alignment horizontal="center" vertical="center" wrapText="1"/>
    </xf>
    <xf numFmtId="0" fontId="29" fillId="0" borderId="54" xfId="0" applyFont="1" applyBorder="1" applyAlignment="1">
      <alignment horizontal="center" vertical="center" wrapText="1"/>
    </xf>
    <xf numFmtId="0" fontId="29" fillId="0" borderId="13" xfId="0" applyFont="1" applyBorder="1" applyAlignment="1">
      <alignment vertical="center" wrapText="1"/>
    </xf>
    <xf numFmtId="9" fontId="30" fillId="0" borderId="54"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 fontId="29" fillId="0" borderId="41" xfId="0" applyNumberFormat="1" applyFont="1" applyBorder="1" applyAlignment="1">
      <alignment horizontal="center" vertical="center" wrapText="1"/>
    </xf>
    <xf numFmtId="1" fontId="29" fillId="0" borderId="37" xfId="0" applyNumberFormat="1" applyFont="1" applyBorder="1" applyAlignment="1">
      <alignment horizontal="center" vertical="center" wrapText="1"/>
    </xf>
    <xf numFmtId="1" fontId="29" fillId="0" borderId="37" xfId="0" applyNumberFormat="1" applyFont="1" applyBorder="1" applyAlignment="1">
      <alignment horizontal="left" vertical="center" wrapText="1"/>
    </xf>
    <xf numFmtId="1" fontId="29" fillId="0" borderId="43" xfId="0" applyNumberFormat="1" applyFont="1" applyBorder="1" applyAlignment="1">
      <alignment horizontal="left" vertical="center" wrapText="1"/>
    </xf>
    <xf numFmtId="1" fontId="29" fillId="0" borderId="77" xfId="0" applyNumberFormat="1" applyFont="1" applyBorder="1" applyAlignment="1">
      <alignment horizontal="center" vertical="center" wrapText="1"/>
    </xf>
    <xf numFmtId="1" fontId="29" fillId="0" borderId="43" xfId="0" applyNumberFormat="1" applyFont="1" applyBorder="1" applyAlignment="1">
      <alignment horizontal="center" vertical="center" wrapText="1"/>
    </xf>
    <xf numFmtId="1" fontId="29" fillId="0" borderId="41" xfId="0" applyNumberFormat="1" applyFont="1" applyBorder="1" applyAlignment="1">
      <alignment horizontal="left" vertical="center" wrapText="1"/>
    </xf>
    <xf numFmtId="1" fontId="29" fillId="0" borderId="77" xfId="0" applyNumberFormat="1" applyFont="1" applyBorder="1" applyAlignment="1">
      <alignment horizontal="left" vertical="center" wrapText="1"/>
    </xf>
    <xf numFmtId="1" fontId="29" fillId="0" borderId="75" xfId="0" applyNumberFormat="1" applyFont="1" applyBorder="1" applyAlignment="1">
      <alignment horizontal="left" vertical="center" wrapText="1"/>
    </xf>
    <xf numFmtId="1" fontId="30" fillId="0" borderId="41" xfId="0" applyNumberFormat="1" applyFont="1" applyBorder="1" applyAlignment="1">
      <alignment horizontal="left" vertical="center" wrapText="1"/>
    </xf>
    <xf numFmtId="1" fontId="30" fillId="0" borderId="43"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29" fillId="0" borderId="78" xfId="0" applyNumberFormat="1" applyFont="1" applyBorder="1" applyAlignment="1">
      <alignment horizontal="left" vertical="center" wrapText="1"/>
    </xf>
    <xf numFmtId="9" fontId="27" fillId="0" borderId="63" xfId="0" applyNumberFormat="1" applyFont="1" applyFill="1" applyBorder="1" applyAlignment="1">
      <alignment horizontal="center" vertical="center" wrapText="1"/>
    </xf>
    <xf numFmtId="0" fontId="30" fillId="7" borderId="6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64" xfId="0" applyFont="1" applyFill="1" applyBorder="1" applyAlignment="1">
      <alignment horizontal="center" vertical="center" wrapText="1"/>
    </xf>
    <xf numFmtId="10" fontId="34" fillId="4" borderId="57" xfId="0" applyNumberFormat="1" applyFont="1" applyFill="1" applyBorder="1" applyAlignment="1">
      <alignment horizontal="center" vertical="center"/>
    </xf>
    <xf numFmtId="10" fontId="34" fillId="3" borderId="7" xfId="0" applyNumberFormat="1" applyFont="1" applyFill="1" applyBorder="1" applyAlignment="1">
      <alignment horizontal="center" vertical="center"/>
    </xf>
    <xf numFmtId="10" fontId="34" fillId="2" borderId="26" xfId="0" applyNumberFormat="1" applyFont="1" applyFill="1" applyBorder="1" applyAlignment="1">
      <alignment horizontal="center" vertical="center"/>
    </xf>
    <xf numFmtId="0" fontId="32" fillId="0" borderId="10" xfId="0" applyFont="1" applyBorder="1" applyAlignment="1">
      <alignment vertical="center" wrapText="1"/>
    </xf>
    <xf numFmtId="9" fontId="32" fillId="0" borderId="52" xfId="0" applyNumberFormat="1" applyFont="1" applyBorder="1" applyAlignment="1">
      <alignment horizontal="center" vertical="center" wrapText="1"/>
    </xf>
    <xf numFmtId="0" fontId="32" fillId="0" borderId="52"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4" fillId="0" borderId="64" xfId="0" applyFont="1" applyFill="1" applyBorder="1" applyAlignment="1">
      <alignment vertical="center" wrapText="1"/>
    </xf>
    <xf numFmtId="9" fontId="35" fillId="0" borderId="54" xfId="0" applyNumberFormat="1" applyFont="1" applyBorder="1" applyAlignment="1">
      <alignment horizontal="center" vertical="center" wrapText="1"/>
    </xf>
    <xf numFmtId="0" fontId="32" fillId="0" borderId="54"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0" borderId="18" xfId="0"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0" borderId="15" xfId="0" applyFont="1" applyBorder="1" applyAlignment="1">
      <alignment vertical="center" wrapText="1"/>
    </xf>
    <xf numFmtId="9" fontId="32" fillId="0" borderId="21" xfId="0" applyNumberFormat="1" applyFont="1" applyBorder="1" applyAlignment="1">
      <alignment horizontal="center" vertical="center" wrapText="1"/>
    </xf>
    <xf numFmtId="0" fontId="32" fillId="8" borderId="21"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5" fillId="0" borderId="61" xfId="0" applyFont="1" applyBorder="1" applyAlignment="1">
      <alignment vertical="center" wrapText="1"/>
    </xf>
    <xf numFmtId="10" fontId="35" fillId="0" borderId="60" xfId="0" applyNumberFormat="1" applyFont="1" applyBorder="1" applyAlignment="1">
      <alignment horizontal="center" vertical="center" wrapText="1"/>
    </xf>
    <xf numFmtId="0" fontId="32" fillId="0" borderId="60" xfId="0" applyFont="1" applyFill="1" applyBorder="1" applyAlignment="1">
      <alignment horizontal="center" vertical="center" wrapText="1"/>
    </xf>
    <xf numFmtId="0" fontId="32" fillId="7" borderId="61" xfId="0" applyFont="1" applyFill="1" applyBorder="1" applyAlignment="1">
      <alignment horizontal="center" vertical="center" wrapText="1"/>
    </xf>
    <xf numFmtId="0" fontId="35" fillId="0" borderId="10" xfId="0" applyFont="1" applyBorder="1" applyAlignment="1">
      <alignment vertical="center" wrapText="1"/>
    </xf>
    <xf numFmtId="0" fontId="35" fillId="0" borderId="52" xfId="0" applyFont="1" applyBorder="1" applyAlignment="1">
      <alignment horizontal="center" vertical="center" wrapText="1"/>
    </xf>
    <xf numFmtId="0" fontId="35" fillId="0" borderId="7" xfId="0" applyFont="1" applyBorder="1" applyAlignment="1">
      <alignment vertical="center" wrapText="1"/>
    </xf>
    <xf numFmtId="0" fontId="35" fillId="0" borderId="18" xfId="0" applyFont="1" applyBorder="1" applyAlignment="1">
      <alignment horizontal="center" vertical="center" wrapText="1"/>
    </xf>
    <xf numFmtId="2" fontId="35" fillId="0" borderId="54" xfId="0" applyNumberFormat="1" applyFont="1" applyBorder="1" applyAlignment="1">
      <alignment horizontal="center" vertical="center" wrapText="1"/>
    </xf>
    <xf numFmtId="0" fontId="34" fillId="0" borderId="48" xfId="0" applyFont="1" applyFill="1" applyBorder="1" applyAlignment="1">
      <alignment vertical="center" wrapText="1"/>
    </xf>
    <xf numFmtId="9" fontId="34" fillId="0" borderId="48" xfId="0" applyNumberFormat="1"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34" fillId="0" borderId="13" xfId="0" applyFont="1" applyFill="1" applyBorder="1" applyAlignment="1">
      <alignment vertical="center" wrapText="1"/>
    </xf>
    <xf numFmtId="9" fontId="34" fillId="0" borderId="54" xfId="0" applyNumberFormat="1"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7" borderId="64" xfId="0" applyFont="1" applyFill="1" applyBorder="1" applyAlignment="1">
      <alignment horizontal="center" vertical="center" wrapText="1"/>
    </xf>
    <xf numFmtId="166" fontId="26" fillId="5" borderId="3" xfId="0" applyNumberFormat="1" applyFont="1" applyFill="1" applyBorder="1" applyAlignment="1">
      <alignment horizontal="center" vertical="center" wrapText="1"/>
    </xf>
    <xf numFmtId="9" fontId="29" fillId="0" borderId="37" xfId="1" applyFont="1" applyBorder="1" applyAlignment="1">
      <alignment horizontal="center" vertical="center" wrapText="1"/>
    </xf>
    <xf numFmtId="168" fontId="29" fillId="0" borderId="41" xfId="0" applyNumberFormat="1" applyFont="1" applyBorder="1" applyAlignment="1">
      <alignment horizontal="center" vertical="center" wrapText="1"/>
    </xf>
    <xf numFmtId="166" fontId="29" fillId="0" borderId="37" xfId="1" applyNumberFormat="1" applyFont="1" applyBorder="1" applyAlignment="1">
      <alignment horizontal="center" vertical="center" wrapText="1"/>
    </xf>
    <xf numFmtId="9" fontId="29" fillId="0" borderId="43" xfId="1" applyFont="1" applyBorder="1" applyAlignment="1">
      <alignment horizontal="center" vertical="center" wrapText="1"/>
    </xf>
    <xf numFmtId="9" fontId="29" fillId="0" borderId="41" xfId="1" applyFont="1" applyBorder="1" applyAlignment="1">
      <alignment horizontal="center" vertical="center" wrapText="1"/>
    </xf>
    <xf numFmtId="9" fontId="29" fillId="0" borderId="77" xfId="1" applyFont="1" applyBorder="1" applyAlignment="1">
      <alignment horizontal="center" vertical="center" wrapText="1"/>
    </xf>
    <xf numFmtId="10" fontId="29" fillId="0" borderId="75" xfId="1" applyNumberFormat="1" applyFont="1" applyBorder="1" applyAlignment="1">
      <alignment horizontal="center" vertical="center" wrapText="1"/>
    </xf>
    <xf numFmtId="9" fontId="29" fillId="0" borderId="75" xfId="1" applyNumberFormat="1" applyFont="1" applyBorder="1" applyAlignment="1">
      <alignment horizontal="center" vertical="center" wrapText="1"/>
    </xf>
    <xf numFmtId="170" fontId="29" fillId="0" borderId="37" xfId="0" applyNumberFormat="1" applyFont="1" applyBorder="1" applyAlignment="1">
      <alignment horizontal="center" vertical="center" wrapText="1"/>
    </xf>
    <xf numFmtId="9" fontId="29" fillId="0" borderId="78" xfId="1" applyFont="1" applyBorder="1" applyAlignment="1">
      <alignment horizontal="center" vertical="center" wrapText="1"/>
    </xf>
    <xf numFmtId="0" fontId="36" fillId="0" borderId="0" xfId="0" applyFont="1"/>
    <xf numFmtId="0" fontId="36" fillId="0" borderId="0" xfId="0" applyFont="1" applyAlignment="1">
      <alignment horizontal="center"/>
    </xf>
    <xf numFmtId="0" fontId="36" fillId="0" borderId="0" xfId="0" applyFont="1" applyAlignment="1">
      <alignment wrapText="1"/>
    </xf>
    <xf numFmtId="0" fontId="36" fillId="0" borderId="0" xfId="0" applyFont="1" applyFill="1" applyBorder="1"/>
    <xf numFmtId="0" fontId="36" fillId="0" borderId="0" xfId="0" applyFont="1" applyAlignment="1"/>
    <xf numFmtId="0" fontId="36" fillId="0" borderId="0" xfId="0" applyFont="1" applyFill="1" applyBorder="1" applyAlignment="1"/>
    <xf numFmtId="0" fontId="36" fillId="0" borderId="0" xfId="0" applyFont="1" applyFill="1" applyBorder="1" applyAlignment="1">
      <alignment horizontal="center" vertical="center"/>
    </xf>
    <xf numFmtId="166" fontId="37" fillId="12" borderId="9" xfId="0" applyNumberFormat="1" applyFont="1" applyFill="1" applyBorder="1" applyAlignment="1">
      <alignment horizontal="center" vertical="center"/>
    </xf>
    <xf numFmtId="166" fontId="37" fillId="12" borderId="10" xfId="0" applyNumberFormat="1" applyFont="1" applyFill="1" applyBorder="1" applyAlignment="1">
      <alignment horizontal="center" vertical="center"/>
    </xf>
    <xf numFmtId="166" fontId="37" fillId="12" borderId="11" xfId="0" applyNumberFormat="1" applyFont="1" applyFill="1" applyBorder="1" applyAlignment="1">
      <alignment horizontal="center" vertical="center"/>
    </xf>
    <xf numFmtId="0" fontId="36" fillId="0" borderId="0" xfId="0" applyFont="1" applyFill="1" applyBorder="1" applyAlignment="1">
      <alignment vertical="center" wrapText="1"/>
    </xf>
    <xf numFmtId="0" fontId="36" fillId="8" borderId="33" xfId="0" applyFont="1" applyFill="1" applyBorder="1" applyAlignment="1">
      <alignment horizontal="left" vertical="center" wrapText="1"/>
    </xf>
    <xf numFmtId="0" fontId="36" fillId="8" borderId="1" xfId="0" applyFont="1" applyFill="1" applyBorder="1" applyAlignment="1">
      <alignment vertical="center" wrapText="1"/>
    </xf>
    <xf numFmtId="0" fontId="36" fillId="8" borderId="84" xfId="0" applyFont="1" applyFill="1" applyBorder="1" applyAlignment="1">
      <alignment horizontal="center" vertical="center" wrapText="1"/>
    </xf>
    <xf numFmtId="0" fontId="39" fillId="8" borderId="60" xfId="0" applyFont="1" applyFill="1" applyBorder="1" applyAlignment="1">
      <alignment vertical="center" wrapText="1"/>
    </xf>
    <xf numFmtId="0" fontId="39" fillId="8" borderId="61" xfId="0" applyFont="1" applyFill="1" applyBorder="1" applyAlignment="1">
      <alignment vertical="center" wrapText="1"/>
    </xf>
    <xf numFmtId="166" fontId="36" fillId="8" borderId="33" xfId="0" applyNumberFormat="1" applyFont="1" applyFill="1" applyBorder="1" applyAlignment="1">
      <alignment horizontal="center" vertical="center" wrapText="1"/>
    </xf>
    <xf numFmtId="10" fontId="36" fillId="8" borderId="33" xfId="1" applyNumberFormat="1" applyFont="1" applyFill="1" applyBorder="1" applyAlignment="1">
      <alignment horizontal="center" vertical="center" wrapText="1"/>
    </xf>
    <xf numFmtId="10" fontId="36" fillId="6" borderId="68" xfId="1" applyNumberFormat="1" applyFont="1" applyFill="1" applyBorder="1" applyAlignment="1">
      <alignment horizontal="center" vertical="center"/>
    </xf>
    <xf numFmtId="10" fontId="36" fillId="8" borderId="33" xfId="0" applyNumberFormat="1" applyFont="1" applyFill="1" applyBorder="1" applyAlignment="1">
      <alignment horizontal="center" vertical="center"/>
    </xf>
    <xf numFmtId="10" fontId="36" fillId="4" borderId="59" xfId="0" applyNumberFormat="1" applyFont="1" applyFill="1" applyBorder="1" applyAlignment="1">
      <alignment horizontal="center" vertical="center" wrapText="1"/>
    </xf>
    <xf numFmtId="10" fontId="36" fillId="3" borderId="63" xfId="0" applyNumberFormat="1" applyFont="1" applyFill="1" applyBorder="1" applyAlignment="1">
      <alignment horizontal="center" vertical="center" wrapText="1"/>
    </xf>
    <xf numFmtId="10" fontId="36" fillId="10" borderId="68" xfId="0" applyNumberFormat="1" applyFont="1" applyFill="1" applyBorder="1" applyAlignment="1">
      <alignment horizontal="center" vertical="center" wrapText="1"/>
    </xf>
    <xf numFmtId="10" fontId="36" fillId="8" borderId="59" xfId="0" applyNumberFormat="1" applyFont="1" applyFill="1" applyBorder="1" applyAlignment="1">
      <alignment horizontal="center" vertical="center"/>
    </xf>
    <xf numFmtId="10" fontId="36" fillId="8" borderId="61" xfId="0" applyNumberFormat="1" applyFont="1" applyFill="1" applyBorder="1" applyAlignment="1">
      <alignment horizontal="center" vertical="center"/>
    </xf>
    <xf numFmtId="10" fontId="36" fillId="8" borderId="61" xfId="1" applyNumberFormat="1" applyFont="1" applyFill="1" applyBorder="1" applyAlignment="1">
      <alignment horizontal="center" vertical="center"/>
    </xf>
    <xf numFmtId="10" fontId="36" fillId="8" borderId="68" xfId="1" applyNumberFormat="1" applyFont="1" applyFill="1" applyBorder="1" applyAlignment="1">
      <alignment horizontal="center" vertical="center"/>
    </xf>
    <xf numFmtId="0" fontId="41" fillId="0" borderId="3" xfId="0" applyFont="1" applyBorder="1" applyAlignment="1">
      <alignment vertical="center" wrapText="1"/>
    </xf>
    <xf numFmtId="0" fontId="36" fillId="8" borderId="0" xfId="0" applyFont="1" applyFill="1"/>
    <xf numFmtId="0" fontId="36" fillId="8" borderId="0" xfId="0" applyFont="1" applyFill="1" applyBorder="1"/>
    <xf numFmtId="0" fontId="36" fillId="8" borderId="0" xfId="0" applyFont="1" applyFill="1" applyBorder="1" applyAlignment="1">
      <alignment vertical="center" wrapText="1"/>
    </xf>
    <xf numFmtId="0" fontId="36" fillId="0" borderId="33" xfId="0" applyFont="1" applyBorder="1" applyAlignment="1">
      <alignment horizontal="left" vertical="center" wrapText="1"/>
    </xf>
    <xf numFmtId="0" fontId="41" fillId="0" borderId="23" xfId="0" applyFont="1" applyBorder="1" applyAlignment="1">
      <alignment vertical="center" wrapText="1"/>
    </xf>
    <xf numFmtId="0" fontId="41" fillId="0" borderId="63" xfId="0" applyFont="1" applyBorder="1" applyAlignment="1">
      <alignment vertical="center" wrapText="1"/>
    </xf>
    <xf numFmtId="166" fontId="36" fillId="0" borderId="29" xfId="0" applyNumberFormat="1" applyFont="1" applyBorder="1" applyAlignment="1">
      <alignment horizontal="center" vertical="center" wrapText="1"/>
    </xf>
    <xf numFmtId="1" fontId="36" fillId="0" borderId="29" xfId="0" applyNumberFormat="1" applyFont="1" applyBorder="1" applyAlignment="1">
      <alignment horizontal="center" vertical="center" wrapText="1"/>
    </xf>
    <xf numFmtId="9" fontId="36" fillId="6" borderId="71" xfId="1" applyFont="1" applyFill="1" applyBorder="1" applyAlignment="1">
      <alignment horizontal="center" vertical="center"/>
    </xf>
    <xf numFmtId="10" fontId="36" fillId="0" borderId="29" xfId="0" applyNumberFormat="1" applyFont="1" applyBorder="1" applyAlignment="1">
      <alignment horizontal="center" vertical="center"/>
    </xf>
    <xf numFmtId="10" fontId="36" fillId="4" borderId="51" xfId="0" applyNumberFormat="1" applyFont="1" applyFill="1" applyBorder="1" applyAlignment="1">
      <alignment horizontal="center" vertical="center" wrapText="1"/>
    </xf>
    <xf numFmtId="10" fontId="36" fillId="10" borderId="71" xfId="0" applyNumberFormat="1" applyFont="1" applyFill="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40" xfId="0" applyFont="1" applyBorder="1" applyAlignment="1">
      <alignment vertical="center" wrapText="1"/>
    </xf>
    <xf numFmtId="0" fontId="36" fillId="0" borderId="8" xfId="0" applyFont="1" applyBorder="1" applyAlignment="1">
      <alignment vertical="center" wrapText="1"/>
    </xf>
    <xf numFmtId="0" fontId="36" fillId="0" borderId="32" xfId="0" applyFont="1" applyBorder="1" applyAlignment="1">
      <alignment horizontal="left" vertical="center" wrapText="1"/>
    </xf>
    <xf numFmtId="0" fontId="41" fillId="0" borderId="55" xfId="0" applyFont="1" applyBorder="1" applyAlignment="1">
      <alignment vertical="center" wrapText="1"/>
    </xf>
    <xf numFmtId="0" fontId="41" fillId="0" borderId="66" xfId="0" applyFont="1" applyBorder="1" applyAlignment="1">
      <alignment vertical="center" wrapText="1"/>
    </xf>
    <xf numFmtId="10" fontId="36" fillId="0" borderId="32" xfId="1" applyNumberFormat="1" applyFont="1" applyBorder="1" applyAlignment="1">
      <alignment horizontal="center" vertical="center" wrapText="1"/>
    </xf>
    <xf numFmtId="10" fontId="36" fillId="0" borderId="32" xfId="0" applyNumberFormat="1" applyFont="1" applyBorder="1" applyAlignment="1">
      <alignment horizontal="center" vertical="center"/>
    </xf>
    <xf numFmtId="165" fontId="36" fillId="0" borderId="0" xfId="0" applyNumberFormat="1" applyFont="1"/>
    <xf numFmtId="165" fontId="36" fillId="0" borderId="0" xfId="1" applyNumberFormat="1" applyFont="1"/>
    <xf numFmtId="10" fontId="36" fillId="0" borderId="0" xfId="1" applyNumberFormat="1" applyFont="1"/>
    <xf numFmtId="0" fontId="36" fillId="0" borderId="84" xfId="0" applyFont="1" applyBorder="1" applyAlignment="1">
      <alignment horizontal="center" vertical="center" wrapText="1"/>
    </xf>
    <xf numFmtId="166" fontId="36" fillId="0" borderId="33" xfId="0" applyNumberFormat="1" applyFont="1" applyBorder="1" applyAlignment="1">
      <alignment horizontal="center" vertical="center" wrapText="1"/>
    </xf>
    <xf numFmtId="2" fontId="36" fillId="0" borderId="33" xfId="0" applyNumberFormat="1" applyFont="1" applyBorder="1" applyAlignment="1">
      <alignment horizontal="center" vertical="center" wrapText="1"/>
    </xf>
    <xf numFmtId="2" fontId="36" fillId="6" borderId="68" xfId="1" applyNumberFormat="1" applyFont="1" applyFill="1" applyBorder="1" applyAlignment="1">
      <alignment horizontal="center" vertical="center"/>
    </xf>
    <xf numFmtId="2" fontId="36" fillId="0" borderId="33" xfId="0" applyNumberFormat="1" applyFont="1" applyBorder="1" applyAlignment="1">
      <alignment horizontal="center" vertical="center"/>
    </xf>
    <xf numFmtId="10" fontId="36" fillId="3" borderId="61" xfId="0" applyNumberFormat="1" applyFont="1" applyFill="1" applyBorder="1" applyAlignment="1">
      <alignment horizontal="center" vertical="center" wrapText="1"/>
    </xf>
    <xf numFmtId="2" fontId="36" fillId="0" borderId="59" xfId="0" applyNumberFormat="1" applyFont="1" applyBorder="1" applyAlignment="1">
      <alignment horizontal="center" vertical="center"/>
    </xf>
    <xf numFmtId="2" fontId="36" fillId="0" borderId="61" xfId="0" applyNumberFormat="1" applyFont="1" applyFill="1" applyBorder="1" applyAlignment="1">
      <alignment horizontal="center" vertical="center"/>
    </xf>
    <xf numFmtId="2" fontId="36" fillId="0" borderId="61" xfId="0" applyNumberFormat="1" applyFont="1" applyBorder="1" applyAlignment="1">
      <alignment horizontal="center" vertical="center"/>
    </xf>
    <xf numFmtId="2" fontId="36" fillId="0" borderId="61" xfId="1" applyNumberFormat="1" applyFont="1" applyBorder="1" applyAlignment="1">
      <alignment horizontal="center" vertical="center"/>
    </xf>
    <xf numFmtId="10" fontId="36" fillId="0" borderId="33" xfId="1" applyNumberFormat="1" applyFont="1" applyBorder="1" applyAlignment="1">
      <alignment horizontal="center" vertical="center" wrapText="1"/>
    </xf>
    <xf numFmtId="10" fontId="36" fillId="0" borderId="33" xfId="0" applyNumberFormat="1" applyFont="1" applyBorder="1" applyAlignment="1">
      <alignment horizontal="center" vertical="center"/>
    </xf>
    <xf numFmtId="10" fontId="36" fillId="0" borderId="59" xfId="0" applyNumberFormat="1" applyFont="1" applyBorder="1" applyAlignment="1">
      <alignment horizontal="center" vertical="center"/>
    </xf>
    <xf numFmtId="10" fontId="36" fillId="0" borderId="61" xfId="0" applyNumberFormat="1" applyFont="1" applyBorder="1" applyAlignment="1">
      <alignment horizontal="center" vertical="center"/>
    </xf>
    <xf numFmtId="10" fontId="36" fillId="0" borderId="61" xfId="1" applyNumberFormat="1" applyFont="1" applyBorder="1" applyAlignment="1">
      <alignment horizontal="center" vertical="center"/>
    </xf>
    <xf numFmtId="0" fontId="36" fillId="0" borderId="3" xfId="0" applyFont="1" applyBorder="1" applyAlignment="1">
      <alignment vertical="center" wrapText="1"/>
    </xf>
    <xf numFmtId="0" fontId="36" fillId="0" borderId="88" xfId="0" applyFont="1" applyBorder="1" applyAlignment="1">
      <alignment horizontal="center" vertical="center" wrapText="1"/>
    </xf>
    <xf numFmtId="0" fontId="39" fillId="0" borderId="23" xfId="0" applyFont="1" applyBorder="1" applyAlignment="1">
      <alignment vertical="center" wrapText="1"/>
    </xf>
    <xf numFmtId="0" fontId="39" fillId="0" borderId="63" xfId="0" applyFont="1" applyBorder="1" applyAlignment="1">
      <alignment vertical="center" wrapText="1"/>
    </xf>
    <xf numFmtId="10" fontId="36" fillId="0" borderId="31" xfId="1" applyNumberFormat="1" applyFont="1" applyBorder="1" applyAlignment="1">
      <alignment horizontal="center" vertical="center" wrapText="1"/>
    </xf>
    <xf numFmtId="10" fontId="36" fillId="6" borderId="72" xfId="1" applyNumberFormat="1" applyFont="1" applyFill="1" applyBorder="1" applyAlignment="1">
      <alignment horizontal="center" vertical="center"/>
    </xf>
    <xf numFmtId="10" fontId="36" fillId="0" borderId="31" xfId="1" applyNumberFormat="1" applyFont="1" applyBorder="1" applyAlignment="1">
      <alignment horizontal="center" vertical="center"/>
    </xf>
    <xf numFmtId="0" fontId="36" fillId="4" borderId="53" xfId="0" applyFont="1" applyFill="1" applyBorder="1" applyAlignment="1">
      <alignment horizontal="center" vertical="center" wrapText="1"/>
    </xf>
    <xf numFmtId="0" fontId="36" fillId="3" borderId="47" xfId="0" applyFont="1" applyFill="1" applyBorder="1" applyAlignment="1">
      <alignment horizontal="center" vertical="center" wrapText="1"/>
    </xf>
    <xf numFmtId="0" fontId="36" fillId="10" borderId="72" xfId="0" applyFont="1" applyFill="1" applyBorder="1" applyAlignment="1">
      <alignment horizontal="center" vertical="center" wrapText="1"/>
    </xf>
    <xf numFmtId="0" fontId="36" fillId="0" borderId="75" xfId="0" applyFont="1" applyBorder="1" applyAlignment="1">
      <alignment vertical="center" wrapText="1"/>
    </xf>
    <xf numFmtId="0" fontId="39" fillId="0" borderId="60" xfId="0" applyFont="1" applyBorder="1" applyAlignment="1">
      <alignment vertical="center" wrapText="1"/>
    </xf>
    <xf numFmtId="0" fontId="39" fillId="0" borderId="61" xfId="0" applyFont="1" applyBorder="1" applyAlignment="1">
      <alignment vertical="center" wrapText="1"/>
    </xf>
    <xf numFmtId="0" fontId="36" fillId="0" borderId="33" xfId="0" applyFont="1" applyBorder="1" applyAlignment="1">
      <alignment horizontal="center" vertical="center"/>
    </xf>
    <xf numFmtId="0" fontId="36" fillId="4" borderId="59" xfId="0" applyFont="1" applyFill="1" applyBorder="1" applyAlignment="1">
      <alignment horizontal="center" vertical="center" wrapText="1"/>
    </xf>
    <xf numFmtId="0" fontId="36" fillId="10" borderId="68" xfId="0" applyFont="1" applyFill="1" applyBorder="1" applyAlignment="1">
      <alignment horizontal="center" vertical="center" wrapText="1"/>
    </xf>
    <xf numFmtId="0" fontId="36" fillId="0" borderId="59" xfId="0" applyFont="1" applyBorder="1" applyAlignment="1">
      <alignment horizontal="center" vertical="center"/>
    </xf>
    <xf numFmtId="0" fontId="36" fillId="0" borderId="61" xfId="0" applyFont="1" applyBorder="1" applyAlignment="1">
      <alignment horizontal="center" vertical="center"/>
    </xf>
    <xf numFmtId="10" fontId="36" fillId="0" borderId="68" xfId="1" applyNumberFormat="1" applyFont="1" applyBorder="1" applyAlignment="1">
      <alignment horizontal="center" vertical="center"/>
    </xf>
    <xf numFmtId="10" fontId="36" fillId="0" borderId="29" xfId="1" applyNumberFormat="1" applyFont="1" applyBorder="1" applyAlignment="1">
      <alignment horizontal="center" vertical="center" wrapText="1"/>
    </xf>
    <xf numFmtId="10" fontId="36" fillId="0" borderId="59" xfId="1" applyNumberFormat="1" applyFont="1" applyBorder="1" applyAlignment="1">
      <alignment horizontal="center" vertical="center"/>
    </xf>
    <xf numFmtId="10" fontId="36" fillId="0" borderId="58" xfId="1" applyNumberFormat="1" applyFont="1" applyBorder="1" applyAlignment="1">
      <alignment horizontal="left" vertical="center" wrapText="1"/>
    </xf>
    <xf numFmtId="0" fontId="36" fillId="0" borderId="40" xfId="0" applyFont="1" applyBorder="1" applyAlignment="1">
      <alignment horizontal="left" vertical="center"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33" xfId="0" applyFont="1" applyBorder="1" applyAlignment="1">
      <alignment horizontal="left" vertical="center" wrapText="1"/>
    </xf>
    <xf numFmtId="166" fontId="36" fillId="0" borderId="29" xfId="0" applyNumberFormat="1" applyFont="1" applyBorder="1" applyAlignment="1">
      <alignment horizontal="center" vertical="center" wrapText="1"/>
    </xf>
    <xf numFmtId="166" fontId="36" fillId="0" borderId="31"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9" fontId="36" fillId="6" borderId="46" xfId="1" applyFont="1" applyFill="1" applyBorder="1" applyAlignment="1">
      <alignment horizontal="center" vertical="center"/>
    </xf>
    <xf numFmtId="10" fontId="36" fillId="10" borderId="72"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3" borderId="47"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3"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8" xfId="0" applyFont="1" applyBorder="1" applyAlignment="1">
      <alignment horizontal="left" vertical="center" wrapText="1"/>
    </xf>
    <xf numFmtId="0" fontId="36" fillId="0" borderId="90" xfId="0" applyFont="1" applyBorder="1" applyAlignment="1">
      <alignment horizontal="center" vertical="center" wrapText="1"/>
    </xf>
    <xf numFmtId="0" fontId="36" fillId="8" borderId="27" xfId="0" applyFont="1" applyFill="1" applyBorder="1" applyAlignment="1">
      <alignment vertical="center" wrapText="1"/>
    </xf>
    <xf numFmtId="0" fontId="36" fillId="0" borderId="29" xfId="0" applyFont="1" applyBorder="1" applyAlignment="1">
      <alignment vertical="center" wrapText="1"/>
    </xf>
    <xf numFmtId="0" fontId="36" fillId="0" borderId="1" xfId="0" applyFont="1" applyBorder="1" applyAlignment="1">
      <alignment horizontal="left" vertical="center"/>
    </xf>
    <xf numFmtId="0" fontId="36" fillId="0" borderId="85" xfId="0" applyFont="1" applyBorder="1" applyAlignment="1">
      <alignment horizontal="center" vertical="center"/>
    </xf>
    <xf numFmtId="0" fontId="39" fillId="8" borderId="25" xfId="0" applyFont="1" applyFill="1" applyBorder="1" applyAlignment="1">
      <alignment vertical="center" wrapText="1"/>
    </xf>
    <xf numFmtId="0" fontId="39" fillId="8" borderId="47" xfId="0" applyFont="1" applyFill="1" applyBorder="1" applyAlignment="1">
      <alignment vertical="center" wrapText="1"/>
    </xf>
    <xf numFmtId="10" fontId="36" fillId="0" borderId="31" xfId="0" applyNumberFormat="1" applyFont="1" applyBorder="1" applyAlignment="1">
      <alignment horizontal="center" vertical="center"/>
    </xf>
    <xf numFmtId="0" fontId="36" fillId="0" borderId="33" xfId="0" applyFont="1" applyBorder="1" applyAlignment="1">
      <alignment vertical="center" wrapText="1"/>
    </xf>
    <xf numFmtId="0" fontId="36" fillId="0" borderId="28" xfId="0" quotePrefix="1" applyFont="1" applyBorder="1" applyAlignment="1">
      <alignment vertical="center" wrapText="1"/>
    </xf>
    <xf numFmtId="0" fontId="36" fillId="0" borderId="33" xfId="0" quotePrefix="1" applyFont="1" applyBorder="1" applyAlignment="1">
      <alignment horizontal="left" vertical="center" wrapText="1"/>
    </xf>
    <xf numFmtId="10" fontId="36" fillId="6" borderId="71" xfId="1" applyNumberFormat="1" applyFont="1" applyFill="1" applyBorder="1" applyAlignment="1">
      <alignment horizontal="center" vertical="center"/>
    </xf>
    <xf numFmtId="9" fontId="36" fillId="4" borderId="51" xfId="0" applyNumberFormat="1" applyFont="1" applyFill="1" applyBorder="1" applyAlignment="1">
      <alignment horizontal="center" vertical="center" wrapText="1"/>
    </xf>
    <xf numFmtId="0" fontId="36" fillId="0" borderId="30" xfId="0" applyFont="1" applyBorder="1" applyAlignment="1">
      <alignment vertical="center" wrapText="1"/>
    </xf>
    <xf numFmtId="0" fontId="36" fillId="0" borderId="32" xfId="0" quotePrefix="1" applyFont="1" applyBorder="1" applyAlignment="1">
      <alignment horizontal="left" vertical="center" wrapText="1"/>
    </xf>
    <xf numFmtId="0" fontId="36" fillId="0" borderId="32" xfId="0" applyFont="1" applyFill="1" applyBorder="1" applyAlignment="1">
      <alignment horizontal="center" vertical="center"/>
    </xf>
    <xf numFmtId="0" fontId="36" fillId="3" borderId="66" xfId="0" applyFont="1" applyFill="1" applyBorder="1" applyAlignment="1">
      <alignment horizontal="center" vertical="center" wrapText="1"/>
    </xf>
    <xf numFmtId="0" fontId="36" fillId="10" borderId="46" xfId="0" applyFont="1" applyFill="1" applyBorder="1" applyAlignment="1">
      <alignment horizontal="center" vertical="center" wrapText="1"/>
    </xf>
    <xf numFmtId="0" fontId="36" fillId="0" borderId="58" xfId="0" applyFont="1" applyBorder="1" applyAlignment="1">
      <alignment vertical="center" wrapText="1"/>
    </xf>
    <xf numFmtId="0" fontId="41" fillId="0" borderId="60" xfId="0" applyFont="1" applyBorder="1" applyAlignment="1">
      <alignment vertical="center" wrapText="1"/>
    </xf>
    <xf numFmtId="0" fontId="41" fillId="0" borderId="61" xfId="0" applyFont="1" applyBorder="1" applyAlignment="1">
      <alignment vertical="center" wrapText="1"/>
    </xf>
    <xf numFmtId="0" fontId="41" fillId="0" borderId="61" xfId="0" applyFont="1" applyFill="1" applyBorder="1" applyAlignment="1">
      <alignment vertical="center" wrapText="1"/>
    </xf>
    <xf numFmtId="166" fontId="36" fillId="0" borderId="33" xfId="0" applyNumberFormat="1" applyFont="1" applyFill="1" applyBorder="1" applyAlignment="1">
      <alignment horizontal="center" vertical="center" wrapText="1"/>
    </xf>
    <xf numFmtId="0" fontId="36" fillId="3" borderId="61" xfId="0" quotePrefix="1" applyFont="1" applyFill="1" applyBorder="1" applyAlignment="1">
      <alignment horizontal="center" vertical="center" wrapText="1"/>
    </xf>
    <xf numFmtId="0" fontId="39" fillId="0" borderId="87" xfId="0" applyFont="1" applyBorder="1" applyAlignment="1">
      <alignment horizontal="center" vertical="center" wrapText="1"/>
    </xf>
    <xf numFmtId="0" fontId="39" fillId="0" borderId="55" xfId="0" applyFont="1" applyBorder="1" applyAlignment="1">
      <alignment vertical="center" wrapText="1"/>
    </xf>
    <xf numFmtId="0" fontId="39" fillId="0" borderId="66" xfId="0" applyFont="1" applyBorder="1" applyAlignment="1">
      <alignment vertical="center" wrapText="1"/>
    </xf>
    <xf numFmtId="0" fontId="39" fillId="0" borderId="74" xfId="0" applyFont="1" applyBorder="1" applyAlignment="1">
      <alignment vertical="center" wrapText="1"/>
    </xf>
    <xf numFmtId="10" fontId="36" fillId="6" borderId="46" xfId="1" applyNumberFormat="1" applyFont="1" applyFill="1" applyBorder="1" applyAlignment="1">
      <alignment horizontal="center" vertical="center"/>
    </xf>
    <xf numFmtId="0" fontId="39" fillId="0" borderId="84" xfId="0" applyFont="1" applyBorder="1" applyAlignment="1">
      <alignment horizontal="center" vertical="center" wrapText="1"/>
    </xf>
    <xf numFmtId="0" fontId="39" fillId="0" borderId="62" xfId="0" applyFont="1" applyBorder="1" applyAlignment="1">
      <alignment vertical="center" wrapText="1"/>
    </xf>
    <xf numFmtId="166" fontId="39" fillId="0" borderId="33" xfId="0" applyNumberFormat="1" applyFont="1" applyBorder="1" applyAlignment="1">
      <alignment horizontal="center" vertical="center" wrapText="1"/>
    </xf>
    <xf numFmtId="9" fontId="36" fillId="0" borderId="33" xfId="0" applyNumberFormat="1" applyFont="1" applyBorder="1" applyAlignment="1">
      <alignment horizontal="center" vertical="center"/>
    </xf>
    <xf numFmtId="10" fontId="36" fillId="0" borderId="3" xfId="1" applyNumberFormat="1" applyFont="1" applyBorder="1" applyAlignment="1">
      <alignment horizontal="left" vertical="center" wrapText="1"/>
    </xf>
    <xf numFmtId="0" fontId="36" fillId="8" borderId="75" xfId="0" applyFont="1" applyFill="1" applyBorder="1" applyAlignment="1">
      <alignment vertical="center" wrapText="1"/>
    </xf>
    <xf numFmtId="10" fontId="36" fillId="0" borderId="33" xfId="1" applyNumberFormat="1" applyFont="1" applyBorder="1" applyAlignment="1">
      <alignment horizontal="center" vertical="center"/>
    </xf>
    <xf numFmtId="0" fontId="39" fillId="8" borderId="55" xfId="0" applyFont="1" applyFill="1" applyBorder="1" applyAlignment="1">
      <alignment vertical="center" wrapText="1"/>
    </xf>
    <xf numFmtId="0" fontId="39" fillId="8" borderId="66" xfId="0" applyFont="1" applyFill="1" applyBorder="1" applyAlignment="1">
      <alignment vertical="center" wrapText="1"/>
    </xf>
    <xf numFmtId="0" fontId="36" fillId="0" borderId="1" xfId="0" applyFont="1" applyBorder="1" applyAlignment="1">
      <alignment horizontal="left" vertical="center" wrapText="1"/>
    </xf>
    <xf numFmtId="0" fontId="36" fillId="0" borderId="32" xfId="0" applyFont="1" applyBorder="1" applyAlignment="1">
      <alignment vertical="center" wrapText="1"/>
    </xf>
    <xf numFmtId="0" fontId="39" fillId="0" borderId="38" xfId="0" applyFont="1" applyBorder="1" applyAlignment="1">
      <alignment vertical="center" wrapText="1"/>
    </xf>
    <xf numFmtId="0" fontId="41" fillId="0" borderId="62" xfId="0" applyFont="1" applyFill="1" applyBorder="1" applyAlignment="1">
      <alignment vertical="center" wrapText="1"/>
    </xf>
    <xf numFmtId="0" fontId="41" fillId="0" borderId="74" xfId="0" applyFont="1" applyBorder="1" applyAlignment="1">
      <alignment vertical="center" wrapText="1"/>
    </xf>
    <xf numFmtId="0" fontId="39" fillId="8" borderId="62" xfId="0" applyFont="1" applyFill="1" applyBorder="1" applyAlignment="1">
      <alignment vertical="center" wrapText="1"/>
    </xf>
    <xf numFmtId="0" fontId="41" fillId="0" borderId="38" xfId="0" applyFont="1" applyBorder="1" applyAlignment="1">
      <alignment vertical="center" wrapText="1"/>
    </xf>
    <xf numFmtId="0" fontId="39" fillId="8" borderId="19" xfId="0" applyFont="1" applyFill="1" applyBorder="1" applyAlignment="1">
      <alignment vertical="center" wrapText="1"/>
    </xf>
    <xf numFmtId="0" fontId="39" fillId="8" borderId="74" xfId="0" applyFont="1" applyFill="1" applyBorder="1" applyAlignment="1">
      <alignment vertical="center" wrapText="1"/>
    </xf>
    <xf numFmtId="0" fontId="39" fillId="7" borderId="29" xfId="0" applyFont="1" applyFill="1" applyBorder="1" applyAlignment="1">
      <alignment horizontal="left" vertical="center" wrapText="1"/>
    </xf>
    <xf numFmtId="0" fontId="39" fillId="7" borderId="33"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7" borderId="29" xfId="0" applyFont="1" applyFill="1" applyBorder="1" applyAlignment="1">
      <alignment horizontal="left" vertical="center" wrapText="1"/>
    </xf>
    <xf numFmtId="0" fontId="39" fillId="7" borderId="32" xfId="0" applyFont="1" applyFill="1" applyBorder="1" applyAlignment="1">
      <alignment horizontal="left" vertical="center" wrapText="1"/>
    </xf>
    <xf numFmtId="0" fontId="36" fillId="7" borderId="33" xfId="0" applyFont="1" applyFill="1" applyBorder="1" applyAlignment="1">
      <alignment horizontal="left" vertical="center" wrapText="1"/>
    </xf>
    <xf numFmtId="0" fontId="36" fillId="7" borderId="31" xfId="0" applyFont="1" applyFill="1" applyBorder="1" applyAlignment="1">
      <alignment horizontal="left" vertical="center" wrapText="1"/>
    </xf>
    <xf numFmtId="166" fontId="37" fillId="13" borderId="12" xfId="0" applyNumberFormat="1" applyFont="1" applyFill="1" applyBorder="1" applyAlignment="1">
      <alignment horizontal="center" vertical="center"/>
    </xf>
    <xf numFmtId="166" fontId="37" fillId="13" borderId="13" xfId="0" applyNumberFormat="1" applyFont="1" applyFill="1" applyBorder="1" applyAlignment="1">
      <alignment horizontal="center" vertical="center"/>
    </xf>
    <xf numFmtId="166" fontId="37" fillId="13" borderId="14" xfId="0" applyNumberFormat="1" applyFont="1" applyFill="1" applyBorder="1" applyAlignment="1">
      <alignment horizontal="center" vertical="center"/>
    </xf>
    <xf numFmtId="2" fontId="36" fillId="0" borderId="68" xfId="1" applyNumberFormat="1" applyFont="1" applyBorder="1" applyAlignment="1">
      <alignment horizontal="center" vertical="center"/>
    </xf>
    <xf numFmtId="9" fontId="36" fillId="0" borderId="61" xfId="1" applyNumberFormat="1" applyFont="1" applyBorder="1" applyAlignment="1">
      <alignment horizontal="center" vertical="center"/>
    </xf>
    <xf numFmtId="9" fontId="36" fillId="0" borderId="68" xfId="1" applyNumberFormat="1" applyFont="1" applyBorder="1" applyAlignment="1">
      <alignment horizontal="center" vertical="center"/>
    </xf>
    <xf numFmtId="9" fontId="36" fillId="2" borderId="59" xfId="1" applyFont="1" applyFill="1" applyBorder="1" applyAlignment="1">
      <alignment horizontal="center" vertical="center"/>
    </xf>
    <xf numFmtId="9" fontId="36" fillId="2" borderId="59" xfId="0" applyNumberFormat="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171" fontId="36" fillId="2" borderId="61" xfId="40" applyNumberFormat="1" applyFont="1" applyFill="1" applyBorder="1" applyAlignment="1">
      <alignment horizontal="center" vertical="center"/>
    </xf>
    <xf numFmtId="171" fontId="36" fillId="2" borderId="68" xfId="40" applyNumberFormat="1" applyFont="1" applyFill="1" applyBorder="1" applyAlignment="1">
      <alignment horizontal="center" vertical="center"/>
    </xf>
    <xf numFmtId="10" fontId="36" fillId="2" borderId="61" xfId="0" applyNumberFormat="1" applyFont="1" applyFill="1" applyBorder="1" applyAlignment="1">
      <alignment horizontal="center" vertical="center"/>
    </xf>
    <xf numFmtId="10" fontId="36" fillId="2" borderId="68" xfId="0" applyNumberFormat="1" applyFont="1" applyFill="1" applyBorder="1" applyAlignment="1">
      <alignment horizontal="center" vertical="center"/>
    </xf>
    <xf numFmtId="9" fontId="36" fillId="2" borderId="68" xfId="0" applyNumberFormat="1" applyFont="1" applyFill="1" applyBorder="1" applyAlignment="1">
      <alignment horizontal="center" vertical="center"/>
    </xf>
    <xf numFmtId="9" fontId="36" fillId="3" borderId="63" xfId="0" applyNumberFormat="1" applyFont="1" applyFill="1" applyBorder="1" applyAlignment="1">
      <alignment horizontal="center" vertical="center" wrapText="1"/>
    </xf>
    <xf numFmtId="9" fontId="36" fillId="10" borderId="71" xfId="0" applyNumberFormat="1" applyFont="1" applyFill="1" applyBorder="1" applyAlignment="1">
      <alignment horizontal="center" vertical="center" wrapText="1"/>
    </xf>
    <xf numFmtId="9" fontId="36" fillId="4" borderId="59" xfId="0" applyNumberFormat="1" applyFont="1" applyFill="1" applyBorder="1" applyAlignment="1">
      <alignment horizontal="center" vertical="center" wrapText="1"/>
    </xf>
    <xf numFmtId="9" fontId="36" fillId="3" borderId="61" xfId="0" applyNumberFormat="1" applyFont="1" applyFill="1" applyBorder="1" applyAlignment="1">
      <alignment horizontal="center" vertical="center" wrapText="1"/>
    </xf>
    <xf numFmtId="9" fontId="36" fillId="10" borderId="68" xfId="0" applyNumberFormat="1" applyFont="1" applyFill="1" applyBorder="1" applyAlignment="1">
      <alignment horizontal="center" vertical="center" wrapText="1"/>
    </xf>
    <xf numFmtId="9" fontId="36" fillId="0" borderId="59" xfId="0" applyNumberFormat="1" applyFont="1" applyBorder="1" applyAlignment="1">
      <alignment horizontal="center" vertical="center"/>
    </xf>
    <xf numFmtId="0" fontId="36" fillId="0" borderId="33" xfId="40" applyNumberFormat="1" applyFont="1" applyFill="1" applyBorder="1" applyAlignment="1">
      <alignment horizontal="center" vertical="center" wrapText="1"/>
    </xf>
    <xf numFmtId="0" fontId="36" fillId="6" borderId="68" xfId="40" applyNumberFormat="1" applyFont="1" applyFill="1" applyBorder="1" applyAlignment="1">
      <alignment horizontal="center" vertical="center"/>
    </xf>
    <xf numFmtId="0" fontId="36" fillId="0" borderId="33" xfId="40" applyNumberFormat="1" applyFont="1" applyFill="1" applyBorder="1" applyAlignment="1">
      <alignment horizontal="center" vertical="center"/>
    </xf>
    <xf numFmtId="0" fontId="36" fillId="0" borderId="59" xfId="1" applyNumberFormat="1" applyFont="1" applyBorder="1" applyAlignment="1">
      <alignment horizontal="center" vertical="center"/>
    </xf>
    <xf numFmtId="0" fontId="36" fillId="0" borderId="61" xfId="1" applyNumberFormat="1" applyFont="1" applyBorder="1" applyAlignment="1">
      <alignment horizontal="center" vertical="center"/>
    </xf>
    <xf numFmtId="0" fontId="36" fillId="0" borderId="68" xfId="1" applyNumberFormat="1" applyFont="1" applyBorder="1" applyAlignment="1">
      <alignment horizontal="center" vertical="center"/>
    </xf>
    <xf numFmtId="0" fontId="36" fillId="0" borderId="59" xfId="1" applyNumberFormat="1" applyFont="1" applyFill="1" applyBorder="1" applyAlignment="1">
      <alignment horizontal="center" vertical="center"/>
    </xf>
    <xf numFmtId="0" fontId="36" fillId="0" borderId="61" xfId="1" applyNumberFormat="1" applyFont="1" applyFill="1" applyBorder="1" applyAlignment="1">
      <alignment horizontal="center" vertical="center"/>
    </xf>
    <xf numFmtId="0" fontId="36" fillId="0" borderId="68" xfId="1" applyNumberFormat="1" applyFont="1" applyFill="1" applyBorder="1" applyAlignment="1">
      <alignment horizontal="center" vertical="center"/>
    </xf>
    <xf numFmtId="9" fontId="36" fillId="0" borderId="59" xfId="1" applyFont="1" applyBorder="1" applyAlignment="1">
      <alignment horizontal="center" vertical="center"/>
    </xf>
    <xf numFmtId="9" fontId="36" fillId="0" borderId="61" xfId="1" applyFont="1" applyBorder="1" applyAlignment="1">
      <alignment horizontal="center" vertical="center"/>
    </xf>
    <xf numFmtId="9" fontId="36" fillId="0" borderId="68" xfId="1" applyFont="1" applyBorder="1" applyAlignment="1">
      <alignment horizontal="center" vertical="center"/>
    </xf>
    <xf numFmtId="9" fontId="36" fillId="4" borderId="45" xfId="0" applyNumberFormat="1" applyFont="1" applyFill="1" applyBorder="1" applyAlignment="1">
      <alignment horizontal="center" vertical="center" wrapText="1"/>
    </xf>
    <xf numFmtId="9" fontId="36" fillId="0" borderId="59" xfId="1" applyFont="1" applyBorder="1" applyAlignment="1">
      <alignment vertical="center"/>
    </xf>
    <xf numFmtId="9" fontId="36" fillId="0" borderId="61" xfId="1" applyFont="1" applyBorder="1" applyAlignment="1">
      <alignment vertical="center"/>
    </xf>
    <xf numFmtId="9" fontId="36" fillId="0" borderId="68" xfId="1" applyFont="1" applyBorder="1" applyAlignment="1">
      <alignment vertical="center"/>
    </xf>
    <xf numFmtId="169" fontId="36" fillId="2" borderId="59" xfId="40" applyNumberFormat="1" applyFont="1" applyFill="1" applyBorder="1" applyAlignment="1">
      <alignment horizontal="center" vertical="center"/>
    </xf>
    <xf numFmtId="0" fontId="47" fillId="8" borderId="33" xfId="0" applyFont="1" applyFill="1" applyBorder="1" applyAlignment="1">
      <alignment horizontal="left" vertical="center" wrapText="1"/>
    </xf>
    <xf numFmtId="0" fontId="47" fillId="0" borderId="33" xfId="0" applyFont="1" applyBorder="1" applyAlignment="1">
      <alignment horizontal="left" vertical="center" wrapText="1"/>
    </xf>
    <xf numFmtId="0" fontId="47" fillId="0" borderId="33" xfId="0" applyFont="1" applyBorder="1" applyAlignment="1">
      <alignment vertical="center" wrapText="1"/>
    </xf>
    <xf numFmtId="0" fontId="47" fillId="8" borderId="33" xfId="0" applyFont="1" applyFill="1" applyBorder="1" applyAlignment="1">
      <alignment vertical="center" wrapText="1"/>
    </xf>
    <xf numFmtId="10" fontId="0" fillId="0" borderId="0" xfId="0" applyNumberFormat="1"/>
    <xf numFmtId="0" fontId="48" fillId="0" borderId="33" xfId="0" applyFont="1" applyBorder="1" applyAlignment="1">
      <alignment vertical="center" wrapText="1"/>
    </xf>
    <xf numFmtId="10" fontId="0" fillId="0" borderId="33" xfId="1" applyNumberFormat="1" applyFont="1" applyBorder="1" applyAlignment="1">
      <alignment horizontal="center" vertical="center"/>
    </xf>
    <xf numFmtId="10" fontId="37" fillId="2" borderId="33" xfId="0" applyNumberFormat="1" applyFont="1" applyFill="1" applyBorder="1" applyAlignment="1">
      <alignment vertical="center"/>
    </xf>
    <xf numFmtId="10" fontId="36" fillId="0" borderId="59" xfId="1" applyNumberFormat="1" applyFont="1" applyBorder="1" applyAlignment="1">
      <alignment horizontal="center" vertical="center"/>
    </xf>
    <xf numFmtId="3" fontId="36" fillId="0" borderId="0" xfId="0" applyNumberFormat="1" applyFont="1"/>
    <xf numFmtId="3" fontId="36" fillId="0" borderId="0" xfId="0" applyNumberFormat="1" applyFont="1" applyFill="1" applyBorder="1" applyAlignment="1">
      <alignment horizontal="center" vertical="center" wrapText="1"/>
    </xf>
    <xf numFmtId="3" fontId="36" fillId="0" borderId="0" xfId="0" applyNumberFormat="1" applyFont="1" applyFill="1" applyBorder="1" applyAlignment="1">
      <alignment horizontal="center" vertical="center"/>
    </xf>
    <xf numFmtId="3" fontId="36" fillId="0" borderId="0" xfId="0" applyNumberFormat="1" applyFont="1" applyAlignment="1">
      <alignment horizontal="center" vertical="center"/>
    </xf>
    <xf numFmtId="3" fontId="36" fillId="0" borderId="0" xfId="0" applyNumberFormat="1" applyFont="1" applyAlignment="1">
      <alignment horizontal="center" vertical="center" wrapText="1"/>
    </xf>
    <xf numFmtId="172" fontId="36" fillId="0" borderId="0" xfId="40" applyNumberFormat="1" applyFont="1" applyFill="1" applyBorder="1" applyAlignment="1">
      <alignment vertical="center" wrapText="1"/>
    </xf>
    <xf numFmtId="41" fontId="36" fillId="0" borderId="0" xfId="40" applyFont="1"/>
    <xf numFmtId="41" fontId="36" fillId="0" borderId="0" xfId="0" applyNumberFormat="1" applyFont="1"/>
    <xf numFmtId="0" fontId="36" fillId="0" borderId="3" xfId="0" applyFont="1" applyFill="1" applyBorder="1" applyAlignment="1">
      <alignment vertical="center" wrapText="1"/>
    </xf>
    <xf numFmtId="10" fontId="36" fillId="0" borderId="58" xfId="1" applyNumberFormat="1" applyFont="1" applyFill="1" applyBorder="1" applyAlignment="1">
      <alignment horizontal="left" vertical="center" wrapText="1"/>
    </xf>
    <xf numFmtId="0" fontId="39" fillId="8" borderId="3" xfId="0" applyFont="1" applyFill="1" applyBorder="1" applyAlignment="1">
      <alignment vertical="center" wrapText="1"/>
    </xf>
    <xf numFmtId="0" fontId="41" fillId="8" borderId="30" xfId="0" applyFont="1" applyFill="1" applyBorder="1" applyAlignment="1">
      <alignment vertical="center" wrapText="1"/>
    </xf>
    <xf numFmtId="4" fontId="36" fillId="0" borderId="0" xfId="0" applyNumberFormat="1" applyFont="1" applyFill="1" applyBorder="1"/>
    <xf numFmtId="10" fontId="36" fillId="8" borderId="3" xfId="1" applyNumberFormat="1" applyFont="1" applyFill="1" applyBorder="1" applyAlignment="1">
      <alignment horizontal="left" vertical="center" wrapText="1"/>
    </xf>
    <xf numFmtId="10" fontId="36" fillId="0" borderId="61" xfId="1" applyNumberFormat="1" applyFont="1" applyBorder="1" applyAlignment="1">
      <alignment horizontal="center" vertical="center"/>
    </xf>
    <xf numFmtId="0" fontId="46" fillId="11" borderId="33" xfId="0" applyFont="1" applyFill="1" applyBorder="1" applyAlignment="1">
      <alignment horizontal="center" vertical="center"/>
    </xf>
    <xf numFmtId="0" fontId="46" fillId="11" borderId="33" xfId="0" applyFont="1" applyFill="1" applyBorder="1" applyAlignment="1">
      <alignment horizontal="center" vertical="center" wrapText="1"/>
    </xf>
    <xf numFmtId="169" fontId="36" fillId="0" borderId="24" xfId="40" applyNumberFormat="1" applyFont="1" applyBorder="1" applyAlignment="1">
      <alignment horizontal="left" vertical="center" wrapText="1"/>
    </xf>
    <xf numFmtId="169" fontId="36" fillId="0" borderId="27" xfId="40" applyNumberFormat="1" applyFont="1" applyBorder="1" applyAlignment="1">
      <alignment horizontal="left" vertical="center" wrapText="1"/>
    </xf>
    <xf numFmtId="169" fontId="36" fillId="8" borderId="27" xfId="40" applyNumberFormat="1" applyFont="1" applyFill="1" applyBorder="1" applyAlignment="1">
      <alignment vertical="center" wrapText="1"/>
    </xf>
    <xf numFmtId="169" fontId="36" fillId="0" borderId="1" xfId="40" applyNumberFormat="1" applyFont="1" applyBorder="1" applyAlignment="1">
      <alignment horizontal="left" vertical="center"/>
    </xf>
    <xf numFmtId="169" fontId="36" fillId="0" borderId="22" xfId="40" applyNumberFormat="1" applyFont="1" applyBorder="1" applyAlignment="1">
      <alignment horizontal="left" vertical="center" wrapText="1"/>
    </xf>
    <xf numFmtId="169" fontId="36" fillId="0" borderId="33" xfId="40" applyNumberFormat="1" applyFont="1" applyBorder="1" applyAlignment="1">
      <alignment horizontal="left" vertical="center" wrapText="1"/>
    </xf>
    <xf numFmtId="169" fontId="36" fillId="0" borderId="1" xfId="40" applyNumberFormat="1" applyFont="1" applyBorder="1" applyAlignment="1">
      <alignment horizontal="left" vertical="center" wrapText="1"/>
    </xf>
    <xf numFmtId="169" fontId="36" fillId="0" borderId="0" xfId="0" applyNumberFormat="1" applyFont="1"/>
    <xf numFmtId="0" fontId="0" fillId="0" borderId="59" xfId="0" applyBorder="1" applyAlignment="1">
      <alignment vertical="center" wrapText="1"/>
    </xf>
    <xf numFmtId="9" fontId="0" fillId="0" borderId="68" xfId="1" applyFont="1" applyBorder="1" applyAlignment="1">
      <alignment vertical="center"/>
    </xf>
    <xf numFmtId="0" fontId="4" fillId="0" borderId="0" xfId="0" applyFont="1" applyAlignment="1"/>
    <xf numFmtId="10" fontId="36" fillId="0" borderId="61" xfId="1" applyNumberFormat="1" applyFont="1" applyBorder="1" applyAlignment="1">
      <alignment horizontal="center" vertical="center"/>
    </xf>
    <xf numFmtId="164" fontId="36" fillId="0" borderId="0" xfId="43" applyFont="1"/>
    <xf numFmtId="164" fontId="36" fillId="0" borderId="0" xfId="0" applyNumberFormat="1" applyFont="1"/>
    <xf numFmtId="9" fontId="36" fillId="0" borderId="0" xfId="1" applyFont="1"/>
    <xf numFmtId="4" fontId="36" fillId="0" borderId="0" xfId="0" applyNumberFormat="1" applyFont="1"/>
    <xf numFmtId="10" fontId="36" fillId="0" borderId="61" xfId="1" applyNumberFormat="1" applyFont="1" applyBorder="1" applyAlignment="1">
      <alignment horizontal="center" vertical="center"/>
    </xf>
    <xf numFmtId="10" fontId="0" fillId="0" borderId="33" xfId="1" applyNumberFormat="1" applyFont="1" applyBorder="1" applyAlignment="1">
      <alignment horizontal="center" vertical="center"/>
    </xf>
    <xf numFmtId="0" fontId="47" fillId="0" borderId="33" xfId="0" applyFont="1" applyBorder="1" applyAlignment="1">
      <alignment horizontal="left" vertical="center" wrapText="1"/>
    </xf>
    <xf numFmtId="10" fontId="0" fillId="0" borderId="29" xfId="1" applyNumberFormat="1" applyFont="1" applyBorder="1" applyAlignment="1">
      <alignment horizontal="center" vertical="center"/>
    </xf>
    <xf numFmtId="10" fontId="0" fillId="0" borderId="32" xfId="1" applyNumberFormat="1" applyFont="1" applyBorder="1" applyAlignment="1">
      <alignment horizontal="center" vertical="center"/>
    </xf>
    <xf numFmtId="0" fontId="46" fillId="11" borderId="29" xfId="0" applyFont="1" applyFill="1" applyBorder="1" applyAlignment="1">
      <alignment horizontal="center" vertical="center"/>
    </xf>
    <xf numFmtId="0" fontId="37" fillId="2" borderId="1" xfId="0" applyFont="1" applyFill="1" applyBorder="1" applyAlignment="1">
      <alignment horizontal="center"/>
    </xf>
    <xf numFmtId="0" fontId="37" fillId="2" borderId="2" xfId="0" applyFont="1" applyFill="1" applyBorder="1" applyAlignment="1">
      <alignment horizontal="center"/>
    </xf>
    <xf numFmtId="0" fontId="37" fillId="2" borderId="3" xfId="0" applyFont="1" applyFill="1" applyBorder="1" applyAlignment="1">
      <alignment horizontal="center"/>
    </xf>
    <xf numFmtId="0" fontId="46" fillId="11" borderId="33" xfId="0" applyFont="1" applyFill="1" applyBorder="1" applyAlignment="1">
      <alignment horizontal="center" vertical="center"/>
    </xf>
    <xf numFmtId="0" fontId="46" fillId="11" borderId="33" xfId="0" applyFont="1" applyFill="1" applyBorder="1" applyAlignment="1">
      <alignment horizontal="center" vertical="center" wrapText="1"/>
    </xf>
    <xf numFmtId="9" fontId="36" fillId="0" borderId="63" xfId="1" applyFont="1" applyBorder="1" applyAlignment="1">
      <alignment horizontal="center" vertical="center"/>
    </xf>
    <xf numFmtId="9" fontId="36" fillId="0" borderId="66" xfId="1" applyFont="1" applyBorder="1" applyAlignment="1">
      <alignment horizontal="center" vertical="center"/>
    </xf>
    <xf numFmtId="9" fontId="36" fillId="0" borderId="71" xfId="1" applyFont="1" applyBorder="1" applyAlignment="1">
      <alignment horizontal="center" vertical="center"/>
    </xf>
    <xf numFmtId="9" fontId="36" fillId="0" borderId="46" xfId="1" applyFont="1" applyBorder="1" applyAlignment="1">
      <alignment horizontal="center" vertical="center"/>
    </xf>
    <xf numFmtId="9" fontId="36" fillId="0" borderId="51" xfId="0" applyNumberFormat="1" applyFont="1" applyBorder="1" applyAlignment="1">
      <alignment horizontal="center" vertical="center"/>
    </xf>
    <xf numFmtId="0" fontId="36" fillId="0" borderId="45" xfId="0" applyFont="1" applyBorder="1" applyAlignment="1">
      <alignment horizontal="center" vertical="center"/>
    </xf>
    <xf numFmtId="9" fontId="36" fillId="0" borderId="63" xfId="0" applyNumberFormat="1" applyFont="1" applyBorder="1" applyAlignment="1">
      <alignment horizontal="center" vertical="center"/>
    </xf>
    <xf numFmtId="0" fontId="36" fillId="0" borderId="66" xfId="0" applyFont="1" applyBorder="1" applyAlignment="1">
      <alignment horizontal="center" vertical="center"/>
    </xf>
    <xf numFmtId="9" fontId="36" fillId="0" borderId="71" xfId="0" applyNumberFormat="1" applyFont="1" applyBorder="1" applyAlignment="1">
      <alignment horizontal="center" vertical="center"/>
    </xf>
    <xf numFmtId="0" fontId="36" fillId="0" borderId="46" xfId="0" applyFont="1" applyBorder="1" applyAlignment="1">
      <alignment horizontal="center" vertical="center"/>
    </xf>
    <xf numFmtId="10" fontId="36" fillId="0" borderId="51" xfId="1" applyNumberFormat="1" applyFont="1" applyBorder="1" applyAlignment="1">
      <alignment horizontal="center" vertical="center"/>
    </xf>
    <xf numFmtId="10" fontId="36" fillId="0" borderId="45" xfId="1" applyNumberFormat="1" applyFont="1" applyBorder="1" applyAlignment="1">
      <alignment horizontal="center" vertical="center"/>
    </xf>
    <xf numFmtId="9" fontId="36" fillId="0" borderId="63" xfId="1" applyNumberFormat="1" applyFont="1" applyBorder="1" applyAlignment="1">
      <alignment horizontal="center" vertical="center"/>
    </xf>
    <xf numFmtId="0" fontId="39" fillId="0" borderId="31" xfId="0" applyFont="1" applyBorder="1" applyAlignment="1">
      <alignment horizontal="left" vertical="center" wrapText="1"/>
    </xf>
    <xf numFmtId="0" fontId="39" fillId="0" borderId="32" xfId="0" applyFont="1" applyBorder="1" applyAlignment="1">
      <alignment horizontal="left" vertical="center" wrapText="1"/>
    </xf>
    <xf numFmtId="10" fontId="36" fillId="10" borderId="11" xfId="1" applyNumberFormat="1" applyFont="1" applyFill="1" applyBorder="1" applyAlignment="1">
      <alignment horizontal="center" vertical="center" wrapText="1"/>
    </xf>
    <xf numFmtId="10" fontId="36" fillId="10" borderId="14" xfId="1" applyNumberFormat="1" applyFont="1" applyFill="1" applyBorder="1" applyAlignment="1">
      <alignment horizontal="center" vertical="center" wrapText="1"/>
    </xf>
    <xf numFmtId="10" fontId="36" fillId="0" borderId="59" xfId="1" applyNumberFormat="1" applyFont="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0" fontId="36" fillId="0" borderId="82" xfId="0" applyFont="1" applyBorder="1" applyAlignment="1">
      <alignment horizontal="center" vertical="center" wrapText="1"/>
    </xf>
    <xf numFmtId="0" fontId="36" fillId="0" borderId="83" xfId="0" applyFont="1" applyBorder="1" applyAlignment="1">
      <alignment horizontal="center" vertical="center" wrapText="1"/>
    </xf>
    <xf numFmtId="9" fontId="36" fillId="0" borderId="51" xfId="1" applyFont="1" applyBorder="1" applyAlignment="1">
      <alignment horizontal="center" vertical="center"/>
    </xf>
    <xf numFmtId="9" fontId="36" fillId="0" borderId="45" xfId="1" applyFont="1" applyBorder="1" applyAlignment="1">
      <alignment horizontal="center" vertical="center"/>
    </xf>
    <xf numFmtId="169" fontId="39" fillId="0" borderId="29" xfId="40" applyNumberFormat="1" applyFont="1" applyBorder="1" applyAlignment="1">
      <alignment horizontal="center" vertical="center" wrapText="1"/>
    </xf>
    <xf numFmtId="169" fontId="39" fillId="0" borderId="32" xfId="40" applyNumberFormat="1" applyFont="1" applyBorder="1" applyAlignment="1">
      <alignment horizontal="center" vertical="center" wrapText="1"/>
    </xf>
    <xf numFmtId="169" fontId="36" fillId="0" borderId="29" xfId="40" applyNumberFormat="1" applyFont="1" applyBorder="1" applyAlignment="1">
      <alignment horizontal="center" vertical="center" wrapText="1"/>
    </xf>
    <xf numFmtId="169" fontId="36" fillId="0" borderId="32" xfId="40" applyNumberFormat="1" applyFont="1" applyBorder="1" applyAlignment="1">
      <alignment horizontal="center" vertical="center" wrapText="1"/>
    </xf>
    <xf numFmtId="0" fontId="36" fillId="0" borderId="41" xfId="0" applyFont="1" applyBorder="1" applyAlignment="1">
      <alignment horizontal="left" vertical="center" wrapText="1"/>
    </xf>
    <xf numFmtId="0" fontId="36" fillId="0" borderId="77" xfId="0" applyFont="1" applyBorder="1" applyAlignment="1">
      <alignment horizontal="left" vertical="center" wrapText="1"/>
    </xf>
    <xf numFmtId="0" fontId="36" fillId="0" borderId="30" xfId="0" applyFont="1" applyFill="1" applyBorder="1" applyAlignment="1">
      <alignment horizontal="left" vertical="center" wrapText="1"/>
    </xf>
    <xf numFmtId="0" fontId="36" fillId="0" borderId="58" xfId="0" applyFont="1" applyFill="1" applyBorder="1" applyAlignment="1">
      <alignment horizontal="left" vertical="center" wrapText="1"/>
    </xf>
    <xf numFmtId="10" fontId="36" fillId="10" borderId="71"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0" borderId="61" xfId="1" applyNumberFormat="1" applyFont="1" applyBorder="1" applyAlignment="1">
      <alignment horizontal="center" vertical="center"/>
    </xf>
    <xf numFmtId="10" fontId="36" fillId="0" borderId="63" xfId="1" applyNumberFormat="1" applyFont="1" applyBorder="1" applyAlignment="1">
      <alignment horizontal="center" vertical="center"/>
    </xf>
    <xf numFmtId="0" fontId="38" fillId="11" borderId="29" xfId="40" applyNumberFormat="1" applyFont="1" applyFill="1" applyBorder="1" applyAlignment="1">
      <alignment horizontal="center" vertical="center" wrapText="1"/>
    </xf>
    <xf numFmtId="0" fontId="38" fillId="11" borderId="31" xfId="40" applyNumberFormat="1" applyFont="1" applyFill="1" applyBorder="1" applyAlignment="1">
      <alignment horizontal="center" vertical="center"/>
    </xf>
    <xf numFmtId="9" fontId="36" fillId="6" borderId="71" xfId="1" applyFont="1" applyFill="1" applyBorder="1" applyAlignment="1">
      <alignment horizontal="center" vertical="center"/>
    </xf>
    <xf numFmtId="9" fontId="36" fillId="6" borderId="46" xfId="1" applyFont="1" applyFill="1" applyBorder="1" applyAlignment="1">
      <alignment horizontal="center" vertical="center"/>
    </xf>
    <xf numFmtId="166" fontId="37" fillId="13" borderId="81" xfId="0" applyNumberFormat="1" applyFont="1" applyFill="1" applyBorder="1" applyAlignment="1">
      <alignment horizontal="center" vertical="center"/>
    </xf>
    <xf numFmtId="166" fontId="37" fillId="13" borderId="44" xfId="0" applyNumberFormat="1" applyFont="1" applyFill="1" applyBorder="1" applyAlignment="1">
      <alignment horizontal="center" vertical="center"/>
    </xf>
    <xf numFmtId="166" fontId="37" fillId="13" borderId="77" xfId="0" applyNumberFormat="1" applyFont="1" applyFill="1" applyBorder="1" applyAlignment="1">
      <alignment horizontal="center" vertical="center"/>
    </xf>
    <xf numFmtId="0" fontId="38" fillId="11" borderId="63" xfId="0" applyFont="1" applyFill="1" applyBorder="1" applyAlignment="1">
      <alignment horizontal="center" vertical="center"/>
    </xf>
    <xf numFmtId="0" fontId="38" fillId="11" borderId="47" xfId="0" applyFont="1" applyFill="1" applyBorder="1" applyAlignment="1">
      <alignment horizontal="center" vertical="center"/>
    </xf>
    <xf numFmtId="166" fontId="37" fillId="12" borderId="30" xfId="0" applyNumberFormat="1" applyFont="1" applyFill="1" applyBorder="1" applyAlignment="1">
      <alignment horizontal="center" vertical="center"/>
    </xf>
    <xf numFmtId="166" fontId="37" fillId="12" borderId="75" xfId="0" applyNumberFormat="1" applyFont="1" applyFill="1" applyBorder="1" applyAlignment="1">
      <alignment horizontal="center" vertical="center"/>
    </xf>
    <xf numFmtId="0" fontId="38" fillId="11" borderId="38" xfId="0" applyFont="1" applyFill="1" applyBorder="1" applyAlignment="1">
      <alignment horizontal="center" vertical="center"/>
    </xf>
    <xf numFmtId="0" fontId="38" fillId="11" borderId="19" xfId="0" applyFont="1" applyFill="1" applyBorder="1" applyAlignment="1">
      <alignment horizontal="center" vertical="center"/>
    </xf>
    <xf numFmtId="166" fontId="38" fillId="11" borderId="29" xfId="0" applyNumberFormat="1" applyFont="1" applyFill="1" applyBorder="1" applyAlignment="1">
      <alignment horizontal="center" vertical="center"/>
    </xf>
    <xf numFmtId="166" fontId="38" fillId="11" borderId="31"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wrapText="1"/>
    </xf>
    <xf numFmtId="166" fontId="38" fillId="11" borderId="31" xfId="0" applyNumberFormat="1" applyFont="1" applyFill="1" applyBorder="1" applyAlignment="1">
      <alignment horizontal="center" vertical="center" wrapText="1"/>
    </xf>
    <xf numFmtId="166" fontId="38" fillId="11" borderId="1" xfId="0" applyNumberFormat="1" applyFont="1" applyFill="1" applyBorder="1" applyAlignment="1">
      <alignment horizontal="center" vertical="center"/>
    </xf>
    <xf numFmtId="166" fontId="38" fillId="11" borderId="2" xfId="0" applyNumberFormat="1" applyFont="1" applyFill="1" applyBorder="1" applyAlignment="1">
      <alignment horizontal="center" vertical="center"/>
    </xf>
    <xf numFmtId="166" fontId="38" fillId="11" borderId="3" xfId="0" applyNumberFormat="1" applyFont="1" applyFill="1" applyBorder="1" applyAlignment="1">
      <alignment horizontal="center" vertical="center"/>
    </xf>
    <xf numFmtId="10" fontId="36" fillId="0" borderId="30" xfId="1" applyNumberFormat="1" applyFont="1" applyBorder="1" applyAlignment="1">
      <alignment horizontal="left" vertical="center" wrapText="1"/>
    </xf>
    <xf numFmtId="10" fontId="36" fillId="0" borderId="58" xfId="1" applyNumberFormat="1" applyFont="1" applyBorder="1" applyAlignment="1">
      <alignment horizontal="left" vertical="center" wrapText="1"/>
    </xf>
    <xf numFmtId="0" fontId="38" fillId="11" borderId="29" xfId="0" applyFont="1" applyFill="1" applyBorder="1" applyAlignment="1">
      <alignment horizontal="center" vertical="center" wrapText="1"/>
    </xf>
    <xf numFmtId="0" fontId="38" fillId="11" borderId="31" xfId="0" applyFont="1" applyFill="1" applyBorder="1" applyAlignment="1">
      <alignment horizontal="center" vertical="center" wrapText="1"/>
    </xf>
    <xf numFmtId="0" fontId="38" fillId="11" borderId="32" xfId="0" applyFont="1" applyFill="1" applyBorder="1" applyAlignment="1">
      <alignment horizontal="center" vertical="center" wrapText="1"/>
    </xf>
    <xf numFmtId="166" fontId="38" fillId="11" borderId="22" xfId="0" applyNumberFormat="1" applyFont="1" applyFill="1" applyBorder="1" applyAlignment="1">
      <alignment horizontal="center" vertical="center"/>
    </xf>
    <xf numFmtId="166" fontId="38" fillId="11" borderId="34" xfId="0" applyNumberFormat="1" applyFont="1" applyFill="1" applyBorder="1" applyAlignment="1">
      <alignment horizontal="center" vertical="center"/>
    </xf>
    <xf numFmtId="166" fontId="37" fillId="5" borderId="22" xfId="0" applyNumberFormat="1" applyFont="1" applyFill="1" applyBorder="1" applyAlignment="1">
      <alignment horizontal="center" vertical="center"/>
    </xf>
    <xf numFmtId="166" fontId="37" fillId="5" borderId="34" xfId="0" applyNumberFormat="1" applyFont="1" applyFill="1" applyBorder="1" applyAlignment="1">
      <alignment horizontal="center" vertical="center"/>
    </xf>
    <xf numFmtId="166" fontId="37" fillId="5" borderId="30" xfId="0" applyNumberFormat="1" applyFont="1" applyFill="1" applyBorder="1" applyAlignment="1">
      <alignment horizontal="center" vertical="center"/>
    </xf>
    <xf numFmtId="166" fontId="37" fillId="5" borderId="24" xfId="0" applyNumberFormat="1" applyFont="1" applyFill="1" applyBorder="1" applyAlignment="1">
      <alignment horizontal="center" vertical="center"/>
    </xf>
    <xf numFmtId="166" fontId="37" fillId="5" borderId="0" xfId="0" applyNumberFormat="1" applyFont="1" applyFill="1" applyBorder="1" applyAlignment="1">
      <alignment horizontal="center" vertical="center"/>
    </xf>
    <xf numFmtId="166" fontId="37" fillId="5" borderId="75" xfId="0" applyNumberFormat="1" applyFont="1" applyFill="1" applyBorder="1" applyAlignment="1">
      <alignment horizontal="center" vertical="center"/>
    </xf>
    <xf numFmtId="166" fontId="37" fillId="5" borderId="27" xfId="0" applyNumberFormat="1" applyFont="1" applyFill="1" applyBorder="1" applyAlignment="1">
      <alignment horizontal="center" vertical="center"/>
    </xf>
    <xf numFmtId="166" fontId="37" fillId="5" borderId="28" xfId="0" applyNumberFormat="1" applyFont="1" applyFill="1" applyBorder="1" applyAlignment="1">
      <alignment horizontal="center" vertical="center"/>
    </xf>
    <xf numFmtId="166" fontId="37" fillId="5" borderId="58" xfId="0" applyNumberFormat="1" applyFont="1" applyFill="1" applyBorder="1" applyAlignment="1">
      <alignment horizontal="center" vertical="center"/>
    </xf>
    <xf numFmtId="10" fontId="36" fillId="3" borderId="10" xfId="1" applyNumberFormat="1" applyFont="1" applyFill="1" applyBorder="1" applyAlignment="1">
      <alignment horizontal="center" vertical="center" wrapText="1"/>
    </xf>
    <xf numFmtId="10" fontId="36" fillId="3" borderId="13" xfId="1" applyNumberFormat="1" applyFont="1" applyFill="1" applyBorder="1" applyAlignment="1">
      <alignment horizontal="center" vertical="center" wrapText="1"/>
    </xf>
    <xf numFmtId="0" fontId="36" fillId="7" borderId="29"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0" borderId="29" xfId="0" applyFont="1" applyBorder="1" applyAlignment="1">
      <alignment horizontal="left" vertical="center" wrapText="1"/>
    </xf>
    <xf numFmtId="0" fontId="36" fillId="0" borderId="32" xfId="0" applyFont="1" applyBorder="1" applyAlignment="1">
      <alignment horizontal="left"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39" xfId="0" applyFont="1" applyBorder="1" applyAlignment="1">
      <alignment horizontal="left" vertical="center" wrapText="1"/>
    </xf>
    <xf numFmtId="0" fontId="36" fillId="0" borderId="81" xfId="0" applyFont="1" applyBorder="1" applyAlignment="1">
      <alignment horizontal="left" vertical="center" wrapText="1"/>
    </xf>
    <xf numFmtId="0" fontId="36" fillId="0" borderId="88" xfId="0" applyFont="1" applyBorder="1" applyAlignment="1">
      <alignment horizontal="center" vertical="center" wrapText="1"/>
    </xf>
    <xf numFmtId="0" fontId="36" fillId="0" borderId="95" xfId="0" applyFont="1" applyBorder="1" applyAlignment="1">
      <alignment horizontal="center" vertical="center" wrapText="1"/>
    </xf>
    <xf numFmtId="1" fontId="36" fillId="0" borderId="29" xfId="0" applyNumberFormat="1" applyFont="1" applyBorder="1" applyAlignment="1">
      <alignment horizontal="center" vertical="center" wrapText="1"/>
    </xf>
    <xf numFmtId="1" fontId="36" fillId="0" borderId="32" xfId="0" applyNumberFormat="1" applyFont="1" applyBorder="1" applyAlignment="1">
      <alignment horizontal="center" vertical="center" wrapText="1"/>
    </xf>
    <xf numFmtId="166" fontId="36" fillId="0" borderId="29"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0" fontId="39" fillId="8" borderId="38" xfId="0" applyFont="1" applyFill="1" applyBorder="1" applyAlignment="1">
      <alignment horizontal="left" vertical="center" wrapText="1"/>
    </xf>
    <xf numFmtId="0" fontId="39" fillId="8" borderId="74" xfId="0" applyFont="1" applyFill="1" applyBorder="1" applyAlignment="1">
      <alignment horizontal="left" vertical="center" wrapText="1"/>
    </xf>
    <xf numFmtId="0" fontId="39" fillId="8" borderId="63" xfId="0" applyFont="1" applyFill="1" applyBorder="1" applyAlignment="1">
      <alignment horizontal="left" vertical="center" wrapText="1"/>
    </xf>
    <xf numFmtId="0" fontId="39" fillId="8" borderId="66" xfId="0" applyFont="1" applyFill="1" applyBorder="1" applyAlignment="1">
      <alignment horizontal="left" vertical="center" wrapText="1"/>
    </xf>
    <xf numFmtId="0" fontId="39" fillId="8" borderId="34" xfId="0" applyFont="1" applyFill="1" applyBorder="1" applyAlignment="1">
      <alignment horizontal="left" vertical="center" wrapText="1"/>
    </xf>
    <xf numFmtId="0" fontId="39" fillId="8" borderId="28" xfId="0" applyFont="1" applyFill="1" applyBorder="1" applyAlignment="1">
      <alignment horizontal="left" vertical="center" wrapText="1"/>
    </xf>
    <xf numFmtId="0" fontId="36" fillId="0" borderId="31" xfId="0" applyFont="1" applyBorder="1" applyAlignment="1">
      <alignment horizontal="left" vertical="center" wrapText="1"/>
    </xf>
    <xf numFmtId="0" fontId="36" fillId="0" borderId="29" xfId="0" quotePrefix="1" applyFont="1" applyBorder="1" applyAlignment="1">
      <alignment horizontal="left" vertical="center" wrapText="1"/>
    </xf>
    <xf numFmtId="0" fontId="36" fillId="0" borderId="58" xfId="0" applyFont="1" applyBorder="1" applyAlignment="1">
      <alignment horizontal="left" vertical="center" wrapText="1"/>
    </xf>
    <xf numFmtId="0" fontId="36" fillId="0" borderId="63" xfId="0" applyFont="1" applyBorder="1" applyAlignment="1">
      <alignment horizontal="left" vertical="center"/>
    </xf>
    <xf numFmtId="0" fontId="36" fillId="0" borderId="66" xfId="0" applyFont="1" applyBorder="1" applyAlignment="1">
      <alignment horizontal="left" vertical="center"/>
    </xf>
    <xf numFmtId="0" fontId="39" fillId="8" borderId="93" xfId="0" applyFont="1" applyFill="1" applyBorder="1" applyAlignment="1">
      <alignment horizontal="left" vertical="center" wrapText="1"/>
    </xf>
    <xf numFmtId="0" fontId="39" fillId="8" borderId="94" xfId="0" applyFont="1" applyFill="1" applyBorder="1" applyAlignment="1">
      <alignment horizontal="left" vertical="center" wrapText="1"/>
    </xf>
    <xf numFmtId="0" fontId="36" fillId="0" borderId="85" xfId="0" applyFont="1" applyBorder="1" applyAlignment="1">
      <alignment horizontal="center" vertical="center" wrapText="1"/>
    </xf>
    <xf numFmtId="0" fontId="36" fillId="0" borderId="87" xfId="0" applyFont="1" applyBorder="1" applyAlignment="1">
      <alignment horizontal="center" vertical="center" wrapText="1"/>
    </xf>
    <xf numFmtId="0" fontId="37" fillId="9" borderId="1" xfId="0" applyFont="1" applyFill="1" applyBorder="1" applyAlignment="1">
      <alignment horizontal="center" vertical="center"/>
    </xf>
    <xf numFmtId="0" fontId="37" fillId="9" borderId="2" xfId="0" applyFont="1" applyFill="1" applyBorder="1" applyAlignment="1">
      <alignment horizontal="center" vertical="center"/>
    </xf>
    <xf numFmtId="0" fontId="37" fillId="9" borderId="3" xfId="0" applyFont="1" applyFill="1" applyBorder="1" applyAlignment="1">
      <alignment horizontal="center" vertical="center"/>
    </xf>
    <xf numFmtId="10" fontId="36" fillId="0" borderId="40" xfId="1" applyNumberFormat="1" applyFont="1" applyBorder="1" applyAlignment="1">
      <alignment horizontal="center" vertical="center"/>
    </xf>
    <xf numFmtId="10" fontId="36" fillId="0" borderId="8" xfId="1" applyNumberFormat="1" applyFont="1" applyBorder="1" applyAlignment="1">
      <alignment horizontal="center" vertical="center"/>
    </xf>
    <xf numFmtId="1" fontId="36" fillId="0" borderId="40" xfId="0" applyNumberFormat="1" applyFont="1" applyBorder="1" applyAlignment="1">
      <alignment horizontal="center" vertical="center" wrapText="1"/>
    </xf>
    <xf numFmtId="1" fontId="36" fillId="0" borderId="8" xfId="0" applyNumberFormat="1" applyFont="1" applyBorder="1" applyAlignment="1">
      <alignment horizontal="center" vertical="center" wrapText="1"/>
    </xf>
    <xf numFmtId="166" fontId="36" fillId="0" borderId="40" xfId="0" applyNumberFormat="1" applyFont="1" applyBorder="1" applyAlignment="1">
      <alignment horizontal="center" vertical="center" wrapText="1"/>
    </xf>
    <xf numFmtId="166" fontId="36" fillId="0" borderId="8" xfId="0" applyNumberFormat="1" applyFont="1" applyBorder="1" applyAlignment="1">
      <alignment horizontal="center" vertical="center" wrapText="1"/>
    </xf>
    <xf numFmtId="0" fontId="39" fillId="0" borderId="56" xfId="0" applyFont="1" applyBorder="1" applyAlignment="1">
      <alignment horizontal="left" vertical="center" wrapText="1"/>
    </xf>
    <xf numFmtId="0" fontId="39" fillId="0" borderId="64" xfId="0" applyFont="1" applyBorder="1" applyAlignment="1">
      <alignment horizontal="left" vertical="center" wrapText="1"/>
    </xf>
    <xf numFmtId="0" fontId="39" fillId="0" borderId="10" xfId="0" applyFont="1" applyBorder="1" applyAlignment="1">
      <alignment horizontal="left" vertical="center" wrapText="1"/>
    </xf>
    <xf numFmtId="0" fontId="39" fillId="0" borderId="13" xfId="0" applyFont="1" applyBorder="1" applyAlignment="1">
      <alignment horizontal="left" vertical="center" wrapText="1"/>
    </xf>
    <xf numFmtId="0" fontId="36" fillId="0" borderId="35" xfId="0" applyFont="1" applyBorder="1" applyAlignment="1">
      <alignment horizontal="left" vertical="center" wrapText="1"/>
    </xf>
    <xf numFmtId="0" fontId="36" fillId="0" borderId="80" xfId="0" applyFont="1" applyBorder="1" applyAlignment="1">
      <alignment horizontal="left" vertical="center" wrapText="1"/>
    </xf>
    <xf numFmtId="0" fontId="36" fillId="0" borderId="42" xfId="0" applyFont="1" applyBorder="1" applyAlignment="1">
      <alignment horizontal="left" vertical="center" wrapText="1"/>
    </xf>
    <xf numFmtId="0" fontId="39" fillId="0" borderId="65" xfId="0" applyFont="1" applyBorder="1" applyAlignment="1">
      <alignment horizontal="left" vertical="center" wrapText="1"/>
    </xf>
    <xf numFmtId="0" fontId="39" fillId="0" borderId="73" xfId="0" applyFont="1" applyBorder="1" applyAlignment="1">
      <alignment horizontal="left" vertical="center" wrapText="1"/>
    </xf>
    <xf numFmtId="0" fontId="36" fillId="0" borderId="79" xfId="0" applyFont="1" applyBorder="1" applyAlignment="1">
      <alignment horizontal="left" vertical="center" wrapText="1"/>
    </xf>
    <xf numFmtId="0" fontId="36" fillId="0" borderId="36" xfId="0" applyFont="1" applyBorder="1" applyAlignment="1">
      <alignment horizontal="left" vertical="center" wrapText="1"/>
    </xf>
    <xf numFmtId="0" fontId="36" fillId="0" borderId="8" xfId="0" applyFont="1" applyBorder="1" applyAlignment="1">
      <alignment horizontal="left" vertical="center" wrapText="1"/>
    </xf>
    <xf numFmtId="0" fontId="39" fillId="0" borderId="63" xfId="0" applyFont="1" applyBorder="1" applyAlignment="1">
      <alignment horizontal="left" vertical="center" wrapText="1"/>
    </xf>
    <xf numFmtId="0" fontId="39" fillId="0" borderId="66" xfId="0" applyFont="1" applyBorder="1" applyAlignment="1">
      <alignment horizontal="left" vertical="center" wrapText="1"/>
    </xf>
    <xf numFmtId="0" fontId="39" fillId="0" borderId="47" xfId="0" applyFont="1" applyBorder="1" applyAlignment="1">
      <alignment horizontal="left" vertical="center" wrapText="1"/>
    </xf>
    <xf numFmtId="0" fontId="38" fillId="11" borderId="23" xfId="0" applyFont="1" applyFill="1" applyBorder="1" applyAlignment="1">
      <alignment horizontal="center" vertical="center"/>
    </xf>
    <xf numFmtId="0" fontId="38" fillId="11" borderId="25" xfId="0" applyFont="1" applyFill="1" applyBorder="1" applyAlignment="1">
      <alignment horizontal="center" vertical="center"/>
    </xf>
    <xf numFmtId="10" fontId="36" fillId="4" borderId="9" xfId="1" applyNumberFormat="1" applyFont="1" applyFill="1" applyBorder="1" applyAlignment="1">
      <alignment horizontal="center" vertical="center" wrapText="1"/>
    </xf>
    <xf numFmtId="10" fontId="36" fillId="4" borderId="12" xfId="1" applyNumberFormat="1" applyFont="1" applyFill="1" applyBorder="1" applyAlignment="1">
      <alignment horizontal="center" vertical="center" wrapText="1"/>
    </xf>
    <xf numFmtId="0" fontId="39" fillId="0" borderId="15" xfId="0" applyFont="1" applyBorder="1" applyAlignment="1">
      <alignment horizontal="left" vertical="center" wrapText="1"/>
    </xf>
    <xf numFmtId="10" fontId="36" fillId="0" borderId="59" xfId="1" applyNumberFormat="1" applyFont="1" applyBorder="1" applyAlignment="1">
      <alignment horizontal="left" vertical="center"/>
    </xf>
    <xf numFmtId="0" fontId="36" fillId="0" borderId="33" xfId="0" applyFont="1" applyBorder="1" applyAlignment="1">
      <alignment horizontal="left" vertical="center" wrapText="1"/>
    </xf>
    <xf numFmtId="0" fontId="36" fillId="0" borderId="91" xfId="0" applyFont="1" applyBorder="1" applyAlignment="1">
      <alignment horizontal="center" vertical="center" wrapText="1"/>
    </xf>
    <xf numFmtId="0" fontId="36" fillId="0" borderId="92" xfId="0" applyFont="1" applyBorder="1" applyAlignment="1">
      <alignment horizontal="center" vertical="center" wrapText="1"/>
    </xf>
    <xf numFmtId="0" fontId="38" fillId="11" borderId="63" xfId="0" applyFont="1" applyFill="1" applyBorder="1" applyAlignment="1">
      <alignment horizontal="center" vertical="center" wrapText="1"/>
    </xf>
    <xf numFmtId="0" fontId="38" fillId="11" borderId="47" xfId="0" applyFont="1" applyFill="1" applyBorder="1" applyAlignment="1">
      <alignment horizontal="center" vertical="center" wrapText="1"/>
    </xf>
    <xf numFmtId="0" fontId="38" fillId="11" borderId="51" xfId="0" applyFont="1" applyFill="1" applyBorder="1" applyAlignment="1">
      <alignment horizontal="center" vertical="center"/>
    </xf>
    <xf numFmtId="0" fontId="38" fillId="11" borderId="53" xfId="0" applyFont="1" applyFill="1" applyBorder="1" applyAlignment="1">
      <alignment horizontal="center" vertical="center"/>
    </xf>
    <xf numFmtId="0" fontId="38" fillId="11" borderId="51" xfId="0" applyFont="1" applyFill="1" applyBorder="1" applyAlignment="1">
      <alignment horizontal="center" vertical="center" wrapText="1"/>
    </xf>
    <xf numFmtId="0" fontId="38" fillId="11" borderId="53" xfId="0" applyFont="1" applyFill="1" applyBorder="1" applyAlignment="1">
      <alignment horizontal="center" vertical="center" wrapText="1"/>
    </xf>
    <xf numFmtId="0" fontId="36" fillId="0" borderId="32" xfId="0" quotePrefix="1" applyFont="1" applyBorder="1" applyAlignment="1">
      <alignment horizontal="left" vertical="center" wrapText="1"/>
    </xf>
    <xf numFmtId="0" fontId="36" fillId="0" borderId="29" xfId="0" applyFont="1" applyBorder="1" applyAlignment="1">
      <alignment horizontal="center" vertical="center" wrapText="1"/>
    </xf>
    <xf numFmtId="0" fontId="36" fillId="0" borderId="31" xfId="0" applyFont="1" applyBorder="1" applyAlignment="1">
      <alignment horizontal="center" vertical="center" wrapText="1"/>
    </xf>
    <xf numFmtId="0" fontId="39" fillId="0" borderId="29" xfId="0" applyFont="1" applyBorder="1" applyAlignment="1">
      <alignment horizontal="left" vertical="center" wrapText="1"/>
    </xf>
    <xf numFmtId="0" fontId="36" fillId="0" borderId="29" xfId="0" quotePrefix="1" applyFont="1" applyBorder="1" applyAlignment="1">
      <alignment horizontal="center" vertical="center" wrapText="1"/>
    </xf>
    <xf numFmtId="0" fontId="36" fillId="0" borderId="32" xfId="0" applyFont="1" applyBorder="1" applyAlignment="1">
      <alignment horizontal="center" vertical="center" wrapText="1"/>
    </xf>
    <xf numFmtId="0" fontId="39" fillId="0" borderId="29" xfId="0" quotePrefix="1" applyFont="1" applyBorder="1" applyAlignment="1">
      <alignment horizontal="left" vertical="center" wrapText="1"/>
    </xf>
    <xf numFmtId="0" fontId="39" fillId="0" borderId="89" xfId="0" applyFont="1" applyBorder="1" applyAlignment="1">
      <alignment horizontal="left" vertical="center" wrapText="1"/>
    </xf>
    <xf numFmtId="0" fontId="38" fillId="11" borderId="22" xfId="0" applyFont="1" applyFill="1" applyBorder="1" applyAlignment="1">
      <alignment horizontal="center" vertical="center"/>
    </xf>
    <xf numFmtId="0" fontId="38" fillId="11" borderId="34" xfId="0" applyFont="1" applyFill="1" applyBorder="1" applyAlignment="1">
      <alignment horizontal="center" vertical="center"/>
    </xf>
    <xf numFmtId="0" fontId="38" fillId="11" borderId="30" xfId="0" applyFont="1" applyFill="1" applyBorder="1" applyAlignment="1">
      <alignment horizontal="center" vertical="center"/>
    </xf>
    <xf numFmtId="0" fontId="38" fillId="11" borderId="31" xfId="0" applyFont="1" applyFill="1" applyBorder="1" applyAlignment="1">
      <alignment horizontal="center" vertical="center"/>
    </xf>
    <xf numFmtId="0" fontId="38" fillId="11" borderId="32" xfId="0" applyFont="1" applyFill="1" applyBorder="1" applyAlignment="1">
      <alignment horizontal="center" vertical="center"/>
    </xf>
    <xf numFmtId="169" fontId="36" fillId="0" borderId="31" xfId="40" applyNumberFormat="1" applyFont="1" applyBorder="1" applyAlignment="1">
      <alignment horizontal="center" vertical="center" wrapText="1"/>
    </xf>
    <xf numFmtId="0" fontId="36" fillId="0" borderId="30" xfId="0" applyFont="1" applyBorder="1" applyAlignment="1">
      <alignment horizontal="left" vertical="center" wrapText="1"/>
    </xf>
    <xf numFmtId="10" fontId="36" fillId="3" borderId="63"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1"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9" xfId="0" applyFont="1" applyBorder="1" applyAlignment="1">
      <alignment horizontal="center" vertical="center"/>
    </xf>
    <xf numFmtId="0" fontId="36" fillId="0" borderId="32" xfId="0" applyFont="1" applyBorder="1" applyAlignment="1">
      <alignment horizontal="center" vertical="center"/>
    </xf>
    <xf numFmtId="10" fontId="36" fillId="6" borderId="34" xfId="1" applyNumberFormat="1" applyFont="1" applyFill="1" applyBorder="1" applyAlignment="1">
      <alignment horizontal="center" vertical="center"/>
    </xf>
    <xf numFmtId="10" fontId="36" fillId="6" borderId="28" xfId="1" applyNumberFormat="1" applyFont="1" applyFill="1" applyBorder="1" applyAlignment="1">
      <alignment horizontal="center" vertical="center"/>
    </xf>
    <xf numFmtId="6" fontId="36" fillId="6" borderId="29" xfId="1" applyNumberFormat="1" applyFont="1" applyFill="1" applyBorder="1" applyAlignment="1">
      <alignment horizontal="center" vertical="center" wrapText="1"/>
    </xf>
    <xf numFmtId="6" fontId="36" fillId="6" borderId="32" xfId="1" applyNumberFormat="1" applyFont="1" applyFill="1" applyBorder="1" applyAlignment="1">
      <alignment horizontal="center" vertical="center" wrapText="1"/>
    </xf>
    <xf numFmtId="10" fontId="36" fillId="0" borderId="29" xfId="1" applyNumberFormat="1" applyFont="1" applyBorder="1" applyAlignment="1">
      <alignment horizontal="center" vertical="center" wrapText="1"/>
    </xf>
    <xf numFmtId="10" fontId="36" fillId="0" borderId="32" xfId="1" applyNumberFormat="1" applyFont="1" applyBorder="1" applyAlignment="1">
      <alignment horizontal="center" vertical="center" wrapText="1"/>
    </xf>
    <xf numFmtId="10" fontId="36" fillId="0" borderId="29" xfId="0" applyNumberFormat="1" applyFont="1" applyBorder="1" applyAlignment="1">
      <alignment horizontal="center" vertical="center"/>
    </xf>
    <xf numFmtId="10" fontId="36" fillId="0" borderId="32" xfId="0" applyNumberFormat="1" applyFont="1" applyBorder="1" applyAlignment="1">
      <alignment horizontal="center" vertical="center"/>
    </xf>
    <xf numFmtId="0" fontId="36" fillId="0" borderId="24" xfId="0" applyFont="1" applyFill="1" applyBorder="1" applyAlignment="1">
      <alignment horizontal="center" vertical="center" wrapText="1"/>
    </xf>
    <xf numFmtId="10" fontId="36" fillId="0" borderId="76" xfId="1" applyNumberFormat="1" applyFont="1" applyBorder="1" applyAlignment="1">
      <alignment horizontal="center" vertical="center"/>
    </xf>
    <xf numFmtId="10" fontId="36" fillId="10" borderId="67" xfId="1" applyNumberFormat="1" applyFont="1" applyFill="1" applyBorder="1" applyAlignment="1">
      <alignment horizontal="center" vertical="center" wrapText="1"/>
    </xf>
    <xf numFmtId="1" fontId="36" fillId="0" borderId="76" xfId="0" applyNumberFormat="1" applyFont="1" applyBorder="1" applyAlignment="1">
      <alignment horizontal="center" vertical="center" wrapText="1"/>
    </xf>
    <xf numFmtId="10" fontId="36" fillId="4" borderId="70" xfId="1" applyNumberFormat="1" applyFont="1" applyFill="1" applyBorder="1" applyAlignment="1">
      <alignment horizontal="center" vertical="center" wrapText="1"/>
    </xf>
    <xf numFmtId="10" fontId="36" fillId="3" borderId="15" xfId="1" applyNumberFormat="1" applyFont="1" applyFill="1" applyBorder="1" applyAlignment="1">
      <alignment horizontal="center" vertical="center" wrapText="1"/>
    </xf>
    <xf numFmtId="166" fontId="36" fillId="0" borderId="76" xfId="0" applyNumberFormat="1" applyFont="1" applyBorder="1" applyAlignment="1">
      <alignment horizontal="center" vertical="center" wrapText="1"/>
    </xf>
    <xf numFmtId="0" fontId="39" fillId="0" borderId="20" xfId="0" applyFont="1" applyBorder="1" applyAlignment="1">
      <alignment horizontal="left" vertical="center" wrapText="1"/>
    </xf>
    <xf numFmtId="10" fontId="36" fillId="6" borderId="11" xfId="1" applyNumberFormat="1" applyFont="1" applyFill="1" applyBorder="1" applyAlignment="1">
      <alignment horizontal="center" vertical="center"/>
    </xf>
    <xf numFmtId="10" fontId="36" fillId="6" borderId="67" xfId="1" applyNumberFormat="1" applyFont="1" applyFill="1" applyBorder="1" applyAlignment="1">
      <alignment horizontal="center" vertical="center"/>
    </xf>
    <xf numFmtId="0" fontId="28" fillId="0" borderId="53" xfId="0" applyFont="1" applyBorder="1" applyAlignment="1">
      <alignment horizontal="left" vertical="center" wrapText="1"/>
    </xf>
    <xf numFmtId="0" fontId="28" fillId="0" borderId="45" xfId="0" applyFont="1" applyBorder="1" applyAlignment="1">
      <alignment horizontal="left"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45" xfId="0" applyFont="1" applyBorder="1" applyAlignment="1">
      <alignment horizontal="left" vertical="center" wrapText="1"/>
    </xf>
    <xf numFmtId="0" fontId="28" fillId="0" borderId="9" xfId="0" applyFont="1" applyBorder="1" applyAlignment="1">
      <alignment horizontal="left" vertical="center" wrapText="1"/>
    </xf>
    <xf numFmtId="0" fontId="28" fillId="0" borderId="12" xfId="0" applyFont="1" applyBorder="1" applyAlignment="1">
      <alignment horizontal="left" vertical="center" wrapText="1"/>
    </xf>
    <xf numFmtId="0" fontId="28" fillId="0" borderId="57" xfId="0" applyFont="1" applyBorder="1" applyAlignment="1">
      <alignment horizontal="left"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28" fillId="0" borderId="51" xfId="0" applyFont="1" applyBorder="1" applyAlignment="1">
      <alignment horizontal="left" vertical="center" wrapText="1"/>
    </xf>
    <xf numFmtId="0" fontId="28" fillId="0" borderId="9" xfId="0" applyFont="1" applyBorder="1" applyAlignment="1">
      <alignment horizontal="left" vertical="center"/>
    </xf>
    <xf numFmtId="0" fontId="28" fillId="0" borderId="57" xfId="0" applyFont="1" applyBorder="1" applyAlignment="1">
      <alignment horizontal="left" vertical="center"/>
    </xf>
    <xf numFmtId="0" fontId="28" fillId="0" borderId="12" xfId="0" applyFont="1" applyBorder="1" applyAlignment="1">
      <alignment horizontal="left" vertical="center"/>
    </xf>
    <xf numFmtId="0" fontId="28" fillId="0" borderId="5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45" xfId="0" applyFont="1" applyBorder="1" applyAlignment="1">
      <alignment horizontal="center"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cellXfs>
  <cellStyles count="44">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0]" xfId="40" builtinId="6"/>
    <cellStyle name="Millares [0] 2" xfId="42"/>
    <cellStyle name="Millares 2" xfId="39"/>
    <cellStyle name="Millares 2 2" xfId="41"/>
    <cellStyle name="Moneda" xfId="43" builtinId="4"/>
    <cellStyle name="Normal" xfId="0" builtinId="0"/>
    <cellStyle name="Normal 2" xfId="2"/>
    <cellStyle name="Porcentaje" xfId="1" builtinId="5"/>
    <cellStyle name="Porcentual 2" xfId="3"/>
  </cellStyles>
  <dxfs count="20">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3300"/>
      <color rgb="FFFFFF99"/>
      <color rgb="FFDEEE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1398697088"/>
        <c:axId val="-1386076864"/>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1398697088"/>
        <c:axId val="-1386076864"/>
      </c:lineChart>
      <c:dateAx>
        <c:axId val="-1398697088"/>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86076864"/>
        <c:crosses val="autoZero"/>
        <c:auto val="1"/>
        <c:lblOffset val="100"/>
        <c:baseTimeUnit val="months"/>
      </c:dateAx>
      <c:valAx>
        <c:axId val="-13860768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98697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432706</xdr:colOff>
      <xdr:row>0</xdr:row>
      <xdr:rowOff>81642</xdr:rowOff>
    </xdr:from>
    <xdr:to>
      <xdr:col>16</xdr:col>
      <xdr:colOff>321035</xdr:colOff>
      <xdr:row>0</xdr:row>
      <xdr:rowOff>4827761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20"/>
  <sheetViews>
    <sheetView zoomScale="85" zoomScaleNormal="85" workbookViewId="0">
      <selection activeCell="G7" sqref="G7"/>
    </sheetView>
  </sheetViews>
  <sheetFormatPr baseColWidth="10" defaultColWidth="11.42578125" defaultRowHeight="15"/>
  <cols>
    <col min="1" max="1" width="54.85546875" customWidth="1"/>
    <col min="2" max="2" width="15.42578125" bestFit="1" customWidth="1"/>
    <col min="3" max="3" width="4" customWidth="1"/>
    <col min="4" max="4" width="36.85546875" customWidth="1"/>
    <col min="5" max="5" width="13.42578125" bestFit="1" customWidth="1"/>
    <col min="7" max="7" width="54.140625" customWidth="1"/>
    <col min="9" max="10" width="13.42578125" bestFit="1" customWidth="1"/>
    <col min="11" max="11" width="18.42578125" customWidth="1"/>
  </cols>
  <sheetData>
    <row r="1" spans="1:11" ht="27" thickBot="1">
      <c r="A1" s="763" t="s">
        <v>481</v>
      </c>
      <c r="B1" s="764"/>
      <c r="C1" s="764"/>
      <c r="D1" s="765"/>
      <c r="E1" s="722">
        <f>+AVERAGE('Tablero Estratégico'!AQ6:AQ29)</f>
        <v>0.8189236968872472</v>
      </c>
      <c r="G1" s="763" t="s">
        <v>478</v>
      </c>
      <c r="H1" s="764"/>
      <c r="I1" s="765"/>
      <c r="J1" s="722">
        <f>+SUMPRODUCT(H4:H13,I4:I13)</f>
        <v>0.77202745478266355</v>
      </c>
    </row>
    <row r="2" spans="1:11" ht="15.75" thickBot="1">
      <c r="B2" s="719"/>
    </row>
    <row r="3" spans="1:11" ht="38.25" customHeight="1" thickBot="1">
      <c r="A3" s="767" t="s">
        <v>455</v>
      </c>
      <c r="B3" s="767"/>
      <c r="D3" s="766" t="s">
        <v>456</v>
      </c>
      <c r="E3" s="766"/>
      <c r="G3" s="762" t="s">
        <v>465</v>
      </c>
      <c r="H3" s="762"/>
      <c r="I3" s="739" t="s">
        <v>475</v>
      </c>
      <c r="J3" s="740" t="s">
        <v>476</v>
      </c>
    </row>
    <row r="4" spans="1:11" ht="32.25" thickBot="1">
      <c r="A4" s="717" t="s">
        <v>180</v>
      </c>
      <c r="B4" s="721">
        <f>+IFERROR(AVERAGE('Tablero Estratégico'!AQ6:AQ7),0)</f>
        <v>0.4</v>
      </c>
      <c r="D4" s="717" t="s">
        <v>73</v>
      </c>
      <c r="E4" s="721">
        <f>+IFERROR(AVERAGE('Tablero Estratégico'!AQ6:AQ9,'Tablero Estratégico'!AQ13),"")</f>
        <v>0.65</v>
      </c>
      <c r="G4" s="749" t="s">
        <v>477</v>
      </c>
      <c r="H4" s="750">
        <f t="array" ref="H4:H13">+TRANSPOSE('Tablero Estratégico'!C30:L30)</f>
        <v>0.8189000641298676</v>
      </c>
      <c r="I4" s="750">
        <v>0.16</v>
      </c>
      <c r="J4" s="750">
        <f>+I4*H4</f>
        <v>0.13102401026077881</v>
      </c>
      <c r="K4" s="751" t="str">
        <f>TEXT(J4,"0,00%")&amp;"
"&amp;" "&amp;G4&amp;"
(Avance "&amp;TEXT(H4,"0,00%")&amp;")"</f>
        <v>13,10%
 FACTOR 1. MISIÓN, VISIÓN Y PROYECTO INSTITUCIONAL Y DE PROGRAMA
(Avance 81,89%)</v>
      </c>
    </row>
    <row r="5" spans="1:11" ht="79.5" thickBot="1">
      <c r="A5" s="717" t="s">
        <v>181</v>
      </c>
      <c r="B5" s="721">
        <f>+IFERROR(AVERAGE('Tablero Estratégico'!AQ8:AQ11),"")</f>
        <v>1</v>
      </c>
      <c r="D5" s="717" t="s">
        <v>74</v>
      </c>
      <c r="E5" s="721" t="str">
        <f>+IFERROR(AVERAGE('Tablero Estratégico'!AQ10:AQ11),"")</f>
        <v/>
      </c>
      <c r="G5" s="749" t="s">
        <v>466</v>
      </c>
      <c r="H5" s="750">
        <v>0.69956564420963652</v>
      </c>
      <c r="I5" s="750">
        <v>0.15</v>
      </c>
      <c r="J5" s="750">
        <f t="shared" ref="J5:J13" si="0">+I5*H5</f>
        <v>0.10493484663144548</v>
      </c>
      <c r="K5" s="751" t="str">
        <f t="shared" ref="K5:K13" si="1">TEXT(J5,"0,00%")&amp;"
"&amp;" "&amp;G5&amp;"
(Avance "&amp;TEXT(H5,"0,00%")&amp;")"</f>
        <v>10,49%
 FACTOR 2. LOS ESTUDIANTES.
(Avance 69,96%)</v>
      </c>
    </row>
    <row r="6" spans="1:11" ht="48" thickBot="1">
      <c r="A6" s="715" t="s">
        <v>190</v>
      </c>
      <c r="B6" s="721">
        <f>+IFERROR(AVERAGE('Tablero Estratégico'!AQ12),"")</f>
        <v>0.65714285714285725</v>
      </c>
      <c r="D6" s="718" t="s">
        <v>430</v>
      </c>
      <c r="E6" s="721">
        <f>+IFERROR(AVERAGE('Tablero Estratégico'!AQ12,'Tablero Estratégico'!AQ24),"")</f>
        <v>0.79474869737347675</v>
      </c>
      <c r="G6" s="749" t="s">
        <v>467</v>
      </c>
      <c r="H6" s="750">
        <v>0.78360509194743044</v>
      </c>
      <c r="I6" s="750">
        <v>0.11</v>
      </c>
      <c r="J6" s="750">
        <f t="shared" si="0"/>
        <v>8.6196560114217349E-2</v>
      </c>
      <c r="K6" s="751" t="str">
        <f t="shared" si="1"/>
        <v>8,62%
 FACTOR 3. PROFESORES
(Avance 78,36%)</v>
      </c>
    </row>
    <row r="7" spans="1:11" ht="63.75" thickBot="1">
      <c r="A7" s="716" t="s">
        <v>178</v>
      </c>
      <c r="B7" s="721">
        <f>+IFERROR(AVERAGE('Tablero Estratégico'!AQ13),"")</f>
        <v>0.8</v>
      </c>
      <c r="D7" s="717" t="s">
        <v>48</v>
      </c>
      <c r="E7" s="721" t="str">
        <f>+IFERROR(AVERAGE('Tablero Estratégico'!AQ14:AQ17),"")</f>
        <v/>
      </c>
      <c r="G7" s="749" t="s">
        <v>468</v>
      </c>
      <c r="H7" s="750">
        <v>0.83517303000913279</v>
      </c>
      <c r="I7" s="750">
        <v>0.13</v>
      </c>
      <c r="J7" s="750">
        <f t="shared" si="0"/>
        <v>0.10857249390118727</v>
      </c>
      <c r="K7" s="751" t="str">
        <f t="shared" si="1"/>
        <v>10,86%
 FACTOR 4. PROCESOS ACADÉMICOS
(Avance 83,52%)</v>
      </c>
    </row>
    <row r="8" spans="1:11" ht="63.75" thickBot="1">
      <c r="A8" s="716" t="s">
        <v>182</v>
      </c>
      <c r="B8" s="721" t="str">
        <f>+IFERROR(AVERAGE('Tablero Estratégico'!AQ14),"")</f>
        <v/>
      </c>
      <c r="D8" s="720" t="s">
        <v>75</v>
      </c>
      <c r="E8" s="721">
        <f>+IFERROR(AVERAGE('Tablero Estratégico'!AQ18:AQ19),"")</f>
        <v>1</v>
      </c>
      <c r="G8" s="749" t="s">
        <v>469</v>
      </c>
      <c r="H8" s="750">
        <v>0.70023063170904309</v>
      </c>
      <c r="I8" s="750">
        <v>0.05</v>
      </c>
      <c r="J8" s="750">
        <f t="shared" si="0"/>
        <v>3.5011531585452157E-2</v>
      </c>
      <c r="K8" s="751" t="str">
        <f t="shared" si="1"/>
        <v>3,50%
 FACTOR 5. VISIBILIDAD NACIONAL E INTERNACIONAL
(Avance 70,02%)</v>
      </c>
    </row>
    <row r="9" spans="1:11" ht="32.25" thickBot="1">
      <c r="A9" s="716" t="s">
        <v>183</v>
      </c>
      <c r="B9" s="721" t="str">
        <f>+IFERROR(AVERAGE('Tablero Estratégico'!AQ15),"")</f>
        <v/>
      </c>
      <c r="D9" s="717" t="s">
        <v>79</v>
      </c>
      <c r="E9" s="721">
        <f>+IFERROR(AVERAGE('Tablero Estratégico'!AQ20:AQ21),"")</f>
        <v>0.97368421052631582</v>
      </c>
      <c r="G9" s="749" t="s">
        <v>470</v>
      </c>
      <c r="H9" s="750">
        <v>0.73608531230270902</v>
      </c>
      <c r="I9" s="750">
        <v>0.09</v>
      </c>
      <c r="J9" s="750">
        <f t="shared" si="0"/>
        <v>6.6247678107243815E-2</v>
      </c>
      <c r="K9" s="751" t="str">
        <f t="shared" si="1"/>
        <v>6,62%
 FACTOR 6. INVESTIGACIÓN, INNOVACIÓN Y CREACIÓN ARTÍSTICA Y CULTURAL.
(Avance 73,61%)</v>
      </c>
    </row>
    <row r="10" spans="1:11" ht="32.25" thickBot="1">
      <c r="A10" s="717" t="s">
        <v>184</v>
      </c>
      <c r="B10" s="721" t="str">
        <f>+IFERROR(AVERAGE('Tablero Estratégico'!AQ16),"")</f>
        <v/>
      </c>
      <c r="D10" s="717" t="s">
        <v>432</v>
      </c>
      <c r="E10" s="721">
        <f>+IFERROR(AVERAGE('Tablero Estratégico'!AQ22),"")</f>
        <v>0.91863517060367439</v>
      </c>
      <c r="G10" s="749" t="s">
        <v>471</v>
      </c>
      <c r="H10" s="750">
        <v>0.82499999999999996</v>
      </c>
      <c r="I10" s="750">
        <v>0.08</v>
      </c>
      <c r="J10" s="750">
        <f t="shared" si="0"/>
        <v>6.6000000000000003E-2</v>
      </c>
      <c r="K10" s="751" t="str">
        <f t="shared" si="1"/>
        <v>6,60%
 FACTOR 7. BIENESTAR INSTITUCIONAL
(Avance 82,50%)</v>
      </c>
    </row>
    <row r="11" spans="1:11" ht="32.25" thickBot="1">
      <c r="A11" s="717" t="s">
        <v>185</v>
      </c>
      <c r="B11" s="721" t="str">
        <f>+IFERROR(AVERAGE('Tablero Estratégico'!AQ17),"")</f>
        <v/>
      </c>
      <c r="D11" s="717" t="s">
        <v>72</v>
      </c>
      <c r="E11" s="721">
        <f>+IFERROR(AVERAGE('Tablero Estratégico'!AQ27),"")</f>
        <v>0.56590803923444977</v>
      </c>
      <c r="G11" s="749" t="s">
        <v>472</v>
      </c>
      <c r="H11" s="750">
        <v>0.83285866057000935</v>
      </c>
      <c r="I11" s="750">
        <v>0.06</v>
      </c>
      <c r="J11" s="750">
        <f t="shared" si="0"/>
        <v>4.9971519634200559E-2</v>
      </c>
      <c r="K11" s="751" t="str">
        <f t="shared" si="1"/>
        <v>5,00%
 FACTOR 8. ORGANIZACIÓN, ADMINISTRACION Y GESTION.
(Avance 83,29%)</v>
      </c>
    </row>
    <row r="12" spans="1:11" ht="63.75" thickBot="1">
      <c r="A12" s="720" t="s">
        <v>177</v>
      </c>
      <c r="B12" s="721">
        <f>+IFERROR(AVERAGE('Tablero Estratégico'!AQ18:AQ19),"")</f>
        <v>1</v>
      </c>
      <c r="D12" s="716" t="s">
        <v>81</v>
      </c>
      <c r="E12" s="721">
        <f>+IFERROR(AVERAGE('Tablero Estratégico'!AQ26),"")</f>
        <v>0.75046126341808617</v>
      </c>
      <c r="G12" s="749" t="s">
        <v>473</v>
      </c>
      <c r="H12" s="750">
        <v>0.69956564420963652</v>
      </c>
      <c r="I12" s="750">
        <v>0.1</v>
      </c>
      <c r="J12" s="750">
        <f t="shared" si="0"/>
        <v>6.9956564420963652E-2</v>
      </c>
      <c r="K12" s="751" t="str">
        <f t="shared" si="1"/>
        <v>7,00%
 FACTOR 9. IMPACTO DE LOS EGRESADOS EN EL MEDIO.
(Avance 69,96%)</v>
      </c>
    </row>
    <row r="13" spans="1:11" ht="16.5" thickBot="1">
      <c r="A13" s="759" t="s">
        <v>187</v>
      </c>
      <c r="B13" s="758">
        <f>+IFERROR(AVERAGE('Tablero Estratégico'!AQ20:AQ21),"")</f>
        <v>0.97368421052631582</v>
      </c>
      <c r="D13" s="716" t="s">
        <v>142</v>
      </c>
      <c r="E13" s="721">
        <f>+IFERROR(AVERAGE('Tablero Estratégico'!AQ28),"")</f>
        <v>0.93</v>
      </c>
      <c r="G13" s="749" t="s">
        <v>474</v>
      </c>
      <c r="H13" s="750">
        <v>0.77303214467392012</v>
      </c>
      <c r="I13" s="750">
        <v>7.0000000000000007E-2</v>
      </c>
      <c r="J13" s="750">
        <f t="shared" si="0"/>
        <v>5.4112250127174411E-2</v>
      </c>
      <c r="K13" s="751" t="str">
        <f t="shared" si="1"/>
        <v>5,41%
 FACTOR 10. RECURSOS FÍSICOS Y FINANCIEROS.
(Avance 77,30%)</v>
      </c>
    </row>
    <row r="14" spans="1:11" ht="32.25" thickBot="1">
      <c r="A14" s="759"/>
      <c r="B14" s="758"/>
      <c r="D14" s="716" t="s">
        <v>77</v>
      </c>
      <c r="E14" s="721">
        <f>+IFERROR(AVERAGE('Tablero Estratégico'!AQ29),"")</f>
        <v>0.98198516425291371</v>
      </c>
    </row>
    <row r="15" spans="1:11" ht="48" thickBot="1">
      <c r="A15" s="716" t="s">
        <v>179</v>
      </c>
      <c r="B15" s="760">
        <f>+IFERROR(AVERAGE('Tablero Estratégico'!AQ22:AQ22),"")</f>
        <v>0.91863517060367439</v>
      </c>
    </row>
    <row r="16" spans="1:11" ht="16.5" thickBot="1">
      <c r="A16" s="716" t="s">
        <v>188</v>
      </c>
      <c r="B16" s="761"/>
    </row>
    <row r="17" spans="1:2" ht="32.25" thickBot="1">
      <c r="A17" s="717" t="s">
        <v>186</v>
      </c>
      <c r="B17" s="721">
        <f>+IFERROR(AVERAGE('Tablero Estratégico'!AQ24:AQ27),"")</f>
        <v>0.74957461341887743</v>
      </c>
    </row>
    <row r="18" spans="1:2" ht="63.75" thickBot="1">
      <c r="A18" s="717" t="s">
        <v>189</v>
      </c>
      <c r="B18" s="721">
        <f>+IFERROR(AVERAGE('Tablero Estratégico'!AQ28:AQ29),"")</f>
        <v>0.95599258212645688</v>
      </c>
    </row>
    <row r="19" spans="1:2" ht="15" customHeight="1"/>
    <row r="20" spans="1:2" ht="15.75" customHeight="1"/>
  </sheetData>
  <mergeCells count="8">
    <mergeCell ref="B13:B14"/>
    <mergeCell ref="A13:A14"/>
    <mergeCell ref="B15:B16"/>
    <mergeCell ref="G3:H3"/>
    <mergeCell ref="G1:I1"/>
    <mergeCell ref="A1:D1"/>
    <mergeCell ref="D3:E3"/>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pageSetUpPr fitToPage="1"/>
  </sheetPr>
  <dimension ref="A1:BV43"/>
  <sheetViews>
    <sheetView tabSelected="1" topLeftCell="A3" zoomScale="40" zoomScaleNormal="40" zoomScalePageLayoutView="40" workbookViewId="0">
      <pane xSplit="17" ySplit="3" topLeftCell="AJ6" activePane="bottomRight" state="frozen"/>
      <selection activeCell="A3" sqref="A3"/>
      <selection pane="topRight" activeCell="I3" sqref="I3"/>
      <selection pane="bottomLeft" activeCell="A6" sqref="A6"/>
      <selection pane="bottomRight" activeCell="AP24" sqref="AP24:AP25"/>
    </sheetView>
  </sheetViews>
  <sheetFormatPr baseColWidth="10" defaultColWidth="10.85546875" defaultRowHeight="26.25"/>
  <cols>
    <col min="1" max="1" width="36.28515625" style="515" hidden="1" customWidth="1"/>
    <col min="2" max="2" width="48" style="515" hidden="1" customWidth="1"/>
    <col min="3" max="12" width="23.42578125" style="515" hidden="1" customWidth="1"/>
    <col min="13" max="13" width="58.5703125" style="517" hidden="1" customWidth="1"/>
    <col min="14" max="14" width="6.42578125" style="515" customWidth="1"/>
    <col min="15" max="15" width="35.85546875" style="515" customWidth="1"/>
    <col min="16" max="16" width="23.42578125" style="516" customWidth="1"/>
    <col min="17" max="17" width="70.7109375" style="515" customWidth="1"/>
    <col min="18" max="18" width="42.42578125" style="515" customWidth="1"/>
    <col min="19" max="19" width="14.140625" style="515" customWidth="1"/>
    <col min="20" max="20" width="19.7109375" style="515" customWidth="1"/>
    <col min="21" max="21" width="23.28515625" style="515" customWidth="1"/>
    <col min="22" max="22" width="30.140625" style="515" bestFit="1" customWidth="1"/>
    <col min="23" max="23" width="20.42578125" style="515" customWidth="1"/>
    <col min="24" max="24" width="18.85546875" style="517" customWidth="1"/>
    <col min="25" max="25" width="23.42578125" style="517" customWidth="1"/>
    <col min="26" max="26" width="20.7109375" style="517" customWidth="1"/>
    <col min="27" max="29" width="17.42578125" style="515" hidden="1" customWidth="1"/>
    <col min="30" max="30" width="32.7109375" style="515" hidden="1" customWidth="1"/>
    <col min="31" max="32" width="31.7109375" style="515" hidden="1" customWidth="1"/>
    <col min="33" max="34" width="15" style="515" customWidth="1"/>
    <col min="35" max="35" width="18.5703125" style="515" customWidth="1"/>
    <col min="36" max="36" width="31.28515625" style="515" customWidth="1"/>
    <col min="37" max="37" width="50.7109375" style="515" customWidth="1"/>
    <col min="38" max="38" width="29" style="515" hidden="1" customWidth="1"/>
    <col min="39" max="39" width="34" style="515" hidden="1" customWidth="1"/>
    <col min="40" max="40" width="37.140625" style="515" hidden="1" customWidth="1"/>
    <col min="41" max="41" width="29" style="515" hidden="1" customWidth="1"/>
    <col min="42" max="42" width="169.28515625" style="517" customWidth="1"/>
    <col min="43" max="44" width="13" style="515" hidden="1" customWidth="1"/>
    <col min="45" max="45" width="27.7109375" style="515" hidden="1" customWidth="1"/>
    <col min="46" max="46" width="40.7109375" style="515" customWidth="1"/>
    <col min="47" max="47" width="27.7109375" style="515" bestFit="1" customWidth="1"/>
    <col min="48" max="48" width="65" style="515" customWidth="1"/>
    <col min="49" max="49" width="35.7109375" style="515" customWidth="1"/>
    <col min="50" max="50" width="34" style="515" customWidth="1"/>
    <col min="51" max="51" width="36.85546875" style="515" customWidth="1"/>
    <col min="52" max="52" width="31.42578125" style="515" customWidth="1"/>
    <col min="53" max="53" width="49.7109375" style="515" customWidth="1"/>
    <col min="54" max="54" width="65" style="515" customWidth="1"/>
    <col min="55" max="55" width="58.5703125" style="515" customWidth="1"/>
    <col min="56" max="56" width="72.5703125" style="515" customWidth="1"/>
    <col min="57" max="57" width="78.28515625" style="515" customWidth="1"/>
    <col min="58" max="58" width="120.42578125" style="515" customWidth="1"/>
    <col min="59" max="60" width="40.85546875" style="515" bestFit="1" customWidth="1"/>
    <col min="61" max="61" width="50.140625" style="515" customWidth="1"/>
    <col min="62" max="62" width="24.42578125" style="515" customWidth="1"/>
    <col min="63" max="64" width="50.140625" style="515" customWidth="1"/>
    <col min="65" max="66" width="50.140625" style="515" hidden="1" customWidth="1"/>
    <col min="67" max="67" width="50.140625" style="515" customWidth="1"/>
    <col min="68" max="74" width="32.28515625" style="515" bestFit="1" customWidth="1"/>
    <col min="75" max="16384" width="10.85546875" style="515"/>
  </cols>
  <sheetData>
    <row r="1" spans="1:53" ht="409.5" customHeight="1" thickBot="1">
      <c r="A1" s="872" t="s">
        <v>191</v>
      </c>
      <c r="B1" s="873"/>
      <c r="C1" s="873"/>
      <c r="D1" s="873"/>
      <c r="E1" s="873"/>
      <c r="F1" s="873"/>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3"/>
      <c r="AK1" s="873"/>
      <c r="AL1" s="873"/>
      <c r="AM1" s="873"/>
      <c r="AN1" s="873"/>
      <c r="AO1" s="873"/>
      <c r="AP1" s="874"/>
    </row>
    <row r="2" spans="1:53" ht="27" thickBot="1">
      <c r="AQ2" s="518"/>
      <c r="AR2" s="518"/>
      <c r="AS2" s="518"/>
      <c r="AT2" s="518"/>
      <c r="AU2" s="518"/>
      <c r="AV2" s="518"/>
      <c r="AW2" s="518"/>
      <c r="AX2" s="518"/>
      <c r="AY2" s="518"/>
      <c r="AZ2" s="518"/>
      <c r="BA2" s="518"/>
    </row>
    <row r="3" spans="1:53" s="519" customFormat="1" ht="27" thickBot="1">
      <c r="A3" s="827" t="s">
        <v>393</v>
      </c>
      <c r="B3" s="907" t="s">
        <v>33</v>
      </c>
      <c r="C3" s="919" t="s">
        <v>465</v>
      </c>
      <c r="D3" s="920"/>
      <c r="E3" s="920"/>
      <c r="F3" s="920"/>
      <c r="G3" s="920"/>
      <c r="H3" s="920"/>
      <c r="I3" s="920"/>
      <c r="J3" s="920"/>
      <c r="K3" s="920"/>
      <c r="L3" s="921"/>
      <c r="M3" s="909" t="s">
        <v>425</v>
      </c>
      <c r="N3" s="816" t="s">
        <v>292</v>
      </c>
      <c r="O3" s="896"/>
      <c r="P3" s="905" t="s">
        <v>424</v>
      </c>
      <c r="Q3" s="812" t="s">
        <v>392</v>
      </c>
      <c r="R3" s="816" t="s">
        <v>391</v>
      </c>
      <c r="S3" s="827" t="s">
        <v>443</v>
      </c>
      <c r="T3" s="818" t="s">
        <v>390</v>
      </c>
      <c r="U3" s="820" t="s">
        <v>403</v>
      </c>
      <c r="V3" s="805" t="s">
        <v>404</v>
      </c>
      <c r="W3" s="818" t="s">
        <v>40</v>
      </c>
      <c r="X3" s="822" t="s">
        <v>394</v>
      </c>
      <c r="Y3" s="823"/>
      <c r="Z3" s="824"/>
      <c r="AA3" s="832"/>
      <c r="AB3" s="833"/>
      <c r="AC3" s="834"/>
      <c r="AD3" s="830" t="s">
        <v>398</v>
      </c>
      <c r="AE3" s="831"/>
      <c r="AF3" s="831"/>
      <c r="AG3" s="831"/>
      <c r="AH3" s="831"/>
      <c r="AI3" s="831"/>
      <c r="AJ3" s="831"/>
      <c r="AK3" s="831"/>
      <c r="AL3" s="831"/>
      <c r="AM3" s="831"/>
      <c r="AN3" s="831"/>
      <c r="AO3" s="831"/>
      <c r="AP3" s="824"/>
      <c r="AQ3" s="521"/>
      <c r="AR3" s="521"/>
      <c r="AS3" s="521"/>
      <c r="AT3" s="521"/>
      <c r="AU3" s="521"/>
      <c r="AV3" s="521"/>
      <c r="AW3" s="521"/>
      <c r="AX3" s="521"/>
      <c r="AY3" s="520"/>
      <c r="AZ3" s="520"/>
    </row>
    <row r="4" spans="1:53" s="519" customFormat="1" ht="27" thickBot="1">
      <c r="A4" s="828"/>
      <c r="B4" s="908"/>
      <c r="C4" s="922">
        <v>1</v>
      </c>
      <c r="D4" s="922">
        <v>2</v>
      </c>
      <c r="E4" s="922">
        <v>3</v>
      </c>
      <c r="F4" s="922">
        <v>4</v>
      </c>
      <c r="G4" s="922">
        <v>5</v>
      </c>
      <c r="H4" s="922">
        <v>6</v>
      </c>
      <c r="I4" s="922">
        <v>7</v>
      </c>
      <c r="J4" s="922">
        <v>8</v>
      </c>
      <c r="K4" s="922">
        <v>9</v>
      </c>
      <c r="L4" s="922">
        <v>10</v>
      </c>
      <c r="M4" s="910"/>
      <c r="N4" s="817"/>
      <c r="O4" s="897"/>
      <c r="P4" s="906"/>
      <c r="Q4" s="813"/>
      <c r="R4" s="817"/>
      <c r="S4" s="828"/>
      <c r="T4" s="819"/>
      <c r="U4" s="821"/>
      <c r="V4" s="806"/>
      <c r="W4" s="819"/>
      <c r="X4" s="522" t="s">
        <v>395</v>
      </c>
      <c r="Y4" s="523" t="s">
        <v>396</v>
      </c>
      <c r="Z4" s="524" t="s">
        <v>397</v>
      </c>
      <c r="AA4" s="835"/>
      <c r="AB4" s="836"/>
      <c r="AC4" s="837"/>
      <c r="AD4" s="522" t="s">
        <v>195</v>
      </c>
      <c r="AE4" s="523" t="s">
        <v>194</v>
      </c>
      <c r="AF4" s="523" t="s">
        <v>195</v>
      </c>
      <c r="AG4" s="523" t="s">
        <v>196</v>
      </c>
      <c r="AH4" s="523" t="s">
        <v>318</v>
      </c>
      <c r="AI4" s="523" t="s">
        <v>319</v>
      </c>
      <c r="AJ4" s="523" t="s">
        <v>375</v>
      </c>
      <c r="AK4" s="523" t="s">
        <v>483</v>
      </c>
      <c r="AL4" s="523" t="s">
        <v>447</v>
      </c>
      <c r="AM4" s="523" t="s">
        <v>448</v>
      </c>
      <c r="AN4" s="523" t="s">
        <v>445</v>
      </c>
      <c r="AO4" s="524" t="s">
        <v>446</v>
      </c>
      <c r="AP4" s="814" t="s">
        <v>163</v>
      </c>
      <c r="AQ4" s="521"/>
      <c r="AR4" s="521"/>
      <c r="AS4" s="521"/>
      <c r="AT4" s="521"/>
      <c r="AU4" s="521"/>
      <c r="AV4" s="521"/>
      <c r="AW4" s="521"/>
      <c r="AX4" s="521"/>
      <c r="AY4" s="520"/>
      <c r="AZ4" s="520"/>
    </row>
    <row r="5" spans="1:53" s="519" customFormat="1" ht="27" hidden="1" thickBot="1">
      <c r="A5" s="829"/>
      <c r="B5" s="908"/>
      <c r="C5" s="923"/>
      <c r="D5" s="923"/>
      <c r="E5" s="923"/>
      <c r="F5" s="923"/>
      <c r="G5" s="923"/>
      <c r="H5" s="923"/>
      <c r="I5" s="923"/>
      <c r="J5" s="923"/>
      <c r="K5" s="923"/>
      <c r="L5" s="923"/>
      <c r="M5" s="910"/>
      <c r="N5" s="817"/>
      <c r="O5" s="897"/>
      <c r="P5" s="906"/>
      <c r="Q5" s="813"/>
      <c r="R5" s="817"/>
      <c r="S5" s="829"/>
      <c r="T5" s="819"/>
      <c r="U5" s="821"/>
      <c r="V5" s="806"/>
      <c r="W5" s="819"/>
      <c r="X5" s="809"/>
      <c r="Y5" s="810"/>
      <c r="Z5" s="811"/>
      <c r="AA5" s="838"/>
      <c r="AB5" s="839"/>
      <c r="AC5" s="840"/>
      <c r="AD5" s="674"/>
      <c r="AE5" s="675"/>
      <c r="AF5" s="675"/>
      <c r="AG5" s="675"/>
      <c r="AH5" s="675"/>
      <c r="AI5" s="675"/>
      <c r="AJ5" s="675"/>
      <c r="AK5" s="675"/>
      <c r="AL5" s="675"/>
      <c r="AM5" s="675"/>
      <c r="AN5" s="675"/>
      <c r="AO5" s="676"/>
      <c r="AP5" s="815"/>
      <c r="AQ5" s="521"/>
      <c r="AR5" s="521"/>
      <c r="AS5" s="521"/>
      <c r="AT5" s="521"/>
      <c r="AU5" s="521"/>
      <c r="AV5" s="521"/>
      <c r="AW5" s="521"/>
      <c r="AX5" s="521"/>
      <c r="AY5" s="520"/>
      <c r="AZ5" s="520"/>
    </row>
    <row r="6" spans="1:53" ht="129.75" hidden="1" customHeight="1" thickBot="1">
      <c r="A6" s="845" t="s">
        <v>180</v>
      </c>
      <c r="B6" s="849" t="s">
        <v>73</v>
      </c>
      <c r="C6" s="795">
        <f>+AVERAGE($AQ$6:$AQ$9,AQ13)</f>
        <v>0.65</v>
      </c>
      <c r="D6" s="795">
        <f>+C6</f>
        <v>0.65</v>
      </c>
      <c r="E6" s="795">
        <f t="shared" ref="E6:L6" si="0">+D6</f>
        <v>0.65</v>
      </c>
      <c r="F6" s="795">
        <f t="shared" si="0"/>
        <v>0.65</v>
      </c>
      <c r="G6" s="795">
        <f t="shared" si="0"/>
        <v>0.65</v>
      </c>
      <c r="H6" s="795">
        <f t="shared" si="0"/>
        <v>0.65</v>
      </c>
      <c r="I6" s="795">
        <f t="shared" si="0"/>
        <v>0.65</v>
      </c>
      <c r="J6" s="795">
        <f t="shared" si="0"/>
        <v>0.65</v>
      </c>
      <c r="K6" s="795">
        <f t="shared" si="0"/>
        <v>0.65</v>
      </c>
      <c r="L6" s="795">
        <f t="shared" si="0"/>
        <v>0.65</v>
      </c>
      <c r="M6" s="864" t="s">
        <v>427</v>
      </c>
      <c r="N6" s="583">
        <v>1</v>
      </c>
      <c r="O6" s="584" t="s">
        <v>116</v>
      </c>
      <c r="P6" s="585" t="s">
        <v>112</v>
      </c>
      <c r="Q6" s="585" t="s">
        <v>423</v>
      </c>
      <c r="R6" s="660" t="s">
        <v>156</v>
      </c>
      <c r="S6" s="667" t="s">
        <v>100</v>
      </c>
      <c r="T6" s="609" t="s">
        <v>108</v>
      </c>
      <c r="U6" s="601" t="s">
        <v>152</v>
      </c>
      <c r="V6" s="631">
        <v>0</v>
      </c>
      <c r="W6" s="552">
        <v>1</v>
      </c>
      <c r="X6" s="632">
        <v>0.94</v>
      </c>
      <c r="Y6" s="692">
        <v>0.96</v>
      </c>
      <c r="Z6" s="693">
        <v>1</v>
      </c>
      <c r="AA6" s="680">
        <v>0.95</v>
      </c>
      <c r="AB6" s="682">
        <v>0.96</v>
      </c>
      <c r="AC6" s="691">
        <v>1</v>
      </c>
      <c r="AD6" s="579"/>
      <c r="AE6" s="580"/>
      <c r="AF6" s="580"/>
      <c r="AG6" s="581"/>
      <c r="AH6" s="581"/>
      <c r="AI6" s="581">
        <v>0</v>
      </c>
      <c r="AJ6" s="581"/>
      <c r="AK6" s="581"/>
      <c r="AL6" s="581"/>
      <c r="AM6" s="581"/>
      <c r="AN6" s="581"/>
      <c r="AO6" s="600"/>
      <c r="AP6" s="633" t="s">
        <v>458</v>
      </c>
      <c r="AQ6" s="525">
        <f>+IF(IF(AI6="","",IFERROR(AI6/AC6,0))&gt;1,1,IF(AI6="","",IFERROR(AI6/AC6,0)))</f>
        <v>0</v>
      </c>
      <c r="AR6" s="525"/>
      <c r="AS6" s="525"/>
      <c r="AT6" s="525"/>
      <c r="AU6" s="525"/>
      <c r="AV6" s="525"/>
      <c r="AW6" s="525"/>
      <c r="AX6" s="518"/>
      <c r="AY6" s="518"/>
      <c r="AZ6" s="518"/>
    </row>
    <row r="7" spans="1:53" ht="168.75" customHeight="1" thickBot="1">
      <c r="A7" s="902"/>
      <c r="B7" s="886"/>
      <c r="C7" s="924"/>
      <c r="D7" s="924"/>
      <c r="E7" s="924"/>
      <c r="F7" s="924"/>
      <c r="G7" s="924"/>
      <c r="H7" s="924"/>
      <c r="I7" s="924"/>
      <c r="J7" s="924"/>
      <c r="K7" s="924"/>
      <c r="L7" s="924"/>
      <c r="M7" s="911"/>
      <c r="N7" s="567">
        <v>2</v>
      </c>
      <c r="O7" s="593" t="s">
        <v>379</v>
      </c>
      <c r="P7" s="594" t="s">
        <v>113</v>
      </c>
      <c r="Q7" s="594" t="s">
        <v>410</v>
      </c>
      <c r="R7" s="650" t="s">
        <v>380</v>
      </c>
      <c r="S7" s="668" t="s">
        <v>100</v>
      </c>
      <c r="T7" s="568" t="s">
        <v>107</v>
      </c>
      <c r="U7" s="577" t="s">
        <v>152</v>
      </c>
      <c r="V7" s="533">
        <v>0.5</v>
      </c>
      <c r="W7" s="578">
        <v>0.63</v>
      </c>
      <c r="X7" s="694">
        <v>0.5</v>
      </c>
      <c r="Y7" s="695">
        <v>0.63</v>
      </c>
      <c r="Z7" s="696">
        <v>1</v>
      </c>
      <c r="AA7" s="681">
        <f>+X7</f>
        <v>0.5</v>
      </c>
      <c r="AB7" s="682">
        <f>+Y7</f>
        <v>0.63</v>
      </c>
      <c r="AC7" s="683">
        <v>1</v>
      </c>
      <c r="AD7" s="579">
        <v>0.73333333333333295</v>
      </c>
      <c r="AE7" s="580"/>
      <c r="AF7" s="580"/>
      <c r="AG7" s="581">
        <v>0.8</v>
      </c>
      <c r="AH7" s="581">
        <v>0.8</v>
      </c>
      <c r="AI7" s="581">
        <v>0.8</v>
      </c>
      <c r="AJ7" s="581">
        <v>0.85</v>
      </c>
      <c r="AK7" s="757">
        <v>0.87</v>
      </c>
      <c r="AL7" s="581"/>
      <c r="AM7" s="581"/>
      <c r="AN7" s="581"/>
      <c r="AO7" s="600"/>
      <c r="AP7" s="582" t="s">
        <v>480</v>
      </c>
      <c r="AQ7" s="525">
        <f>+IF(IF(AI7="","",IFERROR(AI7/AC7,0))&gt;1,1,IF(AI7="","",IFERROR(AI7/AC7,0)))</f>
        <v>0.8</v>
      </c>
      <c r="AR7" s="525"/>
      <c r="AS7" s="525"/>
      <c r="AT7" s="525"/>
      <c r="AU7" s="525"/>
      <c r="AV7" s="525"/>
      <c r="AW7" s="525"/>
      <c r="AX7" s="518"/>
      <c r="AY7" s="518"/>
      <c r="AZ7" s="518"/>
    </row>
    <row r="8" spans="1:53" ht="246.75" hidden="1" customHeight="1" thickBot="1">
      <c r="A8" s="890" t="s">
        <v>181</v>
      </c>
      <c r="B8" s="885"/>
      <c r="C8" s="924"/>
      <c r="D8" s="924"/>
      <c r="E8" s="924"/>
      <c r="F8" s="924"/>
      <c r="G8" s="924"/>
      <c r="H8" s="924"/>
      <c r="I8" s="924"/>
      <c r="J8" s="924"/>
      <c r="K8" s="924"/>
      <c r="L8" s="924"/>
      <c r="M8" s="863" t="s">
        <v>426</v>
      </c>
      <c r="N8" s="605">
        <v>3</v>
      </c>
      <c r="O8" s="584" t="s">
        <v>149</v>
      </c>
      <c r="P8" s="585" t="s">
        <v>112</v>
      </c>
      <c r="Q8" s="585" t="s">
        <v>150</v>
      </c>
      <c r="R8" s="660" t="s">
        <v>118</v>
      </c>
      <c r="S8" s="667" t="s">
        <v>100</v>
      </c>
      <c r="T8" s="610" t="s">
        <v>144</v>
      </c>
      <c r="U8" s="586" t="s">
        <v>152</v>
      </c>
      <c r="V8" s="587" t="s">
        <v>152</v>
      </c>
      <c r="W8" s="588" t="s">
        <v>152</v>
      </c>
      <c r="X8" s="589"/>
      <c r="Y8" s="590"/>
      <c r="Z8" s="591"/>
      <c r="AA8" s="680">
        <v>0</v>
      </c>
      <c r="AB8" s="682">
        <v>0.85</v>
      </c>
      <c r="AC8" s="683">
        <v>0.91</v>
      </c>
      <c r="AD8" s="602"/>
      <c r="AE8" s="581"/>
      <c r="AF8" s="581"/>
      <c r="AG8" s="581"/>
      <c r="AH8" s="581"/>
      <c r="AI8" s="581"/>
      <c r="AJ8" s="581"/>
      <c r="AK8" s="581"/>
      <c r="AL8" s="581"/>
      <c r="AM8" s="581"/>
      <c r="AN8" s="581"/>
      <c r="AO8" s="600"/>
      <c r="AP8" s="592" t="s">
        <v>457</v>
      </c>
      <c r="AQ8" s="525" t="str">
        <f t="shared" ref="AQ8:AQ17" si="1">+IF(AD8="","",IFERROR(AD8/AC8,0))</f>
        <v/>
      </c>
      <c r="AR8" s="525"/>
      <c r="AS8" s="525"/>
      <c r="AT8" s="525"/>
      <c r="AU8" s="525"/>
      <c r="AV8" s="525"/>
      <c r="AW8" s="525"/>
      <c r="AX8" s="518"/>
      <c r="AY8" s="518"/>
      <c r="AZ8" s="518"/>
    </row>
    <row r="9" spans="1:53" ht="141.75" hidden="1" customHeight="1" thickBot="1">
      <c r="A9" s="891"/>
      <c r="B9" s="887"/>
      <c r="C9" s="796"/>
      <c r="D9" s="796"/>
      <c r="E9" s="796"/>
      <c r="F9" s="796"/>
      <c r="G9" s="796"/>
      <c r="H9" s="796"/>
      <c r="I9" s="796"/>
      <c r="J9" s="796"/>
      <c r="K9" s="796"/>
      <c r="L9" s="796"/>
      <c r="M9" s="846"/>
      <c r="N9" s="620">
        <v>4</v>
      </c>
      <c r="O9" s="593" t="s">
        <v>117</v>
      </c>
      <c r="P9" s="594" t="s">
        <v>112</v>
      </c>
      <c r="Q9" s="594" t="s">
        <v>172</v>
      </c>
      <c r="R9" s="650" t="s">
        <v>119</v>
      </c>
      <c r="S9" s="668" t="s">
        <v>100</v>
      </c>
      <c r="T9" s="568" t="s">
        <v>108</v>
      </c>
      <c r="U9" s="577">
        <v>0.88200000000000001</v>
      </c>
      <c r="V9" s="533">
        <v>0.9</v>
      </c>
      <c r="W9" s="595" t="s">
        <v>402</v>
      </c>
      <c r="X9" s="596" t="s">
        <v>376</v>
      </c>
      <c r="Y9" s="695">
        <v>0.7</v>
      </c>
      <c r="Z9" s="597" t="s">
        <v>449</v>
      </c>
      <c r="AA9" s="680">
        <v>0</v>
      </c>
      <c r="AB9" s="682">
        <v>0.7</v>
      </c>
      <c r="AC9" s="683">
        <v>0.9</v>
      </c>
      <c r="AD9" s="697"/>
      <c r="AE9" s="599"/>
      <c r="AF9" s="599"/>
      <c r="AG9" s="581"/>
      <c r="AH9" s="581"/>
      <c r="AI9" s="581">
        <v>0.95</v>
      </c>
      <c r="AJ9" s="581"/>
      <c r="AK9" s="581"/>
      <c r="AL9" s="581"/>
      <c r="AM9" s="581"/>
      <c r="AN9" s="581"/>
      <c r="AO9" s="600"/>
      <c r="AP9" s="734" t="s">
        <v>461</v>
      </c>
      <c r="AQ9" s="525">
        <f>+IF(IF(AI9="","",IFERROR(AI9/AC9,0))&gt;1,1,IF(AI9="","",IFERROR(AI9/AC9,0)))</f>
        <v>1</v>
      </c>
      <c r="AR9" s="525"/>
      <c r="AS9" s="525"/>
      <c r="AT9" s="525"/>
      <c r="AU9" s="525"/>
      <c r="AV9" s="525"/>
      <c r="AW9" s="525"/>
      <c r="AX9" s="518"/>
      <c r="AY9" s="518"/>
      <c r="AZ9" s="518"/>
    </row>
    <row r="10" spans="1:53" ht="105.75" hidden="1" thickBot="1">
      <c r="A10" s="891"/>
      <c r="B10" s="886" t="s">
        <v>74</v>
      </c>
      <c r="C10" s="741"/>
      <c r="D10" s="741"/>
      <c r="E10" s="741"/>
      <c r="F10" s="741"/>
      <c r="G10" s="741"/>
      <c r="H10" s="741"/>
      <c r="I10" s="741"/>
      <c r="J10" s="741"/>
      <c r="K10" s="741"/>
      <c r="L10" s="741"/>
      <c r="M10" s="608" t="s">
        <v>428</v>
      </c>
      <c r="N10" s="620">
        <v>5</v>
      </c>
      <c r="O10" s="639" t="s">
        <v>175</v>
      </c>
      <c r="P10" s="640" t="s">
        <v>112</v>
      </c>
      <c r="Q10" s="641" t="s">
        <v>451</v>
      </c>
      <c r="R10" s="661" t="s">
        <v>192</v>
      </c>
      <c r="S10" s="668" t="s">
        <v>115</v>
      </c>
      <c r="T10" s="642" t="s">
        <v>144</v>
      </c>
      <c r="U10" s="698">
        <v>7.22</v>
      </c>
      <c r="V10" s="699">
        <v>7.71</v>
      </c>
      <c r="W10" s="700">
        <v>7.22</v>
      </c>
      <c r="X10" s="596">
        <v>7.71</v>
      </c>
      <c r="Y10" s="643">
        <v>7.29</v>
      </c>
      <c r="Z10" s="597">
        <v>7.22</v>
      </c>
      <c r="AA10" s="704">
        <f>+X10</f>
        <v>7.71</v>
      </c>
      <c r="AB10" s="705">
        <f>+Y10</f>
        <v>7.29</v>
      </c>
      <c r="AC10" s="706">
        <f>+Z10</f>
        <v>7.22</v>
      </c>
      <c r="AD10" s="701"/>
      <c r="AE10" s="702"/>
      <c r="AF10" s="702"/>
      <c r="AG10" s="702"/>
      <c r="AH10" s="702"/>
      <c r="AI10" s="702"/>
      <c r="AJ10" s="702"/>
      <c r="AK10" s="702"/>
      <c r="AL10" s="702"/>
      <c r="AM10" s="702"/>
      <c r="AN10" s="702"/>
      <c r="AO10" s="703"/>
      <c r="AP10" s="582"/>
      <c r="AQ10" s="525" t="str">
        <f t="shared" si="1"/>
        <v/>
      </c>
      <c r="AR10" s="525"/>
      <c r="AS10" s="525"/>
      <c r="AT10" s="525"/>
      <c r="AU10" s="525"/>
      <c r="AV10" s="525"/>
      <c r="AW10" s="525"/>
      <c r="AX10" s="518"/>
      <c r="AY10" s="518"/>
      <c r="AZ10" s="518"/>
    </row>
    <row r="11" spans="1:53" ht="79.5" hidden="1" thickBot="1">
      <c r="A11" s="892"/>
      <c r="B11" s="887"/>
      <c r="C11" s="742"/>
      <c r="D11" s="742"/>
      <c r="E11" s="742"/>
      <c r="F11" s="742"/>
      <c r="G11" s="742"/>
      <c r="H11" s="742"/>
      <c r="I11" s="742"/>
      <c r="J11" s="742"/>
      <c r="K11" s="742"/>
      <c r="L11" s="742"/>
      <c r="M11" s="634" t="s">
        <v>429</v>
      </c>
      <c r="N11" s="607">
        <v>6</v>
      </c>
      <c r="O11" s="560" t="s">
        <v>125</v>
      </c>
      <c r="P11" s="561" t="s">
        <v>112</v>
      </c>
      <c r="Q11" s="561" t="s">
        <v>153</v>
      </c>
      <c r="R11" s="662" t="s">
        <v>154</v>
      </c>
      <c r="S11" s="669" t="s">
        <v>100</v>
      </c>
      <c r="T11" s="611" t="s">
        <v>144</v>
      </c>
      <c r="U11" s="562">
        <v>0.91</v>
      </c>
      <c r="V11" s="612">
        <v>0.78028592927012796</v>
      </c>
      <c r="W11" s="635" t="s">
        <v>372</v>
      </c>
      <c r="X11" s="710">
        <v>0.78</v>
      </c>
      <c r="Y11" s="636" t="s">
        <v>452</v>
      </c>
      <c r="Z11" s="637" t="s">
        <v>450</v>
      </c>
      <c r="AA11" s="680">
        <v>0</v>
      </c>
      <c r="AB11" s="682">
        <v>0.78</v>
      </c>
      <c r="AC11" s="683">
        <v>0.91</v>
      </c>
      <c r="AD11" s="707"/>
      <c r="AE11" s="708"/>
      <c r="AF11" s="708"/>
      <c r="AG11" s="708"/>
      <c r="AH11" s="708"/>
      <c r="AI11" s="708"/>
      <c r="AJ11" s="708"/>
      <c r="AK11" s="708"/>
      <c r="AL11" s="708"/>
      <c r="AM11" s="708"/>
      <c r="AN11" s="708"/>
      <c r="AO11" s="709"/>
      <c r="AP11" s="638"/>
      <c r="AQ11" s="525" t="str">
        <f t="shared" si="1"/>
        <v/>
      </c>
      <c r="AR11" s="525"/>
      <c r="AS11" s="525"/>
      <c r="AT11" s="525"/>
      <c r="AU11" s="525"/>
      <c r="AV11" s="525"/>
      <c r="AW11" s="525"/>
      <c r="AX11" s="518"/>
      <c r="AY11" s="518"/>
      <c r="AZ11" s="518"/>
    </row>
    <row r="12" spans="1:53" s="543" customFormat="1" ht="184.5" hidden="1" thickBot="1">
      <c r="A12" s="526" t="s">
        <v>190</v>
      </c>
      <c r="B12" s="527" t="s">
        <v>430</v>
      </c>
      <c r="C12" s="743">
        <f>+AVERAGE($AQ$12,AQ24)</f>
        <v>0.79474869737347675</v>
      </c>
      <c r="D12" s="743"/>
      <c r="E12" s="743">
        <f>+C12</f>
        <v>0.79474869737347675</v>
      </c>
      <c r="F12" s="743">
        <f>+E12</f>
        <v>0.79474869737347675</v>
      </c>
      <c r="G12" s="743"/>
      <c r="H12" s="743">
        <f>+F12</f>
        <v>0.79474869737347675</v>
      </c>
      <c r="I12" s="743"/>
      <c r="J12" s="743">
        <f>+H12</f>
        <v>0.79474869737347675</v>
      </c>
      <c r="K12" s="743"/>
      <c r="L12" s="743"/>
      <c r="M12" s="621" t="s">
        <v>431</v>
      </c>
      <c r="N12" s="528">
        <v>7</v>
      </c>
      <c r="O12" s="529" t="s">
        <v>358</v>
      </c>
      <c r="P12" s="530" t="s">
        <v>113</v>
      </c>
      <c r="Q12" s="530" t="s">
        <v>355</v>
      </c>
      <c r="R12" s="663" t="s">
        <v>294</v>
      </c>
      <c r="S12" s="669" t="s">
        <v>100</v>
      </c>
      <c r="T12" s="531" t="s">
        <v>148</v>
      </c>
      <c r="U12" s="532" t="s">
        <v>152</v>
      </c>
      <c r="V12" s="533">
        <v>0.7</v>
      </c>
      <c r="W12" s="534">
        <v>0.7</v>
      </c>
      <c r="X12" s="535" t="s">
        <v>363</v>
      </c>
      <c r="Y12" s="536" t="s">
        <v>405</v>
      </c>
      <c r="Z12" s="537" t="s">
        <v>406</v>
      </c>
      <c r="AA12" s="680">
        <v>0</v>
      </c>
      <c r="AB12" s="682">
        <v>0.5</v>
      </c>
      <c r="AC12" s="683">
        <v>0.7</v>
      </c>
      <c r="AD12" s="538">
        <v>0.7</v>
      </c>
      <c r="AE12" s="539"/>
      <c r="AF12" s="539"/>
      <c r="AG12" s="540"/>
      <c r="AH12" s="540"/>
      <c r="AI12" s="540">
        <v>0.46</v>
      </c>
      <c r="AJ12" s="540"/>
      <c r="AK12" s="540"/>
      <c r="AL12" s="540"/>
      <c r="AM12" s="540"/>
      <c r="AN12" s="540"/>
      <c r="AO12" s="541"/>
      <c r="AP12" s="542" t="s">
        <v>464</v>
      </c>
      <c r="AQ12" s="525">
        <f>+IF(IF(AI12="","",IFERROR(AI12/AC12,0))&gt;1,1,IF(AI12="","",IFERROR(AI12/AC12,0)))</f>
        <v>0.65714285714285725</v>
      </c>
      <c r="AR12" s="525"/>
      <c r="AS12" s="545"/>
      <c r="AT12" s="545"/>
      <c r="AU12" s="545"/>
      <c r="AV12" s="545"/>
      <c r="AW12" s="545"/>
      <c r="AX12" s="544"/>
      <c r="AY12" s="544"/>
      <c r="AZ12" s="544"/>
    </row>
    <row r="13" spans="1:53" ht="168.75" hidden="1" customHeight="1" thickBot="1">
      <c r="A13" s="546" t="s">
        <v>178</v>
      </c>
      <c r="B13" s="623" t="s">
        <v>73</v>
      </c>
      <c r="C13" s="744"/>
      <c r="D13" s="744"/>
      <c r="E13" s="744"/>
      <c r="F13" s="744"/>
      <c r="G13" s="744"/>
      <c r="H13" s="744"/>
      <c r="I13" s="744"/>
      <c r="J13" s="744"/>
      <c r="K13" s="744"/>
      <c r="L13" s="744"/>
      <c r="M13" s="608" t="s">
        <v>426</v>
      </c>
      <c r="N13" s="624">
        <v>8</v>
      </c>
      <c r="O13" s="547" t="s">
        <v>122</v>
      </c>
      <c r="P13" s="548" t="s">
        <v>121</v>
      </c>
      <c r="Q13" s="548" t="s">
        <v>123</v>
      </c>
      <c r="R13" s="664" t="s">
        <v>124</v>
      </c>
      <c r="S13" s="670" t="s">
        <v>100</v>
      </c>
      <c r="T13" s="549" t="s">
        <v>108</v>
      </c>
      <c r="U13" s="550" t="s">
        <v>152</v>
      </c>
      <c r="V13" s="551">
        <v>1</v>
      </c>
      <c r="W13" s="552">
        <v>1</v>
      </c>
      <c r="X13" s="553" t="s">
        <v>382</v>
      </c>
      <c r="Y13" s="536" t="s">
        <v>384</v>
      </c>
      <c r="Z13" s="554" t="s">
        <v>383</v>
      </c>
      <c r="AA13" s="680">
        <v>0.5</v>
      </c>
      <c r="AB13" s="682">
        <v>0.72</v>
      </c>
      <c r="AC13" s="683">
        <v>1</v>
      </c>
      <c r="AD13" s="579"/>
      <c r="AE13" s="580"/>
      <c r="AF13" s="580"/>
      <c r="AG13" s="581"/>
      <c r="AH13" s="581"/>
      <c r="AI13" s="581">
        <v>0.8</v>
      </c>
      <c r="AJ13" s="581"/>
      <c r="AK13" s="581"/>
      <c r="AL13" s="581"/>
      <c r="AM13" s="581"/>
      <c r="AN13" s="581"/>
      <c r="AO13" s="600"/>
      <c r="AP13" s="735" t="s">
        <v>462</v>
      </c>
      <c r="AQ13" s="525">
        <f>+IF(IF(AI13="","",IFERROR(AI13/AC13,0))&gt;1,1,IF(AI13="","",IFERROR(AI13/AC13,0)))</f>
        <v>0.8</v>
      </c>
      <c r="AR13" s="525"/>
      <c r="AS13" s="525"/>
      <c r="AT13" s="525"/>
      <c r="AU13" s="525"/>
      <c r="AV13" s="525"/>
      <c r="AW13" s="525"/>
      <c r="AX13" s="518"/>
      <c r="AY13" s="518"/>
      <c r="AZ13" s="518"/>
    </row>
    <row r="14" spans="1:53" ht="289.5" hidden="1" thickBot="1">
      <c r="A14" s="555" t="s">
        <v>182</v>
      </c>
      <c r="B14" s="849" t="s">
        <v>48</v>
      </c>
      <c r="C14" s="745"/>
      <c r="D14" s="745"/>
      <c r="E14" s="745"/>
      <c r="F14" s="745"/>
      <c r="G14" s="745"/>
      <c r="H14" s="745"/>
      <c r="I14" s="745"/>
      <c r="J14" s="745"/>
      <c r="K14" s="745"/>
      <c r="L14" s="745"/>
      <c r="M14" s="912" t="s">
        <v>433</v>
      </c>
      <c r="N14" s="789">
        <v>9</v>
      </c>
      <c r="O14" s="888" t="s">
        <v>126</v>
      </c>
      <c r="P14" s="893" t="s">
        <v>121</v>
      </c>
      <c r="Q14" s="883" t="s">
        <v>170</v>
      </c>
      <c r="R14" s="881" t="s">
        <v>129</v>
      </c>
      <c r="S14" s="843" t="s">
        <v>100</v>
      </c>
      <c r="T14" s="879" t="s">
        <v>144</v>
      </c>
      <c r="U14" s="877" t="s">
        <v>152</v>
      </c>
      <c r="V14" s="807">
        <v>1</v>
      </c>
      <c r="W14" s="875">
        <v>1</v>
      </c>
      <c r="X14" s="898" t="s">
        <v>373</v>
      </c>
      <c r="Y14" s="841" t="s">
        <v>385</v>
      </c>
      <c r="Z14" s="783" t="s">
        <v>374</v>
      </c>
      <c r="AA14" s="786">
        <v>0</v>
      </c>
      <c r="AB14" s="787">
        <v>0.6</v>
      </c>
      <c r="AC14" s="788">
        <v>0.8</v>
      </c>
      <c r="AD14" s="901"/>
      <c r="AE14" s="803"/>
      <c r="AF14" s="803"/>
      <c r="AG14" s="803"/>
      <c r="AH14" s="803"/>
      <c r="AI14" s="581"/>
      <c r="AJ14" s="581"/>
      <c r="AK14" s="581"/>
      <c r="AL14" s="581"/>
      <c r="AM14" s="581"/>
      <c r="AN14" s="581"/>
      <c r="AO14" s="600"/>
      <c r="AP14" s="825"/>
      <c r="AQ14" s="525" t="str">
        <f t="shared" si="1"/>
        <v/>
      </c>
      <c r="AR14" s="525"/>
      <c r="AS14" s="525"/>
      <c r="AT14" s="525"/>
      <c r="AU14" s="525"/>
      <c r="AV14" s="525"/>
      <c r="AW14" s="525"/>
      <c r="AX14" s="518"/>
      <c r="AY14" s="518"/>
      <c r="AZ14" s="518"/>
    </row>
    <row r="15" spans="1:53" ht="167.25" hidden="1" customHeight="1" thickBot="1">
      <c r="A15" s="556" t="s">
        <v>183</v>
      </c>
      <c r="B15" s="885"/>
      <c r="C15" s="741"/>
      <c r="D15" s="741"/>
      <c r="E15" s="741"/>
      <c r="F15" s="741"/>
      <c r="G15" s="741"/>
      <c r="H15" s="741"/>
      <c r="I15" s="741"/>
      <c r="J15" s="741"/>
      <c r="K15" s="741"/>
      <c r="L15" s="741"/>
      <c r="M15" s="913"/>
      <c r="N15" s="790"/>
      <c r="O15" s="889"/>
      <c r="P15" s="894"/>
      <c r="Q15" s="884"/>
      <c r="R15" s="882"/>
      <c r="S15" s="844"/>
      <c r="T15" s="880"/>
      <c r="U15" s="878"/>
      <c r="V15" s="808"/>
      <c r="W15" s="876"/>
      <c r="X15" s="899"/>
      <c r="Y15" s="842"/>
      <c r="Z15" s="784"/>
      <c r="AA15" s="786"/>
      <c r="AB15" s="787"/>
      <c r="AC15" s="788"/>
      <c r="AD15" s="901"/>
      <c r="AE15" s="803"/>
      <c r="AF15" s="803"/>
      <c r="AG15" s="803"/>
      <c r="AH15" s="803"/>
      <c r="AI15" s="581"/>
      <c r="AJ15" s="581"/>
      <c r="AK15" s="581"/>
      <c r="AL15" s="581"/>
      <c r="AM15" s="581"/>
      <c r="AN15" s="581"/>
      <c r="AO15" s="600"/>
      <c r="AP15" s="826"/>
      <c r="AQ15" s="525" t="str">
        <f t="shared" si="1"/>
        <v/>
      </c>
      <c r="AR15" s="525"/>
      <c r="AS15" s="525"/>
      <c r="AT15" s="525"/>
      <c r="AU15" s="525"/>
      <c r="AV15" s="525"/>
      <c r="AW15" s="525"/>
      <c r="AX15" s="518"/>
      <c r="AY15" s="518"/>
      <c r="AZ15" s="518"/>
    </row>
    <row r="16" spans="1:53" ht="158.25" hidden="1" thickBot="1">
      <c r="A16" s="557" t="s">
        <v>184</v>
      </c>
      <c r="B16" s="885"/>
      <c r="C16" s="741"/>
      <c r="D16" s="741"/>
      <c r="E16" s="741"/>
      <c r="F16" s="741"/>
      <c r="G16" s="741"/>
      <c r="H16" s="741"/>
      <c r="I16" s="741"/>
      <c r="J16" s="741"/>
      <c r="K16" s="741"/>
      <c r="L16" s="741"/>
      <c r="M16" s="864" t="s">
        <v>434</v>
      </c>
      <c r="N16" s="903">
        <v>10</v>
      </c>
      <c r="O16" s="888" t="s">
        <v>127</v>
      </c>
      <c r="P16" s="893" t="s">
        <v>121</v>
      </c>
      <c r="Q16" s="883" t="s">
        <v>169</v>
      </c>
      <c r="R16" s="881" t="s">
        <v>164</v>
      </c>
      <c r="S16" s="843" t="s">
        <v>100</v>
      </c>
      <c r="T16" s="879" t="s">
        <v>144</v>
      </c>
      <c r="U16" s="877" t="s">
        <v>152</v>
      </c>
      <c r="V16" s="948">
        <v>1</v>
      </c>
      <c r="W16" s="875">
        <v>1</v>
      </c>
      <c r="X16" s="898" t="s">
        <v>373</v>
      </c>
      <c r="Y16" s="841" t="s">
        <v>385</v>
      </c>
      <c r="Z16" s="783" t="s">
        <v>374</v>
      </c>
      <c r="AA16" s="786">
        <v>0</v>
      </c>
      <c r="AB16" s="787">
        <v>0.6</v>
      </c>
      <c r="AC16" s="788">
        <v>0.8</v>
      </c>
      <c r="AD16" s="785"/>
      <c r="AE16" s="803"/>
      <c r="AF16" s="803"/>
      <c r="AG16" s="803"/>
      <c r="AH16" s="803"/>
      <c r="AI16" s="803"/>
      <c r="AJ16" s="803"/>
      <c r="AK16" s="581"/>
      <c r="AL16" s="581"/>
      <c r="AM16" s="581"/>
      <c r="AN16" s="581"/>
      <c r="AO16" s="600"/>
      <c r="AP16" s="797"/>
      <c r="AQ16" s="525" t="str">
        <f t="shared" si="1"/>
        <v/>
      </c>
      <c r="AR16" s="525"/>
      <c r="AS16" s="525"/>
      <c r="AT16" s="525"/>
      <c r="AU16" s="525"/>
      <c r="AV16" s="525"/>
      <c r="AW16" s="525"/>
      <c r="AX16" s="518"/>
      <c r="AY16" s="518"/>
      <c r="AZ16" s="518"/>
    </row>
    <row r="17" spans="1:74" ht="165.75" hidden="1" customHeight="1" thickBot="1">
      <c r="A17" s="558" t="s">
        <v>185</v>
      </c>
      <c r="B17" s="885"/>
      <c r="C17" s="741"/>
      <c r="D17" s="741"/>
      <c r="E17" s="741"/>
      <c r="F17" s="741"/>
      <c r="G17" s="741"/>
      <c r="H17" s="741"/>
      <c r="I17" s="741"/>
      <c r="J17" s="741"/>
      <c r="K17" s="741"/>
      <c r="L17" s="741"/>
      <c r="M17" s="846"/>
      <c r="N17" s="904"/>
      <c r="O17" s="918"/>
      <c r="P17" s="895"/>
      <c r="Q17" s="900"/>
      <c r="R17" s="947"/>
      <c r="S17" s="844"/>
      <c r="T17" s="946"/>
      <c r="U17" s="943"/>
      <c r="V17" s="949"/>
      <c r="W17" s="941"/>
      <c r="X17" s="944"/>
      <c r="Y17" s="945"/>
      <c r="Z17" s="942"/>
      <c r="AA17" s="786"/>
      <c r="AB17" s="787"/>
      <c r="AC17" s="788"/>
      <c r="AD17" s="785"/>
      <c r="AE17" s="803"/>
      <c r="AF17" s="803"/>
      <c r="AG17" s="803"/>
      <c r="AH17" s="803"/>
      <c r="AI17" s="803"/>
      <c r="AJ17" s="803"/>
      <c r="AK17" s="581"/>
      <c r="AL17" s="581"/>
      <c r="AM17" s="581"/>
      <c r="AN17" s="581"/>
      <c r="AO17" s="600"/>
      <c r="AP17" s="798"/>
      <c r="AQ17" s="525" t="str">
        <f t="shared" si="1"/>
        <v/>
      </c>
      <c r="AR17" s="525"/>
      <c r="AS17" s="525"/>
      <c r="AT17" s="525"/>
      <c r="AU17" s="525"/>
      <c r="AV17" s="525"/>
      <c r="AW17" s="525"/>
      <c r="AX17" s="518"/>
      <c r="AY17" s="518"/>
      <c r="AZ17" s="518"/>
    </row>
    <row r="18" spans="1:74" ht="175.5" hidden="1" customHeight="1" thickBot="1">
      <c r="A18" s="781" t="s">
        <v>177</v>
      </c>
      <c r="B18" s="914" t="s">
        <v>75</v>
      </c>
      <c r="C18" s="793"/>
      <c r="D18" s="793"/>
      <c r="E18" s="793"/>
      <c r="F18" s="793">
        <f>+AVERAGE($AQ$18:$AQ$19)</f>
        <v>1</v>
      </c>
      <c r="G18" s="793"/>
      <c r="H18" s="793"/>
      <c r="I18" s="793">
        <f>+F18</f>
        <v>1</v>
      </c>
      <c r="J18" s="793"/>
      <c r="K18" s="793"/>
      <c r="L18" s="793"/>
      <c r="M18" s="917" t="s">
        <v>435</v>
      </c>
      <c r="N18" s="649">
        <v>11</v>
      </c>
      <c r="O18" s="593" t="s">
        <v>418</v>
      </c>
      <c r="P18" s="594" t="s">
        <v>113</v>
      </c>
      <c r="Q18" s="650" t="s">
        <v>417</v>
      </c>
      <c r="R18" s="650" t="s">
        <v>419</v>
      </c>
      <c r="S18" s="668" t="s">
        <v>100</v>
      </c>
      <c r="T18" s="651" t="s">
        <v>108</v>
      </c>
      <c r="U18" s="577" t="s">
        <v>152</v>
      </c>
      <c r="V18" s="533" t="s">
        <v>152</v>
      </c>
      <c r="W18" s="652">
        <v>0.05</v>
      </c>
      <c r="X18" s="535" t="s">
        <v>420</v>
      </c>
      <c r="Y18" s="572" t="s">
        <v>421</v>
      </c>
      <c r="Z18" s="537" t="s">
        <v>422</v>
      </c>
      <c r="AA18" s="680">
        <v>0</v>
      </c>
      <c r="AB18" s="682">
        <v>0.01</v>
      </c>
      <c r="AC18" s="683">
        <v>0.05</v>
      </c>
      <c r="AD18" s="598"/>
      <c r="AE18" s="599"/>
      <c r="AF18" s="599"/>
      <c r="AG18" s="581"/>
      <c r="AH18" s="581"/>
      <c r="AI18" s="581"/>
      <c r="AJ18" s="581"/>
      <c r="AK18" s="581"/>
      <c r="AL18" s="581"/>
      <c r="AM18" s="581"/>
      <c r="AN18" s="581"/>
      <c r="AO18" s="600"/>
      <c r="AP18" s="737" t="s">
        <v>463</v>
      </c>
      <c r="AQ18" s="525">
        <f>+IF(IF(AI18="","",IFERROR(AI18/AC18,0))&gt;1,1,IF(AI18="","",IFERROR(AI18/AC18,0)))</f>
        <v>1</v>
      </c>
      <c r="AR18" s="525"/>
      <c r="AS18" s="525"/>
      <c r="AT18" s="525"/>
      <c r="AU18" s="525"/>
      <c r="AV18" s="525"/>
      <c r="AW18" s="525"/>
      <c r="AX18" s="518"/>
      <c r="AY18" s="518"/>
      <c r="AZ18" s="518"/>
    </row>
    <row r="19" spans="1:74" ht="79.5" hidden="1" thickBot="1">
      <c r="A19" s="782"/>
      <c r="B19" s="782"/>
      <c r="C19" s="794"/>
      <c r="D19" s="794"/>
      <c r="E19" s="794"/>
      <c r="F19" s="794"/>
      <c r="G19" s="794"/>
      <c r="H19" s="794"/>
      <c r="I19" s="794"/>
      <c r="J19" s="794"/>
      <c r="K19" s="794"/>
      <c r="L19" s="794"/>
      <c r="M19" s="782"/>
      <c r="N19" s="644">
        <v>12</v>
      </c>
      <c r="O19" s="645" t="s">
        <v>167</v>
      </c>
      <c r="P19" s="646" t="s">
        <v>121</v>
      </c>
      <c r="Q19" s="647" t="s">
        <v>168</v>
      </c>
      <c r="R19" s="647" t="s">
        <v>130</v>
      </c>
      <c r="S19" s="671" t="s">
        <v>100</v>
      </c>
      <c r="T19" s="651" t="s">
        <v>108</v>
      </c>
      <c r="U19" s="562">
        <v>0.97599999999999998</v>
      </c>
      <c r="V19" s="648">
        <v>0.99250000000000005</v>
      </c>
      <c r="W19" s="563">
        <v>0.95</v>
      </c>
      <c r="X19" s="618" t="s">
        <v>361</v>
      </c>
      <c r="Y19" s="616" t="s">
        <v>386</v>
      </c>
      <c r="Z19" s="614" t="s">
        <v>362</v>
      </c>
      <c r="AA19" s="680">
        <v>0</v>
      </c>
      <c r="AB19" s="682">
        <v>0.9</v>
      </c>
      <c r="AC19" s="683">
        <v>0.95</v>
      </c>
      <c r="AD19" s="598"/>
      <c r="AE19" s="599"/>
      <c r="AF19" s="599"/>
      <c r="AG19" s="581"/>
      <c r="AH19" s="581"/>
      <c r="AI19" s="738">
        <v>0.95</v>
      </c>
      <c r="AJ19" s="581"/>
      <c r="AK19" s="581"/>
      <c r="AL19" s="581"/>
      <c r="AM19" s="581"/>
      <c r="AN19" s="581"/>
      <c r="AO19" s="600"/>
      <c r="AP19" s="733" t="s">
        <v>459</v>
      </c>
      <c r="AQ19" s="525">
        <f>+IF(IF(AI19="","",IFERROR(AI19/AC19,0))&gt;1,1,IF(AI19="","",IFERROR(AI19/AC19,0)))</f>
        <v>1</v>
      </c>
      <c r="AR19" s="525"/>
      <c r="AS19" s="525"/>
      <c r="AT19" s="525"/>
      <c r="AU19" s="525"/>
      <c r="AV19" s="525"/>
      <c r="AW19" s="525"/>
      <c r="AX19" s="518"/>
      <c r="AY19" s="518"/>
      <c r="AZ19" s="518"/>
    </row>
    <row r="20" spans="1:74" ht="105.75" hidden="1" thickBot="1">
      <c r="A20" s="847" t="s">
        <v>187</v>
      </c>
      <c r="B20" s="849" t="s">
        <v>79</v>
      </c>
      <c r="C20" s="795"/>
      <c r="D20" s="795"/>
      <c r="E20" s="793">
        <f>+AVERAGE($AQ$20:$AQ$21)</f>
        <v>0.97368421052631582</v>
      </c>
      <c r="F20" s="795"/>
      <c r="G20" s="795"/>
      <c r="H20" s="795"/>
      <c r="I20" s="795"/>
      <c r="J20" s="795">
        <f>+E20</f>
        <v>0.97368421052631582</v>
      </c>
      <c r="K20" s="795"/>
      <c r="L20" s="795"/>
      <c r="M20" s="915" t="s">
        <v>436</v>
      </c>
      <c r="N20" s="567">
        <v>13</v>
      </c>
      <c r="O20" s="529" t="s">
        <v>137</v>
      </c>
      <c r="P20" s="530" t="s">
        <v>112</v>
      </c>
      <c r="Q20" s="530" t="s">
        <v>365</v>
      </c>
      <c r="R20" s="663" t="s">
        <v>366</v>
      </c>
      <c r="S20" s="672" t="s">
        <v>100</v>
      </c>
      <c r="T20" s="568" t="s">
        <v>144</v>
      </c>
      <c r="U20" s="577">
        <v>0.41299999999999998</v>
      </c>
      <c r="V20" s="533">
        <v>0.75</v>
      </c>
      <c r="W20" s="655">
        <v>0.75</v>
      </c>
      <c r="X20" s="535" t="s">
        <v>416</v>
      </c>
      <c r="Y20" s="572" t="s">
        <v>415</v>
      </c>
      <c r="Z20" s="537" t="s">
        <v>414</v>
      </c>
      <c r="AA20" s="680">
        <v>0.41299999999999998</v>
      </c>
      <c r="AB20" s="682">
        <v>0.5</v>
      </c>
      <c r="AC20" s="683">
        <v>0.75</v>
      </c>
      <c r="AD20" s="711"/>
      <c r="AE20" s="712"/>
      <c r="AF20" s="712"/>
      <c r="AG20" s="712"/>
      <c r="AH20" s="712"/>
      <c r="AI20" s="712">
        <v>0.75</v>
      </c>
      <c r="AJ20" s="712"/>
      <c r="AK20" s="712"/>
      <c r="AL20" s="712"/>
      <c r="AM20" s="712"/>
      <c r="AN20" s="712"/>
      <c r="AO20" s="713"/>
      <c r="AP20" s="582"/>
      <c r="AQ20" s="525">
        <f>+IF(IF(AI20="","",IFERROR(AI20/AC20,0))&gt;1,1,IF(AI20="","",IFERROR(AI20/AC20,0)))</f>
        <v>1</v>
      </c>
      <c r="AR20" s="525"/>
      <c r="AS20" s="525"/>
      <c r="AT20" s="525"/>
      <c r="AU20" s="525"/>
      <c r="AV20" s="525"/>
      <c r="AW20" s="525"/>
      <c r="AX20" s="518"/>
      <c r="AY20" s="518"/>
      <c r="AZ20" s="518"/>
    </row>
    <row r="21" spans="1:74" ht="79.5" hidden="1" thickBot="1">
      <c r="A21" s="848"/>
      <c r="B21" s="850"/>
      <c r="C21" s="796"/>
      <c r="D21" s="796"/>
      <c r="E21" s="794"/>
      <c r="F21" s="796"/>
      <c r="G21" s="796"/>
      <c r="H21" s="796"/>
      <c r="I21" s="796"/>
      <c r="J21" s="796"/>
      <c r="K21" s="796"/>
      <c r="L21" s="796"/>
      <c r="M21" s="916"/>
      <c r="N21" s="606">
        <v>14</v>
      </c>
      <c r="O21" s="625" t="s">
        <v>138</v>
      </c>
      <c r="P21" s="626" t="s">
        <v>112</v>
      </c>
      <c r="Q21" s="626" t="s">
        <v>316</v>
      </c>
      <c r="R21" s="665" t="s">
        <v>158</v>
      </c>
      <c r="S21" s="673" t="s">
        <v>100</v>
      </c>
      <c r="T21" s="610" t="s">
        <v>453</v>
      </c>
      <c r="U21" s="586">
        <v>0.92800000000000005</v>
      </c>
      <c r="V21" s="587">
        <v>0.84782608695652173</v>
      </c>
      <c r="W21" s="627">
        <v>0.95</v>
      </c>
      <c r="X21" s="617" t="s">
        <v>400</v>
      </c>
      <c r="Y21" s="615" t="s">
        <v>399</v>
      </c>
      <c r="Z21" s="613" t="s">
        <v>362</v>
      </c>
      <c r="AA21" s="684">
        <v>0</v>
      </c>
      <c r="AB21" s="685">
        <v>0.92800000000000005</v>
      </c>
      <c r="AC21" s="686">
        <v>0.95</v>
      </c>
      <c r="AD21" s="711"/>
      <c r="AE21" s="712"/>
      <c r="AF21" s="712"/>
      <c r="AG21" s="712"/>
      <c r="AH21" s="712"/>
      <c r="AI21" s="712">
        <v>0.9</v>
      </c>
      <c r="AJ21" s="712"/>
      <c r="AK21" s="712"/>
      <c r="AL21" s="712"/>
      <c r="AM21" s="712"/>
      <c r="AN21" s="712"/>
      <c r="AO21" s="713"/>
      <c r="AP21" s="654"/>
      <c r="AQ21" s="525">
        <f>+IF(IF(AI21="","",IFERROR(AI21/AC21,0))&gt;1,1,IF(AI21="","",IFERROR(AI21/AC21,0)))</f>
        <v>0.94736842105263164</v>
      </c>
      <c r="AR21" s="525"/>
      <c r="AS21" s="525"/>
      <c r="AT21" s="525"/>
      <c r="AU21" s="525"/>
      <c r="AV21" s="525"/>
      <c r="AW21" s="525"/>
      <c r="AX21" s="518"/>
      <c r="AY21" s="518"/>
      <c r="AZ21" s="518"/>
    </row>
    <row r="22" spans="1:74" ht="93" hidden="1" customHeight="1">
      <c r="A22" s="604" t="s">
        <v>179</v>
      </c>
      <c r="B22" s="845" t="s">
        <v>432</v>
      </c>
      <c r="C22" s="793">
        <f>+AVERAGE($AQ$22:$AQ$23)</f>
        <v>0.91863517060367439</v>
      </c>
      <c r="D22" s="793"/>
      <c r="E22" s="793"/>
      <c r="F22" s="793"/>
      <c r="G22" s="793"/>
      <c r="H22" s="793"/>
      <c r="I22" s="793"/>
      <c r="J22" s="793"/>
      <c r="K22" s="793"/>
      <c r="L22" s="793">
        <f>+C22</f>
        <v>0.91863517060367439</v>
      </c>
      <c r="M22" s="864" t="s">
        <v>437</v>
      </c>
      <c r="N22" s="851">
        <v>15</v>
      </c>
      <c r="O22" s="861" t="s">
        <v>134</v>
      </c>
      <c r="P22" s="866" t="s">
        <v>114</v>
      </c>
      <c r="Q22" s="859" t="s">
        <v>155</v>
      </c>
      <c r="R22" s="857" t="s">
        <v>136</v>
      </c>
      <c r="S22" s="843" t="s">
        <v>100</v>
      </c>
      <c r="T22" s="855" t="s">
        <v>148</v>
      </c>
      <c r="U22" s="853" t="s">
        <v>152</v>
      </c>
      <c r="V22" s="932">
        <v>0.98</v>
      </c>
      <c r="W22" s="930" t="s">
        <v>444</v>
      </c>
      <c r="X22" s="928" t="s">
        <v>376</v>
      </c>
      <c r="Y22" s="926" t="s">
        <v>387</v>
      </c>
      <c r="Z22" s="801" t="s">
        <v>369</v>
      </c>
      <c r="AA22" s="772">
        <v>0</v>
      </c>
      <c r="AB22" s="774">
        <v>0.7</v>
      </c>
      <c r="AC22" s="776">
        <v>0.9</v>
      </c>
      <c r="AD22" s="791">
        <v>0.98</v>
      </c>
      <c r="AE22" s="768"/>
      <c r="AF22" s="768"/>
      <c r="AG22" s="768"/>
      <c r="AH22" s="768"/>
      <c r="AI22" s="804">
        <f>+(0.826771653543307%)*100</f>
        <v>0.82677165354330695</v>
      </c>
      <c r="AJ22" s="768"/>
      <c r="AK22" s="768"/>
      <c r="AL22" s="768"/>
      <c r="AM22" s="768"/>
      <c r="AN22" s="768"/>
      <c r="AO22" s="770"/>
      <c r="AP22" s="799" t="s">
        <v>460</v>
      </c>
      <c r="AQ22" s="525">
        <f>+IF(IF(AI22="","",IFERROR(AI22/AC22,0))&gt;1,1,IF(AI22="","",IFERROR(AI22/AC22,0)))</f>
        <v>0.91863517060367439</v>
      </c>
      <c r="AR22" s="525"/>
      <c r="AS22" s="525"/>
      <c r="AT22" s="525"/>
      <c r="AU22" s="525"/>
      <c r="AV22" s="525"/>
      <c r="AW22" s="525"/>
      <c r="AX22" s="736">
        <f>+(3743220528*100)/11050804592</f>
        <v>33.872832487779455</v>
      </c>
      <c r="AY22" s="518"/>
      <c r="AZ22" s="518"/>
    </row>
    <row r="23" spans="1:74" ht="75.75" hidden="1" customHeight="1" thickBot="1">
      <c r="A23" s="559" t="s">
        <v>188</v>
      </c>
      <c r="B23" s="846"/>
      <c r="C23" s="794"/>
      <c r="D23" s="794"/>
      <c r="E23" s="794"/>
      <c r="F23" s="794"/>
      <c r="G23" s="794"/>
      <c r="H23" s="794"/>
      <c r="I23" s="794"/>
      <c r="J23" s="794"/>
      <c r="K23" s="794"/>
      <c r="L23" s="794"/>
      <c r="M23" s="846"/>
      <c r="N23" s="852"/>
      <c r="O23" s="862"/>
      <c r="P23" s="867"/>
      <c r="Q23" s="860"/>
      <c r="R23" s="858"/>
      <c r="S23" s="844"/>
      <c r="T23" s="856"/>
      <c r="U23" s="854"/>
      <c r="V23" s="933"/>
      <c r="W23" s="931"/>
      <c r="X23" s="929"/>
      <c r="Y23" s="927"/>
      <c r="Z23" s="802"/>
      <c r="AA23" s="773"/>
      <c r="AB23" s="775"/>
      <c r="AC23" s="777"/>
      <c r="AD23" s="792"/>
      <c r="AE23" s="769"/>
      <c r="AF23" s="769"/>
      <c r="AG23" s="769"/>
      <c r="AH23" s="769"/>
      <c r="AI23" s="769"/>
      <c r="AJ23" s="769"/>
      <c r="AK23" s="769"/>
      <c r="AL23" s="769"/>
      <c r="AM23" s="769"/>
      <c r="AN23" s="769"/>
      <c r="AO23" s="771"/>
      <c r="AP23" s="800"/>
      <c r="AQ23" s="525"/>
      <c r="AR23" s="525"/>
      <c r="AS23" s="515">
        <v>1</v>
      </c>
      <c r="AT23" s="525">
        <v>2</v>
      </c>
      <c r="AU23" s="525">
        <v>3</v>
      </c>
      <c r="AV23" s="525">
        <v>4</v>
      </c>
      <c r="AW23" s="525">
        <v>5</v>
      </c>
      <c r="AX23" s="518">
        <v>6</v>
      </c>
      <c r="AY23" s="518">
        <v>7</v>
      </c>
      <c r="AZ23" s="518">
        <v>8</v>
      </c>
      <c r="BA23" s="515">
        <v>9</v>
      </c>
      <c r="BB23" s="515">
        <v>10</v>
      </c>
      <c r="BC23" s="515">
        <v>11</v>
      </c>
      <c r="BD23" s="515">
        <v>12</v>
      </c>
    </row>
    <row r="24" spans="1:74" ht="408.75" customHeight="1" thickBot="1">
      <c r="A24" s="863" t="s">
        <v>186</v>
      </c>
      <c r="B24" s="622" t="s">
        <v>430</v>
      </c>
      <c r="C24" s="795"/>
      <c r="D24" s="795"/>
      <c r="E24" s="795"/>
      <c r="F24" s="795"/>
      <c r="G24" s="795"/>
      <c r="H24" s="795"/>
      <c r="I24" s="795"/>
      <c r="J24" s="795"/>
      <c r="K24" s="795"/>
      <c r="L24" s="795"/>
      <c r="M24" s="864" t="s">
        <v>438</v>
      </c>
      <c r="N24" s="870">
        <v>16</v>
      </c>
      <c r="O24" s="868" t="s">
        <v>407</v>
      </c>
      <c r="P24" s="859" t="s">
        <v>114</v>
      </c>
      <c r="Q24" s="859" t="s">
        <v>408</v>
      </c>
      <c r="R24" s="857" t="s">
        <v>412</v>
      </c>
      <c r="S24" s="843" t="s">
        <v>100</v>
      </c>
      <c r="T24" s="855" t="s">
        <v>107</v>
      </c>
      <c r="U24" s="936" t="s">
        <v>152</v>
      </c>
      <c r="V24" s="934" t="s">
        <v>413</v>
      </c>
      <c r="W24" s="938">
        <v>1</v>
      </c>
      <c r="X24" s="928" t="s">
        <v>381</v>
      </c>
      <c r="Y24" s="926" t="s">
        <v>409</v>
      </c>
      <c r="Z24" s="801" t="s">
        <v>362</v>
      </c>
      <c r="AA24" s="772">
        <v>0.85</v>
      </c>
      <c r="AB24" s="774">
        <v>0.95</v>
      </c>
      <c r="AC24" s="776">
        <v>0.95</v>
      </c>
      <c r="AD24" s="778">
        <f>2987610735.88/3166449610</f>
        <v>0.94352069473797817</v>
      </c>
      <c r="AE24" s="778">
        <f t="shared" ref="AE24:AF24" si="2">2987610735.88/3166449610</f>
        <v>0.94352069473797817</v>
      </c>
      <c r="AF24" s="778">
        <f t="shared" si="2"/>
        <v>0.94352069473797817</v>
      </c>
      <c r="AG24" s="778">
        <v>0.88627529013767692</v>
      </c>
      <c r="AH24" s="780">
        <f>3260138254.98/3834524769</f>
        <v>0.85020659700425061</v>
      </c>
      <c r="AI24" s="768">
        <f>3743220527.98/4226109249</f>
        <v>0.88573681072389143</v>
      </c>
      <c r="AJ24" s="768">
        <f>4661515070/6536325721</f>
        <v>0.71317055926748241</v>
      </c>
      <c r="AK24" s="768">
        <f>6200463579.79/7589971626</f>
        <v>0.81692842678750743</v>
      </c>
      <c r="AL24" s="768"/>
      <c r="AM24" s="768"/>
      <c r="AN24" s="768"/>
      <c r="AO24" s="770"/>
      <c r="AP24" s="925" t="s">
        <v>486</v>
      </c>
      <c r="AQ24" s="940">
        <f>+IF(IF(AI24="","",IFERROR(AI24/AC24,0))&gt;1,1,IF(AI24="","",IFERROR(AI24/AC24,0)))</f>
        <v>0.93235453760409626</v>
      </c>
      <c r="AR24" s="525"/>
      <c r="AS24" s="725">
        <v>2217931658</v>
      </c>
      <c r="AT24" s="725">
        <v>2815469050</v>
      </c>
      <c r="AU24" s="725">
        <v>3166449610</v>
      </c>
      <c r="AV24" s="725">
        <v>3538975396</v>
      </c>
      <c r="AW24" s="725">
        <v>3834524764</v>
      </c>
      <c r="AX24" s="725">
        <v>4226109249</v>
      </c>
      <c r="AY24" s="726">
        <v>6536325721</v>
      </c>
      <c r="AZ24" s="726">
        <v>7589971626</v>
      </c>
      <c r="BA24" s="727">
        <v>8238680187</v>
      </c>
      <c r="BB24" s="727">
        <v>8853291139</v>
      </c>
      <c r="BC24" s="728">
        <v>10445752039</v>
      </c>
      <c r="BD24" s="728">
        <v>11050804592</v>
      </c>
      <c r="BE24" s="724">
        <f>58/7*12</f>
        <v>99.428571428571445</v>
      </c>
      <c r="BF24" s="755">
        <f>450000000/ 6536325721</f>
        <v>6.8846018268984607E-2</v>
      </c>
      <c r="BG24" s="753"/>
      <c r="BH24" s="753"/>
    </row>
    <row r="25" spans="1:74" ht="309" hidden="1" customHeight="1" thickBot="1">
      <c r="A25" s="863"/>
      <c r="B25" s="628" t="s">
        <v>72</v>
      </c>
      <c r="C25" s="796"/>
      <c r="D25" s="796"/>
      <c r="E25" s="796"/>
      <c r="F25" s="796"/>
      <c r="G25" s="796"/>
      <c r="H25" s="796"/>
      <c r="I25" s="796"/>
      <c r="J25" s="796"/>
      <c r="K25" s="796"/>
      <c r="L25" s="796"/>
      <c r="M25" s="865"/>
      <c r="N25" s="871"/>
      <c r="O25" s="869"/>
      <c r="P25" s="860"/>
      <c r="Q25" s="860"/>
      <c r="R25" s="858"/>
      <c r="S25" s="844"/>
      <c r="T25" s="856"/>
      <c r="U25" s="937"/>
      <c r="V25" s="935"/>
      <c r="W25" s="939"/>
      <c r="X25" s="929"/>
      <c r="Y25" s="927"/>
      <c r="Z25" s="802"/>
      <c r="AA25" s="773"/>
      <c r="AB25" s="775"/>
      <c r="AC25" s="777"/>
      <c r="AD25" s="779"/>
      <c r="AE25" s="779"/>
      <c r="AF25" s="779"/>
      <c r="AG25" s="779"/>
      <c r="AH25" s="769"/>
      <c r="AI25" s="769"/>
      <c r="AJ25" s="769"/>
      <c r="AK25" s="769"/>
      <c r="AL25" s="769"/>
      <c r="AM25" s="769"/>
      <c r="AN25" s="769"/>
      <c r="AO25" s="771"/>
      <c r="AP25" s="865"/>
      <c r="AQ25" s="940"/>
      <c r="AR25" s="525"/>
      <c r="AS25" s="725">
        <v>2101993441.28</v>
      </c>
      <c r="AT25" s="725">
        <v>2787274448.8800001</v>
      </c>
      <c r="AU25" s="725">
        <v>2987610735.8800001</v>
      </c>
      <c r="AV25" s="725">
        <f t="shared" ref="AV25:BD25" si="3">+AV24*$AV$27</f>
        <v>3399583964.8001056</v>
      </c>
      <c r="AW25" s="725">
        <f t="shared" si="3"/>
        <v>3683492378.9120655</v>
      </c>
      <c r="AX25" s="725">
        <f t="shared" si="3"/>
        <v>4059653325.827704</v>
      </c>
      <c r="AY25" s="725">
        <f t="shared" si="3"/>
        <v>6278876121.8678131</v>
      </c>
      <c r="AZ25" s="725">
        <f t="shared" si="3"/>
        <v>7291021537.5335665</v>
      </c>
      <c r="BA25" s="725">
        <f t="shared" si="3"/>
        <v>7914179083.1601295</v>
      </c>
      <c r="BB25" s="725">
        <f t="shared" si="3"/>
        <v>8504582039.7252808</v>
      </c>
      <c r="BC25" s="725">
        <f t="shared" si="3"/>
        <v>10034319869.021889</v>
      </c>
      <c r="BD25" s="725">
        <f t="shared" si="3"/>
        <v>10615540908.129719</v>
      </c>
      <c r="BG25" s="515">
        <f>3136506445.88/3538975396</f>
        <v>0.88627529013767692</v>
      </c>
      <c r="BH25" s="515">
        <f>3136506445.88/8853291139</f>
        <v>0.35427575989941701</v>
      </c>
      <c r="BJ25" s="515">
        <f>+(3260138254.98*100)/3834524769</f>
        <v>85.020659700425057</v>
      </c>
      <c r="BM25" s="515">
        <v>3834524764</v>
      </c>
      <c r="BN25" s="515">
        <f>+BM25*0.88</f>
        <v>3374381792.3200002</v>
      </c>
    </row>
    <row r="26" spans="1:74" ht="195" customHeight="1" thickBot="1">
      <c r="A26" s="863"/>
      <c r="B26" s="608" t="s">
        <v>81</v>
      </c>
      <c r="C26" s="746"/>
      <c r="D26" s="746"/>
      <c r="E26" s="746">
        <f>+AQ26</f>
        <v>0.75046126341808617</v>
      </c>
      <c r="F26" s="746"/>
      <c r="G26" s="746">
        <f>+E26</f>
        <v>0.75046126341808617</v>
      </c>
      <c r="H26" s="746">
        <f>+G26</f>
        <v>0.75046126341808617</v>
      </c>
      <c r="I26" s="746"/>
      <c r="J26" s="746">
        <f>+H26</f>
        <v>0.75046126341808617</v>
      </c>
      <c r="K26" s="746"/>
      <c r="L26" s="746">
        <f>+J26</f>
        <v>0.75046126341808617</v>
      </c>
      <c r="M26" s="630" t="s">
        <v>439</v>
      </c>
      <c r="N26" s="567">
        <v>17</v>
      </c>
      <c r="O26" s="529" t="s">
        <v>140</v>
      </c>
      <c r="P26" s="530" t="s">
        <v>114</v>
      </c>
      <c r="Q26" s="530" t="s">
        <v>173</v>
      </c>
      <c r="R26" s="663" t="s">
        <v>165</v>
      </c>
      <c r="S26" s="672" t="s">
        <v>100</v>
      </c>
      <c r="T26" s="568" t="s">
        <v>107</v>
      </c>
      <c r="U26" s="569">
        <v>1.0374939776423666</v>
      </c>
      <c r="V26" s="570">
        <v>1.0195417137892298</v>
      </c>
      <c r="W26" s="571" t="s">
        <v>174</v>
      </c>
      <c r="X26" s="535" t="s">
        <v>371</v>
      </c>
      <c r="Y26" s="572" t="s">
        <v>388</v>
      </c>
      <c r="Z26" s="537" t="s">
        <v>360</v>
      </c>
      <c r="AA26" s="714">
        <v>0.75</v>
      </c>
      <c r="AB26" s="687">
        <v>0.9</v>
      </c>
      <c r="AC26" s="688">
        <v>1</v>
      </c>
      <c r="AD26" s="573">
        <f>6019533060/7921345976</f>
        <v>0.75991290851806115</v>
      </c>
      <c r="AE26" s="575"/>
      <c r="AF26" s="575"/>
      <c r="AG26" s="573">
        <f>773707133088/1013123177192</f>
        <v>0.76368515744791066</v>
      </c>
      <c r="AH26" s="574">
        <f>9245083591.98/12319201593.26</f>
        <v>0.75046126341808617</v>
      </c>
      <c r="AI26" s="574">
        <f>9245083591.98/12319201593.26</f>
        <v>0.75046126341808617</v>
      </c>
      <c r="AJ26" s="576">
        <f>14793738212.1/16570616320.75</f>
        <v>0.892769340967423</v>
      </c>
      <c r="AK26" s="576">
        <f>14793738212.1/16570616320.75</f>
        <v>0.892769340967423</v>
      </c>
      <c r="AL26" s="576"/>
      <c r="AM26" s="576"/>
      <c r="AN26" s="576"/>
      <c r="AO26" s="677"/>
      <c r="AP26" s="732" t="s">
        <v>485</v>
      </c>
      <c r="AQ26" s="525">
        <f>+IF(IF(AI26="","",IFERROR(AI26/AC26,0))&gt;1,1,IF(AI26="","",IFERROR(AI26/AC26,0)))</f>
        <v>0.75046126341808617</v>
      </c>
      <c r="AR26" s="525"/>
      <c r="AS26" s="525">
        <f>+AS24/$BD$24</f>
        <v>0.20070318315153499</v>
      </c>
      <c r="AT26" s="525">
        <f>+AT24/$BD$24</f>
        <v>0.25477502805888003</v>
      </c>
      <c r="AU26" s="525">
        <f>+AU24/$BD$24</f>
        <v>0.28653566205417164</v>
      </c>
      <c r="AV26" s="525">
        <f>+AV24/$BD$24</f>
        <v>0.32024594829610575</v>
      </c>
      <c r="AW26" s="525">
        <f>+AW24/$BD$24</f>
        <v>0.34699055006147916</v>
      </c>
      <c r="AX26" s="525">
        <f t="shared" ref="AX26:BD26" si="4">+AX24/$BD$24</f>
        <v>0.38242547986590986</v>
      </c>
      <c r="AY26" s="525">
        <f t="shared" si="4"/>
        <v>0.59147962183059832</v>
      </c>
      <c r="AZ26" s="525">
        <f t="shared" si="4"/>
        <v>0.68682524994556526</v>
      </c>
      <c r="BA26" s="525">
        <f t="shared" si="4"/>
        <v>0.74552763270868272</v>
      </c>
      <c r="BB26" s="525">
        <f t="shared" si="4"/>
        <v>0.80114448367037061</v>
      </c>
      <c r="BC26" s="525">
        <f t="shared" si="4"/>
        <v>0.94524809954218036</v>
      </c>
      <c r="BD26" s="525">
        <f t="shared" si="4"/>
        <v>1</v>
      </c>
      <c r="BF26" s="753"/>
      <c r="BG26" s="753"/>
      <c r="BH26" s="753"/>
      <c r="BI26" s="566"/>
      <c r="BM26" s="724">
        <v>4226109249</v>
      </c>
      <c r="BN26" s="515">
        <f t="shared" ref="BN26:BN32" si="5">+BM26*0.88</f>
        <v>3718976139.1199999</v>
      </c>
    </row>
    <row r="27" spans="1:74" ht="225.75" customHeight="1" thickBot="1">
      <c r="A27" s="846"/>
      <c r="B27" s="659" t="s">
        <v>72</v>
      </c>
      <c r="C27" s="746">
        <f>+AVERAGE(AQ24,AQ27)</f>
        <v>0.74913128841927301</v>
      </c>
      <c r="D27" s="746">
        <f>+C27</f>
        <v>0.74913128841927301</v>
      </c>
      <c r="E27" s="746">
        <f>+D27</f>
        <v>0.74913128841927301</v>
      </c>
      <c r="F27" s="746">
        <f>+E27</f>
        <v>0.74913128841927301</v>
      </c>
      <c r="G27" s="746"/>
      <c r="H27" s="746">
        <f>+F27</f>
        <v>0.74913128841927301</v>
      </c>
      <c r="I27" s="746"/>
      <c r="J27" s="746">
        <f>+H27</f>
        <v>0.74913128841927301</v>
      </c>
      <c r="K27" s="746">
        <f>+J27</f>
        <v>0.74913128841927301</v>
      </c>
      <c r="L27" s="746"/>
      <c r="M27" s="629" t="s">
        <v>440</v>
      </c>
      <c r="N27" s="567">
        <v>18</v>
      </c>
      <c r="O27" s="529" t="s">
        <v>120</v>
      </c>
      <c r="P27" s="530" t="s">
        <v>114</v>
      </c>
      <c r="Q27" s="530" t="s">
        <v>171</v>
      </c>
      <c r="R27" s="663" t="s">
        <v>151</v>
      </c>
      <c r="S27" s="672" t="s">
        <v>100</v>
      </c>
      <c r="T27" s="568" t="s">
        <v>107</v>
      </c>
      <c r="U27" s="577">
        <v>0.73499078333333334</v>
      </c>
      <c r="V27" s="533">
        <v>1.4277993471428572</v>
      </c>
      <c r="W27" s="578">
        <v>0.8</v>
      </c>
      <c r="X27" s="535" t="s">
        <v>377</v>
      </c>
      <c r="Y27" s="572" t="s">
        <v>454</v>
      </c>
      <c r="Z27" s="537" t="s">
        <v>362</v>
      </c>
      <c r="AA27" s="680">
        <v>0</v>
      </c>
      <c r="AB27" s="689">
        <v>0.73</v>
      </c>
      <c r="AC27" s="690">
        <v>0.95</v>
      </c>
      <c r="AD27" s="579">
        <f>307987081/1100000000</f>
        <v>0.27998825545454548</v>
      </c>
      <c r="AE27" s="580"/>
      <c r="AF27" s="580"/>
      <c r="AG27" s="579">
        <f>338538937/1100000000</f>
        <v>0.30776267000000002</v>
      </c>
      <c r="AH27" s="581">
        <f>349580219/1100000000</f>
        <v>0.31780019909090906</v>
      </c>
      <c r="AI27" s="581">
        <f>(53351402+89807034+448215465)/1100000000</f>
        <v>0.53761263727272723</v>
      </c>
      <c r="AJ27" s="708">
        <f>(97808814+112756799+476691525)/1100000000</f>
        <v>0.62477921636363631</v>
      </c>
      <c r="AK27" s="708">
        <f>(106373501+112756799+531123432)/1100000000</f>
        <v>0.6820488472727273</v>
      </c>
      <c r="AL27" s="576"/>
      <c r="AM27" s="576"/>
      <c r="AN27" s="576"/>
      <c r="AO27" s="677"/>
      <c r="AP27" s="582" t="s">
        <v>479</v>
      </c>
      <c r="AQ27" s="525">
        <f>+IF(IF(AI27="","",IFERROR(AI27/AC27,0))&gt;1,1,IF(AI27="","",IFERROR(AI27/AC27,0)))</f>
        <v>0.56590803923444977</v>
      </c>
      <c r="AR27" s="525"/>
      <c r="AS27" s="525">
        <f>+AS25/AS24</f>
        <v>0.94772687593785176</v>
      </c>
      <c r="AT27" s="525">
        <f>+AT25/AT24</f>
        <v>0.98998582452185013</v>
      </c>
      <c r="AU27" s="525">
        <f>+AU25/AU24</f>
        <v>0.94352069473797817</v>
      </c>
      <c r="AV27" s="729">
        <f>+SUMPRODUCT(AS24:AU24,AS27:AU27)/SUM(AS24:AU24)</f>
        <v>0.96061248932178378</v>
      </c>
      <c r="AW27" s="525"/>
      <c r="AX27" s="518"/>
      <c r="AY27" s="518"/>
      <c r="AZ27" s="518"/>
      <c r="BA27" s="756"/>
      <c r="BF27" s="754"/>
      <c r="BG27" s="754"/>
      <c r="BH27" s="754"/>
      <c r="BM27" s="730">
        <v>6536325721</v>
      </c>
      <c r="BN27" s="515">
        <f t="shared" si="5"/>
        <v>5751966634.4800005</v>
      </c>
      <c r="BO27" s="730"/>
      <c r="BP27" s="730"/>
      <c r="BQ27" s="730"/>
      <c r="BR27" s="730"/>
      <c r="BS27" s="730"/>
      <c r="BT27" s="730"/>
      <c r="BU27" s="730"/>
      <c r="BV27" s="730"/>
    </row>
    <row r="28" spans="1:74" ht="162" customHeight="1" thickBot="1">
      <c r="A28" s="845" t="s">
        <v>189</v>
      </c>
      <c r="B28" s="658" t="s">
        <v>142</v>
      </c>
      <c r="C28" s="747"/>
      <c r="D28" s="747"/>
      <c r="E28" s="747"/>
      <c r="F28" s="747"/>
      <c r="G28" s="747"/>
      <c r="H28" s="747"/>
      <c r="I28" s="747"/>
      <c r="J28" s="747">
        <f>+AQ28</f>
        <v>0.93</v>
      </c>
      <c r="K28" s="747"/>
      <c r="L28" s="747"/>
      <c r="M28" s="630" t="s">
        <v>441</v>
      </c>
      <c r="N28" s="620">
        <v>19</v>
      </c>
      <c r="O28" s="529" t="s">
        <v>160</v>
      </c>
      <c r="P28" s="530" t="s">
        <v>112</v>
      </c>
      <c r="Q28" s="530" t="s">
        <v>159</v>
      </c>
      <c r="R28" s="663" t="s">
        <v>161</v>
      </c>
      <c r="S28" s="672" t="s">
        <v>100</v>
      </c>
      <c r="T28" s="568" t="s">
        <v>166</v>
      </c>
      <c r="U28" s="577">
        <v>0.67</v>
      </c>
      <c r="V28" s="533">
        <v>0.93</v>
      </c>
      <c r="W28" s="578">
        <v>1</v>
      </c>
      <c r="X28" s="535" t="s">
        <v>381</v>
      </c>
      <c r="Y28" s="572" t="s">
        <v>389</v>
      </c>
      <c r="Z28" s="537" t="s">
        <v>378</v>
      </c>
      <c r="AA28" s="680">
        <v>0</v>
      </c>
      <c r="AB28" s="689">
        <v>0.85</v>
      </c>
      <c r="AC28" s="690">
        <v>1</v>
      </c>
      <c r="AD28" s="697">
        <v>0.93</v>
      </c>
      <c r="AE28" s="580"/>
      <c r="AF28" s="580"/>
      <c r="AG28" s="581">
        <v>0.93</v>
      </c>
      <c r="AH28" s="581"/>
      <c r="AI28" s="581">
        <v>0.93</v>
      </c>
      <c r="AJ28" s="581"/>
      <c r="AK28" s="757">
        <v>0.95</v>
      </c>
      <c r="AL28" s="581"/>
      <c r="AM28" s="581"/>
      <c r="AN28" s="581"/>
      <c r="AO28" s="600"/>
      <c r="AP28" s="653" t="s">
        <v>484</v>
      </c>
      <c r="AQ28" s="525">
        <f>+IF(IF(AI28="","",IFERROR(AI28/AC28,0))&gt;1,1,IF(AI28="","",IFERROR(AI28/AC28,0)))</f>
        <v>0.93</v>
      </c>
      <c r="AR28" s="525"/>
      <c r="AS28" s="525"/>
      <c r="AT28" s="525"/>
      <c r="AU28" s="525"/>
      <c r="AV28" s="525"/>
      <c r="AW28" s="525"/>
      <c r="AX28" s="518"/>
      <c r="AY28" s="518"/>
      <c r="AZ28" s="518"/>
      <c r="BM28" s="724">
        <v>7589971626</v>
      </c>
      <c r="BN28" s="515">
        <f t="shared" si="5"/>
        <v>6679175030.8800001</v>
      </c>
      <c r="BO28" s="731"/>
      <c r="BP28" s="731"/>
    </row>
    <row r="29" spans="1:74" ht="158.25" thickBot="1">
      <c r="A29" s="846"/>
      <c r="B29" s="619" t="s">
        <v>77</v>
      </c>
      <c r="C29" s="747">
        <f>+AQ29</f>
        <v>0.98198516425291371</v>
      </c>
      <c r="D29" s="747"/>
      <c r="E29" s="747"/>
      <c r="F29" s="747">
        <f>+AQ29</f>
        <v>0.98198516425291371</v>
      </c>
      <c r="G29" s="747"/>
      <c r="H29" s="747"/>
      <c r="I29" s="747"/>
      <c r="J29" s="747">
        <f>+AQ29</f>
        <v>0.98198516425291371</v>
      </c>
      <c r="K29" s="747"/>
      <c r="L29" s="747"/>
      <c r="M29" s="634" t="s">
        <v>442</v>
      </c>
      <c r="N29" s="607">
        <v>20</v>
      </c>
      <c r="O29" s="656" t="s">
        <v>131</v>
      </c>
      <c r="P29" s="657" t="s">
        <v>114</v>
      </c>
      <c r="Q29" s="657" t="s">
        <v>411</v>
      </c>
      <c r="R29" s="666" t="s">
        <v>359</v>
      </c>
      <c r="S29" s="669" t="s">
        <v>100</v>
      </c>
      <c r="T29" s="611" t="s">
        <v>107</v>
      </c>
      <c r="U29" s="562">
        <v>0.88935026868588196</v>
      </c>
      <c r="V29" s="648">
        <v>0.90985324947589097</v>
      </c>
      <c r="W29" s="563">
        <v>1</v>
      </c>
      <c r="X29" s="618" t="s">
        <v>361</v>
      </c>
      <c r="Y29" s="616" t="s">
        <v>386</v>
      </c>
      <c r="Z29" s="614" t="s">
        <v>362</v>
      </c>
      <c r="AA29" s="680">
        <v>0</v>
      </c>
      <c r="AB29" s="689">
        <v>0.85</v>
      </c>
      <c r="AC29" s="690">
        <v>0.95</v>
      </c>
      <c r="AD29" s="723">
        <v>0.95622895622895621</v>
      </c>
      <c r="AE29" s="580"/>
      <c r="AF29" s="580"/>
      <c r="AG29" s="581">
        <v>0.96250000000000002</v>
      </c>
      <c r="AH29" s="581">
        <f>0.913636363636364%*100</f>
        <v>0.91363636363636402</v>
      </c>
      <c r="AI29" s="581">
        <f>+(0.932885906040268)*100%</f>
        <v>0.932885906040268</v>
      </c>
      <c r="AJ29" s="752">
        <f>+(257/269)*100%</f>
        <v>0.95539033457249067</v>
      </c>
      <c r="AK29" s="757">
        <f>+(443/456)*100%</f>
        <v>0.97149122807017541</v>
      </c>
      <c r="AL29" s="678"/>
      <c r="AM29" s="678"/>
      <c r="AN29" s="678"/>
      <c r="AO29" s="679"/>
      <c r="AP29" s="603" t="s">
        <v>482</v>
      </c>
      <c r="AQ29" s="525">
        <f>+IF(IF(AI29="","",IFERROR(AI29/AC29,0))&gt;1,1,IF(AI29="","",IFERROR(AI29/AC29,0)))</f>
        <v>0.98198516425291371</v>
      </c>
      <c r="AR29" s="525"/>
      <c r="AS29" s="525">
        <f>+SUMPRODUCT(AS24:AU24,AS28:AU28)/SUM(AS24:AU24)</f>
        <v>0</v>
      </c>
      <c r="AT29" s="525"/>
      <c r="AU29" s="525"/>
      <c r="AV29" s="525"/>
      <c r="AW29" s="525"/>
      <c r="AX29" s="518"/>
      <c r="AY29" s="518"/>
      <c r="AZ29" s="518">
        <v>100</v>
      </c>
      <c r="BM29" s="724">
        <v>8238680187</v>
      </c>
      <c r="BN29" s="515">
        <f t="shared" si="5"/>
        <v>7250038564.5600004</v>
      </c>
    </row>
    <row r="30" spans="1:74" hidden="1">
      <c r="C30" s="748">
        <f>+AVERAGE(C6:C29)</f>
        <v>0.8189000641298676</v>
      </c>
      <c r="D30" s="748">
        <f t="shared" ref="D30:L30" si="6">+AVERAGE(D6:D29)</f>
        <v>0.69956564420963652</v>
      </c>
      <c r="E30" s="748">
        <f t="shared" si="6"/>
        <v>0.78360509194743044</v>
      </c>
      <c r="F30" s="748">
        <f t="shared" si="6"/>
        <v>0.83517303000913279</v>
      </c>
      <c r="G30" s="748">
        <f t="shared" si="6"/>
        <v>0.70023063170904309</v>
      </c>
      <c r="H30" s="748">
        <f t="shared" si="6"/>
        <v>0.73608531230270902</v>
      </c>
      <c r="I30" s="748">
        <f t="shared" si="6"/>
        <v>0.82499999999999996</v>
      </c>
      <c r="J30" s="748">
        <f t="shared" si="6"/>
        <v>0.83285866057000935</v>
      </c>
      <c r="K30" s="748">
        <f t="shared" si="6"/>
        <v>0.69956564420963652</v>
      </c>
      <c r="L30" s="748">
        <f t="shared" si="6"/>
        <v>0.77303214467392012</v>
      </c>
      <c r="AP30" s="515"/>
      <c r="AS30" s="525"/>
      <c r="AT30" s="525"/>
      <c r="AU30" s="525"/>
      <c r="AV30" s="525"/>
      <c r="AW30" s="525"/>
      <c r="AX30" s="518"/>
      <c r="AY30" s="518"/>
      <c r="AZ30" s="518"/>
      <c r="BM30" s="724">
        <v>8853291139</v>
      </c>
      <c r="BN30" s="515">
        <f t="shared" si="5"/>
        <v>7790896202.3199997</v>
      </c>
    </row>
    <row r="31" spans="1:74">
      <c r="Q31" s="565"/>
      <c r="R31" s="565"/>
      <c r="AG31" s="565"/>
      <c r="AH31" s="565"/>
      <c r="AI31" s="565"/>
      <c r="AJ31" s="565"/>
      <c r="AK31" s="565"/>
      <c r="AL31" s="565"/>
      <c r="AM31" s="565"/>
      <c r="AN31" s="565"/>
      <c r="AO31" s="565"/>
      <c r="AP31" s="565"/>
      <c r="AZ31" s="515">
        <f>+AZ29-AZ27</f>
        <v>100</v>
      </c>
      <c r="BM31" s="724">
        <v>10445752039</v>
      </c>
      <c r="BN31" s="515">
        <f t="shared" si="5"/>
        <v>9192261794.3199997</v>
      </c>
    </row>
    <row r="32" spans="1:74">
      <c r="Q32" s="564"/>
      <c r="R32" s="564"/>
      <c r="BM32" s="724">
        <v>11050804592</v>
      </c>
      <c r="BN32" s="515">
        <f t="shared" si="5"/>
        <v>9724708040.960001</v>
      </c>
    </row>
    <row r="33" spans="15:65">
      <c r="BM33" s="730"/>
    </row>
    <row r="34" spans="15:65">
      <c r="BM34" s="730"/>
    </row>
    <row r="35" spans="15:65">
      <c r="BM35" s="724"/>
    </row>
    <row r="36" spans="15:65">
      <c r="O36" s="566"/>
      <c r="BM36" s="724"/>
    </row>
    <row r="37" spans="15:65">
      <c r="BM37" s="724"/>
    </row>
    <row r="38" spans="15:65">
      <c r="BM38" s="724"/>
    </row>
    <row r="39" spans="15:65">
      <c r="BM39" s="724"/>
    </row>
    <row r="40" spans="15:65">
      <c r="BM40" s="724"/>
    </row>
    <row r="41" spans="15:65">
      <c r="BM41" s="724"/>
    </row>
    <row r="42" spans="15:65">
      <c r="BM42" s="724"/>
    </row>
    <row r="43" spans="15:65">
      <c r="BM43" s="724"/>
    </row>
  </sheetData>
  <autoFilter ref="A4:BV30">
    <filterColumn colId="13" showButton="0"/>
    <filterColumn colId="19">
      <filters>
        <filter val="Bimensual"/>
        <filter val="Mensual"/>
      </filters>
    </filterColumn>
    <filterColumn colId="26" showButton="0"/>
    <filterColumn colId="27" showButton="0"/>
  </autoFilter>
  <mergeCells count="204">
    <mergeCell ref="H22:H23"/>
    <mergeCell ref="I22:I23"/>
    <mergeCell ref="J22:J23"/>
    <mergeCell ref="K22:K23"/>
    <mergeCell ref="L22:L23"/>
    <mergeCell ref="AQ24:AQ25"/>
    <mergeCell ref="E6:E9"/>
    <mergeCell ref="F6:F9"/>
    <mergeCell ref="G6:G9"/>
    <mergeCell ref="H6:H9"/>
    <mergeCell ref="I6:I9"/>
    <mergeCell ref="J6:J9"/>
    <mergeCell ref="K6:K9"/>
    <mergeCell ref="L6:L9"/>
    <mergeCell ref="L24:L25"/>
    <mergeCell ref="W16:W17"/>
    <mergeCell ref="Z16:Z17"/>
    <mergeCell ref="U16:U17"/>
    <mergeCell ref="X16:X17"/>
    <mergeCell ref="Y16:Y17"/>
    <mergeCell ref="T16:T17"/>
    <mergeCell ref="R16:R17"/>
    <mergeCell ref="V16:V17"/>
    <mergeCell ref="S16:S17"/>
    <mergeCell ref="C24:C25"/>
    <mergeCell ref="D24:D25"/>
    <mergeCell ref="E24:E25"/>
    <mergeCell ref="F24:F25"/>
    <mergeCell ref="G24:G25"/>
    <mergeCell ref="H24:H25"/>
    <mergeCell ref="I24:I25"/>
    <mergeCell ref="J24:J25"/>
    <mergeCell ref="K24:K25"/>
    <mergeCell ref="C18:C19"/>
    <mergeCell ref="D18:D19"/>
    <mergeCell ref="E18:E19"/>
    <mergeCell ref="F18:F19"/>
    <mergeCell ref="G18:G19"/>
    <mergeCell ref="H18:H19"/>
    <mergeCell ref="AP24:AP25"/>
    <mergeCell ref="R24:R25"/>
    <mergeCell ref="Q24:Q25"/>
    <mergeCell ref="P24:P25"/>
    <mergeCell ref="Y22:Y23"/>
    <mergeCell ref="X22:X23"/>
    <mergeCell ref="W22:W23"/>
    <mergeCell ref="V22:V23"/>
    <mergeCell ref="V24:V25"/>
    <mergeCell ref="U24:U25"/>
    <mergeCell ref="T24:T25"/>
    <mergeCell ref="Z24:Z25"/>
    <mergeCell ref="Y24:Y25"/>
    <mergeCell ref="X24:X25"/>
    <mergeCell ref="W24:W25"/>
    <mergeCell ref="AJ24:AJ25"/>
    <mergeCell ref="AK24:AK25"/>
    <mergeCell ref="AL24:AL25"/>
    <mergeCell ref="P3:P5"/>
    <mergeCell ref="B3:B5"/>
    <mergeCell ref="M3:M5"/>
    <mergeCell ref="M6:M7"/>
    <mergeCell ref="M8:M9"/>
    <mergeCell ref="M16:M17"/>
    <mergeCell ref="M14:M15"/>
    <mergeCell ref="B18:B19"/>
    <mergeCell ref="M20:M21"/>
    <mergeCell ref="M18:M19"/>
    <mergeCell ref="O16:O17"/>
    <mergeCell ref="C3:L3"/>
    <mergeCell ref="C4:C5"/>
    <mergeCell ref="D4:D5"/>
    <mergeCell ref="E4:E5"/>
    <mergeCell ref="F4:F5"/>
    <mergeCell ref="G4:G5"/>
    <mergeCell ref="H4:H5"/>
    <mergeCell ref="I4:I5"/>
    <mergeCell ref="J4:J5"/>
    <mergeCell ref="K4:K5"/>
    <mergeCell ref="L4:L5"/>
    <mergeCell ref="C6:C9"/>
    <mergeCell ref="D6:D9"/>
    <mergeCell ref="A1:AP1"/>
    <mergeCell ref="AG14:AG15"/>
    <mergeCell ref="W14:W15"/>
    <mergeCell ref="U14:U15"/>
    <mergeCell ref="T14:T15"/>
    <mergeCell ref="R14:R15"/>
    <mergeCell ref="Q14:Q15"/>
    <mergeCell ref="B14:B17"/>
    <mergeCell ref="B10:B11"/>
    <mergeCell ref="B6:B9"/>
    <mergeCell ref="O14:O15"/>
    <mergeCell ref="A8:A11"/>
    <mergeCell ref="AF14:AF15"/>
    <mergeCell ref="P14:P15"/>
    <mergeCell ref="P16:P17"/>
    <mergeCell ref="A3:A5"/>
    <mergeCell ref="N3:O5"/>
    <mergeCell ref="X14:X15"/>
    <mergeCell ref="AH14:AH15"/>
    <mergeCell ref="Q16:Q17"/>
    <mergeCell ref="AD14:AD15"/>
    <mergeCell ref="AG16:AG17"/>
    <mergeCell ref="A6:A7"/>
    <mergeCell ref="N16:N17"/>
    <mergeCell ref="A28:A29"/>
    <mergeCell ref="A20:A21"/>
    <mergeCell ref="B20:B21"/>
    <mergeCell ref="N22:N23"/>
    <mergeCell ref="U22:U23"/>
    <mergeCell ref="T22:T23"/>
    <mergeCell ref="R22:R23"/>
    <mergeCell ref="Q22:Q23"/>
    <mergeCell ref="O22:O23"/>
    <mergeCell ref="A24:A27"/>
    <mergeCell ref="M24:M25"/>
    <mergeCell ref="P22:P23"/>
    <mergeCell ref="B22:B23"/>
    <mergeCell ref="M22:M23"/>
    <mergeCell ref="O24:O25"/>
    <mergeCell ref="N24:N25"/>
    <mergeCell ref="S22:S23"/>
    <mergeCell ref="S24:S25"/>
    <mergeCell ref="C20:C21"/>
    <mergeCell ref="D20:D21"/>
    <mergeCell ref="E20:E21"/>
    <mergeCell ref="F20:F21"/>
    <mergeCell ref="G20:G21"/>
    <mergeCell ref="H20:H21"/>
    <mergeCell ref="V3:V5"/>
    <mergeCell ref="V14:V15"/>
    <mergeCell ref="X5:Z5"/>
    <mergeCell ref="Q3:Q5"/>
    <mergeCell ref="AP4:AP5"/>
    <mergeCell ref="R3:R5"/>
    <mergeCell ref="T3:T5"/>
    <mergeCell ref="U3:U5"/>
    <mergeCell ref="W3:W5"/>
    <mergeCell ref="X3:Z3"/>
    <mergeCell ref="AP14:AP15"/>
    <mergeCell ref="AE14:AE15"/>
    <mergeCell ref="S3:S5"/>
    <mergeCell ref="AD3:AP3"/>
    <mergeCell ref="AA3:AC5"/>
    <mergeCell ref="Y14:Y15"/>
    <mergeCell ref="S14:S15"/>
    <mergeCell ref="AP16:AP17"/>
    <mergeCell ref="AP22:AP23"/>
    <mergeCell ref="Z22:Z23"/>
    <mergeCell ref="AA16:AA17"/>
    <mergeCell ref="AB16:AB17"/>
    <mergeCell ref="AC16:AC17"/>
    <mergeCell ref="AJ16:AJ17"/>
    <mergeCell ref="AI16:AI17"/>
    <mergeCell ref="AE16:AE17"/>
    <mergeCell ref="AF16:AF17"/>
    <mergeCell ref="AH16:AH17"/>
    <mergeCell ref="AO22:AO23"/>
    <mergeCell ref="AN22:AN23"/>
    <mergeCell ref="AM22:AM23"/>
    <mergeCell ref="AL22:AL23"/>
    <mergeCell ref="AK22:AK23"/>
    <mergeCell ref="AJ22:AJ23"/>
    <mergeCell ref="AI22:AI23"/>
    <mergeCell ref="AH22:AH23"/>
    <mergeCell ref="AG22:AG23"/>
    <mergeCell ref="AF22:AF23"/>
    <mergeCell ref="AE22:AE23"/>
    <mergeCell ref="A18:A19"/>
    <mergeCell ref="Z14:Z15"/>
    <mergeCell ref="AD16:AD17"/>
    <mergeCell ref="AA14:AA15"/>
    <mergeCell ref="AB14:AB15"/>
    <mergeCell ref="AC14:AC15"/>
    <mergeCell ref="N14:N15"/>
    <mergeCell ref="AA22:AA23"/>
    <mergeCell ref="AC22:AC23"/>
    <mergeCell ref="AB22:AB23"/>
    <mergeCell ref="AD22:AD23"/>
    <mergeCell ref="I18:I19"/>
    <mergeCell ref="J18:J19"/>
    <mergeCell ref="K18:K19"/>
    <mergeCell ref="L18:L19"/>
    <mergeCell ref="I20:I21"/>
    <mergeCell ref="J20:J21"/>
    <mergeCell ref="K20:K21"/>
    <mergeCell ref="L20:L21"/>
    <mergeCell ref="C22:C23"/>
    <mergeCell ref="D22:D23"/>
    <mergeCell ref="E22:E23"/>
    <mergeCell ref="F22:F23"/>
    <mergeCell ref="G22:G23"/>
    <mergeCell ref="AM24:AM25"/>
    <mergeCell ref="AN24:AN25"/>
    <mergeCell ref="AO24:AO25"/>
    <mergeCell ref="AA24:AA25"/>
    <mergeCell ref="AB24:AB25"/>
    <mergeCell ref="AC24:AC25"/>
    <mergeCell ref="AD24:AD25"/>
    <mergeCell ref="AE24:AE25"/>
    <mergeCell ref="AF24:AF25"/>
    <mergeCell ref="AG24:AG25"/>
    <mergeCell ref="AH24:AH25"/>
    <mergeCell ref="AI24:AI25"/>
  </mergeCells>
  <conditionalFormatting sqref="AA7:AO7">
    <cfRule type="colorScale" priority="63">
      <colorScale>
        <cfvo type="num" val="$AA$7"/>
        <cfvo type="num" val="$AB$7"/>
        <cfvo type="num" val="$AC$7"/>
        <color rgb="FFFF0000"/>
        <color rgb="FFFFEB84"/>
        <color theme="6" tint="-0.249977111117893"/>
      </colorScale>
    </cfRule>
  </conditionalFormatting>
  <conditionalFormatting sqref="AA8:AO8">
    <cfRule type="colorScale" priority="57">
      <colorScale>
        <cfvo type="num" val="$AA$8"/>
        <cfvo type="num" val="$AB$8"/>
        <cfvo type="num" val="$AC$8"/>
        <color rgb="FFFF0000"/>
        <color rgb="FFFFEB84"/>
        <color theme="6" tint="-0.249977111117893"/>
      </colorScale>
    </cfRule>
  </conditionalFormatting>
  <conditionalFormatting sqref="AA9:AO9">
    <cfRule type="colorScale" priority="56">
      <colorScale>
        <cfvo type="num" val="$AA$9"/>
        <cfvo type="num" val="$AB$9"/>
        <cfvo type="num" val="$AC$9"/>
        <color rgb="FFFF0000"/>
        <color rgb="FFFFEB84"/>
        <color theme="6" tint="-0.249977111117893"/>
      </colorScale>
    </cfRule>
  </conditionalFormatting>
  <conditionalFormatting sqref="AD10:AO10">
    <cfRule type="colorScale" priority="55">
      <colorScale>
        <cfvo type="num" val="$AA$10"/>
        <cfvo type="num" val="$AB$10"/>
        <cfvo type="num" val="$AC$10"/>
        <color theme="6" tint="-0.249977111117893"/>
        <color rgb="FFFFEB84"/>
        <color rgb="FFFF0000"/>
      </colorScale>
    </cfRule>
  </conditionalFormatting>
  <conditionalFormatting sqref="AA11:AO11">
    <cfRule type="colorScale" priority="54">
      <colorScale>
        <cfvo type="num" val="$AA$11"/>
        <cfvo type="num" val="$AB$11"/>
        <cfvo type="num" val="$AC$11"/>
        <color rgb="FFFF0000"/>
        <color rgb="FFFFEB84"/>
        <color theme="6" tint="-0.249977111117893"/>
      </colorScale>
    </cfRule>
  </conditionalFormatting>
  <conditionalFormatting sqref="AA12:AO12">
    <cfRule type="colorScale" priority="53">
      <colorScale>
        <cfvo type="num" val="$AA$12"/>
        <cfvo type="num" val="$AB$12"/>
        <cfvo type="num" val="$AC$12"/>
        <color rgb="FFFF0000"/>
        <color rgb="FFFFEB84"/>
        <color theme="6" tint="-0.249977111117893"/>
      </colorScale>
    </cfRule>
  </conditionalFormatting>
  <conditionalFormatting sqref="AA13:AO13">
    <cfRule type="colorScale" priority="52">
      <colorScale>
        <cfvo type="num" val="$AA$13"/>
        <cfvo type="num" val="$AB$13"/>
        <cfvo type="num" val="$AC$13"/>
        <color rgb="FFFF0000"/>
        <color rgb="FFFFEB84"/>
        <color theme="6" tint="-0.249977111117893"/>
      </colorScale>
    </cfRule>
  </conditionalFormatting>
  <conditionalFormatting sqref="AA14:AO15">
    <cfRule type="colorScale" priority="51">
      <colorScale>
        <cfvo type="num" val="$AA$14"/>
        <cfvo type="num" val="$AB$14"/>
        <cfvo type="num" val="$AC$14"/>
        <color rgb="FFFF0000"/>
        <color rgb="FFFFEB84"/>
        <color theme="6" tint="-0.249977111117893"/>
      </colorScale>
    </cfRule>
  </conditionalFormatting>
  <conditionalFormatting sqref="AA16:AO16 AA17:AI17">
    <cfRule type="colorScale" priority="50">
      <colorScale>
        <cfvo type="num" val="$AA$16"/>
        <cfvo type="num" val="$AB$16"/>
        <cfvo type="num" val="$AC$16"/>
        <color rgb="FFFF0000"/>
        <color rgb="FFFFEB84"/>
        <color theme="6" tint="-0.249977111117893"/>
      </colorScale>
    </cfRule>
  </conditionalFormatting>
  <conditionalFormatting sqref="AA18:AO18">
    <cfRule type="colorScale" priority="49">
      <colorScale>
        <cfvo type="num" val="$AA$18"/>
        <cfvo type="num" val="$AB$18"/>
        <cfvo type="num" val="$AC$18"/>
        <color rgb="FFFF0000"/>
        <color rgb="FFFFEB84"/>
        <color theme="6" tint="-0.249977111117893"/>
      </colorScale>
    </cfRule>
  </conditionalFormatting>
  <conditionalFormatting sqref="AA20:AO20">
    <cfRule type="colorScale" priority="48">
      <colorScale>
        <cfvo type="num" val="$AA$20"/>
        <cfvo type="num" val="$AB$20"/>
        <cfvo type="num" val="$AC$20"/>
        <color rgb="FFFF0000"/>
        <color rgb="FFFFEB84"/>
        <color theme="6" tint="-0.249977111117893"/>
      </colorScale>
    </cfRule>
  </conditionalFormatting>
  <conditionalFormatting sqref="AA26:AI26">
    <cfRule type="colorScale" priority="45">
      <colorScale>
        <cfvo type="num" val="$AA$26"/>
        <cfvo type="num" val="$AB$26"/>
        <cfvo type="num" val="$AC$26"/>
        <color rgb="FFFF0000"/>
        <color rgb="FFFFEB84"/>
        <color theme="6" tint="-0.249977111117893"/>
      </colorScale>
    </cfRule>
  </conditionalFormatting>
  <conditionalFormatting sqref="AA27:AO27">
    <cfRule type="colorScale" priority="44">
      <colorScale>
        <cfvo type="num" val="$AA$27"/>
        <cfvo type="num" val="$AB$27"/>
        <cfvo type="num" val="$AC$27"/>
        <color rgb="FFFF0000"/>
        <color rgb="FFFFEB84"/>
        <color theme="6" tint="-0.249977111117893"/>
      </colorScale>
    </cfRule>
  </conditionalFormatting>
  <conditionalFormatting sqref="AA28:AO28">
    <cfRule type="colorScale" priority="43">
      <colorScale>
        <cfvo type="num" val="$AA$28"/>
        <cfvo type="num" val="$AB$28"/>
        <cfvo type="num" val="$AC$28"/>
        <color rgb="FFFF0000"/>
        <color rgb="FFFFEB84"/>
        <color theme="6" tint="-0.249977111117893"/>
      </colorScale>
    </cfRule>
  </conditionalFormatting>
  <conditionalFormatting sqref="AA29:AO29">
    <cfRule type="colorScale" priority="42">
      <colorScale>
        <cfvo type="num" val="$AA$29"/>
        <cfvo type="num" val="$AB$29"/>
        <cfvo type="num" val="$AC$29"/>
        <color rgb="FFFF0000"/>
        <color rgb="FFFFEB84"/>
        <color theme="6" tint="-0.249977111117893"/>
      </colorScale>
    </cfRule>
  </conditionalFormatting>
  <conditionalFormatting sqref="AC6:AO6 AA6">
    <cfRule type="colorScale" priority="37">
      <colorScale>
        <cfvo type="num" val="$X$6"/>
        <cfvo type="num" val="$Y$6"/>
        <cfvo type="num" val="$Z$6"/>
        <color rgb="FFFF0000"/>
        <color rgb="FFFFEB84"/>
        <color theme="6" tint="-0.249977111117893"/>
      </colorScale>
    </cfRule>
  </conditionalFormatting>
  <conditionalFormatting sqref="AJ26:AO26">
    <cfRule type="colorScale" priority="35">
      <colorScale>
        <cfvo type="num" val="$AA$27"/>
        <cfvo type="num" val="$AB$27"/>
        <cfvo type="num" val="$AC$27"/>
        <color rgb="FFFF0000"/>
        <color rgb="FFFFEB84"/>
        <color theme="6" tint="-0.249977111117893"/>
      </colorScale>
    </cfRule>
  </conditionalFormatting>
  <conditionalFormatting sqref="AG6:AL6">
    <cfRule type="cellIs" dxfId="19" priority="151" operator="greaterThan">
      <formula>AC6</formula>
    </cfRule>
  </conditionalFormatting>
  <conditionalFormatting sqref="AO6">
    <cfRule type="cellIs" dxfId="18" priority="153" operator="greaterThan">
      <formula>AH6</formula>
    </cfRule>
  </conditionalFormatting>
  <conditionalFormatting sqref="AN6">
    <cfRule type="cellIs" dxfId="17" priority="155" operator="greaterThan">
      <formula>AH6</formula>
    </cfRule>
  </conditionalFormatting>
  <conditionalFormatting sqref="AM6">
    <cfRule type="cellIs" dxfId="16" priority="157" operator="greaterThan">
      <formula>AH6</formula>
    </cfRule>
  </conditionalFormatting>
  <conditionalFormatting sqref="AB6">
    <cfRule type="colorScale" priority="10">
      <colorScale>
        <cfvo type="num" val="$AA$7"/>
        <cfvo type="num" val="$AB$7"/>
        <cfvo type="num" val="$AC$7"/>
        <color rgb="FFFF0000"/>
        <color rgb="FFFFEB84"/>
        <color theme="6" tint="-0.249977111117893"/>
      </colorScale>
    </cfRule>
  </conditionalFormatting>
  <conditionalFormatting sqref="AA10:AC10">
    <cfRule type="colorScale" priority="6">
      <colorScale>
        <cfvo type="min"/>
        <cfvo type="percentile" val="50"/>
        <cfvo type="max"/>
        <color theme="6" tint="-0.249977111117893"/>
        <color rgb="FFFFEB84"/>
        <color rgb="FFFF0000"/>
      </colorScale>
    </cfRule>
  </conditionalFormatting>
  <conditionalFormatting sqref="AA19:AC19">
    <cfRule type="colorScale" priority="5">
      <colorScale>
        <cfvo type="num" val="$AA$19"/>
        <cfvo type="num" val="$AB$19"/>
        <cfvo type="num" val="$AC$19"/>
        <color rgb="FFFF0000"/>
        <color rgb="FFFFEB84"/>
        <color theme="6" tint="-0.249977111117893"/>
      </colorScale>
    </cfRule>
  </conditionalFormatting>
  <conditionalFormatting sqref="AA21:AO21">
    <cfRule type="colorScale" priority="4">
      <colorScale>
        <cfvo type="num" val="$AA$21"/>
        <cfvo type="num" val="$AB$21"/>
        <cfvo type="num" val="$AC$21"/>
        <color rgb="FFFF0000"/>
        <color rgb="FFFFEB84"/>
        <color theme="6" tint="-0.249977111117893"/>
      </colorScale>
    </cfRule>
  </conditionalFormatting>
  <conditionalFormatting sqref="AA22:AO23">
    <cfRule type="colorScale" priority="3">
      <colorScale>
        <cfvo type="num" val="$AA$22"/>
        <cfvo type="num" val="$AB$22"/>
        <cfvo type="num" val="$AC$22"/>
        <color rgb="FFFF3300"/>
        <color rgb="FFFFEB84"/>
        <color theme="6" tint="-0.249977111117893"/>
      </colorScale>
    </cfRule>
  </conditionalFormatting>
  <conditionalFormatting sqref="AA24:AO25">
    <cfRule type="colorScale" priority="2">
      <colorScale>
        <cfvo type="num" val="$AA$24"/>
        <cfvo type="num" val="$AB$24"/>
        <cfvo type="num" val="$AC$24"/>
        <color rgb="FFFF3300"/>
        <color rgb="FFFFEB84"/>
        <color theme="6" tint="-0.249977111117893"/>
      </colorScale>
    </cfRule>
  </conditionalFormatting>
  <conditionalFormatting sqref="AI19">
    <cfRule type="colorScale" priority="1">
      <colorScale>
        <cfvo type="num" val="$AA$18"/>
        <cfvo type="num" val="$AB$18"/>
        <cfvo type="num" val="$AC$18"/>
        <color rgb="FFFF0000"/>
        <color rgb="FFFFEB84"/>
        <color theme="6" tint="-0.249977111117893"/>
      </colorScale>
    </cfRule>
  </conditionalFormatting>
  <dataValidations count="1">
    <dataValidation type="list" allowBlank="1" showInputMessage="1" showErrorMessage="1" sqref="S6:S14 S16 S18:S22 S24 S26:S29">
      <formula1>"Sube,Baja,Tendencia Media"</formula1>
    </dataValidation>
  </dataValidations>
  <pageMargins left="0.19685039370078741" right="0" top="0.19685039370078741" bottom="0" header="0.31496062992125984" footer="0.31496062992125984"/>
  <pageSetup paperSize="300" scale="10" fitToHeight="2" orientation="landscape"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E6:G18"/>
  <sheetViews>
    <sheetView workbookViewId="0">
      <selection activeCell="F11" sqref="F11"/>
    </sheetView>
  </sheetViews>
  <sheetFormatPr baseColWidth="10" defaultColWidth="11.42578125" defaultRowHeight="15"/>
  <cols>
    <col min="6" max="6" width="39.85546875" bestFit="1" customWidth="1"/>
  </cols>
  <sheetData>
    <row r="6" spans="6:7">
      <c r="F6" t="s">
        <v>401</v>
      </c>
    </row>
    <row r="8" spans="6:7">
      <c r="F8">
        <f>195+323+318</f>
        <v>836</v>
      </c>
      <c r="G8">
        <f>232+431+250</f>
        <v>913</v>
      </c>
    </row>
    <row r="9" spans="6:7">
      <c r="F9">
        <v>2017</v>
      </c>
      <c r="G9">
        <v>2016</v>
      </c>
    </row>
    <row r="17" spans="5:6">
      <c r="E17">
        <v>2016</v>
      </c>
      <c r="F17">
        <v>2017</v>
      </c>
    </row>
    <row r="18" spans="5:6">
      <c r="E18">
        <f>2417+111+1340</f>
        <v>3868</v>
      </c>
      <c r="F18">
        <f>2479+1331</f>
        <v>3810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E6:G17"/>
  <sheetViews>
    <sheetView workbookViewId="0">
      <selection activeCell="J9" sqref="J9"/>
    </sheetView>
  </sheetViews>
  <sheetFormatPr baseColWidth="10" defaultColWidth="11.42578125" defaultRowHeight="15"/>
  <sheetData>
    <row r="6" spans="5:7">
      <c r="E6" t="s">
        <v>338</v>
      </c>
      <c r="F6" t="s">
        <v>339</v>
      </c>
      <c r="G6" t="s">
        <v>340</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68">
        <f>+F15/E15</f>
        <v>0.24489795918367346</v>
      </c>
      <c r="G17" s="168">
        <f>+G15/E15</f>
        <v>0.75510204081632648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pageSetUpPr fitToPage="1"/>
  </sheetPr>
  <dimension ref="A1:BL60"/>
  <sheetViews>
    <sheetView zoomScale="55" zoomScaleNormal="55" zoomScalePageLayoutView="55" workbookViewId="0">
      <pane xSplit="2" ySplit="7" topLeftCell="C36" activePane="bottomRight" state="frozen"/>
      <selection activeCell="H17" sqref="H17"/>
      <selection pane="topRight" activeCell="H17" sqref="H17"/>
      <selection pane="bottomLeft" activeCell="H17" sqref="H17"/>
      <selection pane="bottomRight" activeCell="H62" sqref="H62"/>
    </sheetView>
  </sheetViews>
  <sheetFormatPr baseColWidth="10" defaultColWidth="11.42578125" defaultRowHeight="15" outlineLevelCol="1"/>
  <cols>
    <col min="1" max="1" width="34.42578125" customWidth="1"/>
    <col min="2" max="2" width="16.42578125" hidden="1" customWidth="1"/>
    <col min="3" max="3" width="56.140625" customWidth="1"/>
    <col min="4" max="4" width="40.140625" style="77" customWidth="1"/>
    <col min="5" max="6" width="4.42578125" hidden="1" customWidth="1"/>
    <col min="7" max="7" width="51" customWidth="1"/>
    <col min="8" max="8" width="48.42578125" customWidth="1"/>
    <col min="9" max="9" width="35.140625" customWidth="1"/>
    <col min="10" max="10" width="16" customWidth="1"/>
    <col min="11" max="11" width="9.42578125" customWidth="1"/>
    <col min="12" max="14" width="17.85546875" customWidth="1"/>
    <col min="15" max="15" width="16.42578125" style="72" customWidth="1"/>
    <col min="16" max="27" width="7.85546875" hidden="1" customWidth="1" outlineLevel="1"/>
    <col min="28" max="28" width="11.42578125" style="67" hidden="1" customWidth="1"/>
    <col min="29" max="29" width="31.42578125" hidden="1" customWidth="1"/>
    <col min="30" max="30" width="11.42578125" hidden="1" customWidth="1"/>
    <col min="31" max="31" width="16.42578125" customWidth="1"/>
    <col min="32" max="32" width="19.140625" customWidth="1"/>
    <col min="33" max="33" width="14.140625" customWidth="1"/>
    <col min="34" max="35" width="16.140625" customWidth="1"/>
    <col min="36" max="37" width="13.85546875" customWidth="1"/>
    <col min="38" max="38" width="88.140625" customWidth="1"/>
    <col min="39" max="39" width="34.85546875" customWidth="1"/>
    <col min="40" max="40" width="13.140625" hidden="1" customWidth="1"/>
    <col min="41" max="41" width="27.140625" bestFit="1" customWidth="1"/>
    <col min="50" max="50" width="7" bestFit="1" customWidth="1"/>
    <col min="51" max="51" width="8.85546875" bestFit="1" customWidth="1"/>
    <col min="52" max="52" width="7.42578125" bestFit="1" customWidth="1"/>
    <col min="53" max="53" width="6" bestFit="1" customWidth="1"/>
    <col min="54" max="55" width="6.42578125" bestFit="1" customWidth="1"/>
    <col min="56" max="56" width="5.85546875" bestFit="1" customWidth="1"/>
    <col min="57" max="57" width="8.42578125" bestFit="1" customWidth="1"/>
    <col min="58" max="58" width="11.85546875" customWidth="1"/>
    <col min="59" max="59" width="9.140625" bestFit="1" customWidth="1"/>
    <col min="60" max="60" width="11.85546875" customWidth="1"/>
    <col min="61" max="61" width="10.42578125" bestFit="1" customWidth="1"/>
    <col min="75" max="80" width="9.42578125" customWidth="1"/>
  </cols>
  <sheetData>
    <row r="1" spans="1:64" ht="15" customHeight="1">
      <c r="A1" s="952" t="s">
        <v>47</v>
      </c>
      <c r="B1" s="952"/>
      <c r="C1" s="953"/>
      <c r="D1" s="954" t="s">
        <v>56</v>
      </c>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6"/>
      <c r="AF1" s="968" t="s">
        <v>31</v>
      </c>
      <c r="AG1" s="968"/>
    </row>
    <row r="2" spans="1:64" ht="15" customHeight="1">
      <c r="A2" s="953"/>
      <c r="B2" s="953"/>
      <c r="C2" s="953"/>
      <c r="D2" s="957"/>
      <c r="E2" s="958"/>
      <c r="F2" s="958"/>
      <c r="G2" s="958"/>
      <c r="H2" s="958"/>
      <c r="I2" s="958"/>
      <c r="J2" s="958"/>
      <c r="K2" s="958"/>
      <c r="L2" s="958"/>
      <c r="M2" s="958"/>
      <c r="N2" s="958"/>
      <c r="O2" s="958"/>
      <c r="P2" s="958"/>
      <c r="Q2" s="958"/>
      <c r="R2" s="958"/>
      <c r="S2" s="958"/>
      <c r="T2" s="958"/>
      <c r="U2" s="958"/>
      <c r="V2" s="958"/>
      <c r="W2" s="958"/>
      <c r="X2" s="958"/>
      <c r="Y2" s="958"/>
      <c r="Z2" s="958"/>
      <c r="AA2" s="958"/>
      <c r="AB2" s="958"/>
      <c r="AC2" s="958"/>
      <c r="AD2" s="958"/>
      <c r="AE2" s="959"/>
      <c r="AF2" s="968"/>
      <c r="AG2" s="968"/>
    </row>
    <row r="3" spans="1:64" ht="15" customHeight="1">
      <c r="A3" s="953"/>
      <c r="B3" s="953"/>
      <c r="C3" s="953"/>
      <c r="D3" s="960"/>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2"/>
      <c r="AF3" s="968"/>
      <c r="AG3" s="968"/>
    </row>
    <row r="4" spans="1:64" ht="15" customHeight="1">
      <c r="A4" s="953"/>
      <c r="B4" s="953"/>
      <c r="C4" s="953"/>
      <c r="D4" s="969" t="s">
        <v>44</v>
      </c>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1"/>
      <c r="AF4" s="975" t="s">
        <v>32</v>
      </c>
      <c r="AG4" s="975"/>
      <c r="AW4" s="64"/>
      <c r="AX4" s="64"/>
      <c r="AY4" s="64"/>
      <c r="AZ4" s="64"/>
      <c r="BA4" s="64"/>
      <c r="BB4" s="64"/>
      <c r="BC4" s="64"/>
      <c r="BD4" s="64"/>
      <c r="BE4" s="64"/>
      <c r="BF4" s="64"/>
      <c r="BG4" s="64"/>
      <c r="BH4" s="64"/>
      <c r="BI4" s="64"/>
      <c r="BJ4" s="64"/>
      <c r="BK4" s="64"/>
      <c r="BL4" s="64"/>
    </row>
    <row r="5" spans="1:64" ht="15" customHeight="1">
      <c r="A5" s="953"/>
      <c r="B5" s="953"/>
      <c r="C5" s="953"/>
      <c r="D5" s="972"/>
      <c r="E5" s="973"/>
      <c r="F5" s="973"/>
      <c r="G5" s="973"/>
      <c r="H5" s="973"/>
      <c r="I5" s="973"/>
      <c r="J5" s="973"/>
      <c r="K5" s="973"/>
      <c r="L5" s="973"/>
      <c r="M5" s="973"/>
      <c r="N5" s="973"/>
      <c r="O5" s="973"/>
      <c r="P5" s="973"/>
      <c r="Q5" s="973"/>
      <c r="R5" s="973"/>
      <c r="S5" s="973"/>
      <c r="T5" s="973"/>
      <c r="U5" s="973"/>
      <c r="V5" s="973"/>
      <c r="W5" s="973"/>
      <c r="X5" s="973"/>
      <c r="Y5" s="973"/>
      <c r="Z5" s="973"/>
      <c r="AA5" s="973"/>
      <c r="AB5" s="973"/>
      <c r="AC5" s="973"/>
      <c r="AD5" s="973"/>
      <c r="AE5" s="974"/>
      <c r="AF5" s="976">
        <v>42731</v>
      </c>
      <c r="AG5" s="976"/>
      <c r="AW5" s="64"/>
      <c r="AX5" s="64"/>
      <c r="AY5" s="64"/>
      <c r="AZ5" s="64"/>
      <c r="BA5" s="64"/>
      <c r="BB5" s="64"/>
      <c r="BC5" s="64"/>
      <c r="BD5" s="64"/>
      <c r="BE5" s="64"/>
      <c r="BF5" s="64"/>
      <c r="BG5" s="64"/>
      <c r="BH5" s="64"/>
      <c r="BI5" s="64"/>
      <c r="BJ5" s="64"/>
      <c r="BK5" s="64"/>
      <c r="BL5" s="64"/>
    </row>
    <row r="6" spans="1:64" ht="15.75" thickBot="1">
      <c r="J6">
        <v>400</v>
      </c>
      <c r="K6">
        <v>0.3</v>
      </c>
      <c r="L6">
        <f>+K6*J6</f>
        <v>120</v>
      </c>
      <c r="M6">
        <v>285</v>
      </c>
      <c r="N6">
        <f>+M6/J6</f>
        <v>0.71250000000000002</v>
      </c>
      <c r="O6" s="72">
        <v>100</v>
      </c>
      <c r="AE6">
        <f>+O6/J6</f>
        <v>0.25</v>
      </c>
      <c r="AF6">
        <v>50</v>
      </c>
      <c r="AG6">
        <f>+AF6/J6</f>
        <v>0.125</v>
      </c>
      <c r="AH6">
        <f>0.9*400</f>
        <v>360</v>
      </c>
      <c r="AW6" s="64"/>
      <c r="AX6" s="64"/>
      <c r="AY6" s="64"/>
      <c r="AZ6" s="64"/>
      <c r="BA6" s="64"/>
      <c r="BB6" s="64"/>
      <c r="BC6" s="64"/>
      <c r="BD6" s="64"/>
      <c r="BE6" s="64"/>
      <c r="BF6" s="64"/>
      <c r="BG6" s="64"/>
      <c r="BH6" s="64"/>
      <c r="BI6" s="64"/>
      <c r="BJ6" s="64"/>
      <c r="BK6" s="64"/>
      <c r="BL6" s="64"/>
    </row>
    <row r="7" spans="1:64" ht="105.75" thickBot="1">
      <c r="A7" s="236" t="s">
        <v>1</v>
      </c>
      <c r="B7" s="237"/>
      <c r="C7" s="237" t="s">
        <v>2</v>
      </c>
      <c r="D7" s="237" t="s">
        <v>50</v>
      </c>
      <c r="E7" s="237" t="s">
        <v>57</v>
      </c>
      <c r="F7" s="237" t="s">
        <v>58</v>
      </c>
      <c r="G7" s="237" t="s">
        <v>3</v>
      </c>
      <c r="H7" s="237" t="s">
        <v>62</v>
      </c>
      <c r="I7" s="237" t="s">
        <v>197</v>
      </c>
      <c r="J7" s="237" t="s">
        <v>5</v>
      </c>
      <c r="K7" s="237" t="s">
        <v>6</v>
      </c>
      <c r="L7" s="237" t="s">
        <v>356</v>
      </c>
      <c r="M7" s="237" t="s">
        <v>357</v>
      </c>
      <c r="N7" s="237" t="s">
        <v>367</v>
      </c>
      <c r="O7" s="237" t="s">
        <v>4</v>
      </c>
      <c r="P7" s="238">
        <v>42736</v>
      </c>
      <c r="Q7" s="238">
        <v>42767</v>
      </c>
      <c r="R7" s="238">
        <v>42795</v>
      </c>
      <c r="S7" s="238">
        <v>42826</v>
      </c>
      <c r="T7" s="238">
        <v>42856</v>
      </c>
      <c r="U7" s="238">
        <v>42887</v>
      </c>
      <c r="V7" s="238">
        <v>42917</v>
      </c>
      <c r="W7" s="238">
        <v>42948</v>
      </c>
      <c r="X7" s="238">
        <v>42979</v>
      </c>
      <c r="Y7" s="238">
        <v>43009</v>
      </c>
      <c r="Z7" s="238">
        <v>43040</v>
      </c>
      <c r="AA7" s="238">
        <v>43070</v>
      </c>
      <c r="AB7" s="237" t="s">
        <v>10</v>
      </c>
      <c r="AC7" s="237" t="s">
        <v>54</v>
      </c>
      <c r="AD7" s="237" t="s">
        <v>60</v>
      </c>
      <c r="AE7" s="237" t="s">
        <v>9</v>
      </c>
      <c r="AF7" s="239" t="s">
        <v>11</v>
      </c>
      <c r="AG7" s="239" t="s">
        <v>12</v>
      </c>
      <c r="AH7" s="239" t="s">
        <v>55</v>
      </c>
      <c r="AI7" s="240" t="s">
        <v>318</v>
      </c>
      <c r="AJ7" s="240" t="s">
        <v>319</v>
      </c>
      <c r="AK7" s="504" t="s">
        <v>375</v>
      </c>
      <c r="AL7" s="241" t="s">
        <v>163</v>
      </c>
      <c r="AM7" s="447" t="s">
        <v>7</v>
      </c>
      <c r="AN7" s="225" t="s">
        <v>8</v>
      </c>
      <c r="AV7" s="64"/>
      <c r="AW7" s="65"/>
      <c r="AX7" s="65"/>
      <c r="AY7" s="65"/>
      <c r="AZ7" s="65"/>
      <c r="BA7" s="65"/>
      <c r="BB7" s="65"/>
      <c r="BC7" s="65"/>
      <c r="BD7" s="65"/>
      <c r="BE7" s="65"/>
      <c r="BF7" s="65"/>
      <c r="BG7" s="65"/>
      <c r="BH7" s="65"/>
      <c r="BI7" s="65"/>
      <c r="BJ7" s="64"/>
      <c r="BK7" s="64"/>
    </row>
    <row r="8" spans="1:64" ht="36.75" hidden="1" customHeight="1">
      <c r="A8" s="977" t="s">
        <v>198</v>
      </c>
      <c r="B8" s="242">
        <v>1</v>
      </c>
      <c r="C8" s="243" t="s">
        <v>116</v>
      </c>
      <c r="D8" s="244" t="s">
        <v>112</v>
      </c>
      <c r="E8" s="245"/>
      <c r="F8" s="246"/>
      <c r="G8" s="243" t="s">
        <v>199</v>
      </c>
      <c r="H8" s="243" t="s">
        <v>200</v>
      </c>
      <c r="I8" s="247">
        <v>0.1111111111111111</v>
      </c>
      <c r="J8" s="248" t="s">
        <v>144</v>
      </c>
      <c r="K8" s="249" t="s">
        <v>115</v>
      </c>
      <c r="L8" s="249"/>
      <c r="M8" s="249"/>
      <c r="N8" s="249"/>
      <c r="O8" s="250">
        <v>0.1111111111111111</v>
      </c>
      <c r="P8" s="251"/>
      <c r="Q8" s="251"/>
      <c r="R8" s="251"/>
      <c r="S8" s="251"/>
      <c r="T8" s="251"/>
      <c r="U8" s="251"/>
      <c r="V8" s="251"/>
      <c r="W8" s="251"/>
      <c r="X8" s="251"/>
      <c r="Y8" s="251"/>
      <c r="Z8" s="251"/>
      <c r="AA8" s="251"/>
      <c r="AB8" s="252" t="e">
        <f>LOOKUP(1000000000,P8:AA8)</f>
        <v>#N/A</v>
      </c>
      <c r="AC8" s="253"/>
      <c r="AD8" s="251" t="e">
        <f t="shared" ref="AD8:AD27" si="0">+IF(SLOPE(P8:AA8,$P$7:$AA$7)&gt;0,"Al alza",IF(SLOPE(P8:AA8,$P$7:$AA$7)&lt;0,"A la baja","Sin cambio"))</f>
        <v>#DIV/0!</v>
      </c>
      <c r="AE8" s="254" t="s">
        <v>13</v>
      </c>
      <c r="AF8" s="255">
        <v>9.6100000000000005E-3</v>
      </c>
      <c r="AG8" s="256" t="str">
        <f>IF($K$8="Sube",IF(ISERROR(AB8/$O$8)=TRUE,"",IF(AB8&gt;$O$8,AF8,AB8/$O$8*AF8)),IF(ISERROR($O$8/AB8)=TRUE,"",IF($O$8&lt;AB8,$O$8/AB8*AF8,AF8)))</f>
        <v/>
      </c>
      <c r="AH8" s="257" t="str">
        <f>IF($K$8="Sube",IF(ISERROR(AB8/$O$8)=TRUE,"",IF(AB8&gt;=$O$8,1,0)),IF(ISERROR($O$8/AB8)=TRUE,"",IF($O$8&lt;AB8,0,1)))</f>
        <v/>
      </c>
      <c r="AI8" s="258"/>
      <c r="AJ8" s="259"/>
      <c r="AK8" s="448"/>
      <c r="AL8" s="448"/>
      <c r="AM8" s="178"/>
      <c r="AN8" s="137"/>
      <c r="AV8" s="64"/>
      <c r="AW8" s="63"/>
      <c r="AX8" s="63"/>
      <c r="AY8" s="63"/>
      <c r="AZ8" s="63"/>
      <c r="BA8" s="63"/>
      <c r="BB8" s="63"/>
      <c r="BC8" s="63"/>
      <c r="BD8" s="63"/>
      <c r="BE8" s="63"/>
      <c r="BF8" s="63"/>
      <c r="BG8" s="63"/>
      <c r="BH8" s="63"/>
      <c r="BI8" s="64"/>
      <c r="BJ8" s="64"/>
      <c r="BK8" s="64"/>
    </row>
    <row r="9" spans="1:64" ht="41.25" hidden="1" thickBot="1">
      <c r="A9" s="950"/>
      <c r="B9" s="260">
        <v>2</v>
      </c>
      <c r="C9" s="261" t="s">
        <v>201</v>
      </c>
      <c r="D9" s="262" t="s">
        <v>112</v>
      </c>
      <c r="E9" s="263"/>
      <c r="F9" s="264"/>
      <c r="G9" s="261" t="s">
        <v>202</v>
      </c>
      <c r="H9" s="261" t="s">
        <v>118</v>
      </c>
      <c r="I9" s="265" t="s">
        <v>277</v>
      </c>
      <c r="J9" s="266" t="s">
        <v>144</v>
      </c>
      <c r="K9" s="267"/>
      <c r="L9" s="267"/>
      <c r="M9" s="267"/>
      <c r="N9" s="267"/>
      <c r="O9" s="268">
        <f>+(9.9925/9.9204)-1</f>
        <v>7.2678521027376153E-3</v>
      </c>
      <c r="P9" s="269"/>
      <c r="Q9" s="269"/>
      <c r="R9" s="269"/>
      <c r="S9" s="269"/>
      <c r="T9" s="269"/>
      <c r="U9" s="269"/>
      <c r="V9" s="269"/>
      <c r="W9" s="269"/>
      <c r="X9" s="269"/>
      <c r="Y9" s="269"/>
      <c r="Z9" s="269"/>
      <c r="AA9" s="269"/>
      <c r="AB9" s="270" t="e">
        <f>LOOKUP(1000000000,P9:AA9)</f>
        <v>#N/A</v>
      </c>
      <c r="AC9" s="271"/>
      <c r="AD9" s="269" t="e">
        <f t="shared" si="0"/>
        <v>#DIV/0!</v>
      </c>
      <c r="AE9" s="272" t="s">
        <v>13</v>
      </c>
      <c r="AF9" s="273">
        <v>9.6100000000000005E-3</v>
      </c>
      <c r="AG9" s="274" t="str">
        <f>IF($K$9="Sube",IF(ISERROR(AB9/$O$9)=TRUE,"",IF(AB9&gt;$O$9,AF9,AB9/$O$9*AF9)),IF(ISERROR($O$9/AB9)=TRUE,"",IF($O$9&lt;AB9,$O$9/AB9*AF9,AF9)))</f>
        <v/>
      </c>
      <c r="AH9" s="275" t="str">
        <f>IF($K$9="Sube",IF(ISERROR(AB9/$O$9)=TRUE,"",IF(AB9&gt;=$O$9,1,0)),IF(ISERROR($O$9/AB9)=TRUE,"",IF($O$9&lt;AB9,0,1)))</f>
        <v/>
      </c>
      <c r="AI9" s="276"/>
      <c r="AJ9" s="277"/>
      <c r="AK9" s="449"/>
      <c r="AL9" s="449"/>
      <c r="AM9" s="226"/>
      <c r="AN9" s="138"/>
      <c r="AV9" s="64"/>
      <c r="AW9" s="63"/>
      <c r="AX9" s="63"/>
      <c r="AY9" s="63"/>
      <c r="AZ9" s="63"/>
      <c r="BA9" s="63"/>
      <c r="BB9" s="63"/>
      <c r="BC9" s="63"/>
      <c r="BD9" s="63"/>
      <c r="BE9" s="63"/>
      <c r="BF9" s="63"/>
      <c r="BG9" s="63"/>
      <c r="BH9" s="63"/>
      <c r="BI9" s="64"/>
      <c r="BJ9" s="64"/>
      <c r="BK9" s="64"/>
    </row>
    <row r="10" spans="1:64" ht="61.5" hidden="1" thickBot="1">
      <c r="A10" s="950"/>
      <c r="B10" s="260">
        <v>3</v>
      </c>
      <c r="C10" s="261" t="s">
        <v>117</v>
      </c>
      <c r="D10" s="262" t="s">
        <v>112</v>
      </c>
      <c r="E10" s="263"/>
      <c r="F10" s="264"/>
      <c r="G10" s="261" t="s">
        <v>203</v>
      </c>
      <c r="H10" s="261" t="s">
        <v>119</v>
      </c>
      <c r="I10" s="278" t="s">
        <v>204</v>
      </c>
      <c r="J10" s="279" t="s">
        <v>108</v>
      </c>
      <c r="K10" s="267"/>
      <c r="L10" s="267"/>
      <c r="M10" s="267"/>
      <c r="N10" s="267"/>
      <c r="O10" s="280" t="s">
        <v>314</v>
      </c>
      <c r="P10" s="269"/>
      <c r="Q10" s="269"/>
      <c r="R10" s="269"/>
      <c r="S10" s="269"/>
      <c r="T10" s="269"/>
      <c r="U10" s="269"/>
      <c r="V10" s="269"/>
      <c r="W10" s="269"/>
      <c r="X10" s="269"/>
      <c r="Y10" s="269"/>
      <c r="Z10" s="269"/>
      <c r="AA10" s="269"/>
      <c r="AB10" s="270" t="e">
        <f t="shared" ref="AB10:AB48" si="1">LOOKUP(1000000000,P10:AA10)</f>
        <v>#N/A</v>
      </c>
      <c r="AC10" s="271"/>
      <c r="AD10" s="269" t="e">
        <f t="shared" si="0"/>
        <v>#DIV/0!</v>
      </c>
      <c r="AE10" s="272" t="s">
        <v>13</v>
      </c>
      <c r="AF10" s="273">
        <v>9.6100000000000005E-3</v>
      </c>
      <c r="AG10" s="274" t="str">
        <f>IF($K$10="Sube",IF(ISERROR(AB10/$O$10)=TRUE,"",IF(AB10&gt;$O$10,AF10,AB10/$O$10*AF10)),IF(ISERROR($O$10/AB10)=TRUE,"",IF($O$10&lt;AB10,$O$10/AB10*AF10,AF10)))</f>
        <v/>
      </c>
      <c r="AH10" s="275" t="str">
        <f>IF($K$10="Sube",IF(ISERROR(AB10/$O$10)=TRUE,"",IF(AB10&gt;=$O$10,1,0)),IF(ISERROR($O$10/AB10)=TRUE,"",IF($O$10&lt;AB10,0,1)))</f>
        <v/>
      </c>
      <c r="AI10" s="276"/>
      <c r="AJ10" s="277"/>
      <c r="AK10" s="449"/>
      <c r="AL10" s="449"/>
      <c r="AM10" s="226"/>
      <c r="AN10" s="138"/>
      <c r="AV10" s="64"/>
      <c r="AW10" s="63"/>
      <c r="AX10" s="63"/>
      <c r="AY10" s="63"/>
      <c r="AZ10" s="63"/>
      <c r="BA10" s="63"/>
      <c r="BB10" s="63"/>
      <c r="BC10" s="63"/>
      <c r="BD10" s="63"/>
      <c r="BE10" s="63"/>
      <c r="BF10" s="63"/>
      <c r="BG10" s="63"/>
      <c r="BH10" s="63"/>
      <c r="BI10" s="64"/>
      <c r="BJ10" s="64"/>
      <c r="BK10" s="64"/>
    </row>
    <row r="11" spans="1:64" ht="41.25" hidden="1" thickBot="1">
      <c r="A11" s="950"/>
      <c r="B11" s="260"/>
      <c r="C11" s="261" t="s">
        <v>312</v>
      </c>
      <c r="D11" s="262" t="s">
        <v>121</v>
      </c>
      <c r="E11" s="265"/>
      <c r="F11" s="281"/>
      <c r="G11" s="261" t="s">
        <v>205</v>
      </c>
      <c r="H11" s="261" t="s">
        <v>206</v>
      </c>
      <c r="I11" s="282">
        <v>0.94169999999999998</v>
      </c>
      <c r="J11" s="279" t="s">
        <v>207</v>
      </c>
      <c r="K11" s="267"/>
      <c r="L11" s="267"/>
      <c r="M11" s="267"/>
      <c r="N11" s="267"/>
      <c r="O11" s="280">
        <v>1</v>
      </c>
      <c r="P11" s="269"/>
      <c r="Q11" s="269"/>
      <c r="R11" s="269"/>
      <c r="S11" s="269"/>
      <c r="T11" s="269"/>
      <c r="U11" s="269"/>
      <c r="V11" s="269"/>
      <c r="W11" s="269"/>
      <c r="X11" s="269"/>
      <c r="Y11" s="269"/>
      <c r="Z11" s="269"/>
      <c r="AA11" s="269"/>
      <c r="AB11" s="270" t="e">
        <f t="shared" si="1"/>
        <v>#N/A</v>
      </c>
      <c r="AC11" s="271"/>
      <c r="AD11" s="269" t="e">
        <f t="shared" si="0"/>
        <v>#DIV/0!</v>
      </c>
      <c r="AE11" s="272" t="s">
        <v>13</v>
      </c>
      <c r="AF11" s="273">
        <v>9.6100000000000005E-3</v>
      </c>
      <c r="AG11" s="274" t="str">
        <f>IF($K$11="Sube",IF(ISERROR(AB11/$O$11)=TRUE,"",IF(AB11&gt;$O$11,AF11,AB11/$O$11*AF11)),IF(ISERROR($O$11/AB11)=TRUE,"",IF($O$11&lt;AB11,$O$11/AB11*AF11,AF11)))</f>
        <v/>
      </c>
      <c r="AH11" s="275" t="str">
        <f>IF($K$11="Sube",IF(ISERROR(AB11/$O$11)=TRUE,"",IF(AB11&gt;=$O$11,1,0)),IF(ISERROR($O$11/AB11)=TRUE,"",IF($O$11&lt;AB11,0,1)))</f>
        <v/>
      </c>
      <c r="AI11" s="276"/>
      <c r="AJ11" s="283">
        <v>0.96</v>
      </c>
      <c r="AK11" s="505"/>
      <c r="AL11" s="450" t="s">
        <v>347</v>
      </c>
      <c r="AM11" s="232" t="s">
        <v>317</v>
      </c>
      <c r="AN11" s="138"/>
      <c r="AV11" s="64"/>
      <c r="AW11" s="63"/>
      <c r="AX11" s="63"/>
      <c r="AY11" s="63"/>
      <c r="AZ11" s="63"/>
      <c r="BA11" s="63"/>
      <c r="BB11" s="63"/>
      <c r="BC11" s="63"/>
      <c r="BD11" s="63"/>
      <c r="BE11" s="63"/>
      <c r="BF11" s="63"/>
      <c r="BG11" s="63"/>
      <c r="BH11" s="63"/>
      <c r="BI11" s="64"/>
      <c r="BJ11" s="64"/>
      <c r="BK11" s="64"/>
    </row>
    <row r="12" spans="1:64" s="174" customFormat="1" ht="102" hidden="1" thickBot="1">
      <c r="A12" s="951"/>
      <c r="B12" s="284"/>
      <c r="C12" s="285" t="s">
        <v>208</v>
      </c>
      <c r="D12" s="286" t="s">
        <v>121</v>
      </c>
      <c r="E12" s="285"/>
      <c r="F12" s="285"/>
      <c r="G12" s="287" t="s">
        <v>209</v>
      </c>
      <c r="H12" s="287" t="s">
        <v>210</v>
      </c>
      <c r="I12" s="288">
        <v>0.97</v>
      </c>
      <c r="J12" s="289" t="s">
        <v>211</v>
      </c>
      <c r="K12" s="290"/>
      <c r="L12" s="290"/>
      <c r="M12" s="290"/>
      <c r="N12" s="290"/>
      <c r="O12" s="291">
        <v>0.98</v>
      </c>
      <c r="P12" s="292"/>
      <c r="Q12" s="292"/>
      <c r="R12" s="292"/>
      <c r="S12" s="292"/>
      <c r="T12" s="292"/>
      <c r="U12" s="292"/>
      <c r="V12" s="292"/>
      <c r="W12" s="292"/>
      <c r="X12" s="292"/>
      <c r="Y12" s="292"/>
      <c r="Z12" s="292"/>
      <c r="AA12" s="292"/>
      <c r="AB12" s="293" t="e">
        <f t="shared" si="1"/>
        <v>#N/A</v>
      </c>
      <c r="AC12" s="294"/>
      <c r="AD12" s="292" t="e">
        <f t="shared" si="0"/>
        <v>#DIV/0!</v>
      </c>
      <c r="AE12" s="295" t="s">
        <v>13</v>
      </c>
      <c r="AF12" s="296">
        <v>9.6100000000000005E-3</v>
      </c>
      <c r="AG12" s="297" t="str">
        <f>IF($K$12="Sube",IF(ISERROR(AB12/$O$12)=TRUE,"",IF(AB12&gt;$O$12,AF12,AB12/$O$12*AF12)),IF(ISERROR($O$12/AB12)=TRUE,"",IF($O$12&lt;AB12,$O$12/AB12*AF12,AF12)))</f>
        <v/>
      </c>
      <c r="AH12" s="298" t="str">
        <f>IF($K$12="Sube",IF(ISERROR(AB12/$O$12)=TRUE,"",IF(AB12&gt;=$O$12,1,0)),IF(ISERROR($O$12/AB12)=TRUE,"",IF($O$12&lt;AB12,0,1)))</f>
        <v/>
      </c>
      <c r="AI12" s="299"/>
      <c r="AJ12" s="300"/>
      <c r="AK12" s="451"/>
      <c r="AL12" s="451"/>
      <c r="AM12" s="227"/>
      <c r="AN12" s="177"/>
      <c r="AV12" s="175"/>
      <c r="AW12" s="176"/>
      <c r="AX12" s="176"/>
      <c r="AY12" s="176"/>
      <c r="AZ12" s="176"/>
      <c r="BA12" s="176"/>
      <c r="BB12" s="176"/>
      <c r="BC12" s="176"/>
      <c r="BD12" s="176"/>
      <c r="BE12" s="176"/>
      <c r="BF12" s="176"/>
      <c r="BG12" s="176"/>
      <c r="BH12" s="176"/>
      <c r="BI12" s="175"/>
      <c r="BJ12" s="175"/>
      <c r="BK12" s="175"/>
    </row>
    <row r="13" spans="1:64" ht="61.5" hidden="1" thickBot="1">
      <c r="A13" s="981" t="s">
        <v>72</v>
      </c>
      <c r="B13" s="260">
        <v>5</v>
      </c>
      <c r="C13" s="262" t="s">
        <v>279</v>
      </c>
      <c r="D13" s="262" t="s">
        <v>113</v>
      </c>
      <c r="E13" s="301"/>
      <c r="F13" s="301"/>
      <c r="G13" s="262" t="s">
        <v>280</v>
      </c>
      <c r="H13" s="262" t="s">
        <v>281</v>
      </c>
      <c r="I13" s="302" t="s">
        <v>278</v>
      </c>
      <c r="J13" s="279" t="s">
        <v>143</v>
      </c>
      <c r="K13" s="267" t="s">
        <v>100</v>
      </c>
      <c r="L13" s="267"/>
      <c r="M13" s="267"/>
      <c r="N13" s="267"/>
      <c r="O13" s="280"/>
      <c r="P13" s="269"/>
      <c r="Q13" s="269"/>
      <c r="R13" s="269"/>
      <c r="S13" s="269"/>
      <c r="T13" s="269"/>
      <c r="U13" s="269"/>
      <c r="V13" s="269"/>
      <c r="W13" s="269"/>
      <c r="X13" s="269"/>
      <c r="Y13" s="269"/>
      <c r="Z13" s="269"/>
      <c r="AA13" s="269"/>
      <c r="AB13" s="270" t="e">
        <f t="shared" si="1"/>
        <v>#N/A</v>
      </c>
      <c r="AC13" s="271"/>
      <c r="AD13" s="269" t="e">
        <f t="shared" si="0"/>
        <v>#DIV/0!</v>
      </c>
      <c r="AE13" s="272" t="s">
        <v>13</v>
      </c>
      <c r="AF13" s="303">
        <v>9.6100000000000005E-3</v>
      </c>
      <c r="AG13" s="274" t="str">
        <f>IF($K$13="Sube",IF(ISERROR(AB13/$O$13)=TRUE,"",IF(AB13&gt;$O$13,AF13,AB13/$O$13*AF13)),IF(ISERROR($O$13/AB13)=TRUE,"",IF($O$13&lt;AB13,$O$13/AB13*AF13,AF13)))</f>
        <v/>
      </c>
      <c r="AH13" s="275" t="str">
        <f>IF($K$13="Sube",IF(ISERROR(AB13/$O$13)=TRUE,"",IF(AB13&gt;=$O$13,1,0)),IF(ISERROR($O$13/AB13)=TRUE,"",IF($O$13&lt;AB13,0,1)))</f>
        <v/>
      </c>
      <c r="AI13" s="276"/>
      <c r="AJ13" s="277"/>
      <c r="AK13" s="449"/>
      <c r="AL13" s="449"/>
      <c r="AM13" s="226"/>
      <c r="AN13" s="138"/>
      <c r="AV13" s="64"/>
      <c r="AW13" s="63"/>
      <c r="AX13" s="63"/>
      <c r="AY13" s="63"/>
      <c r="AZ13" s="63"/>
      <c r="BA13" s="63"/>
      <c r="BB13" s="63"/>
      <c r="BC13" s="63"/>
      <c r="BD13" s="63"/>
      <c r="BE13" s="63"/>
      <c r="BF13" s="63"/>
      <c r="BG13" s="63"/>
      <c r="BH13" s="63"/>
      <c r="BI13" s="64"/>
      <c r="BJ13" s="64"/>
      <c r="BK13" s="64"/>
    </row>
    <row r="14" spans="1:64" ht="66.75" hidden="1" customHeight="1" thickBot="1">
      <c r="A14" s="982"/>
      <c r="B14" s="260">
        <v>6</v>
      </c>
      <c r="C14" s="262" t="s">
        <v>212</v>
      </c>
      <c r="D14" s="262" t="s">
        <v>121</v>
      </c>
      <c r="E14" s="301"/>
      <c r="F14" s="301"/>
      <c r="G14" s="262" t="s">
        <v>348</v>
      </c>
      <c r="H14" s="262" t="s">
        <v>213</v>
      </c>
      <c r="I14" s="302" t="s">
        <v>278</v>
      </c>
      <c r="J14" s="279" t="s">
        <v>143</v>
      </c>
      <c r="K14" s="267" t="s">
        <v>100</v>
      </c>
      <c r="L14" s="267"/>
      <c r="M14" s="267"/>
      <c r="N14" s="267"/>
      <c r="O14" s="280"/>
      <c r="P14" s="269"/>
      <c r="Q14" s="269"/>
      <c r="R14" s="269"/>
      <c r="S14" s="269"/>
      <c r="T14" s="269"/>
      <c r="U14" s="269"/>
      <c r="V14" s="269"/>
      <c r="W14" s="269"/>
      <c r="X14" s="269"/>
      <c r="Y14" s="269"/>
      <c r="Z14" s="269"/>
      <c r="AA14" s="269"/>
      <c r="AB14" s="270" t="e">
        <f t="shared" si="1"/>
        <v>#N/A</v>
      </c>
      <c r="AC14" s="271"/>
      <c r="AD14" s="269" t="e">
        <f t="shared" si="0"/>
        <v>#DIV/0!</v>
      </c>
      <c r="AE14" s="272" t="s">
        <v>13</v>
      </c>
      <c r="AF14" s="303">
        <v>9.6100000000000005E-3</v>
      </c>
      <c r="AG14" s="274" t="str">
        <f>IF($K$14="Sube",IF(ISERROR(AB14/$O$14)=TRUE,"",IF(AB14&gt;$O$14,AF14,AB14/$O$14*AF14)),IF(ISERROR($O$14/AB14)=TRUE,"",IF($O$14&lt;AB14,$O$14/AB14*AF14,AF14)))</f>
        <v/>
      </c>
      <c r="AH14" s="275" t="str">
        <f>IF($K$14="Sube",IF(ISERROR(AB14/$O$14)=TRUE,"",IF(AB14&gt;=$O$14,1,0)),IF(ISERROR($O$14/AB14)=TRUE,"",IF($O$14&lt;AB14,0,1)))</f>
        <v/>
      </c>
      <c r="AI14" s="276"/>
      <c r="AJ14" s="277"/>
      <c r="AK14" s="449"/>
      <c r="AL14" s="449"/>
      <c r="AM14" s="226"/>
      <c r="AN14" s="138"/>
      <c r="AV14" s="64"/>
      <c r="AW14" s="63"/>
      <c r="AX14" s="63"/>
      <c r="AY14" s="63"/>
      <c r="AZ14" s="63"/>
      <c r="BA14" s="63"/>
      <c r="BB14" s="63"/>
      <c r="BC14" s="63"/>
      <c r="BD14" s="63"/>
      <c r="BE14" s="63"/>
      <c r="BF14" s="63"/>
      <c r="BG14" s="63"/>
      <c r="BH14" s="63"/>
      <c r="BI14" s="64"/>
      <c r="BJ14" s="64"/>
      <c r="BK14" s="64"/>
    </row>
    <row r="15" spans="1:64" ht="66.75" hidden="1" customHeight="1" thickBot="1">
      <c r="A15" s="982"/>
      <c r="B15" s="260"/>
      <c r="C15" s="304" t="s">
        <v>282</v>
      </c>
      <c r="D15" s="304" t="s">
        <v>113</v>
      </c>
      <c r="E15" s="305"/>
      <c r="F15" s="305"/>
      <c r="G15" s="304" t="s">
        <v>283</v>
      </c>
      <c r="H15" s="304" t="s">
        <v>284</v>
      </c>
      <c r="I15" s="302" t="s">
        <v>278</v>
      </c>
      <c r="J15" s="279" t="s">
        <v>143</v>
      </c>
      <c r="K15" s="306"/>
      <c r="L15" s="306"/>
      <c r="M15" s="306"/>
      <c r="N15" s="306"/>
      <c r="O15" s="307"/>
      <c r="P15" s="308"/>
      <c r="Q15" s="308"/>
      <c r="R15" s="308"/>
      <c r="S15" s="308"/>
      <c r="T15" s="308"/>
      <c r="U15" s="308"/>
      <c r="V15" s="308"/>
      <c r="W15" s="308"/>
      <c r="X15" s="308"/>
      <c r="Y15" s="308"/>
      <c r="Z15" s="308"/>
      <c r="AA15" s="308"/>
      <c r="AB15" s="309"/>
      <c r="AC15" s="310"/>
      <c r="AD15" s="308"/>
      <c r="AE15" s="311"/>
      <c r="AF15" s="312"/>
      <c r="AG15" s="313"/>
      <c r="AH15" s="314"/>
      <c r="AI15" s="315"/>
      <c r="AJ15" s="316"/>
      <c r="AK15" s="452"/>
      <c r="AL15" s="452"/>
      <c r="AM15" s="228"/>
      <c r="AN15" s="179"/>
      <c r="AV15" s="64"/>
      <c r="AW15" s="63"/>
      <c r="AX15" s="63"/>
      <c r="AY15" s="63"/>
      <c r="AZ15" s="63"/>
      <c r="BA15" s="63"/>
      <c r="BB15" s="63"/>
      <c r="BC15" s="63"/>
      <c r="BD15" s="63"/>
      <c r="BE15" s="63"/>
      <c r="BF15" s="63"/>
      <c r="BG15" s="63"/>
      <c r="BH15" s="63"/>
      <c r="BI15" s="64"/>
      <c r="BJ15" s="64"/>
      <c r="BK15" s="64"/>
    </row>
    <row r="16" spans="1:64" ht="61.5" hidden="1" thickBot="1">
      <c r="A16" s="983"/>
      <c r="B16" s="317">
        <v>7</v>
      </c>
      <c r="C16" s="286" t="s">
        <v>120</v>
      </c>
      <c r="D16" s="286" t="s">
        <v>112</v>
      </c>
      <c r="E16" s="318"/>
      <c r="F16" s="318"/>
      <c r="G16" s="286" t="s">
        <v>171</v>
      </c>
      <c r="H16" s="286" t="s">
        <v>151</v>
      </c>
      <c r="I16" s="319">
        <f>44099470/60000000</f>
        <v>0.73499116666666664</v>
      </c>
      <c r="J16" s="289" t="s">
        <v>146</v>
      </c>
      <c r="K16" s="290" t="s">
        <v>100</v>
      </c>
      <c r="L16" s="290"/>
      <c r="M16" s="290"/>
      <c r="N16" s="290"/>
      <c r="O16" s="320">
        <v>0.8</v>
      </c>
      <c r="P16" s="321"/>
      <c r="Q16" s="321"/>
      <c r="R16" s="321"/>
      <c r="S16" s="321"/>
      <c r="T16" s="321"/>
      <c r="U16" s="321"/>
      <c r="V16" s="321"/>
      <c r="W16" s="321"/>
      <c r="X16" s="321"/>
      <c r="Y16" s="321"/>
      <c r="Z16" s="321"/>
      <c r="AA16" s="321"/>
      <c r="AB16" s="322" t="e">
        <f t="shared" si="1"/>
        <v>#N/A</v>
      </c>
      <c r="AC16" s="323"/>
      <c r="AD16" s="321" t="e">
        <f t="shared" si="0"/>
        <v>#DIV/0!</v>
      </c>
      <c r="AE16" s="295" t="s">
        <v>13</v>
      </c>
      <c r="AF16" s="324">
        <v>9.6100000000000005E-3</v>
      </c>
      <c r="AG16" s="325" t="str">
        <f>IF($K$16="Sube",IF(ISERROR(AB16/$O$16)=TRUE,"",IF(AB16&gt;$O$16,AF16,AB16/$O$16*AF16)),IF(ISERROR($O$16/AB16)=TRUE,"",IF($O$16&lt;AB16,$O$16/AB16*AF16,AF16)))</f>
        <v/>
      </c>
      <c r="AH16" s="326" t="str">
        <f>IF($K$16="Sube",IF(ISERROR(AB16/$O$16)=TRUE,"",IF(AB16&gt;=$O$16,1,0)),IF(ISERROR($O$16/AB16)=TRUE,"",IF($O$16&lt;AB16,0,1)))</f>
        <v/>
      </c>
      <c r="AI16" s="327"/>
      <c r="AJ16" s="328"/>
      <c r="AK16" s="453"/>
      <c r="AL16" s="453"/>
      <c r="AM16" s="180"/>
      <c r="AN16" s="151"/>
      <c r="AV16" s="64"/>
      <c r="AW16" s="63"/>
      <c r="AX16" s="63"/>
      <c r="AY16" s="63"/>
      <c r="AZ16" s="63"/>
      <c r="BA16" s="63"/>
      <c r="BB16" s="63"/>
      <c r="BC16" s="63"/>
      <c r="BD16" s="63"/>
      <c r="BE16" s="63"/>
      <c r="BF16" s="63"/>
      <c r="BG16" s="63"/>
      <c r="BH16" s="63"/>
      <c r="BI16" s="64"/>
      <c r="BJ16" s="64"/>
      <c r="BK16" s="64"/>
    </row>
    <row r="17" spans="1:63" ht="61.5" hidden="1" thickBot="1">
      <c r="A17" s="978" t="s">
        <v>73</v>
      </c>
      <c r="B17" s="329">
        <v>8</v>
      </c>
      <c r="C17" s="244" t="s">
        <v>215</v>
      </c>
      <c r="D17" s="244" t="s">
        <v>121</v>
      </c>
      <c r="E17" s="330"/>
      <c r="F17" s="331"/>
      <c r="G17" s="244" t="s">
        <v>216</v>
      </c>
      <c r="H17" s="244" t="s">
        <v>217</v>
      </c>
      <c r="I17" s="332" t="s">
        <v>278</v>
      </c>
      <c r="J17" s="248" t="s">
        <v>144</v>
      </c>
      <c r="K17" s="249" t="s">
        <v>100</v>
      </c>
      <c r="L17" s="249"/>
      <c r="M17" s="249"/>
      <c r="N17" s="249"/>
      <c r="O17" s="250">
        <v>1</v>
      </c>
      <c r="P17" s="251"/>
      <c r="Q17" s="251"/>
      <c r="R17" s="251"/>
      <c r="S17" s="251"/>
      <c r="T17" s="251"/>
      <c r="U17" s="251"/>
      <c r="V17" s="251"/>
      <c r="W17" s="251"/>
      <c r="X17" s="251"/>
      <c r="Y17" s="251"/>
      <c r="Z17" s="251"/>
      <c r="AA17" s="251"/>
      <c r="AB17" s="252" t="e">
        <f t="shared" si="1"/>
        <v>#N/A</v>
      </c>
      <c r="AC17" s="253"/>
      <c r="AD17" s="251" t="e">
        <f t="shared" si="0"/>
        <v>#DIV/0!</v>
      </c>
      <c r="AE17" s="254" t="s">
        <v>13</v>
      </c>
      <c r="AF17" s="333">
        <v>9.6100000000000005E-3</v>
      </c>
      <c r="AG17" s="256" t="str">
        <f>IF($K$17="Sube",IF(ISERROR(AB17/$O$17)=TRUE,"",IF(AB17&gt;$O$17,AF17,AB17/$O$17*AF17)),IF(ISERROR($O$17/AB17)=TRUE,"",IF($O$17&lt;AB17,$O$17/AB17*AF17,AF17)))</f>
        <v/>
      </c>
      <c r="AH17" s="257" t="str">
        <f>IF($K$17="Sube",IF(ISERROR(AB17/$O$17)=TRUE,"",IF(AB17&gt;=$O$17,1,0)),IF(ISERROR($O$17/AB17)=TRUE,"",IF($O$17&lt;AB17,0,1)))</f>
        <v/>
      </c>
      <c r="AI17" s="258"/>
      <c r="AJ17" s="259"/>
      <c r="AK17" s="448"/>
      <c r="AL17" s="448"/>
      <c r="AM17" s="178"/>
      <c r="AN17" s="137"/>
      <c r="AO17" t="s">
        <v>296</v>
      </c>
      <c r="AV17" s="64"/>
      <c r="AW17" s="63"/>
      <c r="AX17" s="63"/>
      <c r="AY17" s="63"/>
      <c r="AZ17" s="63"/>
      <c r="BA17" s="63"/>
      <c r="BB17" s="63"/>
      <c r="BC17" s="63"/>
      <c r="BD17" s="63"/>
      <c r="BE17" s="63"/>
      <c r="BF17" s="63"/>
      <c r="BG17" s="63"/>
      <c r="BH17" s="63"/>
      <c r="BI17" s="64"/>
      <c r="BJ17" s="64"/>
      <c r="BK17" s="64"/>
    </row>
    <row r="18" spans="1:63" ht="92.25" hidden="1" thickBot="1">
      <c r="A18" s="979"/>
      <c r="B18" s="334">
        <v>10</v>
      </c>
      <c r="C18" s="335" t="s">
        <v>218</v>
      </c>
      <c r="D18" s="262" t="s">
        <v>121</v>
      </c>
      <c r="E18" s="301"/>
      <c r="F18" s="336"/>
      <c r="G18" s="262" t="s">
        <v>300</v>
      </c>
      <c r="H18" s="262" t="s">
        <v>219</v>
      </c>
      <c r="I18" s="337" t="s">
        <v>278</v>
      </c>
      <c r="J18" s="279" t="s">
        <v>144</v>
      </c>
      <c r="K18" s="267" t="s">
        <v>100</v>
      </c>
      <c r="L18" s="267"/>
      <c r="M18" s="267"/>
      <c r="N18" s="267"/>
      <c r="O18" s="280">
        <v>1</v>
      </c>
      <c r="P18" s="269"/>
      <c r="Q18" s="269"/>
      <c r="R18" s="269"/>
      <c r="S18" s="269"/>
      <c r="T18" s="269"/>
      <c r="U18" s="269"/>
      <c r="V18" s="269"/>
      <c r="W18" s="269"/>
      <c r="X18" s="269"/>
      <c r="Y18" s="269"/>
      <c r="Z18" s="269"/>
      <c r="AA18" s="269"/>
      <c r="AB18" s="270" t="e">
        <f t="shared" si="1"/>
        <v>#N/A</v>
      </c>
      <c r="AC18" s="271"/>
      <c r="AD18" s="269" t="e">
        <f t="shared" si="0"/>
        <v>#DIV/0!</v>
      </c>
      <c r="AE18" s="272" t="s">
        <v>13</v>
      </c>
      <c r="AF18" s="303">
        <v>9.6100000000000005E-3</v>
      </c>
      <c r="AG18" s="274" t="str">
        <f>IF($K$18="Sube",IF(ISERROR(AB18/$O$18)=TRUE,"",IF(AB18&gt;$O$18,AF18,AB18/$O$18*AF18)),IF(ISERROR($O$18/AB18)=TRUE,"",IF($O$18&lt;AB18,$O$18/AB18*AF18,AF18)))</f>
        <v/>
      </c>
      <c r="AH18" s="275" t="str">
        <f>IF($K$18="Sube",IF(ISERROR(AB18/$O$18)=TRUE,"",IF(AB18&gt;=$O$18,1,0)),IF(ISERROR($O$18/AB18)=TRUE,"",IF($O$18&lt;AB18,0,1)))</f>
        <v/>
      </c>
      <c r="AI18" s="276"/>
      <c r="AJ18" s="277"/>
      <c r="AK18" s="449"/>
      <c r="AL18" s="449"/>
      <c r="AM18" s="226"/>
      <c r="AN18" s="138"/>
      <c r="AO18" s="181" t="s">
        <v>297</v>
      </c>
      <c r="AV18" s="64"/>
      <c r="AW18" s="63"/>
      <c r="AX18" s="63"/>
      <c r="AY18" s="63"/>
      <c r="AZ18" s="63"/>
      <c r="BA18" s="63"/>
      <c r="BB18" s="63"/>
      <c r="BC18" s="63"/>
      <c r="BD18" s="63"/>
      <c r="BE18" s="63"/>
      <c r="BF18" s="63"/>
      <c r="BG18" s="63"/>
      <c r="BH18" s="63"/>
      <c r="BI18" s="64"/>
      <c r="BJ18" s="64"/>
      <c r="BK18" s="64"/>
    </row>
    <row r="19" spans="1:63" ht="61.5" hidden="1" thickBot="1">
      <c r="A19" s="979"/>
      <c r="B19" s="334">
        <v>11</v>
      </c>
      <c r="C19" s="338" t="s">
        <v>220</v>
      </c>
      <c r="D19" s="262" t="s">
        <v>113</v>
      </c>
      <c r="E19" s="301"/>
      <c r="F19" s="336"/>
      <c r="G19" s="262" t="s">
        <v>295</v>
      </c>
      <c r="H19" s="262" t="s">
        <v>298</v>
      </c>
      <c r="I19" s="337" t="s">
        <v>278</v>
      </c>
      <c r="J19" s="279" t="s">
        <v>108</v>
      </c>
      <c r="K19" s="267" t="s">
        <v>100</v>
      </c>
      <c r="L19" s="267"/>
      <c r="M19" s="267"/>
      <c r="N19" s="267"/>
      <c r="O19" s="280">
        <v>1</v>
      </c>
      <c r="P19" s="269"/>
      <c r="Q19" s="269"/>
      <c r="R19" s="269"/>
      <c r="S19" s="269"/>
      <c r="T19" s="269"/>
      <c r="U19" s="269"/>
      <c r="V19" s="269"/>
      <c r="W19" s="269"/>
      <c r="X19" s="269"/>
      <c r="Y19" s="269"/>
      <c r="Z19" s="269"/>
      <c r="AA19" s="269"/>
      <c r="AB19" s="270" t="e">
        <f t="shared" si="1"/>
        <v>#N/A</v>
      </c>
      <c r="AC19" s="271"/>
      <c r="AD19" s="269" t="e">
        <f t="shared" si="0"/>
        <v>#DIV/0!</v>
      </c>
      <c r="AE19" s="272" t="s">
        <v>13</v>
      </c>
      <c r="AF19" s="303">
        <v>9.6100000000000005E-3</v>
      </c>
      <c r="AG19" s="274" t="str">
        <f>IF($K$19="Sube",IF(ISERROR(AB19/$O$19)=TRUE,"",IF(AB19&gt;$O$19,AF19,AB19/$O$19*AF19)),IF(ISERROR($O$19/AB19)=TRUE,"",IF($O$19&lt;AB19,$O$19/AB19*AF19,AF19)))</f>
        <v/>
      </c>
      <c r="AH19" s="275" t="str">
        <f>IF($K$19="Sube",IF(ISERROR(AB19/$O$19)=TRUE,"",IF(AB19&gt;=$O$19,1,0)),IF(ISERROR($O$19/AB19)=TRUE,"",IF($O$19&lt;AB19,0,1)))</f>
        <v/>
      </c>
      <c r="AI19" s="276"/>
      <c r="AJ19" s="277"/>
      <c r="AK19" s="449"/>
      <c r="AL19" s="449"/>
      <c r="AM19" s="226"/>
      <c r="AN19" s="138"/>
      <c r="AO19" t="s">
        <v>299</v>
      </c>
      <c r="AV19" s="64"/>
      <c r="AW19" s="63"/>
      <c r="AX19" s="63"/>
      <c r="AY19" s="63"/>
      <c r="AZ19" s="63"/>
      <c r="BA19" s="63"/>
      <c r="BB19" s="63"/>
      <c r="BC19" s="63"/>
      <c r="BD19" s="63"/>
      <c r="BE19" s="63"/>
      <c r="BF19" s="63"/>
      <c r="BG19" s="63"/>
      <c r="BH19" s="63"/>
      <c r="BI19" s="64"/>
      <c r="BJ19" s="64"/>
      <c r="BK19" s="64"/>
    </row>
    <row r="20" spans="1:63" ht="41.25" hidden="1" thickBot="1">
      <c r="A20" s="979"/>
      <c r="B20" s="334"/>
      <c r="C20" s="262" t="s">
        <v>122</v>
      </c>
      <c r="D20" s="304" t="s">
        <v>121</v>
      </c>
      <c r="E20" s="305"/>
      <c r="F20" s="339"/>
      <c r="G20" s="262" t="s">
        <v>123</v>
      </c>
      <c r="H20" s="262" t="s">
        <v>124</v>
      </c>
      <c r="I20" s="340" t="s">
        <v>313</v>
      </c>
      <c r="J20" s="279" t="s">
        <v>108</v>
      </c>
      <c r="K20" s="267" t="s">
        <v>100</v>
      </c>
      <c r="L20" s="267"/>
      <c r="M20" s="267"/>
      <c r="N20" s="267"/>
      <c r="O20" s="280">
        <v>0.9</v>
      </c>
      <c r="P20" s="269"/>
      <c r="Q20" s="269"/>
      <c r="R20" s="269"/>
      <c r="S20" s="269"/>
      <c r="T20" s="269"/>
      <c r="U20" s="269"/>
      <c r="V20" s="269"/>
      <c r="W20" s="269"/>
      <c r="X20" s="269"/>
      <c r="Y20" s="269"/>
      <c r="Z20" s="269"/>
      <c r="AA20" s="269"/>
      <c r="AB20" s="270" t="e">
        <f t="shared" ref="AB20" si="2">LOOKUP(1000000000,P20:AA20)</f>
        <v>#N/A</v>
      </c>
      <c r="AC20" s="271"/>
      <c r="AD20" s="269" t="e">
        <f t="shared" ref="AD20" si="3">+IF(SLOPE(P20:AA20,$P$7:$AA$7)&gt;0,"Al alza",IF(SLOPE(P20:AA20,$P$7:$AA$7)&lt;0,"A la baja","Sin cambio"))</f>
        <v>#DIV/0!</v>
      </c>
      <c r="AE20" s="272" t="s">
        <v>13</v>
      </c>
      <c r="AF20" s="303">
        <v>9.6100000000000005E-3</v>
      </c>
      <c r="AG20" s="274"/>
      <c r="AH20" s="275"/>
      <c r="AI20" s="276"/>
      <c r="AJ20" s="277"/>
      <c r="AK20" s="449"/>
      <c r="AL20" s="449"/>
      <c r="AM20" s="226"/>
      <c r="AN20" s="138"/>
      <c r="AV20" s="64"/>
      <c r="AW20" s="63"/>
      <c r="AX20" s="63"/>
      <c r="AY20" s="63"/>
      <c r="AZ20" s="63"/>
      <c r="BA20" s="63"/>
      <c r="BB20" s="63"/>
      <c r="BC20" s="63"/>
      <c r="BD20" s="63"/>
      <c r="BE20" s="63"/>
      <c r="BF20" s="63"/>
      <c r="BG20" s="63"/>
      <c r="BH20" s="63"/>
      <c r="BI20" s="64"/>
      <c r="BJ20" s="64"/>
      <c r="BK20" s="64"/>
    </row>
    <row r="21" spans="1:63" ht="61.5" hidden="1" thickBot="1">
      <c r="A21" s="979"/>
      <c r="B21" s="334"/>
      <c r="C21" s="262" t="s">
        <v>221</v>
      </c>
      <c r="D21" s="304" t="s">
        <v>112</v>
      </c>
      <c r="E21" s="305"/>
      <c r="F21" s="339"/>
      <c r="G21" s="262" t="s">
        <v>222</v>
      </c>
      <c r="H21" s="262" t="s">
        <v>223</v>
      </c>
      <c r="I21" s="265" t="s">
        <v>277</v>
      </c>
      <c r="J21" s="279" t="s">
        <v>144</v>
      </c>
      <c r="K21" s="267" t="s">
        <v>100</v>
      </c>
      <c r="L21" s="267"/>
      <c r="M21" s="267"/>
      <c r="N21" s="267"/>
      <c r="O21" s="268">
        <f>+(9.9925/9.9204)-1</f>
        <v>7.2678521027376153E-3</v>
      </c>
      <c r="P21" s="269"/>
      <c r="Q21" s="269"/>
      <c r="R21" s="269"/>
      <c r="S21" s="269"/>
      <c r="T21" s="269"/>
      <c r="U21" s="269"/>
      <c r="V21" s="269"/>
      <c r="W21" s="269"/>
      <c r="X21" s="269"/>
      <c r="Y21" s="269"/>
      <c r="Z21" s="269"/>
      <c r="AA21" s="269"/>
      <c r="AB21" s="270"/>
      <c r="AC21" s="271"/>
      <c r="AD21" s="269"/>
      <c r="AE21" s="272"/>
      <c r="AF21" s="303"/>
      <c r="AG21" s="274"/>
      <c r="AH21" s="275"/>
      <c r="AI21" s="276"/>
      <c r="AJ21" s="277"/>
      <c r="AK21" s="449"/>
      <c r="AL21" s="449"/>
      <c r="AM21" s="226"/>
      <c r="AN21" s="138"/>
      <c r="AV21" s="64"/>
      <c r="AW21" s="63"/>
      <c r="AX21" s="63"/>
      <c r="AY21" s="63"/>
      <c r="AZ21" s="63"/>
      <c r="BA21" s="63"/>
      <c r="BB21" s="63"/>
      <c r="BC21" s="63"/>
      <c r="BD21" s="63"/>
      <c r="BE21" s="63"/>
      <c r="BF21" s="63"/>
      <c r="BG21" s="63"/>
      <c r="BH21" s="63"/>
      <c r="BI21" s="64"/>
      <c r="BJ21" s="64"/>
      <c r="BK21" s="64"/>
    </row>
    <row r="22" spans="1:63" ht="61.5" hidden="1" thickBot="1">
      <c r="A22" s="980"/>
      <c r="B22" s="341">
        <v>12</v>
      </c>
      <c r="C22" s="286" t="s">
        <v>224</v>
      </c>
      <c r="D22" s="286" t="s">
        <v>112</v>
      </c>
      <c r="E22" s="318"/>
      <c r="F22" s="342"/>
      <c r="G22" s="286" t="s">
        <v>225</v>
      </c>
      <c r="H22" s="286" t="s">
        <v>226</v>
      </c>
      <c r="I22" s="278" t="s">
        <v>204</v>
      </c>
      <c r="J22" s="279" t="s">
        <v>108</v>
      </c>
      <c r="K22" s="267"/>
      <c r="L22" s="267"/>
      <c r="M22" s="267"/>
      <c r="N22" s="267"/>
      <c r="O22" s="280" t="s">
        <v>276</v>
      </c>
      <c r="P22" s="321"/>
      <c r="Q22" s="321"/>
      <c r="R22" s="321"/>
      <c r="S22" s="321"/>
      <c r="T22" s="321"/>
      <c r="U22" s="321"/>
      <c r="V22" s="321"/>
      <c r="W22" s="321"/>
      <c r="X22" s="321"/>
      <c r="Y22" s="321"/>
      <c r="Z22" s="321"/>
      <c r="AA22" s="321"/>
      <c r="AB22" s="322"/>
      <c r="AC22" s="323"/>
      <c r="AD22" s="321"/>
      <c r="AE22" s="295"/>
      <c r="AF22" s="324"/>
      <c r="AG22" s="325" t="str">
        <f>IF($K$22="Sube",IF(ISERROR(AB22/$O$22)=TRUE,"",IF(AB22&gt;$O$22,AF22,AB22/$O$22*AF22)),IF(ISERROR($O$22/AB22)=TRUE,"",IF($O$22&lt;AB22,$O$22/AB22*AF22,AF22)))</f>
        <v/>
      </c>
      <c r="AH22" s="326" t="str">
        <f>IF($K$22="Sube",IF(ISERROR(AB22/$O$22)=TRUE,"",IF(AB22&gt;=$O$22,1,0)),IF(ISERROR($O$22/AB22)=TRUE,"",IF($O$22&lt;AB22,0,1)))</f>
        <v/>
      </c>
      <c r="AI22" s="327"/>
      <c r="AJ22" s="328"/>
      <c r="AK22" s="453"/>
      <c r="AL22" s="453"/>
      <c r="AM22" s="180"/>
      <c r="AN22" s="151"/>
      <c r="AV22" s="64"/>
      <c r="AW22" s="63"/>
      <c r="AX22" s="63"/>
      <c r="AY22" s="63"/>
      <c r="AZ22" s="63"/>
      <c r="BA22" s="63"/>
      <c r="BB22" s="63"/>
      <c r="BC22" s="63"/>
      <c r="BD22" s="63"/>
      <c r="BE22" s="63"/>
      <c r="BF22" s="63"/>
      <c r="BG22" s="63"/>
      <c r="BH22" s="63"/>
      <c r="BI22" s="64"/>
      <c r="BJ22" s="64"/>
      <c r="BK22" s="64"/>
    </row>
    <row r="23" spans="1:63" ht="45" hidden="1" customHeight="1">
      <c r="A23" s="965" t="s">
        <v>74</v>
      </c>
      <c r="B23" s="242">
        <f>+B22+1</f>
        <v>13</v>
      </c>
      <c r="C23" s="244" t="s">
        <v>227</v>
      </c>
      <c r="D23" s="244" t="s">
        <v>114</v>
      </c>
      <c r="E23" s="343"/>
      <c r="F23" s="331"/>
      <c r="G23" s="244" t="s">
        <v>228</v>
      </c>
      <c r="H23" s="244" t="s">
        <v>229</v>
      </c>
      <c r="I23" s="344" t="s">
        <v>278</v>
      </c>
      <c r="J23" s="345" t="s">
        <v>145</v>
      </c>
      <c r="K23" s="249" t="s">
        <v>100</v>
      </c>
      <c r="L23" s="249"/>
      <c r="M23" s="249"/>
      <c r="N23" s="249"/>
      <c r="O23" s="250"/>
      <c r="P23" s="251"/>
      <c r="Q23" s="251"/>
      <c r="R23" s="251"/>
      <c r="S23" s="251"/>
      <c r="T23" s="251"/>
      <c r="U23" s="251"/>
      <c r="V23" s="251"/>
      <c r="W23" s="251"/>
      <c r="X23" s="251"/>
      <c r="Y23" s="251"/>
      <c r="Z23" s="251"/>
      <c r="AA23" s="251"/>
      <c r="AB23" s="252" t="e">
        <f t="shared" si="1"/>
        <v>#N/A</v>
      </c>
      <c r="AC23" s="253"/>
      <c r="AD23" s="251" t="e">
        <f t="shared" si="0"/>
        <v>#DIV/0!</v>
      </c>
      <c r="AE23" s="254" t="s">
        <v>13</v>
      </c>
      <c r="AF23" s="333">
        <v>9.6100000000000005E-3</v>
      </c>
      <c r="AG23" s="256" t="str">
        <f>IF($K$23="Sube",IF(ISERROR(AB23/$O$23)=TRUE,"",IF(AB23&gt;$O$23,AF23,AB23/$O$23*AF23)),IF(ISERROR($O$23/AB23)=TRUE,"",IF($O$23&lt;AB23,$O$23/AB23*AF23,AF23)))</f>
        <v/>
      </c>
      <c r="AH23" s="257" t="str">
        <f>IF($K$23="Sube",IF(ISERROR(AB23/$O$23)=TRUE,"",IF(AB23&gt;=$O$23,1,0)),IF(ISERROR($O$23/AB23)=TRUE,"",IF($O$23&lt;AB23,0,1)))</f>
        <v/>
      </c>
      <c r="AI23" s="258"/>
      <c r="AJ23" s="346">
        <v>3.64</v>
      </c>
      <c r="AK23" s="506"/>
      <c r="AL23" s="454" t="s">
        <v>322</v>
      </c>
      <c r="AM23" s="178"/>
      <c r="AN23" s="137"/>
      <c r="AV23" s="64"/>
      <c r="AW23" s="63"/>
      <c r="AX23" s="63"/>
      <c r="AY23" s="63"/>
      <c r="AZ23" s="63"/>
      <c r="BA23" s="63"/>
      <c r="BB23" s="63"/>
      <c r="BC23" s="63"/>
      <c r="BD23" s="63"/>
      <c r="BE23" s="63"/>
      <c r="BF23" s="63"/>
      <c r="BG23" s="63"/>
      <c r="BH23" s="63"/>
      <c r="BI23" s="64"/>
      <c r="BJ23" s="64"/>
      <c r="BK23" s="64"/>
    </row>
    <row r="24" spans="1:63" ht="49.5" hidden="1" customHeight="1" thickBot="1">
      <c r="A24" s="967"/>
      <c r="B24" s="347">
        <f t="shared" ref="B24:B49" si="4">+B23+1</f>
        <v>14</v>
      </c>
      <c r="C24" s="262" t="s">
        <v>125</v>
      </c>
      <c r="D24" s="348" t="s">
        <v>112</v>
      </c>
      <c r="E24" s="301"/>
      <c r="F24" s="336"/>
      <c r="G24" s="349" t="s">
        <v>153</v>
      </c>
      <c r="H24" s="349" t="s">
        <v>154</v>
      </c>
      <c r="I24" s="350">
        <f>1152/1344</f>
        <v>0.8571428571428571</v>
      </c>
      <c r="J24" s="279" t="s">
        <v>144</v>
      </c>
      <c r="K24" s="267" t="s">
        <v>100</v>
      </c>
      <c r="L24" s="267"/>
      <c r="M24" s="267"/>
      <c r="N24" s="267"/>
      <c r="O24" s="280">
        <v>0.87</v>
      </c>
      <c r="P24" s="269"/>
      <c r="Q24" s="269"/>
      <c r="R24" s="269"/>
      <c r="S24" s="269"/>
      <c r="T24" s="269"/>
      <c r="U24" s="269"/>
      <c r="V24" s="269"/>
      <c r="W24" s="269"/>
      <c r="X24" s="269"/>
      <c r="Y24" s="269"/>
      <c r="Z24" s="269"/>
      <c r="AA24" s="269"/>
      <c r="AB24" s="270" t="e">
        <f t="shared" si="1"/>
        <v>#N/A</v>
      </c>
      <c r="AC24" s="271"/>
      <c r="AD24" s="269" t="e">
        <f t="shared" si="0"/>
        <v>#DIV/0!</v>
      </c>
      <c r="AE24" s="272" t="s">
        <v>13</v>
      </c>
      <c r="AF24" s="303">
        <v>9.6100000000000005E-3</v>
      </c>
      <c r="AG24" s="274" t="str">
        <f>IF($K$24="Sube",IF(ISERROR(AB24/$O$24)=TRUE,"",IF(AB24&gt;$O$24,AF24,AB24/$O$24*AF24)),IF(ISERROR($O$24/AB24)=TRUE,"",IF($O$24&lt;AB24,$O$24/AB24*AF24,AF24)))</f>
        <v/>
      </c>
      <c r="AH24" s="275" t="str">
        <f>IF($K$24="Sube",IF(ISERROR(AB24/$O$24)=TRUE,"",IF(AB24&gt;=$O$24,1,0)),IF(ISERROR($O$24/AB24)=TRUE,"",IF($O$24&lt;AB24,0,1)))</f>
        <v/>
      </c>
      <c r="AI24" s="276"/>
      <c r="AJ24" s="277"/>
      <c r="AK24" s="449"/>
      <c r="AL24" s="449"/>
      <c r="AM24" s="226"/>
      <c r="AN24" s="138"/>
      <c r="AV24" s="64"/>
      <c r="AW24" s="63"/>
      <c r="AX24" s="63"/>
      <c r="AY24" s="63"/>
      <c r="AZ24" s="63"/>
      <c r="BA24" s="63"/>
      <c r="BB24" s="63"/>
      <c r="BC24" s="63"/>
      <c r="BD24" s="63"/>
      <c r="BE24" s="63"/>
      <c r="BF24" s="63"/>
      <c r="BG24" s="63"/>
      <c r="BH24" s="63"/>
      <c r="BI24" s="64"/>
      <c r="BJ24" s="64"/>
      <c r="BK24" s="64"/>
    </row>
    <row r="25" spans="1:63" ht="56.25" hidden="1" customHeight="1" thickBot="1">
      <c r="A25" s="966"/>
      <c r="B25" s="351">
        <f t="shared" si="4"/>
        <v>15</v>
      </c>
      <c r="C25" s="286" t="s">
        <v>230</v>
      </c>
      <c r="D25" s="352" t="s">
        <v>112</v>
      </c>
      <c r="E25" s="318"/>
      <c r="F25" s="342"/>
      <c r="G25" s="353" t="s">
        <v>176</v>
      </c>
      <c r="H25" s="353" t="s">
        <v>192</v>
      </c>
      <c r="I25" s="354">
        <f>7.218/9.426-1</f>
        <v>-0.23424570337364736</v>
      </c>
      <c r="J25" s="289" t="s">
        <v>146</v>
      </c>
      <c r="K25" s="290" t="s">
        <v>100</v>
      </c>
      <c r="L25" s="290"/>
      <c r="M25" s="290"/>
      <c r="N25" s="290"/>
      <c r="O25" s="291">
        <f>+'Tablero Estratégico'!W10</f>
        <v>7.22</v>
      </c>
      <c r="P25" s="321"/>
      <c r="Q25" s="321"/>
      <c r="R25" s="321"/>
      <c r="S25" s="321"/>
      <c r="T25" s="321"/>
      <c r="U25" s="321"/>
      <c r="V25" s="321"/>
      <c r="W25" s="321"/>
      <c r="X25" s="321"/>
      <c r="Y25" s="321"/>
      <c r="Z25" s="321"/>
      <c r="AA25" s="321"/>
      <c r="AB25" s="322" t="e">
        <f t="shared" si="1"/>
        <v>#N/A</v>
      </c>
      <c r="AC25" s="323"/>
      <c r="AD25" s="321" t="e">
        <f t="shared" si="0"/>
        <v>#DIV/0!</v>
      </c>
      <c r="AE25" s="295" t="s">
        <v>13</v>
      </c>
      <c r="AF25" s="324">
        <v>9.6100000000000005E-3</v>
      </c>
      <c r="AG25" s="325" t="str">
        <f>IF($K$25="Sube",IF(ISERROR(AB25/$O$25)=TRUE,"",IF(AB25&gt;$O$25,AF25,AB25/$O$25*AF25)),IF(ISERROR($O$25/AB25)=TRUE,"",IF($O$25&lt;AB25,$O$25/AB25*AF25,AF25)))</f>
        <v/>
      </c>
      <c r="AH25" s="326" t="str">
        <f>IF($K$25="Sube",IF(ISERROR(AB25/$O$25)=TRUE,"",IF(AB25&gt;=$O$25,1,0)),IF(ISERROR($O$25/AB25)=TRUE,"",IF($O$25&lt;AB25,0,1)))</f>
        <v/>
      </c>
      <c r="AI25" s="327"/>
      <c r="AJ25" s="328"/>
      <c r="AK25" s="453"/>
      <c r="AL25" s="453"/>
      <c r="AM25" s="180"/>
      <c r="AN25" s="151"/>
      <c r="AV25" s="64"/>
      <c r="AW25" s="63"/>
      <c r="AX25" s="63"/>
      <c r="AY25" s="63"/>
      <c r="AZ25" s="63"/>
      <c r="BA25" s="63"/>
      <c r="BB25" s="63"/>
      <c r="BC25" s="63"/>
      <c r="BD25" s="63"/>
      <c r="BE25" s="63"/>
      <c r="BF25" s="63"/>
      <c r="BG25" s="63"/>
      <c r="BH25" s="63"/>
      <c r="BI25" s="64"/>
      <c r="BJ25" s="64"/>
      <c r="BK25" s="64"/>
    </row>
    <row r="26" spans="1:63" ht="122.25" hidden="1" thickBot="1">
      <c r="A26" s="965" t="s">
        <v>48</v>
      </c>
      <c r="B26" s="242" t="e">
        <f>+#REF!+1</f>
        <v>#REF!</v>
      </c>
      <c r="C26" s="243" t="s">
        <v>126</v>
      </c>
      <c r="D26" s="243" t="s">
        <v>121</v>
      </c>
      <c r="E26" s="355"/>
      <c r="F26" s="355"/>
      <c r="G26" s="243" t="s">
        <v>231</v>
      </c>
      <c r="H26" s="243" t="s">
        <v>129</v>
      </c>
      <c r="I26" s="356">
        <v>1</v>
      </c>
      <c r="J26" s="345" t="s">
        <v>144</v>
      </c>
      <c r="K26" s="249"/>
      <c r="L26" s="249"/>
      <c r="M26" s="249"/>
      <c r="N26" s="249"/>
      <c r="O26" s="250">
        <v>1</v>
      </c>
      <c r="P26" s="251"/>
      <c r="Q26" s="251"/>
      <c r="R26" s="251"/>
      <c r="S26" s="251"/>
      <c r="T26" s="251"/>
      <c r="U26" s="251"/>
      <c r="V26" s="251"/>
      <c r="W26" s="251"/>
      <c r="X26" s="251"/>
      <c r="Y26" s="251"/>
      <c r="Z26" s="251"/>
      <c r="AA26" s="251"/>
      <c r="AB26" s="252" t="e">
        <f t="shared" si="1"/>
        <v>#N/A</v>
      </c>
      <c r="AC26" s="253"/>
      <c r="AD26" s="251" t="e">
        <f t="shared" si="0"/>
        <v>#DIV/0!</v>
      </c>
      <c r="AE26" s="254" t="s">
        <v>13</v>
      </c>
      <c r="AF26" s="333">
        <v>9.6100000000000005E-3</v>
      </c>
      <c r="AG26" s="256" t="str">
        <f>IF($K$26="Sube",IF(ISERROR(AB26/$O$26)=TRUE,"",IF(AB26&gt;$O$26,AF26,AB26/$O$26*AF26)),IF(ISERROR($O$26/AB26)=TRUE,"",IF($O$26&lt;AB26,$O$26/AB26*AF26,AF26)))</f>
        <v/>
      </c>
      <c r="AH26" s="257" t="str">
        <f>IF($K$26="Sube",IF(ISERROR(AB26/$O$26)=TRUE,"",IF(AB26&gt;=$O$26,1,0)),IF(ISERROR($O$26/AB26)=TRUE,"",IF($O$26&lt;AB26,0,1)))</f>
        <v/>
      </c>
      <c r="AI26" s="258"/>
      <c r="AJ26" s="259"/>
      <c r="AK26" s="448"/>
      <c r="AL26" s="448"/>
      <c r="AM26" s="178"/>
      <c r="AN26" s="137"/>
      <c r="AV26" s="64"/>
      <c r="AW26" s="63"/>
      <c r="AX26" s="63"/>
      <c r="AY26" s="63"/>
      <c r="AZ26" s="63"/>
      <c r="BA26" s="63"/>
      <c r="BB26" s="63"/>
      <c r="BC26" s="63"/>
      <c r="BD26" s="63"/>
      <c r="BE26" s="63"/>
      <c r="BF26" s="63"/>
      <c r="BG26" s="63"/>
      <c r="BH26" s="63"/>
      <c r="BI26" s="64"/>
      <c r="BJ26" s="64"/>
      <c r="BK26" s="64"/>
    </row>
    <row r="27" spans="1:63" ht="122.25" hidden="1" thickBot="1">
      <c r="A27" s="967"/>
      <c r="B27" s="260" t="e">
        <f t="shared" si="4"/>
        <v>#REF!</v>
      </c>
      <c r="C27" s="261" t="s">
        <v>127</v>
      </c>
      <c r="D27" s="261" t="s">
        <v>121</v>
      </c>
      <c r="E27" s="357"/>
      <c r="F27" s="357"/>
      <c r="G27" s="335" t="s">
        <v>320</v>
      </c>
      <c r="H27" s="261" t="s">
        <v>232</v>
      </c>
      <c r="I27" s="358">
        <v>0.9</v>
      </c>
      <c r="J27" s="279" t="s">
        <v>108</v>
      </c>
      <c r="K27" s="267"/>
      <c r="L27" s="267"/>
      <c r="M27" s="267"/>
      <c r="N27" s="267"/>
      <c r="O27" s="280">
        <v>1</v>
      </c>
      <c r="P27" s="269"/>
      <c r="Q27" s="269"/>
      <c r="R27" s="269"/>
      <c r="S27" s="269"/>
      <c r="T27" s="269"/>
      <c r="U27" s="269"/>
      <c r="V27" s="269"/>
      <c r="W27" s="269"/>
      <c r="X27" s="269"/>
      <c r="Y27" s="269"/>
      <c r="Z27" s="269"/>
      <c r="AA27" s="269"/>
      <c r="AB27" s="270" t="e">
        <f t="shared" si="1"/>
        <v>#N/A</v>
      </c>
      <c r="AC27" s="271"/>
      <c r="AD27" s="269" t="e">
        <f t="shared" si="0"/>
        <v>#DIV/0!</v>
      </c>
      <c r="AE27" s="272" t="s">
        <v>13</v>
      </c>
      <c r="AF27" s="303">
        <v>9.6100000000000005E-3</v>
      </c>
      <c r="AG27" s="274" t="str">
        <f>IF($K$27="Sube",IF(ISERROR(AB27/$O$27)=TRUE,"",IF(AB27&gt;$O$27,AF27,AB27/$O$27*AF27)),IF(ISERROR($O$27/AB27)=TRUE,"",IF($O$27&lt;AB27,$O$27/AB27*AF27,AF27)))</f>
        <v/>
      </c>
      <c r="AH27" s="275" t="str">
        <f>IF($K$27="Sube",IF(ISERROR(AB27/$O$27)=TRUE,"",IF(AB27&gt;=$O$27,1,0)),IF(ISERROR($O$27/AB27)=TRUE,"",IF($O$27&lt;AB27,0,1)))</f>
        <v/>
      </c>
      <c r="AI27" s="276"/>
      <c r="AJ27" s="359">
        <f>+'Tablero Estratégico'!AI16</f>
        <v>0</v>
      </c>
      <c r="AK27" s="507"/>
      <c r="AL27" s="450" t="s">
        <v>321</v>
      </c>
      <c r="AM27" s="226"/>
      <c r="AN27" s="138"/>
      <c r="AV27" s="64"/>
      <c r="AW27" s="63"/>
      <c r="AX27" s="63"/>
      <c r="AY27" s="63"/>
      <c r="AZ27" s="63"/>
      <c r="BA27" s="63"/>
      <c r="BB27" s="63"/>
      <c r="BC27" s="63"/>
      <c r="BD27" s="63"/>
      <c r="BE27" s="63"/>
      <c r="BF27" s="63"/>
      <c r="BG27" s="63"/>
      <c r="BH27" s="63"/>
      <c r="BI27" s="64"/>
      <c r="BJ27" s="64"/>
      <c r="BK27" s="64"/>
    </row>
    <row r="28" spans="1:63" ht="142.5" hidden="1" thickBot="1">
      <c r="A28" s="967"/>
      <c r="B28" s="260" t="e">
        <f t="shared" si="4"/>
        <v>#REF!</v>
      </c>
      <c r="C28" s="261" t="s">
        <v>128</v>
      </c>
      <c r="D28" s="261" t="s">
        <v>121</v>
      </c>
      <c r="E28" s="357"/>
      <c r="F28" s="357"/>
      <c r="G28" s="261" t="s">
        <v>233</v>
      </c>
      <c r="H28" s="261" t="s">
        <v>234</v>
      </c>
      <c r="I28" s="272" t="s">
        <v>278</v>
      </c>
      <c r="J28" s="279"/>
      <c r="K28" s="267"/>
      <c r="L28" s="267"/>
      <c r="M28" s="267"/>
      <c r="N28" s="267"/>
      <c r="O28" s="280"/>
      <c r="P28" s="269"/>
      <c r="Q28" s="269"/>
      <c r="R28" s="269"/>
      <c r="S28" s="269"/>
      <c r="T28" s="269"/>
      <c r="U28" s="269"/>
      <c r="V28" s="269"/>
      <c r="W28" s="269"/>
      <c r="X28" s="269"/>
      <c r="Y28" s="269"/>
      <c r="Z28" s="269"/>
      <c r="AA28" s="269"/>
      <c r="AB28" s="270"/>
      <c r="AC28" s="271"/>
      <c r="AD28" s="269"/>
      <c r="AE28" s="272"/>
      <c r="AF28" s="303"/>
      <c r="AG28" s="274"/>
      <c r="AH28" s="275"/>
      <c r="AI28" s="276"/>
      <c r="AJ28" s="277"/>
      <c r="AK28" s="449"/>
      <c r="AL28" s="449"/>
      <c r="AM28" s="226"/>
      <c r="AN28" s="138"/>
      <c r="AV28" s="64"/>
      <c r="AW28" s="63"/>
      <c r="AX28" s="63"/>
      <c r="AY28" s="63"/>
      <c r="AZ28" s="63"/>
      <c r="BA28" s="63"/>
      <c r="BB28" s="63"/>
      <c r="BC28" s="63"/>
      <c r="BD28" s="63"/>
      <c r="BE28" s="63"/>
      <c r="BF28" s="63"/>
      <c r="BG28" s="63"/>
      <c r="BH28" s="63"/>
      <c r="BI28" s="64"/>
      <c r="BJ28" s="64"/>
      <c r="BK28" s="64"/>
    </row>
    <row r="29" spans="1:63" ht="61.5" hidden="1" thickBot="1">
      <c r="A29" s="966"/>
      <c r="B29" s="317" t="e">
        <f t="shared" si="4"/>
        <v>#REF!</v>
      </c>
      <c r="C29" s="360" t="s">
        <v>235</v>
      </c>
      <c r="D29" s="361" t="s">
        <v>114</v>
      </c>
      <c r="E29" s="362"/>
      <c r="F29" s="362"/>
      <c r="G29" s="361" t="s">
        <v>214</v>
      </c>
      <c r="H29" s="286" t="s">
        <v>236</v>
      </c>
      <c r="I29" s="363">
        <v>0.878</v>
      </c>
      <c r="J29" s="289" t="s">
        <v>108</v>
      </c>
      <c r="K29" s="290" t="s">
        <v>100</v>
      </c>
      <c r="L29" s="290"/>
      <c r="M29" s="290"/>
      <c r="N29" s="290"/>
      <c r="O29" s="291">
        <v>0.93</v>
      </c>
      <c r="P29" s="321"/>
      <c r="Q29" s="321"/>
      <c r="R29" s="321"/>
      <c r="S29" s="321"/>
      <c r="T29" s="321"/>
      <c r="U29" s="321"/>
      <c r="V29" s="321"/>
      <c r="W29" s="321"/>
      <c r="X29" s="321"/>
      <c r="Y29" s="321"/>
      <c r="Z29" s="321"/>
      <c r="AA29" s="321"/>
      <c r="AB29" s="322" t="e">
        <f t="shared" si="1"/>
        <v>#N/A</v>
      </c>
      <c r="AC29" s="323"/>
      <c r="AD29" s="321" t="e">
        <f t="shared" ref="AD29:AD48" si="5">+IF(SLOPE(P29:AA29,$P$7:$AA$7)&gt;0,"Al alza",IF(SLOPE(P29:AA29,$P$7:$AA$7)&lt;0,"A la baja","Sin cambio"))</f>
        <v>#DIV/0!</v>
      </c>
      <c r="AE29" s="295" t="s">
        <v>13</v>
      </c>
      <c r="AF29" s="324">
        <v>9.6100000000000005E-3</v>
      </c>
      <c r="AG29" s="325" t="str">
        <f t="shared" ref="AG29" si="6">IF(K29="Sube",IF(ISERROR(AB29/O29)=TRUE,"",IF(AB29&gt;O29,AF29,AB29/O29*AF29)),IF(ISERROR(O29/AB29)=TRUE,"",IF(O29&lt;AB29,O29/AB29*AF29,AF29)))</f>
        <v/>
      </c>
      <c r="AH29" s="326" t="str">
        <f>IF($K$29="Sube",IF(ISERROR(AB29/$O$29)=TRUE,"",IF(AB29&gt;=$O$29,1,0)),IF(ISERROR($O$29/AB29)=TRUE,"",IF($O$29&lt;AB29,0,1)))</f>
        <v/>
      </c>
      <c r="AI29" s="327"/>
      <c r="AJ29" s="364">
        <f>236943151/1000000000</f>
        <v>0.23694315099999999</v>
      </c>
      <c r="AK29" s="508"/>
      <c r="AL29" s="451" t="s">
        <v>345</v>
      </c>
      <c r="AM29" s="180"/>
      <c r="AN29" s="151"/>
      <c r="AV29" s="64"/>
      <c r="AW29" s="63"/>
      <c r="AX29" s="63"/>
      <c r="AY29" s="63"/>
      <c r="AZ29" s="63"/>
      <c r="BA29" s="63"/>
      <c r="BB29" s="63"/>
      <c r="BC29" s="63"/>
      <c r="BD29" s="63"/>
      <c r="BE29" s="63"/>
      <c r="BF29" s="63"/>
      <c r="BG29" s="63"/>
      <c r="BH29" s="63"/>
      <c r="BI29" s="64"/>
      <c r="BJ29" s="64"/>
      <c r="BK29" s="64"/>
    </row>
    <row r="30" spans="1:63" ht="61.5" hidden="1" thickBot="1">
      <c r="A30" s="965" t="s">
        <v>75</v>
      </c>
      <c r="B30" s="365" t="e">
        <f t="shared" si="4"/>
        <v>#REF!</v>
      </c>
      <c r="C30" s="244" t="s">
        <v>109</v>
      </c>
      <c r="D30" s="244" t="s">
        <v>121</v>
      </c>
      <c r="E30" s="330"/>
      <c r="F30" s="331"/>
      <c r="G30" s="366" t="s">
        <v>304</v>
      </c>
      <c r="H30" s="244" t="s">
        <v>130</v>
      </c>
      <c r="I30" s="367">
        <v>0.97599999999999998</v>
      </c>
      <c r="J30" s="248" t="s">
        <v>108</v>
      </c>
      <c r="K30" s="249" t="s">
        <v>100</v>
      </c>
      <c r="L30" s="249"/>
      <c r="M30" s="249"/>
      <c r="N30" s="249"/>
      <c r="O30" s="250" t="s">
        <v>301</v>
      </c>
      <c r="P30" s="251"/>
      <c r="Q30" s="251"/>
      <c r="R30" s="251"/>
      <c r="S30" s="251"/>
      <c r="T30" s="251"/>
      <c r="U30" s="251"/>
      <c r="V30" s="251"/>
      <c r="W30" s="251"/>
      <c r="X30" s="251"/>
      <c r="Y30" s="251"/>
      <c r="Z30" s="251"/>
      <c r="AA30" s="251"/>
      <c r="AB30" s="252" t="e">
        <f t="shared" si="1"/>
        <v>#N/A</v>
      </c>
      <c r="AC30" s="253"/>
      <c r="AD30" s="251" t="e">
        <f t="shared" si="5"/>
        <v>#DIV/0!</v>
      </c>
      <c r="AE30" s="254" t="s">
        <v>13</v>
      </c>
      <c r="AF30" s="333">
        <v>9.6100000000000005E-3</v>
      </c>
      <c r="AG30" s="256" t="str">
        <f>IF($K$30="Sube",IF(ISERROR(AB30/$O$30)=TRUE,"",IF(AB30&gt;$O$30,AF30,AB30/$O$30*AF30)),IF(ISERROR($O$30/AB30)=TRUE,"",IF($O$30&lt;AB30,$O$30/AB30*AF30,AF30)))</f>
        <v/>
      </c>
      <c r="AH30" s="257" t="str">
        <f>IF($K$30="Sube",IF(ISERROR(AB30/$O$30)=TRUE,"",IF(AB30&gt;=$O$30,1,0)),IF(ISERROR($O$30/AB30)=TRUE,"",IF($O$30&lt;AB30,0,1)))</f>
        <v/>
      </c>
      <c r="AI30" s="258"/>
      <c r="AJ30" s="368" t="e">
        <f>+'Tablero Estratégico'!#REF!</f>
        <v>#REF!</v>
      </c>
      <c r="AK30" s="509"/>
      <c r="AL30" s="454" t="s">
        <v>335</v>
      </c>
      <c r="AM30" s="178"/>
      <c r="AN30" s="137"/>
      <c r="AV30" s="64"/>
      <c r="AW30" s="63"/>
      <c r="AX30" s="63"/>
      <c r="AY30" s="63"/>
      <c r="AZ30" s="63"/>
      <c r="BA30" s="63"/>
      <c r="BB30" s="63"/>
      <c r="BC30" s="63"/>
      <c r="BD30" s="63"/>
      <c r="BE30" s="63"/>
      <c r="BF30" s="63"/>
      <c r="BG30" s="63"/>
      <c r="BH30" s="63"/>
      <c r="BI30" s="64"/>
      <c r="BJ30" s="64"/>
      <c r="BK30" s="64"/>
    </row>
    <row r="31" spans="1:63" ht="81.75" hidden="1" thickBot="1">
      <c r="A31" s="967"/>
      <c r="B31" s="369" t="e">
        <f t="shared" si="4"/>
        <v>#REF!</v>
      </c>
      <c r="C31" s="262" t="s">
        <v>110</v>
      </c>
      <c r="D31" s="262" t="s">
        <v>112</v>
      </c>
      <c r="E31" s="301"/>
      <c r="F31" s="301"/>
      <c r="G31" s="262" t="s">
        <v>302</v>
      </c>
      <c r="H31" s="262" t="s">
        <v>303</v>
      </c>
      <c r="I31" s="370" t="s">
        <v>278</v>
      </c>
      <c r="J31" s="266" t="s">
        <v>108</v>
      </c>
      <c r="K31" s="267" t="s">
        <v>100</v>
      </c>
      <c r="L31" s="267"/>
      <c r="M31" s="267"/>
      <c r="N31" s="267"/>
      <c r="O31" s="280"/>
      <c r="P31" s="269"/>
      <c r="Q31" s="269"/>
      <c r="R31" s="269"/>
      <c r="S31" s="269"/>
      <c r="T31" s="269"/>
      <c r="U31" s="269"/>
      <c r="V31" s="269"/>
      <c r="W31" s="269"/>
      <c r="X31" s="269"/>
      <c r="Y31" s="269"/>
      <c r="Z31" s="269"/>
      <c r="AA31" s="269"/>
      <c r="AB31" s="270" t="e">
        <f t="shared" si="1"/>
        <v>#N/A</v>
      </c>
      <c r="AC31" s="271"/>
      <c r="AD31" s="269" t="e">
        <f t="shared" si="5"/>
        <v>#DIV/0!</v>
      </c>
      <c r="AE31" s="272" t="s">
        <v>13</v>
      </c>
      <c r="AF31" s="303">
        <v>9.6100000000000005E-3</v>
      </c>
      <c r="AG31" s="274" t="str">
        <f>IF($K$31="Sube",IF(ISERROR(AB31/$O$31)=TRUE,"",IF(AB31&gt;$O$31,AF31,AB31/$O$31*AF31)),IF(ISERROR($O$31/AB31)=TRUE,"",IF($O$31&lt;AB31,$O$31/AB31*AF31,AF31)))</f>
        <v/>
      </c>
      <c r="AH31" s="275" t="str">
        <f>IF($K$31="Sube",IF(ISERROR(AB31/$O$31)=TRUE,"",IF(AB31&gt;=$O$31,1,0)),IF(ISERROR($O$31/AB31)=TRUE,"",IF($O$31&lt;AB31,0,1)))</f>
        <v/>
      </c>
      <c r="AI31" s="276"/>
      <c r="AJ31" s="277">
        <v>17702</v>
      </c>
      <c r="AK31" s="449"/>
      <c r="AL31" s="450" t="s">
        <v>336</v>
      </c>
      <c r="AM31" s="226"/>
      <c r="AN31" s="138"/>
      <c r="AV31" s="64"/>
      <c r="AW31" s="63"/>
      <c r="AX31" s="63"/>
      <c r="AY31" s="63"/>
      <c r="AZ31" s="63"/>
      <c r="BA31" s="63"/>
      <c r="BB31" s="63"/>
      <c r="BC31" s="63"/>
      <c r="BD31" s="63"/>
      <c r="BE31" s="63"/>
      <c r="BF31" s="63"/>
      <c r="BG31" s="63"/>
      <c r="BH31" s="63"/>
      <c r="BI31" s="64"/>
      <c r="BJ31" s="64"/>
      <c r="BK31" s="64"/>
    </row>
    <row r="32" spans="1:63" ht="61.5" hidden="1" thickBot="1">
      <c r="A32" s="966"/>
      <c r="B32" s="371" t="e">
        <f t="shared" si="4"/>
        <v>#REF!</v>
      </c>
      <c r="C32" s="304" t="s">
        <v>111</v>
      </c>
      <c r="D32" s="304" t="s">
        <v>121</v>
      </c>
      <c r="E32" s="305"/>
      <c r="F32" s="305"/>
      <c r="G32" s="304" t="s">
        <v>305</v>
      </c>
      <c r="H32" s="304" t="s">
        <v>237</v>
      </c>
      <c r="I32" s="372">
        <v>0.98</v>
      </c>
      <c r="J32" s="373" t="s">
        <v>108</v>
      </c>
      <c r="K32" s="306" t="s">
        <v>100</v>
      </c>
      <c r="L32" s="306"/>
      <c r="M32" s="306"/>
      <c r="N32" s="306"/>
      <c r="O32" s="307">
        <v>1</v>
      </c>
      <c r="P32" s="308"/>
      <c r="Q32" s="308"/>
      <c r="R32" s="308"/>
      <c r="S32" s="308"/>
      <c r="T32" s="308"/>
      <c r="U32" s="308"/>
      <c r="V32" s="308"/>
      <c r="W32" s="308"/>
      <c r="X32" s="308"/>
      <c r="Y32" s="308"/>
      <c r="Z32" s="308"/>
      <c r="AA32" s="308"/>
      <c r="AB32" s="309" t="e">
        <f t="shared" si="1"/>
        <v>#N/A</v>
      </c>
      <c r="AC32" s="310"/>
      <c r="AD32" s="308" t="e">
        <f t="shared" si="5"/>
        <v>#DIV/0!</v>
      </c>
      <c r="AE32" s="311" t="s">
        <v>13</v>
      </c>
      <c r="AF32" s="312">
        <v>9.6100000000000005E-3</v>
      </c>
      <c r="AG32" s="313" t="str">
        <f>IF($K$32="Sube",IF(ISERROR(AB32/$O$32)=TRUE,"",IF(AB32&gt;$O$32,AF32,AB32/$O$32*AF32)),IF(ISERROR($O$32/AB32)=TRUE,"",IF($O$32&lt;AB32,$O$32/AB32*AF32,AF32)))</f>
        <v/>
      </c>
      <c r="AH32" s="314" t="str">
        <f>IF($K$32="Sube",IF(ISERROR(AB32/$O$32)=TRUE,"",IF(AB32&gt;=$O$32,1,0)),IF(ISERROR($O$32/AB32)=TRUE,"",IF($O$32&lt;AB32,0,1)))</f>
        <v/>
      </c>
      <c r="AI32" s="315"/>
      <c r="AJ32" s="374">
        <v>0.81</v>
      </c>
      <c r="AK32" s="510"/>
      <c r="AL32" s="455" t="s">
        <v>337</v>
      </c>
      <c r="AM32" s="228"/>
      <c r="AN32" s="179"/>
      <c r="AV32" s="64"/>
      <c r="AW32" s="63"/>
      <c r="AX32" s="63"/>
      <c r="AY32" s="63"/>
      <c r="AZ32" s="63"/>
      <c r="BA32" s="63"/>
      <c r="BB32" s="63"/>
      <c r="BC32" s="63"/>
      <c r="BD32" s="63"/>
      <c r="BE32" s="63"/>
      <c r="BF32" s="63"/>
      <c r="BG32" s="63"/>
      <c r="BH32" s="63"/>
      <c r="BI32" s="64"/>
      <c r="BJ32" s="64"/>
      <c r="BK32" s="64"/>
    </row>
    <row r="33" spans="1:63" s="4" customFormat="1" ht="61.5" hidden="1" thickBot="1">
      <c r="A33" s="965" t="s">
        <v>77</v>
      </c>
      <c r="B33" s="365" t="e">
        <f>+#REF!+1</f>
        <v>#REF!</v>
      </c>
      <c r="C33" s="244" t="s">
        <v>131</v>
      </c>
      <c r="D33" s="244" t="s">
        <v>114</v>
      </c>
      <c r="E33" s="343"/>
      <c r="F33" s="343"/>
      <c r="G33" s="244" t="s">
        <v>132</v>
      </c>
      <c r="H33" s="244" t="s">
        <v>133</v>
      </c>
      <c r="I33" s="367">
        <f>+'Tablero Estratégico'!U29</f>
        <v>0.88935026868588196</v>
      </c>
      <c r="J33" s="248" t="s">
        <v>147</v>
      </c>
      <c r="K33" s="249" t="s">
        <v>141</v>
      </c>
      <c r="L33" s="462"/>
      <c r="M33" s="462"/>
      <c r="N33" s="462"/>
      <c r="O33" s="461">
        <f>+'Tablero Estratégico'!W29</f>
        <v>1</v>
      </c>
      <c r="P33" s="251"/>
      <c r="Q33" s="251"/>
      <c r="R33" s="251"/>
      <c r="S33" s="251"/>
      <c r="T33" s="251"/>
      <c r="U33" s="251"/>
      <c r="V33" s="251"/>
      <c r="W33" s="251"/>
      <c r="X33" s="251"/>
      <c r="Y33" s="251"/>
      <c r="Z33" s="251"/>
      <c r="AA33" s="251"/>
      <c r="AB33" s="252" t="e">
        <f t="shared" si="1"/>
        <v>#N/A</v>
      </c>
      <c r="AC33" s="253"/>
      <c r="AD33" s="251" t="e">
        <f t="shared" si="5"/>
        <v>#DIV/0!</v>
      </c>
      <c r="AE33" s="254" t="s">
        <v>13</v>
      </c>
      <c r="AF33" s="333">
        <v>9.6100000000000005E-3</v>
      </c>
      <c r="AG33" s="256" t="str">
        <f>IF($K$33="Sube",IF(ISERROR(AB33/$O$33)=TRUE,"",IF(AB33&gt;$O$33,AF33,AB33/$O$33*AF33)),IF(ISERROR($O$33/AB33)=TRUE,"",IF($O$33&lt;AB33,$O$33/AB33*AF33,AF33)))</f>
        <v/>
      </c>
      <c r="AH33" s="257" t="str">
        <f>IF($K$33="Sube",IF(ISERROR(AB33/$O$33)=TRUE,"",IF(AB33&gt;=$O$33,1,0)),IF(ISERROR($O$33/AB33)=TRUE,"",IF($O$33&lt;AB33,0,1)))</f>
        <v/>
      </c>
      <c r="AI33" s="258"/>
      <c r="AJ33" s="375">
        <f>+'Tablero Estratégico'!AI29</f>
        <v>0.932885906040268</v>
      </c>
      <c r="AK33" s="511"/>
      <c r="AL33" s="456" t="str">
        <f>+'Tablero Estratégico'!AP29</f>
        <v>Durante el 16 de Julio hasta el 15 de Agoosto, se recibieron 456 PQRSD y se contestaron de manera oportuna 443.</v>
      </c>
      <c r="AM33" s="178"/>
      <c r="AN33" s="127"/>
      <c r="AO33" s="224" t="s">
        <v>306</v>
      </c>
      <c r="AV33" s="64"/>
      <c r="AW33" s="63"/>
      <c r="AX33" s="63"/>
      <c r="AY33" s="63"/>
      <c r="AZ33" s="63"/>
      <c r="BA33" s="63"/>
      <c r="BB33" s="63"/>
      <c r="BC33" s="63"/>
      <c r="BD33" s="63"/>
      <c r="BE33" s="63"/>
      <c r="BF33" s="63"/>
      <c r="BG33" s="63"/>
      <c r="BH33" s="63"/>
      <c r="BI33" s="64"/>
      <c r="BJ33" s="64"/>
      <c r="BK33" s="64"/>
    </row>
    <row r="34" spans="1:63" s="4" customFormat="1" ht="57" hidden="1" customHeight="1">
      <c r="A34" s="950"/>
      <c r="B34" s="376"/>
      <c r="C34" s="377" t="s">
        <v>341</v>
      </c>
      <c r="D34" s="377" t="s">
        <v>114</v>
      </c>
      <c r="E34" s="378"/>
      <c r="F34" s="378"/>
      <c r="G34" s="379" t="s">
        <v>342</v>
      </c>
      <c r="H34" s="377" t="s">
        <v>343</v>
      </c>
      <c r="I34" s="380" t="s">
        <v>278</v>
      </c>
      <c r="J34" s="381" t="s">
        <v>108</v>
      </c>
      <c r="K34" s="382"/>
      <c r="L34" s="382"/>
      <c r="M34" s="382"/>
      <c r="N34" s="382"/>
      <c r="O34" s="280" t="s">
        <v>344</v>
      </c>
      <c r="P34" s="383"/>
      <c r="Q34" s="383"/>
      <c r="R34" s="383"/>
      <c r="S34" s="383"/>
      <c r="T34" s="383"/>
      <c r="U34" s="383"/>
      <c r="V34" s="383"/>
      <c r="W34" s="383"/>
      <c r="X34" s="383"/>
      <c r="Y34" s="383"/>
      <c r="Z34" s="383"/>
      <c r="AA34" s="383"/>
      <c r="AB34" s="384"/>
      <c r="AC34" s="385"/>
      <c r="AD34" s="383"/>
      <c r="AE34" s="386"/>
      <c r="AF34" s="387"/>
      <c r="AG34" s="388"/>
      <c r="AH34" s="389"/>
      <c r="AI34" s="390"/>
      <c r="AJ34" s="391">
        <v>0.9</v>
      </c>
      <c r="AK34" s="512"/>
      <c r="AL34" s="456" t="s">
        <v>354</v>
      </c>
      <c r="AM34" s="234"/>
      <c r="AN34" s="233"/>
      <c r="AO34" s="224"/>
      <c r="AV34" s="64"/>
      <c r="AW34" s="63"/>
      <c r="AX34" s="63"/>
      <c r="AY34" s="63"/>
      <c r="AZ34" s="63"/>
      <c r="BA34" s="63"/>
      <c r="BB34" s="63"/>
      <c r="BC34" s="63"/>
      <c r="BD34" s="63"/>
      <c r="BE34" s="63"/>
      <c r="BF34" s="63"/>
      <c r="BG34" s="63"/>
      <c r="BH34" s="63"/>
      <c r="BI34" s="64"/>
      <c r="BJ34" s="64"/>
      <c r="BK34" s="64"/>
    </row>
    <row r="35" spans="1:63" s="4" customFormat="1" ht="61.5" hidden="1" thickBot="1">
      <c r="A35" s="966"/>
      <c r="B35" s="392" t="e">
        <f>+#REF!+1</f>
        <v>#REF!</v>
      </c>
      <c r="C35" s="286" t="s">
        <v>238</v>
      </c>
      <c r="D35" s="286" t="s">
        <v>114</v>
      </c>
      <c r="E35" s="318"/>
      <c r="F35" s="318"/>
      <c r="G35" s="393" t="s">
        <v>307</v>
      </c>
      <c r="H35" s="286" t="s">
        <v>239</v>
      </c>
      <c r="I35" s="394" t="s">
        <v>278</v>
      </c>
      <c r="J35" s="395" t="s">
        <v>108</v>
      </c>
      <c r="K35" s="290" t="s">
        <v>100</v>
      </c>
      <c r="L35" s="290"/>
      <c r="M35" s="290"/>
      <c r="N35" s="290"/>
      <c r="O35" s="291"/>
      <c r="P35" s="321"/>
      <c r="Q35" s="321"/>
      <c r="R35" s="321"/>
      <c r="S35" s="321"/>
      <c r="T35" s="321"/>
      <c r="U35" s="321"/>
      <c r="V35" s="321"/>
      <c r="W35" s="321"/>
      <c r="X35" s="321"/>
      <c r="Y35" s="321"/>
      <c r="Z35" s="321"/>
      <c r="AA35" s="321"/>
      <c r="AB35" s="322" t="e">
        <f t="shared" si="1"/>
        <v>#N/A</v>
      </c>
      <c r="AC35" s="323"/>
      <c r="AD35" s="321" t="e">
        <f t="shared" si="5"/>
        <v>#DIV/0!</v>
      </c>
      <c r="AE35" s="295" t="s">
        <v>13</v>
      </c>
      <c r="AF35" s="324">
        <v>9.6100000000000005E-3</v>
      </c>
      <c r="AG35" s="325" t="str">
        <f>IF($K$35="Sube",IF(ISERROR(AB35/$O$35)=TRUE,"",IF(AB35&gt;$O$35,AF35,AB35/$O$35*AF35)),IF(ISERROR($O$35/AB35)=TRUE,"",IF($O$35&lt;AB35,$O$35/AB35*AF35,AF35)))</f>
        <v/>
      </c>
      <c r="AH35" s="326" t="str">
        <f>IF($K$35="Sube",IF(ISERROR(AB35/$O$35)=TRUE,"",IF(AB35&gt;=$O$35,1,0)),IF(ISERROR($O$35/AB35)=TRUE,"",IF($O$35&lt;AB35,0,1)))</f>
        <v/>
      </c>
      <c r="AI35" s="327"/>
      <c r="AJ35" s="364">
        <v>1</v>
      </c>
      <c r="AK35" s="508"/>
      <c r="AL35" s="451" t="s">
        <v>353</v>
      </c>
      <c r="AM35" s="180"/>
      <c r="AN35" s="150"/>
      <c r="AO35" s="224"/>
      <c r="AV35" s="64"/>
      <c r="AW35" s="63"/>
      <c r="AX35" s="63"/>
      <c r="AY35" s="63"/>
      <c r="AZ35" s="63"/>
      <c r="BA35" s="63"/>
      <c r="BB35" s="63"/>
      <c r="BC35" s="63"/>
      <c r="BD35" s="63"/>
      <c r="BE35" s="63"/>
      <c r="BF35" s="63"/>
      <c r="BG35" s="63"/>
      <c r="BH35" s="63"/>
      <c r="BI35" s="64"/>
      <c r="BJ35" s="64"/>
      <c r="BK35" s="64"/>
    </row>
    <row r="36" spans="1:63" s="219" customFormat="1" ht="63.75" customHeight="1">
      <c r="A36" s="963" t="s">
        <v>78</v>
      </c>
      <c r="B36" s="396" t="e">
        <f t="shared" si="4"/>
        <v>#REF!</v>
      </c>
      <c r="C36" s="243" t="s">
        <v>308</v>
      </c>
      <c r="D36" s="243" t="s">
        <v>121</v>
      </c>
      <c r="E36" s="355"/>
      <c r="F36" s="355"/>
      <c r="G36" s="243" t="s">
        <v>309</v>
      </c>
      <c r="H36" s="243" t="s">
        <v>310</v>
      </c>
      <c r="I36" s="397">
        <v>0.75</v>
      </c>
      <c r="J36" s="248" t="s">
        <v>108</v>
      </c>
      <c r="K36" s="249" t="s">
        <v>100</v>
      </c>
      <c r="L36" s="249"/>
      <c r="M36" s="249"/>
      <c r="N36" s="249"/>
      <c r="O36" s="250" t="s">
        <v>351</v>
      </c>
      <c r="P36" s="251"/>
      <c r="Q36" s="251"/>
      <c r="R36" s="251"/>
      <c r="S36" s="251"/>
      <c r="T36" s="251"/>
      <c r="U36" s="251"/>
      <c r="V36" s="251"/>
      <c r="W36" s="251"/>
      <c r="X36" s="251"/>
      <c r="Y36" s="251"/>
      <c r="Z36" s="251"/>
      <c r="AA36" s="251"/>
      <c r="AB36" s="252" t="e">
        <f t="shared" si="1"/>
        <v>#N/A</v>
      </c>
      <c r="AC36" s="253"/>
      <c r="AD36" s="251" t="e">
        <f t="shared" si="5"/>
        <v>#DIV/0!</v>
      </c>
      <c r="AE36" s="254" t="s">
        <v>13</v>
      </c>
      <c r="AF36" s="333">
        <v>9.6100000000000005E-3</v>
      </c>
      <c r="AG36" s="256" t="str">
        <f>IF($K$36="Sube",IF(ISERROR(AB36/$O$36)=TRUE,"",IF(AB36&gt;$O$36,AF36,AB36/$O$36*AF36)),IF(ISERROR($O$36/AB36)=TRUE,"",IF($O$36&lt;AB36,$O$36/AB36*AF36,AF36)))</f>
        <v/>
      </c>
      <c r="AH36" s="257" t="str">
        <f>IF($K$36="Sube",IF(ISERROR(AB36/$O$36)=TRUE,"",IF(AB36&gt;=$O$36,1,0)),IF(ISERROR($O$36/AB36)=TRUE,"",IF($O$36&lt;AB36,0,1)))</f>
        <v/>
      </c>
      <c r="AI36" s="258"/>
      <c r="AJ36" s="391">
        <v>0.75</v>
      </c>
      <c r="AK36" s="512"/>
      <c r="AL36" s="457" t="s">
        <v>352</v>
      </c>
      <c r="AM36" s="173"/>
      <c r="AN36" s="218"/>
      <c r="AV36" s="220"/>
      <c r="AW36" s="221"/>
      <c r="AX36" s="221"/>
      <c r="AY36" s="221"/>
      <c r="AZ36" s="221"/>
      <c r="BA36" s="221"/>
      <c r="BB36" s="221"/>
      <c r="BC36" s="221"/>
      <c r="BD36" s="221"/>
      <c r="BE36" s="221"/>
      <c r="BF36" s="221"/>
      <c r="BG36" s="221"/>
      <c r="BH36" s="221"/>
      <c r="BI36" s="220"/>
      <c r="BJ36" s="220"/>
      <c r="BK36" s="220"/>
    </row>
    <row r="37" spans="1:63" s="219" customFormat="1" ht="61.5" hidden="1" thickBot="1">
      <c r="A37" s="964"/>
      <c r="B37" s="398" t="e">
        <f>+B36+1</f>
        <v>#REF!</v>
      </c>
      <c r="C37" s="361" t="s">
        <v>134</v>
      </c>
      <c r="D37" s="361" t="s">
        <v>135</v>
      </c>
      <c r="E37" s="362"/>
      <c r="F37" s="362"/>
      <c r="G37" s="361" t="s">
        <v>240</v>
      </c>
      <c r="H37" s="361" t="s">
        <v>136</v>
      </c>
      <c r="I37" s="399" t="s">
        <v>278</v>
      </c>
      <c r="J37" s="395" t="s">
        <v>241</v>
      </c>
      <c r="K37" s="290" t="s">
        <v>100</v>
      </c>
      <c r="L37" s="290"/>
      <c r="M37" s="290"/>
      <c r="N37" s="290"/>
      <c r="O37" s="291"/>
      <c r="P37" s="321"/>
      <c r="Q37" s="321"/>
      <c r="R37" s="321"/>
      <c r="S37" s="321"/>
      <c r="T37" s="321"/>
      <c r="U37" s="321"/>
      <c r="V37" s="321"/>
      <c r="W37" s="321"/>
      <c r="X37" s="321"/>
      <c r="Y37" s="321"/>
      <c r="Z37" s="321"/>
      <c r="AA37" s="321"/>
      <c r="AB37" s="322" t="e">
        <f t="shared" si="1"/>
        <v>#N/A</v>
      </c>
      <c r="AC37" s="323"/>
      <c r="AD37" s="321" t="e">
        <f t="shared" si="5"/>
        <v>#DIV/0!</v>
      </c>
      <c r="AE37" s="295" t="s">
        <v>13</v>
      </c>
      <c r="AF37" s="324">
        <v>9.6100000000000005E-3</v>
      </c>
      <c r="AG37" s="325" t="str">
        <f>IF($K$37="Sube",IF(ISERROR(AB37/$O$37)=TRUE,"",IF(AB37&gt;$O$37,AF37,AB37/$O$37*AF37)),IF(ISERROR($O$37/AB37)=TRUE,"",IF($O$37&lt;AB37,$O$37/AB37*AF37,AF37)))</f>
        <v/>
      </c>
      <c r="AH37" s="326" t="str">
        <f>IF($K$37="Sube",IF(ISERROR(AB37/$O$37)=TRUE,"",IF(AB37&gt;=$O$37,1,0)),IF(ISERROR($O$37/AB37)=TRUE,"",IF($O$37&lt;AB37,0,1)))</f>
        <v/>
      </c>
      <c r="AI37" s="327"/>
      <c r="AJ37" s="400"/>
      <c r="AK37" s="458"/>
      <c r="AL37" s="458"/>
      <c r="AM37" s="229"/>
      <c r="AN37" s="222"/>
      <c r="AV37" s="220"/>
      <c r="AW37" s="221"/>
      <c r="AX37" s="221"/>
      <c r="AY37" s="221"/>
      <c r="AZ37" s="221"/>
      <c r="BA37" s="221"/>
      <c r="BB37" s="221"/>
      <c r="BC37" s="221"/>
      <c r="BD37" s="221"/>
      <c r="BE37" s="221"/>
      <c r="BF37" s="221"/>
      <c r="BG37" s="221"/>
      <c r="BH37" s="221"/>
      <c r="BI37" s="220"/>
      <c r="BJ37" s="220"/>
      <c r="BK37" s="220"/>
    </row>
    <row r="38" spans="1:63" ht="63" hidden="1">
      <c r="A38" s="965" t="s">
        <v>242</v>
      </c>
      <c r="B38" s="242" t="e">
        <f t="shared" si="4"/>
        <v>#REF!</v>
      </c>
      <c r="C38" s="401" t="s">
        <v>243</v>
      </c>
      <c r="D38" s="243" t="s">
        <v>121</v>
      </c>
      <c r="E38" s="245"/>
      <c r="F38" s="355"/>
      <c r="G38" s="470" t="s">
        <v>244</v>
      </c>
      <c r="H38" s="470" t="s">
        <v>368</v>
      </c>
      <c r="I38" s="471">
        <v>0</v>
      </c>
      <c r="J38" s="472" t="s">
        <v>245</v>
      </c>
      <c r="K38" s="473" t="s">
        <v>100</v>
      </c>
      <c r="L38" s="467" t="s">
        <v>364</v>
      </c>
      <c r="M38" s="468" t="s">
        <v>370</v>
      </c>
      <c r="N38" s="469" t="s">
        <v>369</v>
      </c>
      <c r="O38" s="250">
        <v>1</v>
      </c>
      <c r="P38" s="251"/>
      <c r="Q38" s="251"/>
      <c r="R38" s="251"/>
      <c r="S38" s="251"/>
      <c r="T38" s="251"/>
      <c r="U38" s="251"/>
      <c r="V38" s="251"/>
      <c r="W38" s="251"/>
      <c r="X38" s="251"/>
      <c r="Y38" s="251"/>
      <c r="Z38" s="251"/>
      <c r="AA38" s="251"/>
      <c r="AB38" s="252" t="e">
        <f t="shared" si="1"/>
        <v>#N/A</v>
      </c>
      <c r="AC38" s="253"/>
      <c r="AD38" s="251" t="e">
        <f t="shared" si="5"/>
        <v>#DIV/0!</v>
      </c>
      <c r="AE38" s="254" t="s">
        <v>13</v>
      </c>
      <c r="AF38" s="333">
        <v>9.6100000000000005E-3</v>
      </c>
      <c r="AG38" s="256" t="str">
        <f>IF($K$38="Sube",IF(ISERROR(AB38/$O$38)=TRUE,"",IF(AB38&gt;$O$38,AF38,AB38/$O$38*AF38)),IF(ISERROR($O$38/AB38)=TRUE,"",IF($O$38&lt;AB38,$O$38/AB38*AF38,AF38)))</f>
        <v/>
      </c>
      <c r="AH38" s="257" t="str">
        <f>IF($K$38="Sube",IF(ISERROR(AB38/$O$38)=TRUE,"",IF(AB38&gt;=$O$38,1,0)),IF(ISERROR($O$38/AB38)=TRUE,"",IF($O$38&lt;AB38,0,1)))</f>
        <v/>
      </c>
      <c r="AI38" s="258"/>
      <c r="AJ38" s="259"/>
      <c r="AK38" s="448"/>
      <c r="AL38" s="454" t="s">
        <v>346</v>
      </c>
      <c r="AM38" s="178"/>
      <c r="AN38" s="137"/>
      <c r="AV38" s="64"/>
      <c r="AW38" s="63"/>
      <c r="AX38" s="63"/>
      <c r="AY38" s="63"/>
      <c r="AZ38" s="63"/>
      <c r="BA38" s="63"/>
      <c r="BB38" s="63"/>
      <c r="BC38" s="63"/>
      <c r="BD38" s="63"/>
      <c r="BE38" s="63"/>
      <c r="BF38" s="63"/>
      <c r="BG38" s="63"/>
      <c r="BH38" s="63"/>
      <c r="BI38" s="64"/>
      <c r="BJ38" s="64"/>
      <c r="BK38" s="64"/>
    </row>
    <row r="39" spans="1:63" ht="77.25" hidden="1" thickBot="1">
      <c r="A39" s="966"/>
      <c r="B39" s="317" t="e">
        <f>+#REF!+1</f>
        <v>#REF!</v>
      </c>
      <c r="C39" s="393" t="s">
        <v>246</v>
      </c>
      <c r="D39" s="286" t="s">
        <v>113</v>
      </c>
      <c r="E39" s="402"/>
      <c r="F39" s="318"/>
      <c r="G39" s="474" t="s">
        <v>247</v>
      </c>
      <c r="H39" s="349" t="s">
        <v>248</v>
      </c>
      <c r="I39" s="475">
        <v>0.85</v>
      </c>
      <c r="J39" s="476" t="s">
        <v>241</v>
      </c>
      <c r="K39" s="477" t="s">
        <v>100</v>
      </c>
      <c r="L39" s="289"/>
      <c r="M39" s="289"/>
      <c r="N39" s="289"/>
      <c r="O39" s="291">
        <v>0.92</v>
      </c>
      <c r="P39" s="321"/>
      <c r="Q39" s="321"/>
      <c r="R39" s="321"/>
      <c r="S39" s="321"/>
      <c r="T39" s="321"/>
      <c r="U39" s="321"/>
      <c r="V39" s="321"/>
      <c r="W39" s="321"/>
      <c r="X39" s="321"/>
      <c r="Y39" s="321"/>
      <c r="Z39" s="321"/>
      <c r="AA39" s="321"/>
      <c r="AB39" s="322" t="e">
        <f t="shared" si="1"/>
        <v>#N/A</v>
      </c>
      <c r="AC39" s="323">
        <f>+(4*100)/4</f>
        <v>100</v>
      </c>
      <c r="AD39" s="321" t="e">
        <f t="shared" si="5"/>
        <v>#DIV/0!</v>
      </c>
      <c r="AE39" s="295" t="s">
        <v>13</v>
      </c>
      <c r="AF39" s="324">
        <v>9.6100000000000005E-3</v>
      </c>
      <c r="AG39" s="325" t="str">
        <f>IF($K$39="Sube",IF(ISERROR(AB39/$O$39)=TRUE,"",IF(AB39&gt;$O$39,AF39,AB39/$O$39*AF39)),IF(ISERROR($O$39/AB39)=TRUE,"",IF($O$39&lt;AB39,$O$39/AB39*AF39,AF39)))</f>
        <v/>
      </c>
      <c r="AH39" s="326" t="str">
        <f>IF($K$39="Sube",IF(ISERROR(AB39/$O$39)=TRUE,"",IF(AB39&gt;=$O$39,1,0)),IF(ISERROR($O$39/AB39)=TRUE,"",IF($O$39&lt;AB39,0,1)))</f>
        <v/>
      </c>
      <c r="AI39" s="327"/>
      <c r="AJ39" s="328"/>
      <c r="AK39" s="453"/>
      <c r="AL39" s="453"/>
      <c r="AM39" s="180"/>
      <c r="AN39" s="151"/>
      <c r="AO39" s="181" t="s">
        <v>249</v>
      </c>
      <c r="AV39" s="64"/>
      <c r="AW39" s="63"/>
      <c r="AX39" s="63"/>
      <c r="AY39" s="63"/>
      <c r="AZ39" s="63"/>
      <c r="BA39" s="63"/>
      <c r="BB39" s="63"/>
      <c r="BC39" s="63"/>
      <c r="BD39" s="63"/>
      <c r="BE39" s="63"/>
      <c r="BF39" s="63"/>
      <c r="BG39" s="63"/>
      <c r="BH39" s="63"/>
      <c r="BI39" s="64"/>
      <c r="BJ39" s="64"/>
      <c r="BK39" s="64"/>
    </row>
    <row r="40" spans="1:63" ht="42" hidden="1">
      <c r="A40" s="965" t="s">
        <v>79</v>
      </c>
      <c r="B40" s="403" t="e">
        <f t="shared" si="4"/>
        <v>#REF!</v>
      </c>
      <c r="C40" s="404" t="s">
        <v>137</v>
      </c>
      <c r="D40" s="404" t="s">
        <v>112</v>
      </c>
      <c r="E40" s="405"/>
      <c r="F40" s="406"/>
      <c r="G40" s="407" t="str">
        <f>+'Tablero Estratégico'!Q20</f>
        <v>Resultado de la medición del clima laboral en el período</v>
      </c>
      <c r="H40" s="407" t="s">
        <v>157</v>
      </c>
      <c r="I40" s="478">
        <f>+'Tablero Estratégico'!U20</f>
        <v>0.41299999999999998</v>
      </c>
      <c r="J40" s="478" t="s">
        <v>146</v>
      </c>
      <c r="K40" s="473" t="s">
        <v>100</v>
      </c>
      <c r="L40" s="345"/>
      <c r="M40" s="345"/>
      <c r="N40" s="345"/>
      <c r="O40" s="408">
        <f>+'Tablero Estratégico'!W20</f>
        <v>0.75</v>
      </c>
      <c r="P40" s="251"/>
      <c r="Q40" s="251"/>
      <c r="R40" s="251"/>
      <c r="S40" s="251"/>
      <c r="T40" s="251"/>
      <c r="U40" s="251"/>
      <c r="V40" s="251"/>
      <c r="W40" s="251"/>
      <c r="X40" s="251"/>
      <c r="Y40" s="251"/>
      <c r="Z40" s="251"/>
      <c r="AA40" s="251"/>
      <c r="AB40" s="252" t="e">
        <f t="shared" si="1"/>
        <v>#N/A</v>
      </c>
      <c r="AC40" s="253"/>
      <c r="AD40" s="251" t="e">
        <f t="shared" si="5"/>
        <v>#DIV/0!</v>
      </c>
      <c r="AE40" s="254" t="s">
        <v>13</v>
      </c>
      <c r="AF40" s="333">
        <v>9.6100000000000005E-3</v>
      </c>
      <c r="AG40" s="256" t="str">
        <f>IF($K$40="Sube",IF(ISERROR(AB40/$O$40)=TRUE,"",IF(AB40&gt;$O$40,AF40,AB40/$O$40*AF40)),IF(ISERROR($O$40/AB40)=TRUE,"",IF($O$40&lt;AB40,$O$40/AB40*AF40,AF40)))</f>
        <v/>
      </c>
      <c r="AH40" s="257" t="str">
        <f>IF($K$40="Sube",IF(ISERROR(AB40/$O$40)=TRUE,"",IF(AB40&gt;=$O$40,1,0)),IF(ISERROR($O$40/AB40)=TRUE,"",IF($O$40&lt;AB40,0,1)))</f>
        <v/>
      </c>
      <c r="AI40" s="258"/>
      <c r="AJ40" s="259"/>
      <c r="AK40" s="448"/>
      <c r="AL40" s="448"/>
      <c r="AM40" s="178"/>
      <c r="AN40" s="137"/>
      <c r="AV40" s="64"/>
      <c r="AW40" s="63"/>
      <c r="AX40" s="63"/>
      <c r="AY40" s="63"/>
      <c r="AZ40" s="63"/>
      <c r="BA40" s="63"/>
      <c r="BB40" s="63"/>
      <c r="BC40" s="63"/>
      <c r="BD40" s="63"/>
      <c r="BE40" s="63"/>
      <c r="BF40" s="63"/>
      <c r="BG40" s="63"/>
      <c r="BH40" s="63"/>
      <c r="BI40" s="64"/>
      <c r="BJ40" s="64"/>
      <c r="BK40" s="64"/>
    </row>
    <row r="41" spans="1:63" ht="42" hidden="1">
      <c r="A41" s="967"/>
      <c r="B41" s="409" t="e">
        <f t="shared" si="4"/>
        <v>#REF!</v>
      </c>
      <c r="C41" s="335" t="s">
        <v>138</v>
      </c>
      <c r="D41" s="335" t="s">
        <v>112</v>
      </c>
      <c r="E41" s="410"/>
      <c r="F41" s="411"/>
      <c r="G41" s="412" t="s">
        <v>162</v>
      </c>
      <c r="H41" s="412" t="s">
        <v>158</v>
      </c>
      <c r="I41" s="479"/>
      <c r="J41" s="479" t="s">
        <v>146</v>
      </c>
      <c r="K41" s="480" t="s">
        <v>100</v>
      </c>
      <c r="L41" s="279"/>
      <c r="M41" s="279"/>
      <c r="N41" s="279"/>
      <c r="O41" s="280"/>
      <c r="P41" s="269"/>
      <c r="Q41" s="269"/>
      <c r="R41" s="269"/>
      <c r="S41" s="269"/>
      <c r="T41" s="269"/>
      <c r="U41" s="269"/>
      <c r="V41" s="269"/>
      <c r="W41" s="269"/>
      <c r="X41" s="269"/>
      <c r="Y41" s="269"/>
      <c r="Z41" s="269"/>
      <c r="AA41" s="269"/>
      <c r="AB41" s="270" t="e">
        <f t="shared" si="1"/>
        <v>#N/A</v>
      </c>
      <c r="AC41" s="271"/>
      <c r="AD41" s="269" t="e">
        <f t="shared" si="5"/>
        <v>#DIV/0!</v>
      </c>
      <c r="AE41" s="272" t="s">
        <v>13</v>
      </c>
      <c r="AF41" s="303">
        <v>9.6100000000000005E-3</v>
      </c>
      <c r="AG41" s="274" t="str">
        <f>IF($K$41="Sube",IF(ISERROR(AB41/$O$41)=TRUE,"",IF(AB41&gt;$O$41,AF41,AB41/$O$41*AF41)),IF(ISERROR($O$41/AB41)=TRUE,"",IF($O$41&lt;AB41,$O$41/AB41*AF41,AF41)))</f>
        <v/>
      </c>
      <c r="AH41" s="275" t="str">
        <f>IF($K$41="Sube",IF(ISERROR(AB41/$O$41)=TRUE,"",IF(AB41&gt;=$O$41,1,0)),IF(ISERROR($O$41/AB41)=TRUE,"",IF($O$41&lt;AB41,0,1)))</f>
        <v/>
      </c>
      <c r="AI41" s="276"/>
      <c r="AJ41" s="277"/>
      <c r="AK41" s="449"/>
      <c r="AL41" s="449"/>
      <c r="AM41" s="226"/>
      <c r="AN41" s="138"/>
      <c r="AV41" s="64"/>
      <c r="AW41" s="63"/>
      <c r="AX41" s="63"/>
      <c r="AY41" s="63"/>
      <c r="AZ41" s="63"/>
      <c r="BA41" s="63"/>
      <c r="BB41" s="63"/>
      <c r="BC41" s="63"/>
      <c r="BD41" s="63"/>
      <c r="BE41" s="63"/>
      <c r="BF41" s="63"/>
      <c r="BG41" s="63"/>
      <c r="BH41" s="63"/>
      <c r="BI41" s="64"/>
      <c r="BJ41" s="64"/>
      <c r="BK41" s="64"/>
    </row>
    <row r="42" spans="1:63" ht="42" hidden="1">
      <c r="A42" s="967"/>
      <c r="B42" s="409" t="e">
        <f>+#REF!+1</f>
        <v>#REF!</v>
      </c>
      <c r="C42" s="335" t="s">
        <v>250</v>
      </c>
      <c r="D42" s="335" t="s">
        <v>112</v>
      </c>
      <c r="E42" s="410"/>
      <c r="F42" s="411"/>
      <c r="G42" s="412" t="s">
        <v>251</v>
      </c>
      <c r="H42" s="412" t="s">
        <v>252</v>
      </c>
      <c r="I42" s="479" t="s">
        <v>278</v>
      </c>
      <c r="J42" s="481" t="s">
        <v>245</v>
      </c>
      <c r="K42" s="480" t="s">
        <v>100</v>
      </c>
      <c r="L42" s="279"/>
      <c r="M42" s="279"/>
      <c r="N42" s="279"/>
      <c r="O42" s="280"/>
      <c r="P42" s="269"/>
      <c r="Q42" s="269"/>
      <c r="R42" s="269"/>
      <c r="S42" s="269"/>
      <c r="T42" s="269"/>
      <c r="U42" s="269"/>
      <c r="V42" s="269"/>
      <c r="W42" s="269"/>
      <c r="X42" s="269"/>
      <c r="Y42" s="269"/>
      <c r="Z42" s="269"/>
      <c r="AA42" s="269"/>
      <c r="AB42" s="270" t="e">
        <f t="shared" si="1"/>
        <v>#N/A</v>
      </c>
      <c r="AC42" s="271"/>
      <c r="AD42" s="269" t="e">
        <f t="shared" si="5"/>
        <v>#DIV/0!</v>
      </c>
      <c r="AE42" s="272" t="s">
        <v>13</v>
      </c>
      <c r="AF42" s="303">
        <v>9.6100000000000005E-3</v>
      </c>
      <c r="AG42" s="274" t="str">
        <f>IF($K$42="Sube",IF(ISERROR(AB42/$O$42)=TRUE,"",IF(AB42&gt;$O$42,AF42,AB42/$O$42*AF42)),IF(ISERROR($O$42/AB42)=TRUE,"",IF($O$42&lt;AB42,$O$42/AB42*AF42,AF42)))</f>
        <v/>
      </c>
      <c r="AH42" s="275" t="str">
        <f>IF($K$42="Sube",IF(ISERROR(AB42/$O$42)=TRUE,"",IF(AB42&gt;=$O$42,1,0)),IF(ISERROR($O$42/AB42)=TRUE,"",IF($O$42&lt;AB42,0,1)))</f>
        <v/>
      </c>
      <c r="AI42" s="276"/>
      <c r="AJ42" s="277"/>
      <c r="AK42" s="449"/>
      <c r="AL42" s="449"/>
      <c r="AM42" s="226"/>
      <c r="AN42" s="138"/>
      <c r="AV42" s="64"/>
      <c r="AW42" s="63"/>
      <c r="AX42" s="63"/>
      <c r="AY42" s="63"/>
      <c r="AZ42" s="63"/>
      <c r="BA42" s="63"/>
      <c r="BB42" s="63"/>
      <c r="BC42" s="63"/>
      <c r="BD42" s="63"/>
      <c r="BE42" s="63"/>
      <c r="BF42" s="63"/>
      <c r="BG42" s="63"/>
      <c r="BH42" s="63"/>
      <c r="BI42" s="64"/>
      <c r="BJ42" s="64"/>
      <c r="BK42" s="64"/>
    </row>
    <row r="43" spans="1:63" ht="33.75" hidden="1" customHeight="1">
      <c r="A43" s="967"/>
      <c r="B43" s="409" t="e">
        <f t="shared" si="4"/>
        <v>#REF!</v>
      </c>
      <c r="C43" s="335" t="s">
        <v>253</v>
      </c>
      <c r="D43" s="335" t="s">
        <v>121</v>
      </c>
      <c r="E43" s="410"/>
      <c r="F43" s="411"/>
      <c r="G43" s="412" t="s">
        <v>254</v>
      </c>
      <c r="H43" s="412" t="s">
        <v>255</v>
      </c>
      <c r="I43" s="482">
        <v>1</v>
      </c>
      <c r="J43" s="479" t="s">
        <v>108</v>
      </c>
      <c r="K43" s="480" t="s">
        <v>100</v>
      </c>
      <c r="L43" s="279"/>
      <c r="M43" s="279"/>
      <c r="N43" s="279"/>
      <c r="O43" s="280">
        <v>1</v>
      </c>
      <c r="P43" s="269"/>
      <c r="Q43" s="269"/>
      <c r="R43" s="269"/>
      <c r="S43" s="269"/>
      <c r="T43" s="269"/>
      <c r="U43" s="269"/>
      <c r="V43" s="269"/>
      <c r="W43" s="269"/>
      <c r="X43" s="269"/>
      <c r="Y43" s="269"/>
      <c r="Z43" s="269"/>
      <c r="AA43" s="269"/>
      <c r="AB43" s="270" t="e">
        <f t="shared" si="1"/>
        <v>#N/A</v>
      </c>
      <c r="AC43" s="271"/>
      <c r="AD43" s="269" t="e">
        <f t="shared" si="5"/>
        <v>#DIV/0!</v>
      </c>
      <c r="AE43" s="272" t="s">
        <v>13</v>
      </c>
      <c r="AF43" s="303">
        <v>9.6100000000000005E-3</v>
      </c>
      <c r="AG43" s="274" t="str">
        <f>IF($K$43="Sube",IF(ISERROR(AB43/$O$43)=TRUE,"",IF(AB43&gt;$O$43,AF43,AB43/$O$43*AF43)),IF(ISERROR($O$43/AB43)=TRUE,"",IF($O$43&lt;AB43,$O$43/AB43*AF43,AF43)))</f>
        <v/>
      </c>
      <c r="AH43" s="275" t="str">
        <f>IF($K$43="Sube",IF(ISERROR(AB43/$O$43)=TRUE,"",IF(AB43&gt;=$O$43,1,0)),IF(ISERROR($O$43/AB43)=TRUE,"",IF($O$43&lt;AB43,0,1)))</f>
        <v/>
      </c>
      <c r="AI43" s="276"/>
      <c r="AJ43" s="277"/>
      <c r="AK43" s="449"/>
      <c r="AL43" s="449"/>
      <c r="AM43" s="226"/>
      <c r="AN43" s="138"/>
      <c r="AV43" s="64"/>
      <c r="AW43" s="63"/>
      <c r="AX43" s="63"/>
      <c r="AY43" s="63"/>
      <c r="AZ43" s="63"/>
      <c r="BA43" s="63"/>
      <c r="BB43" s="63"/>
      <c r="BC43" s="63"/>
      <c r="BD43" s="63"/>
      <c r="BE43" s="63"/>
      <c r="BF43" s="63"/>
      <c r="BG43" s="63"/>
      <c r="BH43" s="63"/>
      <c r="BI43" s="64"/>
      <c r="BJ43" s="64"/>
      <c r="BK43" s="64"/>
    </row>
    <row r="44" spans="1:63" ht="63" hidden="1">
      <c r="A44" s="967"/>
      <c r="B44" s="409" t="e">
        <f t="shared" si="4"/>
        <v>#REF!</v>
      </c>
      <c r="C44" s="335" t="s">
        <v>256</v>
      </c>
      <c r="D44" s="335" t="s">
        <v>121</v>
      </c>
      <c r="E44" s="411"/>
      <c r="F44" s="411"/>
      <c r="G44" s="412" t="s">
        <v>257</v>
      </c>
      <c r="H44" s="412" t="s">
        <v>258</v>
      </c>
      <c r="I44" s="479" t="s">
        <v>278</v>
      </c>
      <c r="J44" s="481" t="s">
        <v>146</v>
      </c>
      <c r="K44" s="480" t="s">
        <v>100</v>
      </c>
      <c r="L44" s="279"/>
      <c r="M44" s="279"/>
      <c r="N44" s="279"/>
      <c r="O44" s="280"/>
      <c r="P44" s="269"/>
      <c r="Q44" s="269"/>
      <c r="R44" s="269"/>
      <c r="S44" s="269"/>
      <c r="T44" s="269"/>
      <c r="U44" s="269"/>
      <c r="V44" s="269"/>
      <c r="W44" s="269"/>
      <c r="X44" s="269"/>
      <c r="Y44" s="269"/>
      <c r="Z44" s="269"/>
      <c r="AA44" s="269"/>
      <c r="AB44" s="270" t="e">
        <f t="shared" si="1"/>
        <v>#N/A</v>
      </c>
      <c r="AC44" s="271"/>
      <c r="AD44" s="269" t="e">
        <f t="shared" si="5"/>
        <v>#DIV/0!</v>
      </c>
      <c r="AE44" s="272" t="s">
        <v>13</v>
      </c>
      <c r="AF44" s="303">
        <v>9.6100000000000005E-3</v>
      </c>
      <c r="AG44" s="274" t="str">
        <f>IF($K$44="Sube",IF(ISERROR(AB44/$O$44)=TRUE,"",IF(AB44&gt;$O$44,AF44,AB44/$O$44*AF44)),IF(ISERROR($O$44/AB44)=TRUE,"",IF($O$44&lt;AB44,$O$44/AB44*AF44,AF44)))</f>
        <v/>
      </c>
      <c r="AH44" s="275" t="str">
        <f>IF($K$44="Sube",IF(ISERROR(AB44/$O$44)=TRUE,"",IF(AB44&gt;=$O$44,1,0)),IF(ISERROR($O$44/AB44)=TRUE,"",IF($O$44&lt;AB44,0,1)))</f>
        <v/>
      </c>
      <c r="AI44" s="276"/>
      <c r="AJ44" s="277"/>
      <c r="AK44" s="449"/>
      <c r="AL44" s="449"/>
      <c r="AM44" s="226"/>
      <c r="AN44" s="138"/>
      <c r="AV44" s="64"/>
      <c r="AW44" s="63"/>
      <c r="AX44" s="63"/>
      <c r="AY44" s="63"/>
      <c r="AZ44" s="63"/>
      <c r="BA44" s="63"/>
      <c r="BB44" s="63"/>
      <c r="BC44" s="63"/>
      <c r="BD44" s="63"/>
      <c r="BE44" s="63"/>
      <c r="BF44" s="63"/>
      <c r="BG44" s="63"/>
      <c r="BH44" s="63"/>
      <c r="BI44" s="64"/>
      <c r="BJ44" s="64"/>
      <c r="BK44" s="64"/>
    </row>
    <row r="45" spans="1:63" ht="63.75" hidden="1" thickBot="1">
      <c r="A45" s="966"/>
      <c r="B45" s="347"/>
      <c r="C45" s="413" t="s">
        <v>259</v>
      </c>
      <c r="D45" s="413" t="s">
        <v>121</v>
      </c>
      <c r="E45" s="414"/>
      <c r="F45" s="414"/>
      <c r="G45" s="483" t="s">
        <v>260</v>
      </c>
      <c r="H45" s="483" t="s">
        <v>261</v>
      </c>
      <c r="I45" s="484">
        <v>1</v>
      </c>
      <c r="J45" s="485" t="s">
        <v>146</v>
      </c>
      <c r="K45" s="486" t="s">
        <v>141</v>
      </c>
      <c r="L45" s="463"/>
      <c r="M45" s="463"/>
      <c r="N45" s="463"/>
      <c r="O45" s="307">
        <v>1</v>
      </c>
      <c r="P45" s="308"/>
      <c r="Q45" s="308"/>
      <c r="R45" s="308"/>
      <c r="S45" s="308"/>
      <c r="T45" s="308"/>
      <c r="U45" s="308"/>
      <c r="V45" s="308"/>
      <c r="W45" s="308"/>
      <c r="X45" s="308"/>
      <c r="Y45" s="308"/>
      <c r="Z45" s="308"/>
      <c r="AA45" s="308"/>
      <c r="AB45" s="309"/>
      <c r="AC45" s="310"/>
      <c r="AD45" s="308"/>
      <c r="AE45" s="311"/>
      <c r="AF45" s="312"/>
      <c r="AG45" s="313"/>
      <c r="AH45" s="314"/>
      <c r="AI45" s="315"/>
      <c r="AJ45" s="316"/>
      <c r="AK45" s="452"/>
      <c r="AL45" s="452"/>
      <c r="AM45" s="228"/>
      <c r="AN45" s="179"/>
      <c r="AV45" s="64"/>
      <c r="AW45" s="63"/>
      <c r="AX45" s="63"/>
      <c r="AY45" s="63"/>
      <c r="AZ45" s="63"/>
      <c r="BA45" s="63"/>
      <c r="BB45" s="63"/>
      <c r="BC45" s="63"/>
      <c r="BD45" s="63"/>
      <c r="BE45" s="63"/>
      <c r="BF45" s="63"/>
      <c r="BG45" s="63"/>
      <c r="BH45" s="63"/>
      <c r="BI45" s="64"/>
      <c r="BJ45" s="64"/>
      <c r="BK45" s="64"/>
    </row>
    <row r="46" spans="1:63" s="4" customFormat="1" ht="409.6" hidden="1" thickBot="1">
      <c r="A46" s="415" t="s">
        <v>80</v>
      </c>
      <c r="B46" s="416" t="e">
        <f>+#REF!+1</f>
        <v>#REF!</v>
      </c>
      <c r="C46" s="417" t="s">
        <v>139</v>
      </c>
      <c r="D46" s="417" t="s">
        <v>121</v>
      </c>
      <c r="E46" s="418"/>
      <c r="F46" s="418"/>
      <c r="G46" s="487" t="s">
        <v>262</v>
      </c>
      <c r="H46" s="487" t="s">
        <v>263</v>
      </c>
      <c r="I46" s="488" t="str">
        <f>+'Tablero Estratégico'!U24</f>
        <v>NA</v>
      </c>
      <c r="J46" s="489" t="str">
        <f>+'Tablero Estratégico'!T24</f>
        <v>Mensual</v>
      </c>
      <c r="K46" s="490" t="s">
        <v>100</v>
      </c>
      <c r="L46" s="464"/>
      <c r="M46" s="464"/>
      <c r="N46" s="464"/>
      <c r="O46" s="419">
        <v>1</v>
      </c>
      <c r="P46" s="420"/>
      <c r="Q46" s="420"/>
      <c r="R46" s="420"/>
      <c r="S46" s="420"/>
      <c r="T46" s="420"/>
      <c r="U46" s="420"/>
      <c r="V46" s="420"/>
      <c r="W46" s="420"/>
      <c r="X46" s="420"/>
      <c r="Y46" s="420"/>
      <c r="Z46" s="420"/>
      <c r="AA46" s="420"/>
      <c r="AB46" s="421" t="e">
        <f t="shared" si="1"/>
        <v>#N/A</v>
      </c>
      <c r="AC46" s="422"/>
      <c r="AD46" s="420" t="e">
        <f t="shared" si="5"/>
        <v>#DIV/0!</v>
      </c>
      <c r="AE46" s="423" t="s">
        <v>13</v>
      </c>
      <c r="AF46" s="424">
        <v>9.6100000000000005E-3</v>
      </c>
      <c r="AG46" s="425" t="str">
        <f>IF($K$46="Sube",IF(ISERROR(AB46/$O$46)=TRUE,"",IF(AB46&gt;$O$46,AF46,AB46/$O$46*AF46)),IF(ISERROR($O$46/AB46)=TRUE,"",IF($O$46&lt;AB46,$O$46/AB46*AF46,AF46)))</f>
        <v/>
      </c>
      <c r="AH46" s="426" t="str">
        <f>IF($K$46="Sube",IF(ISERROR(AB46/$O$46)=TRUE,"",IF(AB46&gt;=$O$46,1,0)),IF(ISERROR($O$46/AB46)=TRUE,"",IF($O$46&lt;AB46,0,1)))</f>
        <v/>
      </c>
      <c r="AI46" s="427"/>
      <c r="AJ46" s="428">
        <f>+'Tablero Estratégico'!AI24</f>
        <v>0.88573681072389143</v>
      </c>
      <c r="AK46" s="459"/>
      <c r="AL46" s="459" t="str">
        <f>+'Tablero Estratégico'!AP24</f>
        <v>Para cumplir con la meta acumualada y de acuerdo con los históricos:
Ene:   $ 2.217.931.658      (20,07%)   
 - Real a Ene: $ 2.101.993.441,28 (19,02% en el acumulado o 94,77% del mes)
Feb:   $ 2.815.469.050       (25,48%)   
- Real a Feb: $ 2.787.274.448,88 (25,22% en el acumulado o 99,00% del mes)
Mar:   $ 3.166.449.610       (28,65%)
- Real a Mar: $ 2.987.610.735,88 (28,65% en el acumulado o 94,35% del mes)
Abr:   $ 3.538.975.396        (32,02%)
- Real a Abr: $ 3.136.506.445,88 (32,02% en el acumulado  88,62% del mes)
May: $ 3.834.524.769   (34,70)
- Real a May: $3.260.138.254,98 ( 34,69%en el acumulado  85,02% del mes)            
Jun:   $ 4.226.109.249        (38,24%)    
- Real a Jun: $ 3.743.220.527,98 ( 33,87% en el acumulado  88,57% del mes)
Jul:    $6.536.325.721   (59,15%)
- Real a Jul:   $4.661.515.070  (  42,18%  en el acumulado 71,31%  del mes)  
Ago: $7.589.971.626 (68,68%)
 -Real a Ago:  $6.200.463.579,79 ( 56,10% en el acumulado 81,69% del mes)
Metas para los demás meses:
Sep:   $ 8.238.680.187        (74,55%)    ( Nueva expectativa por tendencia $ 7.250.038.565)
Oct:   $ 8.853.291.139         (80,11%)    ( Nueva expectativa por tendencia $ 7.790.896.202)
Nov:   $ 10.445.752.039      (94,52%)    ( Nueva expectativa  por tendencia $9.192.261.794)
Dic:   $ 11.050.804.592       (100,00%)    ( Nueva expectativa por tendencia $9.724.708.041)</v>
      </c>
      <c r="AM46" s="230"/>
      <c r="AN46" s="182"/>
      <c r="AO46" s="224"/>
      <c r="AV46" s="64"/>
      <c r="AW46" s="63"/>
      <c r="AX46" s="63"/>
      <c r="AY46" s="63"/>
      <c r="AZ46" s="63"/>
      <c r="BA46" s="63"/>
      <c r="BB46" s="63"/>
      <c r="BC46" s="63"/>
      <c r="BD46" s="63"/>
      <c r="BE46" s="63"/>
      <c r="BF46" s="63"/>
      <c r="BG46" s="63"/>
      <c r="BH46" s="63"/>
      <c r="BI46" s="64"/>
      <c r="BJ46" s="64"/>
      <c r="BK46" s="64"/>
    </row>
    <row r="47" spans="1:63" ht="63" hidden="1">
      <c r="A47" s="965" t="s">
        <v>81</v>
      </c>
      <c r="B47" s="365" t="e">
        <f>+#REF!+1</f>
        <v>#REF!</v>
      </c>
      <c r="C47" s="243" t="s">
        <v>264</v>
      </c>
      <c r="D47" s="244" t="s">
        <v>114</v>
      </c>
      <c r="E47" s="343"/>
      <c r="F47" s="343"/>
      <c r="G47" s="491" t="s">
        <v>265</v>
      </c>
      <c r="H47" s="491" t="s">
        <v>266</v>
      </c>
      <c r="I47" s="492"/>
      <c r="J47" s="472" t="s">
        <v>147</v>
      </c>
      <c r="K47" s="473" t="s">
        <v>141</v>
      </c>
      <c r="L47" s="345"/>
      <c r="M47" s="345"/>
      <c r="N47" s="345"/>
      <c r="O47" s="250"/>
      <c r="P47" s="251"/>
      <c r="Q47" s="251"/>
      <c r="R47" s="251"/>
      <c r="S47" s="251"/>
      <c r="T47" s="251"/>
      <c r="U47" s="251"/>
      <c r="V47" s="251"/>
      <c r="W47" s="251"/>
      <c r="X47" s="251"/>
      <c r="Y47" s="251"/>
      <c r="Z47" s="251"/>
      <c r="AA47" s="251"/>
      <c r="AB47" s="252" t="e">
        <f t="shared" si="1"/>
        <v>#N/A</v>
      </c>
      <c r="AC47" s="253"/>
      <c r="AD47" s="251" t="e">
        <f t="shared" si="5"/>
        <v>#DIV/0!</v>
      </c>
      <c r="AE47" s="254" t="s">
        <v>13</v>
      </c>
      <c r="AF47" s="333">
        <v>9.6100000000000005E-3</v>
      </c>
      <c r="AG47" s="256" t="str">
        <f>IF($K$47="Sube",IF(ISERROR(AB47/$O$47)=TRUE,"",IF(AB47&gt;$O$47,AF47,AB47/$O$47*AF47)),IF(ISERROR($O$47/AB47)=TRUE,"",IF($O$47&lt;AB47,$O$47/AB47*AF47,AF47)))</f>
        <v/>
      </c>
      <c r="AH47" s="257" t="str">
        <f>IF($K$47="Sube",IF(ISERROR(AB47/$O$47)=TRUE,"",IF(AB47&gt;=$O$47,1,0)),IF(ISERROR($O$47/AB47)=TRUE,"",IF($O$47&lt;AB47,0,1)))</f>
        <v/>
      </c>
      <c r="AI47" s="258"/>
      <c r="AJ47" s="259"/>
      <c r="AK47" s="448"/>
      <c r="AL47" s="448"/>
      <c r="AM47" s="178"/>
      <c r="AN47" s="137"/>
      <c r="AV47" s="64"/>
      <c r="AW47" s="63"/>
      <c r="AX47" s="63"/>
      <c r="AY47" s="63"/>
      <c r="AZ47" s="63"/>
      <c r="BA47" s="63"/>
      <c r="BB47" s="63"/>
      <c r="BC47" s="63"/>
      <c r="BD47" s="63"/>
      <c r="BE47" s="63"/>
      <c r="BF47" s="63"/>
      <c r="BG47" s="63"/>
      <c r="BH47" s="63"/>
      <c r="BI47" s="64"/>
      <c r="BJ47" s="64"/>
      <c r="BK47" s="64"/>
    </row>
    <row r="48" spans="1:63" ht="141.75" hidden="1">
      <c r="A48" s="967"/>
      <c r="B48" s="369" t="e">
        <f t="shared" si="4"/>
        <v>#REF!</v>
      </c>
      <c r="C48" s="262" t="s">
        <v>267</v>
      </c>
      <c r="D48" s="262" t="s">
        <v>121</v>
      </c>
      <c r="E48" s="301"/>
      <c r="F48" s="301"/>
      <c r="G48" s="493" t="s">
        <v>268</v>
      </c>
      <c r="H48" s="493" t="s">
        <v>269</v>
      </c>
      <c r="I48" s="494"/>
      <c r="J48" s="481" t="s">
        <v>147</v>
      </c>
      <c r="K48" s="480" t="s">
        <v>100</v>
      </c>
      <c r="L48" s="279"/>
      <c r="M48" s="279"/>
      <c r="N48" s="279"/>
      <c r="O48" s="280"/>
      <c r="P48" s="269"/>
      <c r="Q48" s="269"/>
      <c r="R48" s="269"/>
      <c r="S48" s="269"/>
      <c r="T48" s="269"/>
      <c r="U48" s="269"/>
      <c r="V48" s="269"/>
      <c r="W48" s="269"/>
      <c r="X48" s="269"/>
      <c r="Y48" s="269"/>
      <c r="Z48" s="269"/>
      <c r="AA48" s="269"/>
      <c r="AB48" s="270" t="e">
        <f t="shared" si="1"/>
        <v>#N/A</v>
      </c>
      <c r="AC48" s="271"/>
      <c r="AD48" s="269" t="e">
        <f t="shared" si="5"/>
        <v>#DIV/0!</v>
      </c>
      <c r="AE48" s="272" t="s">
        <v>13</v>
      </c>
      <c r="AF48" s="303">
        <v>9.6100000000000005E-3</v>
      </c>
      <c r="AG48" s="274" t="str">
        <f>IF($K$48="Sube",IF(ISERROR(AB48/$O$48)=TRUE,"",IF(AB48&gt;$O$48,AF48,AB48/$O$48*AF48)),IF(ISERROR($O$48/AB48)=TRUE,"",IF($O$48&lt;AB48,$O$48/AB48*AF48,AF48)))</f>
        <v/>
      </c>
      <c r="AH48" s="275" t="str">
        <f>IF($K$48="Sube",IF(ISERROR(AB48/$O$48)=TRUE,"",IF(AB48&gt;=$O$48,1,0)),IF(ISERROR($O$48/AB48)=TRUE,"",IF($O$48&lt;AB48,0,1)))</f>
        <v/>
      </c>
      <c r="AI48" s="276"/>
      <c r="AJ48" s="429">
        <f>+'Tablero Estratégico'!AI26</f>
        <v>0.75046126341808617</v>
      </c>
      <c r="AK48" s="513"/>
      <c r="AL48" s="450" t="str">
        <f>+'Tablero Estratégico'!AP26</f>
        <v xml:space="preserve">Acumulado con corte a julio, se recaudaron $16.690.514.730,53 (incluídos recursos Nación) y se comprometieron $18.538.215.467,89. Pagos acumulados están en $14.999.781.739,27
Frente al mes de junio, el recaudo se incrementó en 12,82% en tanto los compromisos se incrementaron en 11,87%. </v>
      </c>
      <c r="AM48" s="226"/>
      <c r="AN48" s="138"/>
      <c r="AV48" s="64"/>
      <c r="AW48" s="63"/>
      <c r="AX48" s="63"/>
      <c r="AY48" s="63"/>
      <c r="AZ48" s="63"/>
      <c r="BA48" s="63"/>
      <c r="BB48" s="63"/>
      <c r="BC48" s="63"/>
      <c r="BD48" s="63"/>
      <c r="BE48" s="63"/>
      <c r="BF48" s="63"/>
      <c r="BG48" s="63"/>
      <c r="BH48" s="63"/>
      <c r="BI48" s="64"/>
      <c r="BJ48" s="64"/>
      <c r="BK48" s="64"/>
    </row>
    <row r="49" spans="1:64" ht="42.75" hidden="1" thickBot="1">
      <c r="A49" s="966"/>
      <c r="B49" s="392" t="e">
        <f t="shared" si="4"/>
        <v>#REF!</v>
      </c>
      <c r="C49" s="286" t="s">
        <v>140</v>
      </c>
      <c r="D49" s="286" t="s">
        <v>112</v>
      </c>
      <c r="E49" s="318"/>
      <c r="F49" s="318"/>
      <c r="G49" s="349" t="s">
        <v>173</v>
      </c>
      <c r="H49" s="349" t="s">
        <v>165</v>
      </c>
      <c r="I49" s="495">
        <f>+'Tablero Estratégico'!U26</f>
        <v>1.0374939776423666</v>
      </c>
      <c r="J49" s="476" t="s">
        <v>147</v>
      </c>
      <c r="K49" s="477" t="s">
        <v>100</v>
      </c>
      <c r="L49" s="289"/>
      <c r="M49" s="289"/>
      <c r="N49" s="289"/>
      <c r="O49" s="291" t="str">
        <f>+'Tablero Estratégico'!W26</f>
        <v>≥  1,00</v>
      </c>
      <c r="P49" s="321"/>
      <c r="Q49" s="321"/>
      <c r="R49" s="321"/>
      <c r="S49" s="321"/>
      <c r="T49" s="321"/>
      <c r="U49" s="321"/>
      <c r="V49" s="321"/>
      <c r="W49" s="321"/>
      <c r="X49" s="321"/>
      <c r="Y49" s="321"/>
      <c r="Z49" s="321"/>
      <c r="AA49" s="321"/>
      <c r="AB49" s="322"/>
      <c r="AC49" s="323"/>
      <c r="AD49" s="321"/>
      <c r="AE49" s="295"/>
      <c r="AF49" s="324"/>
      <c r="AG49" s="325"/>
      <c r="AH49" s="326"/>
      <c r="AI49" s="327"/>
      <c r="AJ49" s="328"/>
      <c r="AK49" s="453"/>
      <c r="AL49" s="453"/>
      <c r="AM49" s="180"/>
      <c r="AN49" s="151"/>
      <c r="AV49" s="64"/>
      <c r="AW49" s="63"/>
      <c r="AX49" s="63"/>
      <c r="AY49" s="63"/>
      <c r="AZ49" s="63"/>
      <c r="BA49" s="63"/>
      <c r="BB49" s="63"/>
      <c r="BC49" s="63"/>
      <c r="BD49" s="63"/>
      <c r="BE49" s="63"/>
      <c r="BF49" s="63"/>
      <c r="BG49" s="63"/>
      <c r="BH49" s="63"/>
      <c r="BI49" s="64"/>
      <c r="BJ49" s="64"/>
      <c r="BK49" s="64"/>
    </row>
    <row r="50" spans="1:64" ht="81" hidden="1">
      <c r="A50" s="950" t="s">
        <v>270</v>
      </c>
      <c r="B50" s="430" t="e">
        <f>+#REF!+1</f>
        <v>#REF!</v>
      </c>
      <c r="C50" s="431" t="s">
        <v>311</v>
      </c>
      <c r="D50" s="432" t="s">
        <v>113</v>
      </c>
      <c r="E50" s="433"/>
      <c r="F50" s="433"/>
      <c r="G50" s="496" t="s">
        <v>271</v>
      </c>
      <c r="H50" s="496" t="s">
        <v>272</v>
      </c>
      <c r="I50" s="497">
        <v>0.4</v>
      </c>
      <c r="J50" s="498" t="s">
        <v>108</v>
      </c>
      <c r="K50" s="499" t="s">
        <v>100</v>
      </c>
      <c r="L50" s="465"/>
      <c r="M50" s="465"/>
      <c r="N50" s="465"/>
      <c r="O50" s="434">
        <v>0.85</v>
      </c>
      <c r="P50" s="435"/>
      <c r="Q50" s="435"/>
      <c r="R50" s="435"/>
      <c r="S50" s="435"/>
      <c r="T50" s="435"/>
      <c r="U50" s="435"/>
      <c r="V50" s="435"/>
      <c r="W50" s="435"/>
      <c r="X50" s="435"/>
      <c r="Y50" s="435"/>
      <c r="Z50" s="435"/>
      <c r="AA50" s="435"/>
      <c r="AB50" s="436"/>
      <c r="AC50" s="437"/>
      <c r="AD50" s="435"/>
      <c r="AE50" s="438"/>
      <c r="AF50" s="439"/>
      <c r="AG50" s="440"/>
      <c r="AH50" s="441"/>
      <c r="AI50" s="442"/>
      <c r="AJ50" s="443">
        <v>0.4</v>
      </c>
      <c r="AK50" s="514"/>
      <c r="AL50" s="460" t="s">
        <v>349</v>
      </c>
      <c r="AM50" s="226"/>
      <c r="AN50" s="138"/>
      <c r="AV50" s="64"/>
      <c r="AW50" s="63"/>
      <c r="AX50" s="63"/>
      <c r="AY50" s="63"/>
      <c r="AZ50" s="63"/>
      <c r="BA50" s="63"/>
      <c r="BB50" s="63"/>
      <c r="BC50" s="63"/>
      <c r="BD50" s="63"/>
      <c r="BE50" s="63"/>
      <c r="BF50" s="63"/>
      <c r="BG50" s="63"/>
      <c r="BH50" s="63"/>
      <c r="BI50" s="64"/>
      <c r="BJ50" s="64"/>
      <c r="BK50" s="64"/>
    </row>
    <row r="51" spans="1:64" ht="63.75" hidden="1" thickBot="1">
      <c r="A51" s="951"/>
      <c r="B51" s="444"/>
      <c r="C51" s="287" t="s">
        <v>273</v>
      </c>
      <c r="D51" s="445" t="s">
        <v>113</v>
      </c>
      <c r="E51" s="318"/>
      <c r="F51" s="318"/>
      <c r="G51" s="500" t="s">
        <v>274</v>
      </c>
      <c r="H51" s="500" t="s">
        <v>275</v>
      </c>
      <c r="I51" s="501">
        <v>0.4</v>
      </c>
      <c r="J51" s="502" t="s">
        <v>108</v>
      </c>
      <c r="K51" s="503" t="s">
        <v>100</v>
      </c>
      <c r="L51" s="466"/>
      <c r="M51" s="466"/>
      <c r="N51" s="466"/>
      <c r="O51" s="291">
        <v>0.85</v>
      </c>
      <c r="P51" s="446"/>
      <c r="Q51" s="321"/>
      <c r="R51" s="321"/>
      <c r="S51" s="321"/>
      <c r="T51" s="321"/>
      <c r="U51" s="321"/>
      <c r="V51" s="321"/>
      <c r="W51" s="321"/>
      <c r="X51" s="321"/>
      <c r="Y51" s="321"/>
      <c r="Z51" s="321"/>
      <c r="AA51" s="321"/>
      <c r="AB51" s="322"/>
      <c r="AC51" s="323"/>
      <c r="AD51" s="321"/>
      <c r="AE51" s="295"/>
      <c r="AF51" s="324"/>
      <c r="AG51" s="325"/>
      <c r="AH51" s="326"/>
      <c r="AI51" s="327"/>
      <c r="AJ51" s="364">
        <v>0.4</v>
      </c>
      <c r="AK51" s="508"/>
      <c r="AL51" s="451" t="s">
        <v>350</v>
      </c>
      <c r="AM51" s="180"/>
      <c r="AN51" s="151"/>
      <c r="AV51" s="64"/>
      <c r="AW51" s="63"/>
      <c r="AX51" s="63"/>
      <c r="AY51" s="63"/>
      <c r="AZ51" s="63"/>
      <c r="BA51" s="63"/>
      <c r="BB51" s="63"/>
      <c r="BC51" s="63"/>
      <c r="BD51" s="63"/>
      <c r="BE51" s="63"/>
      <c r="BF51" s="63"/>
      <c r="BG51" s="63"/>
      <c r="BH51" s="63"/>
      <c r="BI51" s="64"/>
      <c r="BJ51" s="64"/>
      <c r="BK51" s="64"/>
    </row>
    <row r="52" spans="1:64" ht="15.75" hidden="1" thickBot="1">
      <c r="O52" s="223"/>
      <c r="AE52" s="70" t="s">
        <v>14</v>
      </c>
      <c r="AF52" s="80">
        <f>SUM(AF8:AF51)</f>
        <v>0.3363500000000002</v>
      </c>
      <c r="AG52" s="79">
        <f>SUMIFS(AG8:AG51,AE8:AE51,"Si")/SUMIFS(AF8:AF51,AE8:AE51,"Si")</f>
        <v>0</v>
      </c>
      <c r="AH52" s="71">
        <f>SUMIFS(AH8:AH51,AE8:AE51,"Si")/AE54</f>
        <v>0</v>
      </c>
      <c r="AI52" s="183"/>
      <c r="AJ52" s="183"/>
      <c r="AK52" s="183"/>
      <c r="AL52" s="183"/>
      <c r="AW52" s="64"/>
      <c r="AX52" s="63"/>
      <c r="AY52" s="63"/>
      <c r="AZ52" s="63"/>
      <c r="BA52" s="63"/>
      <c r="BB52" s="63"/>
      <c r="BC52" s="63"/>
      <c r="BD52" s="63"/>
      <c r="BE52" s="63"/>
      <c r="BF52" s="63"/>
      <c r="BG52" s="63"/>
      <c r="BH52" s="63"/>
      <c r="BI52" s="63"/>
      <c r="BJ52" s="64"/>
      <c r="BK52" s="64"/>
      <c r="BL52" s="64"/>
    </row>
    <row r="53" spans="1:64" ht="38.25" hidden="1">
      <c r="O53" s="223"/>
      <c r="AE53" s="22" t="s">
        <v>15</v>
      </c>
      <c r="AF53" s="172" t="s">
        <v>16</v>
      </c>
      <c r="AG53" s="23" t="s">
        <v>17</v>
      </c>
      <c r="AM53" s="19"/>
      <c r="AW53" s="64"/>
      <c r="AX53" s="64"/>
      <c r="AY53" s="64"/>
      <c r="AZ53" s="64"/>
      <c r="BA53" s="64"/>
      <c r="BB53" s="64"/>
      <c r="BC53" s="64"/>
      <c r="BD53" s="64"/>
      <c r="BE53" s="64"/>
      <c r="BF53" s="64"/>
      <c r="BG53" s="64"/>
      <c r="BH53" s="64"/>
      <c r="BI53" s="64"/>
      <c r="BJ53" s="64"/>
      <c r="BK53" s="64"/>
      <c r="BL53" s="64"/>
    </row>
    <row r="54" spans="1:64" ht="15.75" hidden="1" thickBot="1">
      <c r="G54" s="63"/>
      <c r="O54" s="223"/>
      <c r="AE54" s="24">
        <f>COUNTIF(AE8:AE51,"Si")</f>
        <v>35</v>
      </c>
      <c r="AF54" s="25">
        <f>COUNT(AB8:AB51)</f>
        <v>0</v>
      </c>
      <c r="AG54" s="26">
        <f>AF54/AE54</f>
        <v>0</v>
      </c>
      <c r="AM54" s="19"/>
      <c r="AW54" s="64"/>
      <c r="AX54" s="64"/>
      <c r="AY54" s="64"/>
      <c r="AZ54" s="64"/>
      <c r="BA54" s="64"/>
      <c r="BB54" s="64"/>
      <c r="BC54" s="64"/>
      <c r="BD54" s="64"/>
      <c r="BE54" s="64"/>
      <c r="BF54" s="64"/>
      <c r="BG54" s="64"/>
      <c r="BH54" s="64"/>
      <c r="BI54" s="64"/>
      <c r="BJ54" s="64"/>
      <c r="BK54" s="64"/>
      <c r="BL54" s="64"/>
    </row>
    <row r="55" spans="1:64">
      <c r="O55" s="223"/>
      <c r="AE55" s="1"/>
      <c r="AF55" s="2"/>
      <c r="AG55" s="2"/>
      <c r="AM55" s="1"/>
      <c r="AW55" s="64"/>
      <c r="AX55" s="64"/>
      <c r="AY55" s="64"/>
      <c r="AZ55" s="64"/>
      <c r="BA55" s="64"/>
      <c r="BB55" s="64"/>
      <c r="BC55" s="64"/>
      <c r="BD55" s="64"/>
      <c r="BE55" s="64"/>
      <c r="BF55" s="64"/>
      <c r="BG55" s="64"/>
      <c r="BH55" s="64"/>
      <c r="BI55" s="64"/>
      <c r="BJ55" s="64"/>
      <c r="BK55" s="64"/>
      <c r="BL55" s="64"/>
    </row>
    <row r="56" spans="1:64">
      <c r="O56" s="223"/>
      <c r="AE56" s="27" t="s">
        <v>18</v>
      </c>
      <c r="AF56" s="28" t="s">
        <v>19</v>
      </c>
      <c r="AG56" s="2"/>
      <c r="AM56" s="1"/>
      <c r="AW56" s="64"/>
      <c r="AX56" s="64"/>
      <c r="AY56" s="64"/>
      <c r="AZ56" s="64"/>
      <c r="BA56" s="64"/>
      <c r="BB56" s="64"/>
      <c r="BC56" s="64"/>
      <c r="BD56" s="64"/>
      <c r="BE56" s="64"/>
      <c r="BF56" s="64"/>
      <c r="BG56" s="64"/>
      <c r="BH56" s="64"/>
      <c r="BI56" s="64"/>
      <c r="BJ56" s="64"/>
      <c r="BK56" s="64"/>
      <c r="BL56" s="64"/>
    </row>
    <row r="57" spans="1:64">
      <c r="O57" s="223"/>
      <c r="AE57" s="29" t="s">
        <v>20</v>
      </c>
      <c r="AF57" s="30" t="s">
        <v>21</v>
      </c>
      <c r="AG57" s="2"/>
      <c r="AM57" s="1"/>
      <c r="AW57" s="64"/>
      <c r="AX57" s="64"/>
      <c r="AY57" s="64"/>
      <c r="AZ57" s="64"/>
      <c r="BA57" s="64"/>
      <c r="BB57" s="64"/>
      <c r="BC57" s="64"/>
      <c r="BD57" s="64"/>
      <c r="BE57" s="64"/>
      <c r="BF57" s="64"/>
      <c r="BG57" s="64"/>
      <c r="BH57" s="64"/>
      <c r="BI57" s="64"/>
      <c r="BJ57" s="64"/>
      <c r="BK57" s="64"/>
      <c r="BL57" s="64"/>
    </row>
    <row r="58" spans="1:64">
      <c r="O58" s="223"/>
      <c r="AE58" s="31" t="s">
        <v>22</v>
      </c>
      <c r="AF58" s="32" t="s">
        <v>23</v>
      </c>
      <c r="AG58" s="2"/>
      <c r="AM58" s="1"/>
      <c r="AW58" s="64"/>
      <c r="AX58" s="64"/>
      <c r="AY58" s="64"/>
      <c r="AZ58" s="64"/>
      <c r="BA58" s="64"/>
      <c r="BB58" s="64"/>
      <c r="BC58" s="64"/>
      <c r="BD58" s="64"/>
      <c r="BE58" s="64"/>
      <c r="BF58" s="64"/>
      <c r="BG58" s="64"/>
      <c r="BH58" s="64"/>
      <c r="BI58" s="64"/>
      <c r="BJ58" s="64"/>
      <c r="BK58" s="64"/>
      <c r="BL58" s="64"/>
    </row>
    <row r="59" spans="1:64">
      <c r="O59" s="223"/>
    </row>
    <row r="60" spans="1:64">
      <c r="O60" s="223"/>
    </row>
  </sheetData>
  <autoFilter ref="A7:BL54">
    <filterColumn colId="0">
      <filters>
        <filter val="Gestión de recursos fisicos"/>
      </filters>
    </filterColumn>
  </autoFilter>
  <mergeCells count="18">
    <mergeCell ref="AF1:AG3"/>
    <mergeCell ref="D4:AE5"/>
    <mergeCell ref="AF4:AG4"/>
    <mergeCell ref="AF5:AG5"/>
    <mergeCell ref="A33:A35"/>
    <mergeCell ref="A8:A12"/>
    <mergeCell ref="A17:A22"/>
    <mergeCell ref="A23:A25"/>
    <mergeCell ref="A26:A29"/>
    <mergeCell ref="A30:A32"/>
    <mergeCell ref="A13:A16"/>
    <mergeCell ref="A50:A51"/>
    <mergeCell ref="A1:C5"/>
    <mergeCell ref="D1:AE3"/>
    <mergeCell ref="A36:A37"/>
    <mergeCell ref="A38:A39"/>
    <mergeCell ref="A40:A45"/>
    <mergeCell ref="A47:A49"/>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formula1>"Si,No"</formula1>
    </dataValidation>
    <dataValidation type="list" allowBlank="1" showInputMessage="1" showErrorMessage="1" sqref="K8:K51 L8:N37">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N38"/>
  <sheetViews>
    <sheetView topLeftCell="A2" zoomScale="85" zoomScaleNormal="85" zoomScalePageLayoutView="85" workbookViewId="0">
      <pane ySplit="2" topLeftCell="A4" activePane="bottomLeft" state="frozen"/>
      <selection activeCell="A2" sqref="A2"/>
      <selection pane="bottomLeft" activeCell="D18" sqref="D18"/>
    </sheetView>
  </sheetViews>
  <sheetFormatPr baseColWidth="10" defaultColWidth="11.42578125" defaultRowHeight="15"/>
  <cols>
    <col min="2" max="2" width="13.42578125" customWidth="1"/>
    <col min="3" max="3" width="75.140625" customWidth="1"/>
    <col min="4" max="4" width="67.42578125" customWidth="1"/>
    <col min="5" max="5" width="54.42578125" style="181" bestFit="1" customWidth="1"/>
    <col min="6" max="6" width="10.42578125" customWidth="1"/>
  </cols>
  <sheetData>
    <row r="2" spans="3:6" ht="15.75" thickBot="1"/>
    <row r="3" spans="3:6" ht="15.75" thickBot="1">
      <c r="C3" s="167" t="s">
        <v>315</v>
      </c>
      <c r="D3" s="186" t="s">
        <v>292</v>
      </c>
      <c r="E3" s="186" t="s">
        <v>293</v>
      </c>
      <c r="F3" s="192" t="s">
        <v>40</v>
      </c>
    </row>
    <row r="4" spans="3:6" ht="28.5" customHeight="1">
      <c r="C4" s="987" t="s">
        <v>285</v>
      </c>
      <c r="D4" s="194" t="str">
        <f>+'Tablero Eficacia - Eficiencia'!C31</f>
        <v xml:space="preserve">Beneficiados de actividad </v>
      </c>
      <c r="E4" s="195" t="str">
        <f>+'Tablero Eficacia - Eficiencia'!I31</f>
        <v>No tiene, es la primera vez que se mide este impacto</v>
      </c>
      <c r="F4" s="207">
        <f>+'Tablero Eficacia - Eficiencia'!O31</f>
        <v>0</v>
      </c>
    </row>
    <row r="5" spans="3:6" ht="27" customHeight="1" thickBot="1">
      <c r="C5" s="988"/>
      <c r="D5" s="196" t="str">
        <f>+'Tablero Eficacia - Eficiencia'!C32</f>
        <v>Actividades de formación integral</v>
      </c>
      <c r="E5" s="215">
        <f>+'Tablero Eficacia - Eficiencia'!I32</f>
        <v>0.98</v>
      </c>
      <c r="F5" s="206">
        <f>+'Tablero Eficacia - Eficiencia'!O32</f>
        <v>1</v>
      </c>
    </row>
    <row r="6" spans="3:6" ht="38.25" customHeight="1">
      <c r="C6" s="987" t="s">
        <v>286</v>
      </c>
      <c r="D6" s="194" t="str">
        <f>+'Tablero Eficacia - Eficiencia'!C9</f>
        <v xml:space="preserve">Variación de pruebas saber pro </v>
      </c>
      <c r="E6" s="193" t="str">
        <f>+'Tablero Eficacia - Eficiencia'!I9</f>
        <v>9.9925(2016)/9,9204(2015)</v>
      </c>
      <c r="F6" s="211">
        <f>+'Tablero Eficacia - Eficiencia'!O9</f>
        <v>7.2678521027376153E-3</v>
      </c>
    </row>
    <row r="7" spans="3:6">
      <c r="C7" s="989"/>
      <c r="D7" s="191" t="str">
        <f>+'Tablero Eficacia - Eficiencia'!C10</f>
        <v>Índice de empleabilidad</v>
      </c>
      <c r="E7" s="187" t="str">
        <f>+'Tablero Eficacia - Eficiencia'!I10</f>
        <v>95,7% (Medición del 2015, no hay datos 2016)</v>
      </c>
      <c r="F7" s="205" t="str">
        <f>+'Tablero Eficacia - Eficiencia'!O10</f>
        <v>&gt;= 96%</v>
      </c>
    </row>
    <row r="8" spans="3:6">
      <c r="C8" s="989"/>
      <c r="D8" s="191" t="str">
        <f>+'Tablero Eficacia - Eficiencia'!C13</f>
        <v>Satisfacción de los cursos de extensión</v>
      </c>
      <c r="E8" s="188" t="str">
        <f>+'Tablero Eficacia - Eficiencia'!I13</f>
        <v>No tiene, es la primera vez que se mide este impacto</v>
      </c>
      <c r="F8" s="205">
        <f>+'Tablero Eficacia - Eficiencia'!O13</f>
        <v>0</v>
      </c>
    </row>
    <row r="9" spans="3:6">
      <c r="C9" s="989"/>
      <c r="D9" s="191" t="str">
        <f>+'Tablero Eficacia - Eficiencia'!C15</f>
        <v>Permanencia en los cursos de extensión</v>
      </c>
      <c r="E9" s="188" t="str">
        <f>+'Tablero Eficacia - Eficiencia'!I15</f>
        <v>No tiene, es la primera vez que se mide este impacto</v>
      </c>
      <c r="F9" s="205">
        <f>+'Tablero Eficacia - Eficiencia'!O15</f>
        <v>0</v>
      </c>
    </row>
    <row r="10" spans="3:6">
      <c r="C10" s="989"/>
      <c r="D10" s="191" t="str">
        <f>+'Tablero Eficacia - Eficiencia'!C17</f>
        <v xml:space="preserve">Trabajos de grado con reconocimiento </v>
      </c>
      <c r="E10" s="188" t="str">
        <f>+'Tablero Eficacia - Eficiencia'!I17</f>
        <v>No tiene, es la primera vez que se mide este impacto</v>
      </c>
      <c r="F10" s="205">
        <f>+'Tablero Eficacia - Eficiencia'!O17</f>
        <v>1</v>
      </c>
    </row>
    <row r="11" spans="3:6">
      <c r="C11" s="989"/>
      <c r="D11" s="191" t="str">
        <f>+'Tablero Eficacia - Eficiencia'!C20</f>
        <v>Revisión de syllabus</v>
      </c>
      <c r="E11" s="189" t="str">
        <f>+'Tablero Eficacia - Eficiencia'!I20</f>
        <v>75% (11/15)</v>
      </c>
      <c r="F11" s="205">
        <f>+'Tablero Eficacia - Eficiencia'!O20</f>
        <v>0.9</v>
      </c>
    </row>
    <row r="12" spans="3:6">
      <c r="C12" s="989"/>
      <c r="D12" s="197" t="str">
        <f>+'Tablero Eficacia - Eficiencia'!C23</f>
        <v>Rendimiento académico periódico</v>
      </c>
      <c r="E12" s="188" t="str">
        <f>+'Tablero Eficacia - Eficiencia'!I23</f>
        <v>No tiene, es la primera vez que se mide este impacto</v>
      </c>
      <c r="F12" s="205">
        <f>+'Tablero Eficacia - Eficiencia'!O23</f>
        <v>0</v>
      </c>
    </row>
    <row r="13" spans="3:6">
      <c r="C13" s="989"/>
      <c r="D13" s="197" t="str">
        <f>+'Tablero Eficacia - Eficiencia'!C24</f>
        <v xml:space="preserve">Promoción escolar </v>
      </c>
      <c r="E13" s="187">
        <f>+'Tablero Eficacia - Eficiencia'!I24</f>
        <v>0.8571428571428571</v>
      </c>
      <c r="F13" s="205">
        <f>+'Tablero Eficacia - Eficiencia'!O24</f>
        <v>0.87</v>
      </c>
    </row>
    <row r="14" spans="3:6" ht="15.75" thickBot="1">
      <c r="C14" s="988"/>
      <c r="D14" s="198" t="str">
        <f>+'Tablero Eficacia - Eficiencia'!C25</f>
        <v xml:space="preserve">Desempeño pruebas saber </v>
      </c>
      <c r="E14" s="212">
        <f>+'Tablero Eficacia - Eficiencia'!I25</f>
        <v>-0.23424570337364736</v>
      </c>
      <c r="F14" s="206">
        <f>+'Tablero Eficacia - Eficiencia'!O25</f>
        <v>7.22</v>
      </c>
    </row>
    <row r="15" spans="3:6">
      <c r="C15" s="984" t="s">
        <v>287</v>
      </c>
      <c r="D15" s="200" t="str">
        <f>+'Tablero Eficacia - Eficiencia'!C26</f>
        <v>Proyectos de formación en actividades</v>
      </c>
      <c r="E15" s="213">
        <f>+'Tablero Eficacia - Eficiencia'!I26</f>
        <v>1</v>
      </c>
      <c r="F15" s="207">
        <f>+'Tablero Eficacia - Eficiencia'!O26</f>
        <v>1</v>
      </c>
    </row>
    <row r="16" spans="3:6">
      <c r="C16" s="985"/>
      <c r="D16" s="197" t="str">
        <f>+'Tablero Eficacia - Eficiencia'!C27</f>
        <v>Proyectos  de  apoyo a las actividades</v>
      </c>
      <c r="E16" s="216">
        <f>+'Tablero Eficacia - Eficiencia'!I27</f>
        <v>0.9</v>
      </c>
      <c r="F16" s="205">
        <f>+'Tablero Eficacia - Eficiencia'!O27</f>
        <v>1</v>
      </c>
    </row>
    <row r="17" spans="3:6" ht="15.75" thickBot="1">
      <c r="C17" s="986"/>
      <c r="D17" s="198" t="str">
        <f>+'Tablero Eficacia - Eficiencia'!C28</f>
        <v>Programa  de transferencia de conocimiento</v>
      </c>
      <c r="E17" s="199" t="str">
        <f>+'Tablero Eficacia - Eficiencia'!I28</f>
        <v>No tiene, es la primera vez que se mide este impacto</v>
      </c>
      <c r="F17" s="206">
        <f>+'Tablero Eficacia - Eficiencia'!O28</f>
        <v>0</v>
      </c>
    </row>
    <row r="18" spans="3:6" ht="26.25" thickBot="1">
      <c r="C18" s="204" t="s">
        <v>288</v>
      </c>
      <c r="D18" s="202" t="str">
        <f>+'Tablero Eficacia - Eficiencia'!C8</f>
        <v>Programas acreditados</v>
      </c>
      <c r="E18" s="203">
        <f>+'Tablero Eficacia - Eficiencia'!I8</f>
        <v>0.1111111111111111</v>
      </c>
      <c r="F18" s="208">
        <f>+'Tablero Eficacia - Eficiencia'!O8</f>
        <v>0.1111111111111111</v>
      </c>
    </row>
    <row r="19" spans="3:6" ht="30.75" customHeight="1">
      <c r="C19" s="984" t="s">
        <v>289</v>
      </c>
      <c r="D19" s="194" t="str">
        <f>+'Tablero Eficacia - Eficiencia'!C11</f>
        <v>Cumplimiento de actividades de movilidad</v>
      </c>
      <c r="E19" s="217">
        <f>+'Tablero Eficacia - Eficiencia'!I11</f>
        <v>0.94169999999999998</v>
      </c>
      <c r="F19" s="207">
        <f>+'Tablero Eficacia - Eficiencia'!O11</f>
        <v>1</v>
      </c>
    </row>
    <row r="20" spans="3:6" ht="15.75" thickBot="1">
      <c r="C20" s="986"/>
      <c r="D20" s="198" t="str">
        <f>+'Tablero Eficacia - Eficiencia'!C18</f>
        <v>Participación en comunidades académicas</v>
      </c>
      <c r="E20" s="199" t="str">
        <f>+'Tablero Eficacia - Eficiencia'!I18</f>
        <v>No tiene, es la primera vez que se mide este impacto</v>
      </c>
      <c r="F20" s="206">
        <f>+'Tablero Eficacia - Eficiencia'!O18</f>
        <v>1</v>
      </c>
    </row>
    <row r="21" spans="3:6">
      <c r="C21" s="984" t="s">
        <v>290</v>
      </c>
      <c r="D21" s="200" t="str">
        <f>+'Tablero Eficacia - Eficiencia'!C12</f>
        <v>Cumplimiento del Plan de Desarrollo Institucional</v>
      </c>
      <c r="E21" s="213">
        <f>+'Tablero Eficacia - Eficiencia'!I12</f>
        <v>0.97</v>
      </c>
      <c r="F21" s="207">
        <f>+'Tablero Eficacia - Eficiencia'!O12</f>
        <v>0.98</v>
      </c>
    </row>
    <row r="22" spans="3:6">
      <c r="C22" s="985"/>
      <c r="D22" s="197" t="str">
        <f>+'Tablero Eficacia - Eficiencia'!C38</f>
        <v>Seguimiento a las hojas de vida de los funcionarios</v>
      </c>
      <c r="E22" s="189">
        <f>+'Tablero Eficacia - Eficiencia'!I38</f>
        <v>0</v>
      </c>
      <c r="F22" s="205">
        <f>+'Tablero Eficacia - Eficiencia'!O38</f>
        <v>1</v>
      </c>
    </row>
    <row r="23" spans="3:6">
      <c r="C23" s="985"/>
      <c r="D23" s="197" t="str">
        <f>+'Tablero Eficacia - Eficiencia'!C39</f>
        <v xml:space="preserve">Seguimiento al servicio permanente </v>
      </c>
      <c r="E23" s="216">
        <f>+'Tablero Eficacia - Eficiencia'!I39</f>
        <v>0.85</v>
      </c>
      <c r="F23" s="205">
        <f>+'Tablero Eficacia - Eficiencia'!O39</f>
        <v>0.92</v>
      </c>
    </row>
    <row r="24" spans="3:6">
      <c r="C24" s="985"/>
      <c r="D24" s="197" t="str">
        <f>+'Tablero Eficacia - Eficiencia'!C40</f>
        <v xml:space="preserve">Clima laboral </v>
      </c>
      <c r="E24" s="231">
        <f>+'Tablero Eficacia - Eficiencia'!I40</f>
        <v>0.41299999999999998</v>
      </c>
      <c r="F24" s="209">
        <f>+'Tablero Eficacia - Eficiencia'!O40</f>
        <v>0.75</v>
      </c>
    </row>
    <row r="25" spans="3:6" ht="36.75" customHeight="1">
      <c r="C25" s="985"/>
      <c r="D25" s="191" t="str">
        <f>+'Tablero Eficacia - Eficiencia'!C43</f>
        <v xml:space="preserve">Cumplimiento del programa de bienestar laboral </v>
      </c>
      <c r="E25" s="214">
        <f>+'Tablero Eficacia - Eficiencia'!I43</f>
        <v>1</v>
      </c>
      <c r="F25" s="210">
        <f>+'Tablero Eficacia - Eficiencia'!O43</f>
        <v>1</v>
      </c>
    </row>
    <row r="26" spans="3:6" ht="15.75" thickBot="1">
      <c r="C26" s="986"/>
      <c r="D26" s="198" t="str">
        <f>+'Tablero Eficacia - Eficiencia'!C45</f>
        <v>Cumplimiento del plan de capacitación</v>
      </c>
      <c r="E26" s="215">
        <f>+'Tablero Eficacia - Eficiencia'!I45</f>
        <v>1</v>
      </c>
      <c r="F26" s="206">
        <f>+'Tablero Eficacia - Eficiencia'!O45</f>
        <v>1</v>
      </c>
    </row>
    <row r="27" spans="3:6">
      <c r="C27" s="984" t="s">
        <v>291</v>
      </c>
      <c r="D27" s="200" t="str">
        <f>+'Tablero Eficacia - Eficiencia'!C19</f>
        <v>Uso de talleres y laboratorios</v>
      </c>
      <c r="E27" s="201" t="str">
        <f>+'Tablero Eficacia - Eficiencia'!I19</f>
        <v>No tiene, es la primera vez que se mide este impacto</v>
      </c>
      <c r="F27" s="207">
        <f>+'Tablero Eficacia - Eficiencia'!O19</f>
        <v>1</v>
      </c>
    </row>
    <row r="28" spans="3:6">
      <c r="C28" s="985"/>
      <c r="D28" s="197" t="str">
        <f>+'Tablero Eficacia - Eficiencia'!C31</f>
        <v xml:space="preserve">Beneficiados de actividad </v>
      </c>
      <c r="E28" s="190" t="str">
        <f>+'Tablero Eficacia - Eficiencia'!I31</f>
        <v>No tiene, es la primera vez que se mide este impacto</v>
      </c>
      <c r="F28" s="205">
        <f>+'Tablero Eficacia - Eficiencia'!O31</f>
        <v>0</v>
      </c>
    </row>
    <row r="29" spans="3:6" ht="15.75" thickBot="1">
      <c r="C29" s="986"/>
      <c r="D29" s="198" t="str">
        <f>+'Tablero Eficacia - Eficiencia'!C32</f>
        <v>Actividades de formación integral</v>
      </c>
      <c r="E29" s="215">
        <f>+'Tablero Eficacia - Eficiencia'!I32</f>
        <v>0.98</v>
      </c>
      <c r="F29" s="206">
        <f>+'Tablero Eficacia - Eficiencia'!O32</f>
        <v>1</v>
      </c>
    </row>
    <row r="37" spans="11:14">
      <c r="N37" s="184"/>
    </row>
    <row r="38" spans="11:14">
      <c r="K38" s="185"/>
      <c r="N38" s="185"/>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D6:M14"/>
  <sheetViews>
    <sheetView workbookViewId="0">
      <selection activeCell="E9" sqref="E9"/>
    </sheetView>
  </sheetViews>
  <sheetFormatPr baseColWidth="10" defaultColWidth="11.42578125" defaultRowHeight="15"/>
  <sheetData>
    <row r="6" spans="4:13">
      <c r="L6" s="990" t="s">
        <v>334</v>
      </c>
      <c r="M6" s="990"/>
    </row>
    <row r="7" spans="4:13">
      <c r="E7" t="s">
        <v>323</v>
      </c>
      <c r="F7" t="s">
        <v>324</v>
      </c>
      <c r="L7" t="s">
        <v>332</v>
      </c>
      <c r="M7" t="s">
        <v>333</v>
      </c>
    </row>
    <row r="8" spans="4:13">
      <c r="D8" t="s">
        <v>325</v>
      </c>
      <c r="E8" s="185">
        <f>+'[2]ARTES-MUSICA '!$AC$30</f>
        <v>0.98</v>
      </c>
      <c r="F8">
        <f>+'[2]ARTES-MUSICA '!$AE$30</f>
        <v>14677</v>
      </c>
      <c r="H8">
        <v>98</v>
      </c>
      <c r="I8">
        <f>+'[2]ARTES-MUSICA '!$AE$30</f>
        <v>14677</v>
      </c>
      <c r="L8">
        <v>22</v>
      </c>
      <c r="M8">
        <v>23</v>
      </c>
    </row>
    <row r="9" spans="4:13">
      <c r="D9" t="s">
        <v>326</v>
      </c>
      <c r="E9" s="185">
        <f>+'[2]SALUD '!$AC$15</f>
        <v>1</v>
      </c>
      <c r="F9">
        <f>+'[2]SALUD '!$AE$15</f>
        <v>74</v>
      </c>
      <c r="H9">
        <v>100</v>
      </c>
      <c r="I9">
        <f>+'[2]SALUD '!$AE$15</f>
        <v>74</v>
      </c>
      <c r="L9">
        <v>2</v>
      </c>
      <c r="M9">
        <v>8</v>
      </c>
    </row>
    <row r="10" spans="4:13">
      <c r="D10" t="s">
        <v>327</v>
      </c>
      <c r="E10" s="235">
        <f>+'[2]TRABAJO SOCIAL'!$AC$20</f>
        <v>97.6</v>
      </c>
      <c r="F10">
        <f>+'[2]TRABAJO SOCIAL'!$AE$20</f>
        <v>1741</v>
      </c>
      <c r="H10">
        <v>98</v>
      </c>
      <c r="I10">
        <f>+'[2]TRABAJO SOCIAL'!$AE$20</f>
        <v>1741</v>
      </c>
      <c r="L10">
        <v>9</v>
      </c>
      <c r="M10">
        <v>9</v>
      </c>
    </row>
    <row r="11" spans="4:13">
      <c r="D11" t="s">
        <v>328</v>
      </c>
      <c r="E11">
        <f>+'[2]PSICOLOGIA '!$AC$22</f>
        <v>92.142857142857139</v>
      </c>
      <c r="F11">
        <f>+'[2]PSICOLOGIA '!$AE$22</f>
        <v>1056</v>
      </c>
      <c r="H11">
        <v>92.14</v>
      </c>
      <c r="I11">
        <f>+'[2]PSICOLOGIA '!$AE$22</f>
        <v>1056</v>
      </c>
      <c r="L11">
        <v>13</v>
      </c>
      <c r="M11">
        <v>13</v>
      </c>
    </row>
    <row r="12" spans="4:13">
      <c r="D12" t="s">
        <v>329</v>
      </c>
      <c r="E12">
        <f>+'[2]REC. DEPORTES '!$AC$18</f>
        <v>99</v>
      </c>
      <c r="F12">
        <f>+'[2]REC. DEPORTES '!$AE$18</f>
        <v>154</v>
      </c>
      <c r="H12">
        <v>99</v>
      </c>
      <c r="I12">
        <f>+'[2]REC. DEPORTES '!$AE$18</f>
        <v>154</v>
      </c>
      <c r="L12">
        <v>6</v>
      </c>
      <c r="M12">
        <v>11</v>
      </c>
    </row>
    <row r="13" spans="4:13">
      <c r="D13" t="s">
        <v>330</v>
      </c>
      <c r="H13" s="168">
        <f>+(H12+H11+H9+H8+H10)/500</f>
        <v>0.97427999999999992</v>
      </c>
      <c r="I13">
        <f>SUM(I8:I12)</f>
        <v>17702</v>
      </c>
      <c r="L13">
        <f>SUM(L8:L12)</f>
        <v>52</v>
      </c>
      <c r="M13">
        <f>SUM(M8:M12)</f>
        <v>64</v>
      </c>
    </row>
    <row r="14" spans="4:13">
      <c r="D14" t="s">
        <v>331</v>
      </c>
      <c r="M14" s="168">
        <f>+L13/M13</f>
        <v>0.8125</v>
      </c>
    </row>
  </sheetData>
  <mergeCells count="1">
    <mergeCell ref="L6:M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E8:G10"/>
  <sheetViews>
    <sheetView workbookViewId="0">
      <selection activeCell="H9" sqref="H9"/>
    </sheetView>
  </sheetViews>
  <sheetFormatPr baseColWidth="10" defaultColWidth="11.42578125" defaultRowHeight="15"/>
  <sheetData>
    <row r="8" spans="5:7" ht="15.75" thickBot="1"/>
    <row r="9" spans="5:7" ht="252.75" thickBot="1">
      <c r="E9" s="170">
        <v>1</v>
      </c>
      <c r="F9" s="171">
        <v>0.9</v>
      </c>
      <c r="G9" s="169" t="s">
        <v>193</v>
      </c>
    </row>
    <row r="10" spans="5:7" ht="252.75" thickBot="1">
      <c r="E10" s="170">
        <v>1</v>
      </c>
      <c r="F10" s="171">
        <v>0.9</v>
      </c>
      <c r="G10" s="169" t="s">
        <v>193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cols>
    <col min="1" max="1" width="16.42578125" customWidth="1"/>
    <col min="2" max="2" width="16.42578125" hidden="1" customWidth="1"/>
    <col min="3" max="3" width="30.140625" bestFit="1" customWidth="1"/>
    <col min="4" max="4" width="17.42578125" style="77" bestFit="1" customWidth="1"/>
    <col min="5" max="6" width="4.42578125" hidden="1" customWidth="1"/>
    <col min="7" max="8" width="35.140625" customWidth="1"/>
    <col min="9" max="9" width="16" customWidth="1"/>
    <col min="10" max="10" width="9.42578125" bestFit="1" customWidth="1"/>
    <col min="11" max="11" width="9" style="72" customWidth="1"/>
    <col min="12" max="23" width="7.85546875" customWidth="1" outlineLevel="1"/>
    <col min="24" max="25" width="7.85546875" hidden="1" customWidth="1" outlineLevel="1"/>
    <col min="26" max="26" width="11.42578125" style="67" customWidth="1" collapsed="1"/>
    <col min="27" max="27" width="31.42578125" customWidth="1"/>
    <col min="28" max="28" width="11.42578125" hidden="1" customWidth="1"/>
    <col min="29" max="29" width="8.85546875" customWidth="1"/>
    <col min="30" max="30" width="9.85546875" customWidth="1"/>
    <col min="31" max="31" width="14.140625" customWidth="1"/>
    <col min="32" max="32" width="16.140625" customWidth="1"/>
    <col min="33" max="33" width="14.42578125" customWidth="1"/>
    <col min="34" max="34" width="13.140625" customWidth="1"/>
    <col min="35" max="35" width="14.85546875" customWidth="1"/>
    <col min="44" max="44" width="7" bestFit="1" customWidth="1"/>
    <col min="45" max="45" width="8.85546875" bestFit="1" customWidth="1"/>
    <col min="46" max="46" width="7.42578125" bestFit="1" customWidth="1"/>
    <col min="47" max="47" width="6" bestFit="1" customWidth="1"/>
    <col min="48" max="49" width="6.42578125" bestFit="1" customWidth="1"/>
    <col min="50" max="50" width="5.85546875" bestFit="1" customWidth="1"/>
    <col min="51" max="51" width="8.42578125" bestFit="1" customWidth="1"/>
    <col min="52" max="52" width="11.85546875" customWidth="1"/>
    <col min="53" max="53" width="9.140625" bestFit="1" customWidth="1"/>
    <col min="54" max="54" width="11.85546875" customWidth="1"/>
    <col min="55" max="55" width="10.42578125" bestFit="1" customWidth="1"/>
    <col min="69" max="74" width="9.42578125" customWidth="1"/>
  </cols>
  <sheetData>
    <row r="1" spans="1:58" ht="15" customHeight="1">
      <c r="A1" s="952" t="s">
        <v>47</v>
      </c>
      <c r="B1" s="952"/>
      <c r="C1" s="953"/>
      <c r="D1" s="954" t="s">
        <v>56</v>
      </c>
      <c r="E1" s="955"/>
      <c r="F1" s="955"/>
      <c r="G1" s="955"/>
      <c r="H1" s="955"/>
      <c r="I1" s="955"/>
      <c r="J1" s="955"/>
      <c r="K1" s="955"/>
      <c r="L1" s="955"/>
      <c r="M1" s="955"/>
      <c r="N1" s="955"/>
      <c r="O1" s="955"/>
      <c r="P1" s="955"/>
      <c r="Q1" s="955"/>
      <c r="R1" s="955"/>
      <c r="S1" s="955"/>
      <c r="T1" s="955"/>
      <c r="U1" s="955"/>
      <c r="V1" s="955"/>
      <c r="W1" s="955"/>
      <c r="X1" s="955"/>
      <c r="Y1" s="955"/>
      <c r="Z1" s="955"/>
      <c r="AA1" s="955"/>
      <c r="AB1" s="955"/>
      <c r="AC1" s="956"/>
      <c r="AD1" s="968" t="s">
        <v>31</v>
      </c>
      <c r="AE1" s="968"/>
    </row>
    <row r="2" spans="1:58" ht="15" customHeight="1">
      <c r="A2" s="953"/>
      <c r="B2" s="953"/>
      <c r="C2" s="953"/>
      <c r="D2" s="957"/>
      <c r="E2" s="958"/>
      <c r="F2" s="958"/>
      <c r="G2" s="958"/>
      <c r="H2" s="958"/>
      <c r="I2" s="958"/>
      <c r="J2" s="958"/>
      <c r="K2" s="958"/>
      <c r="L2" s="958"/>
      <c r="M2" s="958"/>
      <c r="N2" s="958"/>
      <c r="O2" s="958"/>
      <c r="P2" s="958"/>
      <c r="Q2" s="958"/>
      <c r="R2" s="958"/>
      <c r="S2" s="958"/>
      <c r="T2" s="958"/>
      <c r="U2" s="958"/>
      <c r="V2" s="958"/>
      <c r="W2" s="958"/>
      <c r="X2" s="958"/>
      <c r="Y2" s="958"/>
      <c r="Z2" s="958"/>
      <c r="AA2" s="958"/>
      <c r="AB2" s="958"/>
      <c r="AC2" s="959"/>
      <c r="AD2" s="968"/>
      <c r="AE2" s="968"/>
    </row>
    <row r="3" spans="1:58" ht="15" customHeight="1">
      <c r="A3" s="953"/>
      <c r="B3" s="953"/>
      <c r="C3" s="953"/>
      <c r="D3" s="960"/>
      <c r="E3" s="961"/>
      <c r="F3" s="961"/>
      <c r="G3" s="961"/>
      <c r="H3" s="961"/>
      <c r="I3" s="961"/>
      <c r="J3" s="961"/>
      <c r="K3" s="961"/>
      <c r="L3" s="961"/>
      <c r="M3" s="961"/>
      <c r="N3" s="961"/>
      <c r="O3" s="961"/>
      <c r="P3" s="961"/>
      <c r="Q3" s="961"/>
      <c r="R3" s="961"/>
      <c r="S3" s="961"/>
      <c r="T3" s="961"/>
      <c r="U3" s="961"/>
      <c r="V3" s="961"/>
      <c r="W3" s="961"/>
      <c r="X3" s="961"/>
      <c r="Y3" s="961"/>
      <c r="Z3" s="961"/>
      <c r="AA3" s="961"/>
      <c r="AB3" s="961"/>
      <c r="AC3" s="962"/>
      <c r="AD3" s="968"/>
      <c r="AE3" s="968"/>
    </row>
    <row r="4" spans="1:58" ht="15" customHeight="1">
      <c r="A4" s="953"/>
      <c r="B4" s="953"/>
      <c r="C4" s="953"/>
      <c r="D4" s="969" t="s">
        <v>44</v>
      </c>
      <c r="E4" s="970"/>
      <c r="F4" s="970"/>
      <c r="G4" s="970"/>
      <c r="H4" s="970"/>
      <c r="I4" s="970"/>
      <c r="J4" s="970"/>
      <c r="K4" s="970"/>
      <c r="L4" s="970"/>
      <c r="M4" s="970"/>
      <c r="N4" s="970"/>
      <c r="O4" s="970"/>
      <c r="P4" s="970"/>
      <c r="Q4" s="970"/>
      <c r="R4" s="970"/>
      <c r="S4" s="970"/>
      <c r="T4" s="970"/>
      <c r="U4" s="970"/>
      <c r="V4" s="970"/>
      <c r="W4" s="970"/>
      <c r="X4" s="970"/>
      <c r="Y4" s="970"/>
      <c r="Z4" s="970"/>
      <c r="AA4" s="970"/>
      <c r="AB4" s="970"/>
      <c r="AC4" s="971"/>
      <c r="AD4" s="975" t="s">
        <v>32</v>
      </c>
      <c r="AE4" s="975"/>
      <c r="AQ4" s="64"/>
      <c r="AR4" s="64"/>
      <c r="AS4" s="64"/>
      <c r="AT4" s="64"/>
      <c r="AU4" s="64"/>
      <c r="AV4" s="64"/>
      <c r="AW4" s="64"/>
      <c r="AX4" s="64"/>
      <c r="AY4" s="64"/>
      <c r="AZ4" s="64"/>
      <c r="BA4" s="64"/>
      <c r="BB4" s="64"/>
      <c r="BC4" s="64"/>
      <c r="BD4" s="64"/>
      <c r="BE4" s="64"/>
      <c r="BF4" s="64"/>
    </row>
    <row r="5" spans="1:58" ht="15" customHeight="1">
      <c r="A5" s="953"/>
      <c r="B5" s="953"/>
      <c r="C5" s="953"/>
      <c r="D5" s="972"/>
      <c r="E5" s="973"/>
      <c r="F5" s="973"/>
      <c r="G5" s="973"/>
      <c r="H5" s="973"/>
      <c r="I5" s="973"/>
      <c r="J5" s="973"/>
      <c r="K5" s="973"/>
      <c r="L5" s="973"/>
      <c r="M5" s="973"/>
      <c r="N5" s="973"/>
      <c r="O5" s="973"/>
      <c r="P5" s="973"/>
      <c r="Q5" s="973"/>
      <c r="R5" s="973"/>
      <c r="S5" s="973"/>
      <c r="T5" s="973"/>
      <c r="U5" s="973"/>
      <c r="V5" s="973"/>
      <c r="W5" s="973"/>
      <c r="X5" s="973"/>
      <c r="Y5" s="973"/>
      <c r="Z5" s="973"/>
      <c r="AA5" s="973"/>
      <c r="AB5" s="973"/>
      <c r="AC5" s="974"/>
      <c r="AD5" s="976">
        <v>42731</v>
      </c>
      <c r="AE5" s="976"/>
      <c r="AQ5" s="64"/>
      <c r="AR5" s="64"/>
      <c r="AS5" s="64"/>
      <c r="AT5" s="64"/>
      <c r="AU5" s="64"/>
      <c r="AV5" s="64"/>
      <c r="AW5" s="64"/>
      <c r="AX5" s="64"/>
      <c r="AY5" s="64"/>
      <c r="AZ5" s="64"/>
      <c r="BA5" s="64"/>
      <c r="BB5" s="64"/>
      <c r="BC5" s="64"/>
      <c r="BD5" s="64"/>
      <c r="BE5" s="64"/>
      <c r="BF5" s="64"/>
    </row>
    <row r="6" spans="1:58">
      <c r="AQ6" s="64"/>
      <c r="AR6" s="64"/>
      <c r="AS6" s="64"/>
      <c r="AT6" s="64"/>
      <c r="AU6" s="64"/>
      <c r="AV6" s="64"/>
      <c r="AW6" s="64"/>
      <c r="AX6" s="64"/>
      <c r="AY6" s="64"/>
      <c r="AZ6" s="64"/>
      <c r="BA6" s="64"/>
      <c r="BB6" s="64"/>
      <c r="BC6" s="64"/>
      <c r="BD6" s="64"/>
      <c r="BE6" s="64"/>
      <c r="BF6" s="64"/>
    </row>
    <row r="7" spans="1:58" ht="93.75" customHeight="1" thickBot="1">
      <c r="A7" s="114" t="s">
        <v>1</v>
      </c>
      <c r="B7" s="114"/>
      <c r="C7" s="114" t="s">
        <v>2</v>
      </c>
      <c r="D7" s="114" t="s">
        <v>50</v>
      </c>
      <c r="E7" s="114" t="s">
        <v>57</v>
      </c>
      <c r="F7" s="114" t="s">
        <v>58</v>
      </c>
      <c r="G7" s="114" t="s">
        <v>3</v>
      </c>
      <c r="H7" s="114" t="s">
        <v>62</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54</v>
      </c>
      <c r="AB7" s="114" t="s">
        <v>60</v>
      </c>
      <c r="AC7" s="114" t="s">
        <v>9</v>
      </c>
      <c r="AD7" s="166" t="s">
        <v>11</v>
      </c>
      <c r="AE7" s="166" t="s">
        <v>12</v>
      </c>
      <c r="AF7" s="166" t="s">
        <v>55</v>
      </c>
      <c r="AG7" s="166" t="s">
        <v>7</v>
      </c>
      <c r="AH7" s="166" t="s">
        <v>8</v>
      </c>
      <c r="AP7" s="64"/>
      <c r="AQ7" s="65"/>
      <c r="AR7" s="65"/>
      <c r="AS7" s="65"/>
      <c r="AT7" s="65"/>
      <c r="AU7" s="65"/>
      <c r="AV7" s="65"/>
      <c r="AW7" s="65"/>
      <c r="AX7" s="65"/>
      <c r="AY7" s="65"/>
      <c r="AZ7" s="65"/>
      <c r="BA7" s="65"/>
      <c r="BB7" s="65"/>
      <c r="BC7" s="65"/>
      <c r="BD7" s="64"/>
      <c r="BE7" s="64"/>
    </row>
    <row r="8" spans="1:58" ht="25.5">
      <c r="A8" s="992" t="s">
        <v>75</v>
      </c>
      <c r="B8" s="163" t="e">
        <f>+#REF!+1</f>
        <v>#REF!</v>
      </c>
      <c r="C8" s="152" t="s">
        <v>109</v>
      </c>
      <c r="D8" s="126" t="s">
        <v>112</v>
      </c>
      <c r="E8" s="127"/>
      <c r="F8" s="127"/>
      <c r="G8" s="128" t="s">
        <v>102</v>
      </c>
      <c r="H8" s="128" t="s">
        <v>104</v>
      </c>
      <c r="I8" s="129" t="s">
        <v>108</v>
      </c>
      <c r="J8" s="130" t="s">
        <v>100</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5.5">
      <c r="A9" s="993"/>
      <c r="B9" s="108" t="e">
        <f t="shared" ref="B9:B16" si="2">+B8+1</f>
        <v>#REF!</v>
      </c>
      <c r="C9" s="105" t="s">
        <v>110</v>
      </c>
      <c r="D9" s="106" t="s">
        <v>113</v>
      </c>
      <c r="E9" s="61"/>
      <c r="F9" s="61"/>
      <c r="G9" s="16" t="s">
        <v>101</v>
      </c>
      <c r="H9" s="16" t="s">
        <v>105</v>
      </c>
      <c r="I9" s="18" t="s">
        <v>108</v>
      </c>
      <c r="J9" s="104" t="s">
        <v>100</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39" thickBot="1">
      <c r="A10" s="994"/>
      <c r="B10" s="164" t="e">
        <f t="shared" si="2"/>
        <v>#REF!</v>
      </c>
      <c r="C10" s="153" t="s">
        <v>111</v>
      </c>
      <c r="D10" s="140" t="s">
        <v>114</v>
      </c>
      <c r="E10" s="150"/>
      <c r="F10" s="150"/>
      <c r="G10" s="141" t="s">
        <v>103</v>
      </c>
      <c r="H10" s="141" t="s">
        <v>106</v>
      </c>
      <c r="I10" s="142" t="s">
        <v>107</v>
      </c>
      <c r="J10" s="143" t="s">
        <v>100</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c r="A11" s="991" t="s">
        <v>76</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c r="A12" s="991"/>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c r="A13" s="991"/>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c r="A14" s="991"/>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c r="A15" s="991"/>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c r="A16" s="991"/>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75" thickBot="1">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8.25">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75" thickBot="1">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c r="AC20" s="1"/>
      <c r="AD20" s="2"/>
      <c r="AE20" s="2"/>
      <c r="AG20" s="1"/>
      <c r="AQ20" s="64"/>
      <c r="AR20" s="64"/>
      <c r="AS20" s="64"/>
      <c r="AT20" s="64"/>
      <c r="AU20" s="64"/>
      <c r="AV20" s="64"/>
      <c r="AW20" s="64"/>
      <c r="AX20" s="64"/>
      <c r="AY20" s="64"/>
      <c r="AZ20" s="64"/>
      <c r="BA20" s="64"/>
      <c r="BB20" s="64"/>
      <c r="BC20" s="64"/>
      <c r="BD20" s="64"/>
      <c r="BE20" s="64"/>
      <c r="BF20" s="64"/>
    </row>
    <row r="21" spans="29:58">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5.5">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formula1>"Si,No"</formula1>
    </dataValidation>
    <dataValidation type="list" allowBlank="1" showInputMessage="1" showErrorMessage="1" sqref="J8:J16">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 manualMax="0" manualMin="0" type="column" displayEmptyCellsAs="gap" last="1">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L80"/>
  <sheetViews>
    <sheetView topLeftCell="A4" workbookViewId="0">
      <selection activeCell="L46" sqref="L46"/>
    </sheetView>
  </sheetViews>
  <sheetFormatPr baseColWidth="10" defaultColWidth="11.42578125" defaultRowHeight="15"/>
  <cols>
    <col min="1" max="1" width="3.140625" customWidth="1"/>
    <col min="2" max="2" width="14.85546875" customWidth="1"/>
    <col min="3" max="3" width="20.140625" customWidth="1"/>
    <col min="4" max="4" width="14.140625" customWidth="1"/>
    <col min="5" max="5" width="17.140625" customWidth="1"/>
    <col min="6" max="6" width="14.42578125" customWidth="1"/>
    <col min="7" max="7" width="15" customWidth="1"/>
    <col min="8" max="8" width="15.85546875" customWidth="1"/>
    <col min="9" max="9" width="21.42578125" customWidth="1"/>
    <col min="10" max="10" width="14.42578125" customWidth="1"/>
    <col min="11" max="11" width="20.85546875" customWidth="1"/>
    <col min="12" max="12" width="13.85546875" customWidth="1"/>
  </cols>
  <sheetData>
    <row r="1" spans="2:12" ht="24" customHeight="1">
      <c r="B1" s="998" t="s">
        <v>47</v>
      </c>
      <c r="C1" s="999"/>
      <c r="D1" s="1002" t="s">
        <v>0</v>
      </c>
      <c r="E1" s="1003"/>
      <c r="F1" s="1003"/>
      <c r="G1" s="1003"/>
      <c r="H1" s="1003"/>
      <c r="I1" s="1004"/>
      <c r="J1" s="1011" t="s">
        <v>31</v>
      </c>
      <c r="K1" s="1012"/>
    </row>
    <row r="2" spans="2:12" ht="15" customHeight="1">
      <c r="B2" s="1000"/>
      <c r="C2" s="1001"/>
      <c r="D2" s="1005"/>
      <c r="E2" s="1006"/>
      <c r="F2" s="1006"/>
      <c r="G2" s="1006"/>
      <c r="H2" s="1006"/>
      <c r="I2" s="1007"/>
      <c r="J2" s="1013"/>
      <c r="K2" s="1014"/>
    </row>
    <row r="3" spans="2:12" ht="15" customHeight="1">
      <c r="B3" s="1000"/>
      <c r="C3" s="1001"/>
      <c r="D3" s="1008"/>
      <c r="E3" s="1009"/>
      <c r="F3" s="1009"/>
      <c r="G3" s="1009"/>
      <c r="H3" s="1009"/>
      <c r="I3" s="1010"/>
      <c r="J3" s="1013"/>
      <c r="K3" s="1014"/>
    </row>
    <row r="4" spans="2:12" ht="15" customHeight="1">
      <c r="B4" s="1000"/>
      <c r="C4" s="1001"/>
      <c r="D4" s="1015" t="s">
        <v>44</v>
      </c>
      <c r="E4" s="1015"/>
      <c r="F4" s="1015"/>
      <c r="G4" s="1015"/>
      <c r="H4" s="1015"/>
      <c r="I4" s="1015"/>
      <c r="J4" s="1017" t="s">
        <v>32</v>
      </c>
      <c r="K4" s="1018"/>
    </row>
    <row r="5" spans="2:12" ht="15.75" customHeight="1" thickBot="1">
      <c r="B5" s="1000"/>
      <c r="C5" s="1001"/>
      <c r="D5" s="1016"/>
      <c r="E5" s="1016"/>
      <c r="F5" s="1016"/>
      <c r="G5" s="1016"/>
      <c r="H5" s="1016"/>
      <c r="I5" s="1016"/>
      <c r="J5" s="1019">
        <v>42664</v>
      </c>
      <c r="K5" s="1020"/>
    </row>
    <row r="6" spans="2:12" ht="15.75" thickBot="1">
      <c r="B6" s="995"/>
      <c r="C6" s="996"/>
      <c r="D6" s="996"/>
      <c r="E6" s="996"/>
      <c r="F6" s="996"/>
      <c r="G6" s="996"/>
      <c r="H6" s="996"/>
      <c r="I6" s="997"/>
      <c r="J6" s="1023"/>
      <c r="K6" s="1024"/>
      <c r="L6" s="4"/>
    </row>
    <row r="7" spans="2:12" ht="48">
      <c r="B7" s="1025" t="s">
        <v>33</v>
      </c>
      <c r="C7" s="1028" t="s">
        <v>90</v>
      </c>
      <c r="D7" s="1025" t="s">
        <v>34</v>
      </c>
      <c r="E7" s="82" t="s">
        <v>61</v>
      </c>
      <c r="F7" s="1025" t="s">
        <v>52</v>
      </c>
      <c r="G7" s="1028" t="s">
        <v>51</v>
      </c>
      <c r="H7" s="1025" t="s">
        <v>35</v>
      </c>
      <c r="I7" s="83" t="s">
        <v>63</v>
      </c>
      <c r="J7" s="1025" t="s">
        <v>36</v>
      </c>
      <c r="K7" s="88"/>
      <c r="L7" s="5"/>
    </row>
    <row r="8" spans="2:12" ht="60">
      <c r="B8" s="1026"/>
      <c r="C8" s="1029"/>
      <c r="D8" s="1026"/>
      <c r="E8" s="82" t="s">
        <v>83</v>
      </c>
      <c r="F8" s="1026"/>
      <c r="G8" s="1029"/>
      <c r="H8" s="1026"/>
      <c r="I8" s="83" t="s">
        <v>82</v>
      </c>
      <c r="J8" s="1026"/>
      <c r="K8" s="88"/>
      <c r="L8" s="5"/>
    </row>
    <row r="9" spans="2:12" ht="36">
      <c r="B9" s="1026"/>
      <c r="C9" s="1029"/>
      <c r="D9" s="1026"/>
      <c r="E9" s="82" t="s">
        <v>68</v>
      </c>
      <c r="F9" s="1026"/>
      <c r="G9" s="1029"/>
      <c r="H9" s="1026"/>
      <c r="I9" s="83" t="s">
        <v>66</v>
      </c>
      <c r="J9" s="1026"/>
      <c r="K9" s="88"/>
      <c r="L9" s="5"/>
    </row>
    <row r="10" spans="2:12" ht="48">
      <c r="B10" s="1026"/>
      <c r="C10" s="1029"/>
      <c r="D10" s="1026"/>
      <c r="E10" s="82" t="s">
        <v>69</v>
      </c>
      <c r="F10" s="1026"/>
      <c r="G10" s="1029"/>
      <c r="H10" s="1026"/>
      <c r="I10" s="83" t="s">
        <v>67</v>
      </c>
      <c r="J10" s="1026"/>
      <c r="K10" s="88"/>
      <c r="L10" s="5"/>
    </row>
    <row r="11" spans="2:12" ht="36">
      <c r="B11" s="1026"/>
      <c r="C11" s="1029"/>
      <c r="D11" s="1026"/>
      <c r="E11" s="82" t="s">
        <v>84</v>
      </c>
      <c r="F11" s="1026"/>
      <c r="G11" s="1029"/>
      <c r="H11" s="1026"/>
      <c r="I11" s="83" t="s">
        <v>85</v>
      </c>
      <c r="J11" s="1026"/>
      <c r="K11" s="88"/>
      <c r="L11" s="5"/>
    </row>
    <row r="12" spans="2:12" ht="48.75" thickBot="1">
      <c r="B12" s="1027"/>
      <c r="C12" s="1030"/>
      <c r="D12" s="1026"/>
      <c r="E12" s="82" t="s">
        <v>70</v>
      </c>
      <c r="F12" s="1026"/>
      <c r="G12" s="1029"/>
      <c r="H12" s="1026"/>
      <c r="I12" s="83" t="s">
        <v>64</v>
      </c>
      <c r="J12" s="1026"/>
      <c r="K12" s="88"/>
      <c r="L12" s="6"/>
    </row>
    <row r="13" spans="2:12" ht="24.75" thickBot="1">
      <c r="B13" s="85" t="s">
        <v>37</v>
      </c>
      <c r="C13" s="84"/>
      <c r="D13" s="1026"/>
      <c r="E13" s="82" t="s">
        <v>71</v>
      </c>
      <c r="F13" s="1026"/>
      <c r="G13" s="1029"/>
      <c r="H13" s="1026"/>
      <c r="I13" s="83" t="s">
        <v>65</v>
      </c>
      <c r="J13" s="1026"/>
      <c r="K13" s="88"/>
      <c r="L13" s="6"/>
    </row>
    <row r="14" spans="2:12" ht="48" customHeight="1" thickBot="1">
      <c r="B14" s="85" t="s">
        <v>38</v>
      </c>
      <c r="C14" s="84"/>
      <c r="D14" s="1026"/>
      <c r="E14" s="82" t="s">
        <v>89</v>
      </c>
      <c r="F14" s="1026"/>
      <c r="G14" s="1029"/>
      <c r="H14" s="1026"/>
      <c r="I14" s="83" t="s">
        <v>87</v>
      </c>
      <c r="J14" s="1026"/>
      <c r="K14" s="88"/>
      <c r="L14" s="6"/>
    </row>
    <row r="15" spans="2:12" ht="42.95" customHeight="1" thickBot="1">
      <c r="B15" s="86" t="s">
        <v>39</v>
      </c>
      <c r="C15" s="87">
        <v>42734</v>
      </c>
      <c r="D15" s="1027"/>
      <c r="E15" s="82" t="s">
        <v>88</v>
      </c>
      <c r="F15" s="1027"/>
      <c r="G15" s="1031"/>
      <c r="H15" s="1027"/>
      <c r="I15" s="83" t="s">
        <v>86</v>
      </c>
      <c r="J15" s="1027"/>
      <c r="K15" s="89"/>
      <c r="L15" s="6"/>
    </row>
    <row r="16" spans="2:12" ht="15.75" thickBot="1">
      <c r="B16" s="1035"/>
      <c r="C16" s="1036"/>
      <c r="D16" s="1036"/>
      <c r="E16" s="1037"/>
      <c r="F16" s="1038"/>
      <c r="G16" s="1037"/>
      <c r="H16" s="1038"/>
      <c r="I16" s="1037"/>
      <c r="J16" s="1038"/>
      <c r="K16" s="1039"/>
    </row>
    <row r="17" spans="2:11">
      <c r="B17" s="1040" t="s">
        <v>40</v>
      </c>
      <c r="C17" s="42" t="s">
        <v>91</v>
      </c>
      <c r="D17" s="33">
        <v>0.1</v>
      </c>
      <c r="E17" s="1040" t="s">
        <v>41</v>
      </c>
      <c r="F17" s="34"/>
      <c r="G17" s="1043" t="s">
        <v>42</v>
      </c>
      <c r="H17" s="35"/>
      <c r="I17" s="1043" t="s">
        <v>45</v>
      </c>
      <c r="J17" s="90"/>
      <c r="K17" s="94" t="s">
        <v>43</v>
      </c>
    </row>
    <row r="18" spans="2:11">
      <c r="B18" s="1041"/>
      <c r="C18" s="43" t="s">
        <v>92</v>
      </c>
      <c r="D18" s="36">
        <v>0.1</v>
      </c>
      <c r="E18" s="1041"/>
      <c r="F18" s="37"/>
      <c r="G18" s="1044"/>
      <c r="H18" s="38"/>
      <c r="I18" s="1044"/>
      <c r="J18" s="91"/>
      <c r="K18" s="95" t="s">
        <v>43</v>
      </c>
    </row>
    <row r="19" spans="2:11">
      <c r="B19" s="1041"/>
      <c r="C19" s="43" t="s">
        <v>93</v>
      </c>
      <c r="D19" s="36">
        <v>0.1</v>
      </c>
      <c r="E19" s="1041"/>
      <c r="F19" s="37"/>
      <c r="G19" s="1044"/>
      <c r="H19" s="38"/>
      <c r="I19" s="1044"/>
      <c r="J19" s="91"/>
      <c r="K19" s="95" t="s">
        <v>43</v>
      </c>
    </row>
    <row r="20" spans="2:11">
      <c r="B20" s="1041"/>
      <c r="C20" s="43" t="s">
        <v>94</v>
      </c>
      <c r="D20" s="36">
        <v>0.1</v>
      </c>
      <c r="E20" s="1041"/>
      <c r="F20" s="37"/>
      <c r="G20" s="1044"/>
      <c r="H20" s="38"/>
      <c r="I20" s="1044"/>
      <c r="J20" s="91"/>
      <c r="K20" s="95" t="s">
        <v>43</v>
      </c>
    </row>
    <row r="21" spans="2:11">
      <c r="B21" s="1041"/>
      <c r="C21" s="43" t="s">
        <v>95</v>
      </c>
      <c r="D21" s="36">
        <v>0.1</v>
      </c>
      <c r="E21" s="1041"/>
      <c r="F21" s="37"/>
      <c r="G21" s="1044"/>
      <c r="H21" s="38"/>
      <c r="I21" s="1044"/>
      <c r="J21" s="91"/>
      <c r="K21" s="95" t="s">
        <v>43</v>
      </c>
    </row>
    <row r="22" spans="2:11">
      <c r="B22" s="1041"/>
      <c r="C22" s="43" t="s">
        <v>96</v>
      </c>
      <c r="D22" s="36">
        <v>0.1</v>
      </c>
      <c r="E22" s="1041"/>
      <c r="F22" s="37"/>
      <c r="G22" s="1044"/>
      <c r="H22" s="38"/>
      <c r="I22" s="1044"/>
      <c r="J22" s="91"/>
      <c r="K22" s="95" t="s">
        <v>43</v>
      </c>
    </row>
    <row r="23" spans="2:11">
      <c r="B23" s="1041"/>
      <c r="C23" s="43" t="s">
        <v>97</v>
      </c>
      <c r="D23" s="36">
        <v>0.1</v>
      </c>
      <c r="E23" s="1041"/>
      <c r="F23" s="37"/>
      <c r="G23" s="1044"/>
      <c r="H23" s="38"/>
      <c r="I23" s="1044"/>
      <c r="J23" s="91"/>
      <c r="K23" s="95" t="s">
        <v>43</v>
      </c>
    </row>
    <row r="24" spans="2:11">
      <c r="B24" s="1041"/>
      <c r="C24" s="43" t="s">
        <v>98</v>
      </c>
      <c r="D24" s="36">
        <v>0.1</v>
      </c>
      <c r="E24" s="1041"/>
      <c r="F24" s="37"/>
      <c r="G24" s="1044"/>
      <c r="H24" s="38"/>
      <c r="I24" s="1044"/>
      <c r="J24" s="91"/>
      <c r="K24" s="95" t="s">
        <v>43</v>
      </c>
    </row>
    <row r="25" spans="2:11" ht="15.75" thickBot="1">
      <c r="B25" s="1042"/>
      <c r="C25" s="44" t="s">
        <v>99</v>
      </c>
      <c r="D25" s="39">
        <v>0.1</v>
      </c>
      <c r="E25" s="1042"/>
      <c r="F25" s="40"/>
      <c r="G25" s="1045"/>
      <c r="H25" s="41"/>
      <c r="I25" s="1045"/>
      <c r="J25" s="92"/>
      <c r="K25" s="96" t="s">
        <v>43</v>
      </c>
    </row>
    <row r="26" spans="2:11" s="8" customFormat="1">
      <c r="B26" s="97"/>
      <c r="C26" s="98"/>
      <c r="D26" s="99"/>
      <c r="E26" s="97"/>
      <c r="F26" s="100"/>
      <c r="G26" s="97"/>
      <c r="H26" s="100"/>
      <c r="I26" s="97"/>
      <c r="J26" s="100"/>
      <c r="K26" s="93"/>
    </row>
    <row r="27" spans="2:11" ht="38.25">
      <c r="B27" s="75" t="s">
        <v>24</v>
      </c>
      <c r="C27" s="75" t="s">
        <v>25</v>
      </c>
      <c r="D27" s="74" t="s">
        <v>26</v>
      </c>
      <c r="E27" s="75" t="s">
        <v>61</v>
      </c>
      <c r="F27" s="75" t="s">
        <v>4</v>
      </c>
      <c r="G27" s="75" t="s">
        <v>53</v>
      </c>
      <c r="H27" s="14"/>
      <c r="I27" s="14"/>
      <c r="J27" s="13"/>
      <c r="K27" s="13"/>
    </row>
    <row r="28" spans="2:11">
      <c r="B28" s="12">
        <v>42736</v>
      </c>
      <c r="C28" s="11">
        <v>102</v>
      </c>
      <c r="D28" s="10" t="e">
        <f>'Tablero Estratégico'!#REF!</f>
        <v>#REF!</v>
      </c>
      <c r="E28" s="102" t="str">
        <f>IF(ISERROR(C28/D28)=TRUE,"Sin datos",C28/D28)</f>
        <v>Sin datos</v>
      </c>
      <c r="F28" s="3">
        <f>$D$17</f>
        <v>0.1</v>
      </c>
      <c r="G28" s="62" t="s">
        <v>59</v>
      </c>
    </row>
    <row r="29" spans="2:11">
      <c r="B29" s="12">
        <v>42767</v>
      </c>
      <c r="C29" s="11">
        <v>80</v>
      </c>
      <c r="D29" s="10" t="e">
        <f>'Tablero Estratégico'!#REF!</f>
        <v>#REF!</v>
      </c>
      <c r="E29" s="102" t="str">
        <f t="shared" ref="E29:E39" si="0">IF(ISERROR(C29/D29)=TRUE,"Sin datos",C29/D29)</f>
        <v>Sin datos</v>
      </c>
      <c r="F29" s="3">
        <f t="shared" ref="F29:F39" si="1">$D$17</f>
        <v>0.1</v>
      </c>
      <c r="G29" s="62" t="e">
        <f>+IF(SLOPE(E28:E29,B28:B29)&gt;0,"Al alza",IF(SLOPE(E28:E29,B28:B29)&lt;0,"A la baja","sin cambio"))</f>
        <v>#DIV/0!</v>
      </c>
    </row>
    <row r="30" spans="2:11">
      <c r="B30" s="12">
        <v>42795</v>
      </c>
      <c r="C30" s="11">
        <v>50</v>
      </c>
      <c r="D30" s="10" t="e">
        <f>'Tablero Estratégico'!#REF!</f>
        <v>#REF!</v>
      </c>
      <c r="E30" s="102" t="str">
        <f t="shared" si="0"/>
        <v>Sin datos</v>
      </c>
      <c r="F30" s="3">
        <f t="shared" si="1"/>
        <v>0.1</v>
      </c>
      <c r="G30" s="62" t="e">
        <f t="shared" ref="G30:G39" si="2">+IF(SLOPE(E29:E30,B29:B30)&gt;0,"Al alza",IF(SLOPE(E29:E30,B29:B30)&lt;0,"A la baja","sin cambio"))</f>
        <v>#DIV/0!</v>
      </c>
    </row>
    <row r="31" spans="2:11">
      <c r="B31" s="12">
        <v>42826</v>
      </c>
      <c r="C31" s="11">
        <v>30</v>
      </c>
      <c r="D31" s="10" t="e">
        <f>'Tablero Estratégico'!#REF!</f>
        <v>#REF!</v>
      </c>
      <c r="E31" s="102" t="str">
        <f t="shared" si="0"/>
        <v>Sin datos</v>
      </c>
      <c r="F31" s="3">
        <f t="shared" si="1"/>
        <v>0.1</v>
      </c>
      <c r="G31" s="62" t="e">
        <f t="shared" si="2"/>
        <v>#DIV/0!</v>
      </c>
    </row>
    <row r="32" spans="2:11">
      <c r="B32" s="12">
        <v>42856</v>
      </c>
      <c r="C32" s="11">
        <v>60</v>
      </c>
      <c r="D32" s="10" t="e">
        <f>'Tablero Estratégico'!#REF!</f>
        <v>#REF!</v>
      </c>
      <c r="E32" s="102" t="str">
        <f t="shared" si="0"/>
        <v>Sin datos</v>
      </c>
      <c r="F32" s="3">
        <f t="shared" si="1"/>
        <v>0.1</v>
      </c>
      <c r="G32" s="62" t="e">
        <f t="shared" si="2"/>
        <v>#DIV/0!</v>
      </c>
    </row>
    <row r="33" spans="1:11">
      <c r="B33" s="12">
        <v>42887</v>
      </c>
      <c r="C33" s="11">
        <v>100</v>
      </c>
      <c r="D33" s="10" t="e">
        <f>'Tablero Estratégico'!#REF!</f>
        <v>#REF!</v>
      </c>
      <c r="E33" s="102" t="str">
        <f t="shared" si="0"/>
        <v>Sin datos</v>
      </c>
      <c r="F33" s="3">
        <f t="shared" si="1"/>
        <v>0.1</v>
      </c>
      <c r="G33" s="62" t="e">
        <f t="shared" si="2"/>
        <v>#DIV/0!</v>
      </c>
    </row>
    <row r="34" spans="1:11">
      <c r="B34" s="12">
        <v>42917</v>
      </c>
      <c r="C34" s="11">
        <v>30</v>
      </c>
      <c r="D34" s="10" t="e">
        <f>'Tablero Estratégico'!#REF!</f>
        <v>#REF!</v>
      </c>
      <c r="E34" s="102" t="str">
        <f t="shared" si="0"/>
        <v>Sin datos</v>
      </c>
      <c r="F34" s="3">
        <f t="shared" si="1"/>
        <v>0.1</v>
      </c>
      <c r="G34" s="62" t="e">
        <f t="shared" si="2"/>
        <v>#DIV/0!</v>
      </c>
    </row>
    <row r="35" spans="1:11">
      <c r="B35" s="12">
        <v>42948</v>
      </c>
      <c r="C35" s="11">
        <v>90</v>
      </c>
      <c r="D35" s="10" t="e">
        <f>'Tablero Estratégico'!#REF!</f>
        <v>#REF!</v>
      </c>
      <c r="E35" s="102" t="str">
        <f t="shared" si="0"/>
        <v>Sin datos</v>
      </c>
      <c r="F35" s="3">
        <f t="shared" si="1"/>
        <v>0.1</v>
      </c>
      <c r="G35" s="62" t="e">
        <f t="shared" si="2"/>
        <v>#DIV/0!</v>
      </c>
    </row>
    <row r="36" spans="1:11">
      <c r="B36" s="12">
        <v>42979</v>
      </c>
      <c r="C36" s="11">
        <v>80</v>
      </c>
      <c r="D36" s="10" t="e">
        <f>'Tablero Estratégico'!#REF!</f>
        <v>#REF!</v>
      </c>
      <c r="E36" s="102" t="str">
        <f t="shared" si="0"/>
        <v>Sin datos</v>
      </c>
      <c r="F36" s="3">
        <f t="shared" si="1"/>
        <v>0.1</v>
      </c>
      <c r="G36" s="62" t="e">
        <f t="shared" si="2"/>
        <v>#DIV/0!</v>
      </c>
    </row>
    <row r="37" spans="1:11">
      <c r="B37" s="12">
        <v>43009</v>
      </c>
      <c r="C37" s="11">
        <v>100</v>
      </c>
      <c r="D37" s="10" t="e">
        <f>'Tablero Estratégico'!#REF!</f>
        <v>#REF!</v>
      </c>
      <c r="E37" s="102" t="str">
        <f t="shared" si="0"/>
        <v>Sin datos</v>
      </c>
      <c r="F37" s="3">
        <f t="shared" si="1"/>
        <v>0.1</v>
      </c>
      <c r="G37" s="62" t="e">
        <f t="shared" si="2"/>
        <v>#DIV/0!</v>
      </c>
    </row>
    <row r="38" spans="1:11">
      <c r="B38" s="12">
        <v>43040</v>
      </c>
      <c r="C38" s="11">
        <v>102</v>
      </c>
      <c r="D38" s="10" t="e">
        <f>'Tablero Estratégico'!#REF!</f>
        <v>#REF!</v>
      </c>
      <c r="E38" s="102" t="str">
        <f t="shared" si="0"/>
        <v>Sin datos</v>
      </c>
      <c r="F38" s="3">
        <f t="shared" si="1"/>
        <v>0.1</v>
      </c>
      <c r="G38" s="62" t="e">
        <f t="shared" si="2"/>
        <v>#DIV/0!</v>
      </c>
    </row>
    <row r="39" spans="1:11" ht="15.75" thickBot="1">
      <c r="B39" s="68">
        <v>43070</v>
      </c>
      <c r="C39" s="11">
        <f>COUNTIF(('Tablero Estratégico'!$U$6:$U$28),1)</f>
        <v>0</v>
      </c>
      <c r="D39" s="10" t="e">
        <f>'Tablero Estratégico'!#REF!</f>
        <v>#REF!</v>
      </c>
      <c r="E39" s="102" t="str">
        <f t="shared" si="0"/>
        <v>Sin datos</v>
      </c>
      <c r="F39" s="3">
        <f t="shared" si="1"/>
        <v>0.1</v>
      </c>
      <c r="G39" s="62" t="e">
        <f t="shared" si="2"/>
        <v>#DIV/0!</v>
      </c>
      <c r="H39" s="15"/>
      <c r="I39" s="15"/>
      <c r="J39" s="15"/>
      <c r="K39" s="15"/>
    </row>
    <row r="40" spans="1:11" ht="15.75" customHeight="1" thickBot="1">
      <c r="B40" s="1032" t="s">
        <v>60</v>
      </c>
      <c r="C40" s="1033"/>
      <c r="D40" s="1034"/>
      <c r="E40" s="69" t="e">
        <f>+IF(SLOPE(E28:E39,B28:B39)&gt;0,"Al alza",IF(SLOPE(E28:E39,B28:B39)&lt;0,"A la baja","Sin cambio"))</f>
        <v>#DIV/0!</v>
      </c>
      <c r="F40" s="103"/>
      <c r="H40" s="15"/>
      <c r="I40" s="15"/>
      <c r="J40" s="15"/>
      <c r="K40" s="15"/>
    </row>
    <row r="41" spans="1:11" s="4" customFormat="1">
      <c r="B41" s="101"/>
      <c r="C41" s="101"/>
      <c r="D41" s="101"/>
      <c r="E41" s="101"/>
      <c r="F41" s="101"/>
      <c r="G41" s="101"/>
      <c r="H41" s="14"/>
      <c r="I41" s="14"/>
      <c r="J41" s="14"/>
      <c r="K41" s="14"/>
    </row>
    <row r="42" spans="1:11" s="4" customFormat="1">
      <c r="A42" s="64"/>
      <c r="B42" s="101"/>
      <c r="C42" s="101"/>
      <c r="D42" s="101"/>
      <c r="E42" s="101"/>
      <c r="F42" s="101"/>
      <c r="G42" s="101"/>
      <c r="H42" s="14"/>
      <c r="I42" s="14"/>
      <c r="J42" s="14"/>
      <c r="K42" s="14"/>
    </row>
    <row r="43" spans="1:11" s="4" customFormat="1" ht="15.75" thickBot="1">
      <c r="A43" s="64"/>
      <c r="B43" s="101"/>
      <c r="C43" s="101"/>
      <c r="D43" s="101"/>
      <c r="E43" s="101"/>
      <c r="F43" s="101"/>
      <c r="G43" s="101"/>
      <c r="H43" s="14"/>
      <c r="I43" s="14"/>
      <c r="J43" s="14"/>
      <c r="K43" s="14"/>
    </row>
    <row r="44" spans="1:11" ht="15.75" customHeight="1" thickBot="1">
      <c r="A44" s="1021"/>
      <c r="B44" s="995" t="s">
        <v>49</v>
      </c>
      <c r="C44" s="996"/>
      <c r="D44" s="996"/>
      <c r="E44" s="996"/>
      <c r="F44" s="996"/>
      <c r="G44" s="996"/>
      <c r="H44" s="996"/>
      <c r="I44" s="996"/>
      <c r="J44" s="996"/>
      <c r="K44" s="997"/>
    </row>
    <row r="45" spans="1:11" ht="15.75" thickBot="1">
      <c r="A45" s="1022"/>
      <c r="B45" s="12">
        <v>42736</v>
      </c>
      <c r="C45" s="1058"/>
      <c r="D45" s="1059"/>
      <c r="E45" s="1059"/>
      <c r="F45" s="1059"/>
      <c r="G45" s="1059"/>
      <c r="H45" s="1059"/>
      <c r="I45" s="1059"/>
      <c r="J45" s="1059"/>
      <c r="K45" s="1060"/>
    </row>
    <row r="46" spans="1:11" ht="15.75" thickBot="1">
      <c r="A46" s="7"/>
      <c r="B46" s="12">
        <v>42767</v>
      </c>
      <c r="C46" s="1058"/>
      <c r="D46" s="1059"/>
      <c r="E46" s="1059"/>
      <c r="F46" s="1059"/>
      <c r="G46" s="1059"/>
      <c r="H46" s="1059"/>
      <c r="I46" s="1059"/>
      <c r="J46" s="1059"/>
      <c r="K46" s="1060"/>
    </row>
    <row r="47" spans="1:11" ht="15.75" thickBot="1">
      <c r="A47" s="8"/>
      <c r="B47" s="12">
        <v>42795</v>
      </c>
      <c r="C47" s="1058"/>
      <c r="D47" s="1059"/>
      <c r="E47" s="1059"/>
      <c r="F47" s="1059"/>
      <c r="G47" s="1059"/>
      <c r="H47" s="1059"/>
      <c r="I47" s="1059"/>
      <c r="J47" s="1059"/>
      <c r="K47" s="1060"/>
    </row>
    <row r="48" spans="1:11" ht="15.75" thickBot="1">
      <c r="A48" s="8"/>
      <c r="B48" s="12">
        <v>42826</v>
      </c>
      <c r="C48" s="1058"/>
      <c r="D48" s="1059"/>
      <c r="E48" s="1059"/>
      <c r="F48" s="1059"/>
      <c r="G48" s="1059"/>
      <c r="H48" s="1059"/>
      <c r="I48" s="1059"/>
      <c r="J48" s="1059"/>
      <c r="K48" s="1060"/>
    </row>
    <row r="49" spans="1:11" ht="15.75" thickBot="1">
      <c r="A49" s="8"/>
      <c r="B49" s="12">
        <v>42856</v>
      </c>
      <c r="C49" s="1058"/>
      <c r="D49" s="1059"/>
      <c r="E49" s="1059"/>
      <c r="F49" s="1059"/>
      <c r="G49" s="1059"/>
      <c r="H49" s="1059"/>
      <c r="I49" s="1059"/>
      <c r="J49" s="1059"/>
      <c r="K49" s="1060"/>
    </row>
    <row r="50" spans="1:11" ht="15.75" thickBot="1">
      <c r="A50" s="8"/>
      <c r="B50" s="12">
        <v>42887</v>
      </c>
      <c r="C50" s="1058"/>
      <c r="D50" s="1059"/>
      <c r="E50" s="1059"/>
      <c r="F50" s="1059"/>
      <c r="G50" s="1059"/>
      <c r="H50" s="1059"/>
      <c r="I50" s="1059"/>
      <c r="J50" s="1059"/>
      <c r="K50" s="1060"/>
    </row>
    <row r="51" spans="1:11" ht="15.75" thickBot="1">
      <c r="B51" s="12">
        <v>42917</v>
      </c>
      <c r="C51" s="1058"/>
      <c r="D51" s="1059"/>
      <c r="E51" s="1059"/>
      <c r="F51" s="1059"/>
      <c r="G51" s="1059"/>
      <c r="H51" s="1059"/>
      <c r="I51" s="1059"/>
      <c r="J51" s="1059"/>
      <c r="K51" s="1060"/>
    </row>
    <row r="52" spans="1:11" ht="15.75" thickBot="1">
      <c r="B52" s="12">
        <v>42948</v>
      </c>
      <c r="C52" s="1058"/>
      <c r="D52" s="1059"/>
      <c r="E52" s="1059"/>
      <c r="F52" s="1059"/>
      <c r="G52" s="1059"/>
      <c r="H52" s="1059"/>
      <c r="I52" s="1059"/>
      <c r="J52" s="1059"/>
      <c r="K52" s="1060"/>
    </row>
    <row r="53" spans="1:11" ht="15.75" thickBot="1">
      <c r="B53" s="12">
        <v>42979</v>
      </c>
      <c r="C53" s="1058"/>
      <c r="D53" s="1059"/>
      <c r="E53" s="1059"/>
      <c r="F53" s="1059"/>
      <c r="G53" s="1059"/>
      <c r="H53" s="1059"/>
      <c r="I53" s="1059"/>
      <c r="J53" s="1059"/>
      <c r="K53" s="1060"/>
    </row>
    <row r="54" spans="1:11" ht="15.75" thickBot="1">
      <c r="B54" s="12">
        <v>43009</v>
      </c>
      <c r="C54" s="1058"/>
      <c r="D54" s="1059"/>
      <c r="E54" s="1059"/>
      <c r="F54" s="1059"/>
      <c r="G54" s="1059"/>
      <c r="H54" s="1059"/>
      <c r="I54" s="1059"/>
      <c r="J54" s="1059"/>
      <c r="K54" s="1060"/>
    </row>
    <row r="55" spans="1:11" ht="15.75" thickBot="1">
      <c r="B55" s="12">
        <v>43040</v>
      </c>
      <c r="C55" s="1058"/>
      <c r="D55" s="1059"/>
      <c r="E55" s="1059"/>
      <c r="F55" s="1059"/>
      <c r="G55" s="1059"/>
      <c r="H55" s="1059"/>
      <c r="I55" s="1059"/>
      <c r="J55" s="1059"/>
      <c r="K55" s="1060"/>
    </row>
    <row r="56" spans="1:11" ht="15.75" thickBot="1">
      <c r="B56" s="68">
        <v>43070</v>
      </c>
      <c r="C56" s="1058"/>
      <c r="D56" s="1059"/>
      <c r="E56" s="1059"/>
      <c r="F56" s="1059"/>
      <c r="G56" s="1059"/>
      <c r="H56" s="1059"/>
      <c r="I56" s="1059"/>
      <c r="J56" s="1059"/>
      <c r="K56" s="1060"/>
    </row>
    <row r="57" spans="1:11" ht="15.75" thickBot="1">
      <c r="B57" s="45" t="s">
        <v>46</v>
      </c>
      <c r="C57" s="995" t="s">
        <v>27</v>
      </c>
      <c r="D57" s="996"/>
      <c r="E57" s="996"/>
      <c r="F57" s="996"/>
      <c r="G57" s="997"/>
      <c r="H57" s="45" t="s">
        <v>37</v>
      </c>
      <c r="I57" s="45" t="s">
        <v>28</v>
      </c>
      <c r="J57" s="76" t="s">
        <v>29</v>
      </c>
      <c r="K57" s="45" t="s">
        <v>30</v>
      </c>
    </row>
    <row r="58" spans="1:11">
      <c r="B58" s="46"/>
      <c r="C58" s="1049"/>
      <c r="D58" s="1050"/>
      <c r="E58" s="1050"/>
      <c r="F58" s="1050"/>
      <c r="G58" s="1051"/>
      <c r="H58" s="55"/>
      <c r="I58" s="58"/>
      <c r="J58" s="52"/>
      <c r="K58" s="49"/>
    </row>
    <row r="59" spans="1:11">
      <c r="B59" s="47"/>
      <c r="C59" s="1052"/>
      <c r="D59" s="1053"/>
      <c r="E59" s="1053"/>
      <c r="F59" s="1053"/>
      <c r="G59" s="1054"/>
      <c r="H59" s="56"/>
      <c r="I59" s="59"/>
      <c r="J59" s="53"/>
      <c r="K59" s="50"/>
    </row>
    <row r="60" spans="1:11">
      <c r="B60" s="47"/>
      <c r="C60" s="1052"/>
      <c r="D60" s="1053"/>
      <c r="E60" s="1053"/>
      <c r="F60" s="1053"/>
      <c r="G60" s="1054"/>
      <c r="H60" s="56"/>
      <c r="I60" s="59"/>
      <c r="J60" s="53"/>
      <c r="K60" s="50"/>
    </row>
    <row r="61" spans="1:11">
      <c r="B61" s="47"/>
      <c r="C61" s="1052"/>
      <c r="D61" s="1053"/>
      <c r="E61" s="1053"/>
      <c r="F61" s="1053"/>
      <c r="G61" s="1054"/>
      <c r="H61" s="56"/>
      <c r="I61" s="59"/>
      <c r="J61" s="53"/>
      <c r="K61" s="50"/>
    </row>
    <row r="62" spans="1:11">
      <c r="B62" s="47"/>
      <c r="C62" s="1052"/>
      <c r="D62" s="1053"/>
      <c r="E62" s="1053"/>
      <c r="F62" s="1053"/>
      <c r="G62" s="1054"/>
      <c r="H62" s="56"/>
      <c r="I62" s="59"/>
      <c r="J62" s="53"/>
      <c r="K62" s="50"/>
    </row>
    <row r="63" spans="1:11">
      <c r="B63" s="47"/>
      <c r="C63" s="1052"/>
      <c r="D63" s="1053"/>
      <c r="E63" s="1053"/>
      <c r="F63" s="1053"/>
      <c r="G63" s="1054"/>
      <c r="H63" s="56"/>
      <c r="I63" s="59"/>
      <c r="J63" s="53"/>
      <c r="K63" s="50"/>
    </row>
    <row r="64" spans="1:11">
      <c r="B64" s="47"/>
      <c r="C64" s="1052"/>
      <c r="D64" s="1053"/>
      <c r="E64" s="1053"/>
      <c r="F64" s="1053"/>
      <c r="G64" s="1054"/>
      <c r="H64" s="56"/>
      <c r="I64" s="59"/>
      <c r="J64" s="53"/>
      <c r="K64" s="50"/>
    </row>
    <row r="65" spans="2:11">
      <c r="B65" s="47"/>
      <c r="C65" s="1055"/>
      <c r="D65" s="1056"/>
      <c r="E65" s="1056"/>
      <c r="F65" s="1056"/>
      <c r="G65" s="1057"/>
      <c r="H65" s="56"/>
      <c r="I65" s="59"/>
      <c r="J65" s="53"/>
      <c r="K65" s="50"/>
    </row>
    <row r="66" spans="2:11" ht="15.75" thickBot="1">
      <c r="B66" s="48"/>
      <c r="C66" s="1046"/>
      <c r="D66" s="1047"/>
      <c r="E66" s="1047"/>
      <c r="F66" s="1047"/>
      <c r="G66" s="1048"/>
      <c r="H66" s="57"/>
      <c r="I66" s="60"/>
      <c r="J66" s="54"/>
      <c r="K66" s="51"/>
    </row>
    <row r="67" spans="2:11">
      <c r="F67" s="15"/>
      <c r="G67" s="15"/>
      <c r="H67" s="15"/>
      <c r="I67" s="15"/>
      <c r="J67" s="15"/>
      <c r="K67" s="15"/>
    </row>
    <row r="68" spans="2:11">
      <c r="F68" s="8"/>
      <c r="G68" s="8"/>
      <c r="H68" s="8"/>
      <c r="I68" s="8"/>
    </row>
    <row r="69" spans="2:11">
      <c r="F69" s="8"/>
      <c r="G69" s="8"/>
      <c r="H69" s="8"/>
      <c r="I69" s="8"/>
    </row>
    <row r="70" spans="2:11">
      <c r="F70" s="8"/>
      <c r="G70" s="8"/>
      <c r="H70" s="8"/>
      <c r="I70" s="8"/>
    </row>
    <row r="71" spans="2:11">
      <c r="F71" s="8"/>
      <c r="G71" s="8"/>
      <c r="H71" s="8"/>
      <c r="I71" s="8"/>
    </row>
    <row r="72" spans="2:11">
      <c r="B72" s="15"/>
      <c r="C72" s="15"/>
      <c r="D72" s="15"/>
      <c r="E72" s="15"/>
      <c r="F72" s="8"/>
      <c r="G72" s="8"/>
      <c r="H72" s="8"/>
      <c r="I72" s="8"/>
    </row>
    <row r="73" spans="2:11">
      <c r="D73" s="9"/>
      <c r="E73" s="8"/>
      <c r="F73" s="8"/>
      <c r="G73" s="8"/>
      <c r="H73" s="8"/>
      <c r="I73" s="8"/>
    </row>
    <row r="74" spans="2:11">
      <c r="D74" s="9"/>
      <c r="E74" s="8"/>
      <c r="F74" s="8"/>
      <c r="G74" s="8"/>
      <c r="H74" s="8"/>
      <c r="I74" s="8"/>
    </row>
    <row r="75" spans="2:11">
      <c r="D75" s="9"/>
      <c r="E75" s="8"/>
      <c r="F75" s="8"/>
      <c r="G75" s="8"/>
      <c r="H75" s="8"/>
      <c r="I75" s="8"/>
    </row>
    <row r="76" spans="2:11">
      <c r="D76" s="9"/>
      <c r="E76" s="8"/>
    </row>
    <row r="77" spans="2:11">
      <c r="D77" s="9"/>
      <c r="E77" s="8"/>
    </row>
    <row r="78" spans="2:11">
      <c r="D78" s="8"/>
      <c r="E78" s="8"/>
    </row>
    <row r="79" spans="2:11">
      <c r="D79" s="8"/>
      <c r="E79" s="8"/>
    </row>
    <row r="80" spans="2:11">
      <c r="D80" s="8"/>
      <c r="E80" s="8"/>
    </row>
  </sheetData>
  <mergeCells count="45">
    <mergeCell ref="C57:G57"/>
    <mergeCell ref="C45:K45"/>
    <mergeCell ref="C46:K46"/>
    <mergeCell ref="C47:K47"/>
    <mergeCell ref="C48:K48"/>
    <mergeCell ref="C50:K50"/>
    <mergeCell ref="C51:K51"/>
    <mergeCell ref="C56:K56"/>
    <mergeCell ref="C49:K49"/>
    <mergeCell ref="C53:K53"/>
    <mergeCell ref="C54:K54"/>
    <mergeCell ref="C55:K55"/>
    <mergeCell ref="C52:K52"/>
    <mergeCell ref="C66:G66"/>
    <mergeCell ref="C58:G58"/>
    <mergeCell ref="C59:G59"/>
    <mergeCell ref="C60:G60"/>
    <mergeCell ref="C61:G61"/>
    <mergeCell ref="C62:G62"/>
    <mergeCell ref="C63:G63"/>
    <mergeCell ref="C64:G64"/>
    <mergeCell ref="C65:G6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B44:K44"/>
    <mergeCell ref="B1:C5"/>
    <mergeCell ref="D1:I3"/>
    <mergeCell ref="J1:K3"/>
    <mergeCell ref="D4:I5"/>
    <mergeCell ref="J4:K4"/>
    <mergeCell ref="J5:K5"/>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Inicio</vt:lpstr>
      <vt:lpstr>Tablero Estratégico</vt:lpstr>
      <vt:lpstr>Hoja1</vt:lpstr>
      <vt:lpstr>Hoja2</vt:lpstr>
      <vt:lpstr>Tablero Eficacia - Eficiencia</vt:lpstr>
      <vt:lpstr>Tablero Objeivos de Calidad</vt:lpstr>
      <vt:lpstr>Hoja3</vt:lpstr>
      <vt:lpstr>Hoja4</vt:lpstr>
      <vt:lpstr>Tablero Maestro (2)</vt:lpstr>
      <vt:lpstr>DE</vt:lpstr>
      <vt:lpstr>'Tablero Eficacia - Eficiencia'!Área_de_impresión</vt:lpstr>
      <vt:lpstr>'Tablero Estratégico'!Área_de_impresión</vt:lpstr>
      <vt:lpstr>'Tablero Objeivos de Calidad'!Área_de_impresión</vt:lpstr>
      <vt:lpstr>'Tablero Estratégico'!Títulos_a_imprimir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2018-09-18T21:47:45Z</dcterms:modified>
</cp:coreProperties>
</file>